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20015673\Documents\Sports\"/>
    </mc:Choice>
  </mc:AlternateContent>
  <bookViews>
    <workbookView xWindow="0" yWindow="0" windowWidth="28800" windowHeight="11700" activeTab="2"/>
  </bookViews>
  <sheets>
    <sheet name="2019 Year Review" sheetId="21" r:id="rId1"/>
    <sheet name="Summary" sheetId="19" r:id="rId2"/>
    <sheet name="Bets" sheetId="8" r:id="rId3"/>
    <sheet name="NBA Organizer" sheetId="9" state="hidden" r:id="rId4"/>
    <sheet name="NFL Organizer" sheetId="12" state="hidden" r:id="rId5"/>
    <sheet name="Parlay Calculator" sheetId="15" r:id="rId6"/>
  </sheets>
  <definedNames>
    <definedName name="_xlnm._FilterDatabase" localSheetId="0" hidden="1">'2019 Year Review'!$J$5:$J$15</definedName>
  </definedNames>
  <calcPr calcId="162913"/>
  <pivotCaches>
    <pivotCache cacheId="9" r:id="rId7"/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1" l="1"/>
  <c r="V9" i="21"/>
  <c r="V10" i="21"/>
  <c r="V11" i="21"/>
  <c r="V12" i="21"/>
  <c r="V13" i="21"/>
  <c r="V14" i="21"/>
  <c r="V15" i="21"/>
  <c r="V16" i="21"/>
  <c r="V17" i="21"/>
  <c r="V18" i="21"/>
  <c r="V7" i="21"/>
  <c r="T8" i="21"/>
  <c r="W8" i="21"/>
  <c r="T9" i="21"/>
  <c r="W9" i="21"/>
  <c r="T10" i="21"/>
  <c r="W10" i="21"/>
  <c r="T11" i="21"/>
  <c r="W11" i="21"/>
  <c r="T12" i="21"/>
  <c r="W12" i="21"/>
  <c r="T13" i="21"/>
  <c r="W13" i="21"/>
  <c r="T14" i="21"/>
  <c r="W14" i="21"/>
  <c r="T15" i="21"/>
  <c r="W15" i="21"/>
  <c r="T16" i="21"/>
  <c r="W16" i="21"/>
  <c r="T17" i="21"/>
  <c r="W17" i="21"/>
  <c r="T18" i="21"/>
  <c r="W18" i="21"/>
  <c r="W7" i="21"/>
  <c r="T7" i="21"/>
  <c r="S8" i="21"/>
  <c r="S9" i="21"/>
  <c r="S10" i="21"/>
  <c r="S11" i="21"/>
  <c r="S12" i="21"/>
  <c r="S13" i="21"/>
  <c r="S14" i="21"/>
  <c r="S15" i="21"/>
  <c r="S16" i="21"/>
  <c r="S17" i="21"/>
  <c r="S18" i="21"/>
  <c r="S7" i="21"/>
  <c r="K8" i="21"/>
  <c r="L8" i="21"/>
  <c r="N8" i="21"/>
  <c r="O8" i="21"/>
  <c r="K9" i="21"/>
  <c r="L9" i="21"/>
  <c r="N9" i="21"/>
  <c r="O9" i="21"/>
  <c r="K10" i="21"/>
  <c r="L10" i="21"/>
  <c r="N10" i="21"/>
  <c r="O10" i="21"/>
  <c r="K11" i="21"/>
  <c r="L11" i="21"/>
  <c r="N11" i="21"/>
  <c r="O11" i="21"/>
  <c r="K12" i="21"/>
  <c r="L12" i="21"/>
  <c r="N12" i="21"/>
  <c r="O12" i="21"/>
  <c r="K13" i="21"/>
  <c r="L13" i="21"/>
  <c r="N13" i="21"/>
  <c r="O13" i="21"/>
  <c r="K14" i="21"/>
  <c r="L14" i="21"/>
  <c r="N14" i="21"/>
  <c r="O14" i="21"/>
  <c r="K15" i="21"/>
  <c r="L15" i="21"/>
  <c r="N15" i="21"/>
  <c r="O15" i="21"/>
  <c r="O7" i="21"/>
  <c r="N7" i="21"/>
  <c r="L7" i="21"/>
  <c r="K7" i="21"/>
  <c r="G7" i="21"/>
  <c r="F7" i="21"/>
  <c r="D7" i="21"/>
  <c r="C7" i="21"/>
  <c r="I1666" i="8"/>
  <c r="J1666" i="8"/>
  <c r="I1665" i="8"/>
  <c r="J1665" i="8"/>
  <c r="I1664" i="8"/>
  <c r="J1664" i="8"/>
  <c r="I1663" i="8"/>
  <c r="J1663" i="8"/>
  <c r="I1662" i="8"/>
  <c r="J1662" i="8"/>
  <c r="I1661" i="8"/>
  <c r="J1661" i="8"/>
  <c r="I1660" i="8"/>
  <c r="J1660" i="8"/>
  <c r="I1659" i="8"/>
  <c r="J1659" i="8"/>
  <c r="I1658" i="8"/>
  <c r="J1658" i="8"/>
  <c r="I1657" i="8"/>
  <c r="J1657" i="8"/>
  <c r="I1656" i="8"/>
  <c r="J1656" i="8"/>
  <c r="I1655" i="8"/>
  <c r="J1655" i="8"/>
  <c r="I1654" i="8"/>
  <c r="J1654" i="8"/>
  <c r="I1653" i="8"/>
  <c r="J1653" i="8"/>
  <c r="I1652" i="8"/>
  <c r="J1652" i="8"/>
  <c r="I1651" i="8"/>
  <c r="J1651" i="8"/>
  <c r="I1650" i="8"/>
  <c r="J1650" i="8"/>
  <c r="I1649" i="8"/>
  <c r="J1649" i="8"/>
  <c r="I1648" i="8"/>
  <c r="J1648" i="8"/>
  <c r="I1647" i="8"/>
  <c r="J1647" i="8"/>
  <c r="I1646" i="8"/>
  <c r="J1646" i="8"/>
  <c r="I1645" i="8"/>
  <c r="J1645" i="8"/>
  <c r="I1644" i="8"/>
  <c r="J1644" i="8"/>
  <c r="I1643" i="8"/>
  <c r="J1643" i="8"/>
  <c r="I1642" i="8"/>
  <c r="J1642" i="8"/>
  <c r="I1641" i="8"/>
  <c r="J1641" i="8"/>
  <c r="I1640" i="8"/>
  <c r="J1640" i="8"/>
  <c r="I1639" i="8"/>
  <c r="J1639" i="8"/>
  <c r="I1638" i="8"/>
  <c r="J1638" i="8"/>
  <c r="I1637" i="8"/>
  <c r="J1637" i="8"/>
  <c r="I1636" i="8"/>
  <c r="J1636" i="8"/>
  <c r="I1635" i="8"/>
  <c r="J1635" i="8"/>
  <c r="I1634" i="8"/>
  <c r="J1634" i="8"/>
  <c r="I1633" i="8"/>
  <c r="J1633" i="8"/>
  <c r="I1632" i="8"/>
  <c r="J1632" i="8"/>
  <c r="I1631" i="8"/>
  <c r="J1631" i="8"/>
  <c r="I1630" i="8"/>
  <c r="J1630" i="8"/>
  <c r="I1629" i="8"/>
  <c r="J1629" i="8"/>
  <c r="I1628" i="8"/>
  <c r="J1628" i="8"/>
  <c r="I1627" i="8"/>
  <c r="J1627" i="8"/>
  <c r="I1626" i="8"/>
  <c r="J1626" i="8"/>
  <c r="I1625" i="8"/>
  <c r="J1625" i="8"/>
  <c r="I1624" i="8"/>
  <c r="J1624" i="8"/>
  <c r="I1623" i="8"/>
  <c r="J1623" i="8"/>
  <c r="I1622" i="8"/>
  <c r="J1622" i="8"/>
  <c r="I1621" i="8"/>
  <c r="J1621" i="8"/>
  <c r="I1620" i="8"/>
  <c r="J1620" i="8"/>
  <c r="I1619" i="8"/>
  <c r="J1619" i="8"/>
  <c r="I1618" i="8"/>
  <c r="J1618" i="8"/>
  <c r="I1617" i="8"/>
  <c r="J1617" i="8"/>
  <c r="I1616" i="8"/>
  <c r="J1616" i="8"/>
  <c r="I1615" i="8"/>
  <c r="J1615" i="8"/>
  <c r="I1614" i="8"/>
  <c r="J1614" i="8"/>
  <c r="I1613" i="8"/>
  <c r="J1613" i="8"/>
  <c r="I1612" i="8"/>
  <c r="J1612" i="8"/>
  <c r="I1611" i="8"/>
  <c r="J1611" i="8"/>
  <c r="I1610" i="8"/>
  <c r="J1610" i="8"/>
  <c r="I1609" i="8"/>
  <c r="J1609" i="8"/>
  <c r="I1608" i="8"/>
  <c r="J1608" i="8"/>
  <c r="I1607" i="8"/>
  <c r="J1607" i="8"/>
  <c r="I1606" i="8"/>
  <c r="J1606" i="8"/>
  <c r="I1605" i="8"/>
  <c r="J1605" i="8"/>
  <c r="I1604" i="8"/>
  <c r="J1604" i="8"/>
  <c r="I1603" i="8"/>
  <c r="J1603" i="8"/>
  <c r="I1602" i="8"/>
  <c r="J1602" i="8"/>
  <c r="I1601" i="8"/>
  <c r="J1601" i="8"/>
  <c r="I1600" i="8"/>
  <c r="J1600" i="8"/>
  <c r="I1599" i="8"/>
  <c r="J1599" i="8"/>
  <c r="I1598" i="8"/>
  <c r="J1598" i="8"/>
  <c r="I1597" i="8"/>
  <c r="J1597" i="8"/>
  <c r="I1596" i="8"/>
  <c r="J1596" i="8"/>
  <c r="I1595" i="8"/>
  <c r="J1595" i="8"/>
  <c r="I1594" i="8"/>
  <c r="J1594" i="8"/>
  <c r="I1593" i="8"/>
  <c r="J1593" i="8"/>
  <c r="I1592" i="8"/>
  <c r="J1592" i="8"/>
  <c r="I1591" i="8"/>
  <c r="J1591" i="8"/>
  <c r="I1590" i="8"/>
  <c r="J1590" i="8"/>
  <c r="I1589" i="8"/>
  <c r="J1589" i="8"/>
  <c r="I1588" i="8"/>
  <c r="J1588" i="8"/>
  <c r="I1587" i="8"/>
  <c r="J1587" i="8"/>
  <c r="I1586" i="8"/>
  <c r="J1586" i="8"/>
  <c r="I1585" i="8"/>
  <c r="J1585" i="8"/>
  <c r="I1584" i="8"/>
  <c r="J1584" i="8"/>
  <c r="I1583" i="8"/>
  <c r="J1583" i="8"/>
  <c r="I1582" i="8"/>
  <c r="J1582" i="8"/>
  <c r="I1581" i="8"/>
  <c r="J1581" i="8"/>
  <c r="I1580" i="8"/>
  <c r="J1580" i="8"/>
  <c r="I1579" i="8"/>
  <c r="J1579" i="8"/>
  <c r="I1578" i="8" l="1"/>
  <c r="J1578" i="8"/>
  <c r="I1577" i="8"/>
  <c r="J1577" i="8"/>
  <c r="U29" i="8" l="1"/>
  <c r="U30" i="8"/>
  <c r="U31" i="8"/>
  <c r="U32" i="8"/>
  <c r="I1566" i="8"/>
  <c r="J1566" i="8"/>
  <c r="I1565" i="8"/>
  <c r="J1565" i="8"/>
  <c r="I1564" i="8"/>
  <c r="J1564" i="8"/>
  <c r="I1563" i="8"/>
  <c r="J1563" i="8"/>
  <c r="I1562" i="8"/>
  <c r="J1562" i="8"/>
  <c r="I1576" i="8"/>
  <c r="J1576" i="8"/>
  <c r="I1575" i="8"/>
  <c r="J1575" i="8"/>
  <c r="I1574" i="8"/>
  <c r="J1574" i="8"/>
  <c r="I1573" i="8"/>
  <c r="J1573" i="8"/>
  <c r="I1570" i="8"/>
  <c r="J1570" i="8"/>
  <c r="I1571" i="8"/>
  <c r="J1571" i="8"/>
  <c r="I1569" i="8"/>
  <c r="J1569" i="8"/>
  <c r="I1568" i="8"/>
  <c r="J1568" i="8"/>
  <c r="I1567" i="8"/>
  <c r="J1567" i="8"/>
  <c r="I1572" i="8"/>
  <c r="J1572" i="8"/>
  <c r="I1558" i="8" l="1"/>
  <c r="J1558" i="8"/>
  <c r="I1559" i="8"/>
  <c r="J1559" i="8"/>
  <c r="I1560" i="8"/>
  <c r="J1560" i="8"/>
  <c r="I1561" i="8"/>
  <c r="J1561" i="8"/>
  <c r="I1529" i="8" l="1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I1506" i="8" l="1"/>
  <c r="J1506" i="8"/>
  <c r="I1507" i="8"/>
  <c r="J1507" i="8"/>
  <c r="I1508" i="8"/>
  <c r="J1508" i="8"/>
  <c r="I1503" i="8"/>
  <c r="J1503" i="8"/>
  <c r="I1504" i="8"/>
  <c r="J1504" i="8"/>
  <c r="I1505" i="8"/>
  <c r="J1505" i="8"/>
  <c r="I1518" i="8"/>
  <c r="J1518" i="8"/>
  <c r="I1519" i="8"/>
  <c r="J1519" i="8"/>
  <c r="I1520" i="8"/>
  <c r="J1520" i="8"/>
  <c r="I1521" i="8"/>
  <c r="J1521" i="8"/>
  <c r="I1522" i="8"/>
  <c r="J1522" i="8"/>
  <c r="I1509" i="8"/>
  <c r="I1510" i="8"/>
  <c r="I1511" i="8"/>
  <c r="I1512" i="8"/>
  <c r="I1513" i="8"/>
  <c r="I1523" i="8"/>
  <c r="I1524" i="8"/>
  <c r="I1525" i="8"/>
  <c r="I1514" i="8"/>
  <c r="I1515" i="8"/>
  <c r="I1526" i="8"/>
  <c r="I1527" i="8"/>
  <c r="I1516" i="8"/>
  <c r="I1517" i="8"/>
  <c r="I1528" i="8"/>
  <c r="J1509" i="8"/>
  <c r="J1510" i="8"/>
  <c r="J1511" i="8"/>
  <c r="J1512" i="8"/>
  <c r="J1513" i="8"/>
  <c r="J1523" i="8"/>
  <c r="J1524" i="8"/>
  <c r="J1525" i="8"/>
  <c r="J1514" i="8"/>
  <c r="J1515" i="8"/>
  <c r="J1526" i="8"/>
  <c r="J1527" i="8"/>
  <c r="J1516" i="8"/>
  <c r="J1517" i="8"/>
  <c r="J1528" i="8"/>
  <c r="I1497" i="8" l="1"/>
  <c r="J1497" i="8"/>
  <c r="I1502" i="8"/>
  <c r="J1502" i="8"/>
  <c r="I1501" i="8"/>
  <c r="J1501" i="8"/>
  <c r="I1500" i="8"/>
  <c r="J1500" i="8"/>
  <c r="I1498" i="8" l="1"/>
  <c r="I1496" i="8"/>
  <c r="I1495" i="8"/>
  <c r="I1494" i="8"/>
  <c r="I1493" i="8"/>
  <c r="I1492" i="8"/>
  <c r="I1491" i="8"/>
  <c r="I1490" i="8"/>
  <c r="I1489" i="8"/>
  <c r="I1488" i="8"/>
  <c r="I1499" i="8" l="1"/>
  <c r="U28" i="8" s="1"/>
  <c r="J1499" i="8"/>
  <c r="J1491" i="8"/>
  <c r="J1492" i="8"/>
  <c r="J1493" i="8"/>
  <c r="J1494" i="8"/>
  <c r="J1495" i="8"/>
  <c r="J1496" i="8"/>
  <c r="J1498" i="8"/>
  <c r="J1489" i="8"/>
  <c r="J1490" i="8"/>
  <c r="I1487" i="8"/>
  <c r="J1487" i="8"/>
  <c r="J1488" i="8"/>
  <c r="I1483" i="8"/>
  <c r="I1484" i="8"/>
  <c r="I1485" i="8"/>
  <c r="I1486" i="8"/>
  <c r="J1483" i="8"/>
  <c r="J1484" i="8"/>
  <c r="J1485" i="8"/>
  <c r="J1486" i="8"/>
  <c r="I1480" i="8"/>
  <c r="I1481" i="8"/>
  <c r="I1482" i="8"/>
  <c r="J1480" i="8"/>
  <c r="J1481" i="8"/>
  <c r="J1482" i="8"/>
  <c r="I1478" i="8"/>
  <c r="I1479" i="8"/>
  <c r="J1478" i="8"/>
  <c r="J1479" i="8"/>
  <c r="I1477" i="8"/>
  <c r="J1477" i="8"/>
  <c r="I1474" i="8"/>
  <c r="I1475" i="8"/>
  <c r="I1476" i="8"/>
  <c r="J1474" i="8"/>
  <c r="J1475" i="8"/>
  <c r="J1476" i="8"/>
  <c r="I1473" i="8"/>
  <c r="J1473" i="8"/>
  <c r="I1472" i="8"/>
  <c r="J1472" i="8"/>
  <c r="I1469" i="8"/>
  <c r="I1470" i="8"/>
  <c r="I1471" i="8"/>
  <c r="J1469" i="8"/>
  <c r="J1470" i="8"/>
  <c r="J1471" i="8"/>
  <c r="I1468" i="8"/>
  <c r="J1468" i="8"/>
  <c r="I1466" i="8"/>
  <c r="I1467" i="8"/>
  <c r="J1466" i="8"/>
  <c r="J1467" i="8"/>
  <c r="I1465" i="8"/>
  <c r="J1465" i="8"/>
  <c r="I1463" i="8"/>
  <c r="I1464" i="8"/>
  <c r="J1463" i="8"/>
  <c r="J1464" i="8"/>
  <c r="I1461" i="8" l="1"/>
  <c r="I1462" i="8"/>
  <c r="J1461" i="8"/>
  <c r="J1462" i="8"/>
  <c r="I1459" i="8"/>
  <c r="I1460" i="8"/>
  <c r="J1459" i="8"/>
  <c r="J1460" i="8"/>
  <c r="I1458" i="8"/>
  <c r="J1458" i="8"/>
  <c r="I1452" i="8"/>
  <c r="I1453" i="8"/>
  <c r="I1454" i="8"/>
  <c r="I1455" i="8"/>
  <c r="I1456" i="8"/>
  <c r="I1457" i="8"/>
  <c r="J1452" i="8"/>
  <c r="J1453" i="8"/>
  <c r="J1454" i="8"/>
  <c r="J1455" i="8"/>
  <c r="J1456" i="8"/>
  <c r="J1457" i="8"/>
  <c r="I1451" i="8"/>
  <c r="J1451" i="8"/>
  <c r="I1450" i="8"/>
  <c r="J1450" i="8"/>
  <c r="I1449" i="8"/>
  <c r="J1449" i="8"/>
  <c r="I1444" i="8"/>
  <c r="I1445" i="8"/>
  <c r="I1446" i="8"/>
  <c r="I1447" i="8"/>
  <c r="I1448" i="8"/>
  <c r="J1444" i="8"/>
  <c r="J1445" i="8"/>
  <c r="J1446" i="8"/>
  <c r="J1447" i="8"/>
  <c r="J1448" i="8"/>
  <c r="I1433" i="8" l="1"/>
  <c r="J1433" i="8"/>
  <c r="I1432" i="8"/>
  <c r="J1432" i="8"/>
  <c r="I1430" i="8"/>
  <c r="I1431" i="8"/>
  <c r="J1430" i="8"/>
  <c r="J1431" i="8"/>
  <c r="I1428" i="8"/>
  <c r="I1429" i="8"/>
  <c r="J1428" i="8"/>
  <c r="J1429" i="8"/>
  <c r="I1427" i="8"/>
  <c r="J1427" i="8"/>
  <c r="I1425" i="8"/>
  <c r="I1426" i="8"/>
  <c r="J1425" i="8"/>
  <c r="J1426" i="8"/>
  <c r="I1421" i="8"/>
  <c r="I1422" i="8"/>
  <c r="I1423" i="8"/>
  <c r="I1424" i="8"/>
  <c r="J1421" i="8"/>
  <c r="J1422" i="8"/>
  <c r="J1423" i="8"/>
  <c r="J1424" i="8"/>
  <c r="I1420" i="8"/>
  <c r="J1420" i="8"/>
  <c r="I1415" i="8"/>
  <c r="I1416" i="8"/>
  <c r="I1417" i="8"/>
  <c r="I1418" i="8"/>
  <c r="I1419" i="8"/>
  <c r="J1415" i="8"/>
  <c r="J1416" i="8"/>
  <c r="J1417" i="8"/>
  <c r="J1418" i="8"/>
  <c r="J1419" i="8"/>
  <c r="I1414" i="8"/>
  <c r="J1414" i="8"/>
  <c r="I1413" i="8"/>
  <c r="J1413" i="8"/>
  <c r="I1410" i="8"/>
  <c r="I1411" i="8"/>
  <c r="I1412" i="8"/>
  <c r="J1410" i="8"/>
  <c r="J1411" i="8"/>
  <c r="J1412" i="8"/>
  <c r="I1408" i="8"/>
  <c r="I1409" i="8"/>
  <c r="J1408" i="8"/>
  <c r="J1409" i="8"/>
  <c r="I1407" i="8"/>
  <c r="J1407" i="8"/>
  <c r="I1442" i="8"/>
  <c r="I1443" i="8"/>
  <c r="J1442" i="8"/>
  <c r="J1443" i="8"/>
  <c r="I1440" i="8"/>
  <c r="I1441" i="8"/>
  <c r="J1440" i="8"/>
  <c r="J1441" i="8"/>
  <c r="I1438" i="8"/>
  <c r="I1439" i="8"/>
  <c r="J1438" i="8"/>
  <c r="J1439" i="8"/>
  <c r="I1437" i="8"/>
  <c r="J1437" i="8"/>
  <c r="I1434" i="8"/>
  <c r="I1435" i="8"/>
  <c r="I1436" i="8"/>
  <c r="J1434" i="8"/>
  <c r="J1435" i="8"/>
  <c r="J1436" i="8"/>
  <c r="I1405" i="8" l="1"/>
  <c r="I1406" i="8"/>
  <c r="J1405" i="8"/>
  <c r="J1406" i="8"/>
  <c r="I1403" i="8"/>
  <c r="I1404" i="8"/>
  <c r="J1403" i="8"/>
  <c r="J1404" i="8"/>
  <c r="I1334" i="8"/>
  <c r="J1334" i="8"/>
  <c r="I1329" i="8"/>
  <c r="I1330" i="8"/>
  <c r="I1331" i="8"/>
  <c r="I1332" i="8"/>
  <c r="I1333" i="8"/>
  <c r="J1329" i="8"/>
  <c r="J1330" i="8"/>
  <c r="J1331" i="8"/>
  <c r="J1332" i="8"/>
  <c r="J1333" i="8"/>
  <c r="I1402" i="8" l="1"/>
  <c r="J1402" i="8"/>
  <c r="I1400" i="8"/>
  <c r="I1401" i="8"/>
  <c r="J1400" i="8"/>
  <c r="J1401" i="8"/>
  <c r="I1399" i="8"/>
  <c r="J1399" i="8"/>
  <c r="I1396" i="8"/>
  <c r="I1397" i="8"/>
  <c r="I1398" i="8"/>
  <c r="J1396" i="8"/>
  <c r="J1397" i="8"/>
  <c r="J1398" i="8"/>
  <c r="I1394" i="8"/>
  <c r="I1395" i="8"/>
  <c r="J1394" i="8"/>
  <c r="J1395" i="8"/>
  <c r="I1392" i="8"/>
  <c r="I1393" i="8"/>
  <c r="J1392" i="8"/>
  <c r="J1393" i="8"/>
  <c r="I1391" i="8"/>
  <c r="J1391" i="8"/>
  <c r="I1390" i="8" l="1"/>
  <c r="J1390" i="8"/>
  <c r="I1389" i="8"/>
  <c r="J1389" i="8"/>
  <c r="I1388" i="8"/>
  <c r="J1388" i="8"/>
  <c r="I1387" i="8"/>
  <c r="J1387" i="8"/>
  <c r="I1386" i="8"/>
  <c r="J1386" i="8"/>
  <c r="I1385" i="8"/>
  <c r="U18" i="21" s="1"/>
  <c r="J1385" i="8"/>
  <c r="I1384" i="8"/>
  <c r="J1384" i="8"/>
  <c r="I1383" i="8"/>
  <c r="J1383" i="8"/>
  <c r="I1382" i="8"/>
  <c r="J1382" i="8"/>
  <c r="I1381" i="8"/>
  <c r="J1381" i="8"/>
  <c r="I1380" i="8"/>
  <c r="J1380" i="8"/>
  <c r="I1376" i="8"/>
  <c r="I1377" i="8"/>
  <c r="I1378" i="8"/>
  <c r="I1379" i="8"/>
  <c r="J1376" i="8"/>
  <c r="J1377" i="8"/>
  <c r="J1378" i="8"/>
  <c r="J1379" i="8"/>
  <c r="I1375" i="8"/>
  <c r="J1375" i="8"/>
  <c r="I1374" i="8"/>
  <c r="J1374" i="8"/>
  <c r="I1373" i="8"/>
  <c r="J1373" i="8"/>
  <c r="I1372" i="8"/>
  <c r="J1372" i="8"/>
  <c r="I1370" i="8"/>
  <c r="J1370" i="8"/>
  <c r="I1366" i="8" l="1"/>
  <c r="J1366" i="8"/>
  <c r="I1365" i="8"/>
  <c r="J1365" i="8"/>
  <c r="I1364" i="8"/>
  <c r="J1364" i="8"/>
  <c r="I1363" i="8"/>
  <c r="J1363" i="8"/>
  <c r="I1362" i="8"/>
  <c r="J1362" i="8"/>
  <c r="I1361" i="8"/>
  <c r="J1361" i="8"/>
  <c r="I1360" i="8"/>
  <c r="J1360" i="8"/>
  <c r="I1359" i="8"/>
  <c r="J1359" i="8"/>
  <c r="I1358" i="8"/>
  <c r="J1358" i="8"/>
  <c r="I1357" i="8"/>
  <c r="J1357" i="8"/>
  <c r="I1356" i="8"/>
  <c r="J1356" i="8"/>
  <c r="I1355" i="8"/>
  <c r="J1355" i="8"/>
  <c r="I1354" i="8"/>
  <c r="J1354" i="8"/>
  <c r="I1353" i="8"/>
  <c r="J1353" i="8"/>
  <c r="I1352" i="8"/>
  <c r="J1352" i="8"/>
  <c r="I1351" i="8"/>
  <c r="J1351" i="8"/>
  <c r="I1350" i="8"/>
  <c r="J1350" i="8"/>
  <c r="I1349" i="8"/>
  <c r="J1349" i="8"/>
  <c r="I1348" i="8"/>
  <c r="J1348" i="8"/>
  <c r="I1371" i="8"/>
  <c r="J1371" i="8"/>
  <c r="I1369" i="8"/>
  <c r="J1369" i="8"/>
  <c r="I1368" i="8"/>
  <c r="J1368" i="8"/>
  <c r="I1367" i="8"/>
  <c r="J1367" i="8"/>
  <c r="I1347" i="8" l="1"/>
  <c r="J1347" i="8"/>
  <c r="I1335" i="8" l="1"/>
  <c r="J1335" i="8"/>
  <c r="I1346" i="8"/>
  <c r="J1346" i="8"/>
  <c r="I1343" i="8" l="1"/>
  <c r="I1344" i="8"/>
  <c r="I1345" i="8"/>
  <c r="J1343" i="8"/>
  <c r="J1344" i="8"/>
  <c r="J1345" i="8"/>
  <c r="I1336" i="8" l="1"/>
  <c r="I1337" i="8"/>
  <c r="I1338" i="8"/>
  <c r="I1339" i="8"/>
  <c r="I1340" i="8"/>
  <c r="I1341" i="8"/>
  <c r="I1342" i="8"/>
  <c r="J1336" i="8"/>
  <c r="J1337" i="8"/>
  <c r="J1338" i="8"/>
  <c r="J1339" i="8"/>
  <c r="J1340" i="8"/>
  <c r="J1341" i="8"/>
  <c r="J1342" i="8"/>
  <c r="C5" i="15" l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4" i="15"/>
  <c r="F3" i="15" l="1"/>
  <c r="I1328" i="8"/>
  <c r="J1328" i="8"/>
  <c r="I1326" i="8"/>
  <c r="J1326" i="8"/>
  <c r="I1327" i="8" l="1"/>
  <c r="J1327" i="8"/>
  <c r="I1318" i="8" l="1"/>
  <c r="I1319" i="8"/>
  <c r="I1320" i="8"/>
  <c r="I1321" i="8"/>
  <c r="I1322" i="8"/>
  <c r="I1323" i="8"/>
  <c r="I1324" i="8"/>
  <c r="I1325" i="8"/>
  <c r="J1318" i="8"/>
  <c r="J1319" i="8"/>
  <c r="J1320" i="8"/>
  <c r="J1321" i="8"/>
  <c r="J1322" i="8"/>
  <c r="J1323" i="8"/>
  <c r="J1324" i="8"/>
  <c r="J1325" i="8"/>
  <c r="I1312" i="8" l="1"/>
  <c r="J1312" i="8"/>
  <c r="I1311" i="8"/>
  <c r="J1311" i="8"/>
  <c r="I1310" i="8"/>
  <c r="J1310" i="8"/>
  <c r="I1309" i="8"/>
  <c r="J1309" i="8"/>
  <c r="I1308" i="8"/>
  <c r="J1308" i="8"/>
  <c r="I1307" i="8"/>
  <c r="J1307" i="8"/>
  <c r="I1306" i="8"/>
  <c r="J1306" i="8"/>
  <c r="I1305" i="8"/>
  <c r="J1305" i="8"/>
  <c r="I1304" i="8"/>
  <c r="J1304" i="8"/>
  <c r="I1303" i="8"/>
  <c r="J1303" i="8"/>
  <c r="I1302" i="8"/>
  <c r="J1302" i="8"/>
  <c r="I1301" i="8"/>
  <c r="J1301" i="8"/>
  <c r="I1300" i="8"/>
  <c r="J1300" i="8"/>
  <c r="I1296" i="8"/>
  <c r="J1296" i="8"/>
  <c r="I1295" i="8"/>
  <c r="J1295" i="8"/>
  <c r="I1299" i="8"/>
  <c r="J1299" i="8"/>
  <c r="I1298" i="8"/>
  <c r="J1298" i="8"/>
  <c r="I1297" i="8"/>
  <c r="J1297" i="8"/>
  <c r="I1313" i="8"/>
  <c r="I1314" i="8"/>
  <c r="I1315" i="8"/>
  <c r="I1316" i="8"/>
  <c r="I1317" i="8"/>
  <c r="J1313" i="8"/>
  <c r="J1314" i="8"/>
  <c r="J1315" i="8"/>
  <c r="J1316" i="8"/>
  <c r="J1317" i="8"/>
  <c r="U17" i="21" l="1"/>
  <c r="I1294" i="8"/>
  <c r="J1294" i="8"/>
  <c r="I1292" i="8"/>
  <c r="J1292" i="8"/>
  <c r="I1291" i="8"/>
  <c r="J1291" i="8"/>
  <c r="I1290" i="8"/>
  <c r="J1290" i="8"/>
  <c r="I1293" i="8"/>
  <c r="J1293" i="8"/>
  <c r="I1289" i="8"/>
  <c r="J1289" i="8"/>
  <c r="I1288" i="8"/>
  <c r="J1288" i="8"/>
  <c r="I1287" i="8"/>
  <c r="J1287" i="8"/>
  <c r="I1286" i="8"/>
  <c r="J1286" i="8"/>
  <c r="I1285" i="8"/>
  <c r="J1285" i="8"/>
  <c r="U26" i="8" l="1"/>
  <c r="U27" i="8"/>
  <c r="I1283" i="8"/>
  <c r="J1283" i="8"/>
  <c r="I1284" i="8"/>
  <c r="J1284" i="8"/>
  <c r="I1282" i="8"/>
  <c r="J1282" i="8"/>
  <c r="I1281" i="8"/>
  <c r="J1281" i="8"/>
  <c r="I1280" i="8"/>
  <c r="J1280" i="8"/>
  <c r="I1279" i="8"/>
  <c r="J1279" i="8"/>
  <c r="I1278" i="8"/>
  <c r="J1278" i="8"/>
  <c r="I1277" i="8"/>
  <c r="J1277" i="8"/>
  <c r="I1276" i="8"/>
  <c r="J1276" i="8"/>
  <c r="I1275" i="8"/>
  <c r="J1275" i="8"/>
  <c r="I1274" i="8"/>
  <c r="J1274" i="8"/>
  <c r="I1273" i="8" l="1"/>
  <c r="J1273" i="8"/>
  <c r="I1267" i="8" l="1"/>
  <c r="J1267" i="8"/>
  <c r="I1266" i="8"/>
  <c r="J1266" i="8"/>
  <c r="I1265" i="8"/>
  <c r="J1265" i="8"/>
  <c r="I1264" i="8"/>
  <c r="J1264" i="8"/>
  <c r="I1263" i="8"/>
  <c r="J1263" i="8"/>
  <c r="I1270" i="8"/>
  <c r="J1270" i="8"/>
  <c r="I1269" i="8"/>
  <c r="J1269" i="8"/>
  <c r="I1272" i="8"/>
  <c r="J1272" i="8"/>
  <c r="I1271" i="8"/>
  <c r="J1271" i="8"/>
  <c r="I1268" i="8"/>
  <c r="J1268" i="8"/>
  <c r="I1250" i="8" l="1"/>
  <c r="J1250" i="8"/>
  <c r="I1249" i="8"/>
  <c r="U16" i="21" s="1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J1249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U25" i="8" l="1"/>
  <c r="I1248" i="8"/>
  <c r="J1248" i="8"/>
  <c r="I1247" i="8" l="1"/>
  <c r="J1247" i="8"/>
  <c r="I1246" i="8"/>
  <c r="J1246" i="8"/>
  <c r="I1245" i="8"/>
  <c r="J1245" i="8"/>
  <c r="I1244" i="8"/>
  <c r="J1244" i="8"/>
  <c r="I1243" i="8"/>
  <c r="J1243" i="8"/>
  <c r="I1242" i="8"/>
  <c r="J1242" i="8"/>
  <c r="I1241" i="8"/>
  <c r="J1241" i="8"/>
  <c r="I1240" i="8" l="1"/>
  <c r="J1240" i="8"/>
  <c r="I1239" i="8" l="1"/>
  <c r="J1239" i="8"/>
  <c r="I1238" i="8"/>
  <c r="J1238" i="8"/>
  <c r="I1237" i="8"/>
  <c r="J1237" i="8"/>
  <c r="I1236" i="8"/>
  <c r="J1236" i="8"/>
  <c r="I1235" i="8"/>
  <c r="J1235" i="8"/>
  <c r="I1234" i="8"/>
  <c r="J1234" i="8"/>
  <c r="I1232" i="8" l="1"/>
  <c r="I1233" i="8"/>
  <c r="J1232" i="8"/>
  <c r="J1233" i="8"/>
  <c r="I1230" i="8" l="1"/>
  <c r="J1230" i="8"/>
  <c r="I1231" i="8"/>
  <c r="J1231" i="8"/>
  <c r="I1224" i="8"/>
  <c r="I1225" i="8"/>
  <c r="I1226" i="8"/>
  <c r="I1227" i="8"/>
  <c r="I1228" i="8"/>
  <c r="J1224" i="8"/>
  <c r="J1225" i="8"/>
  <c r="J1226" i="8"/>
  <c r="J1227" i="8"/>
  <c r="J1228" i="8"/>
  <c r="I1229" i="8" l="1"/>
  <c r="J1229" i="8"/>
  <c r="I1221" i="8" l="1"/>
  <c r="J1221" i="8"/>
  <c r="I1220" i="8"/>
  <c r="J1220" i="8"/>
  <c r="I1219" i="8"/>
  <c r="J1219" i="8"/>
  <c r="I1223" i="8"/>
  <c r="J1223" i="8"/>
  <c r="I1222" i="8"/>
  <c r="J1222" i="8"/>
  <c r="I1218" i="8"/>
  <c r="M12" i="21" s="1"/>
  <c r="J1218" i="8"/>
  <c r="I1210" i="8" l="1"/>
  <c r="I1211" i="8"/>
  <c r="I1212" i="8"/>
  <c r="I1213" i="8"/>
  <c r="I1214" i="8"/>
  <c r="I1215" i="8"/>
  <c r="I1216" i="8"/>
  <c r="I1217" i="8"/>
  <c r="J1210" i="8"/>
  <c r="J1211" i="8"/>
  <c r="J1212" i="8"/>
  <c r="J1213" i="8"/>
  <c r="J1214" i="8"/>
  <c r="J1215" i="8"/>
  <c r="J1216" i="8"/>
  <c r="J1217" i="8"/>
  <c r="I1203" i="8" l="1"/>
  <c r="I1204" i="8"/>
  <c r="I1205" i="8"/>
  <c r="I1206" i="8"/>
  <c r="I1207" i="8"/>
  <c r="I1208" i="8"/>
  <c r="I1209" i="8"/>
  <c r="J1203" i="8"/>
  <c r="J1204" i="8"/>
  <c r="J1205" i="8"/>
  <c r="J1206" i="8"/>
  <c r="J1207" i="8"/>
  <c r="J1208" i="8"/>
  <c r="J1209" i="8"/>
  <c r="I1199" i="8" l="1"/>
  <c r="U15" i="21" s="1"/>
  <c r="I1200" i="8"/>
  <c r="I1201" i="8"/>
  <c r="I1202" i="8"/>
  <c r="J1199" i="8"/>
  <c r="J1200" i="8"/>
  <c r="J1201" i="8"/>
  <c r="J1202" i="8"/>
  <c r="U24" i="8" l="1"/>
  <c r="I1190" i="8"/>
  <c r="I1191" i="8"/>
  <c r="I1192" i="8"/>
  <c r="I1193" i="8"/>
  <c r="I1194" i="8"/>
  <c r="I1195" i="8"/>
  <c r="I1196" i="8"/>
  <c r="I1197" i="8"/>
  <c r="I1198" i="8"/>
  <c r="J1190" i="8"/>
  <c r="J1191" i="8"/>
  <c r="J1192" i="8"/>
  <c r="J1193" i="8"/>
  <c r="J1194" i="8"/>
  <c r="J1195" i="8"/>
  <c r="J1196" i="8"/>
  <c r="J1197" i="8"/>
  <c r="J1198" i="8"/>
  <c r="AA11" i="8" l="1"/>
  <c r="Z11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I1159" i="8" l="1"/>
  <c r="I1160" i="8"/>
  <c r="I1161" i="8"/>
  <c r="I1162" i="8"/>
  <c r="J1159" i="8"/>
  <c r="J1160" i="8"/>
  <c r="J1161" i="8"/>
  <c r="J1162" i="8"/>
  <c r="I1151" i="8" l="1"/>
  <c r="I1152" i="8"/>
  <c r="I1153" i="8"/>
  <c r="I1154" i="8"/>
  <c r="I1155" i="8"/>
  <c r="I1156" i="8"/>
  <c r="I1157" i="8"/>
  <c r="I1158" i="8"/>
  <c r="J1151" i="8"/>
  <c r="J1152" i="8"/>
  <c r="J1153" i="8"/>
  <c r="J1154" i="8"/>
  <c r="J1155" i="8"/>
  <c r="J1156" i="8"/>
  <c r="J1157" i="8"/>
  <c r="J1158" i="8"/>
  <c r="I1140" i="8" l="1"/>
  <c r="I1141" i="8"/>
  <c r="I1142" i="8"/>
  <c r="I1143" i="8"/>
  <c r="I1144" i="8"/>
  <c r="I1145" i="8"/>
  <c r="I1146" i="8"/>
  <c r="I1147" i="8"/>
  <c r="I1148" i="8"/>
  <c r="I1149" i="8"/>
  <c r="I1150" i="8"/>
  <c r="J1140" i="8"/>
  <c r="J1141" i="8"/>
  <c r="J1142" i="8"/>
  <c r="J1143" i="8"/>
  <c r="J1144" i="8"/>
  <c r="J1145" i="8"/>
  <c r="J1146" i="8"/>
  <c r="J1147" i="8"/>
  <c r="J1148" i="8"/>
  <c r="J1149" i="8"/>
  <c r="J1150" i="8"/>
  <c r="I1133" i="8"/>
  <c r="I1128" i="8"/>
  <c r="I1129" i="8"/>
  <c r="I1130" i="8"/>
  <c r="I1131" i="8"/>
  <c r="I1132" i="8"/>
  <c r="I1134" i="8"/>
  <c r="I1135" i="8"/>
  <c r="I1136" i="8"/>
  <c r="I1137" i="8"/>
  <c r="I1138" i="8"/>
  <c r="I1139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I1120" i="8"/>
  <c r="I1121" i="8"/>
  <c r="I1122" i="8"/>
  <c r="I1123" i="8"/>
  <c r="I1124" i="8"/>
  <c r="I1125" i="8"/>
  <c r="I1126" i="8"/>
  <c r="I1127" i="8"/>
  <c r="J1120" i="8"/>
  <c r="J1121" i="8"/>
  <c r="J1122" i="8"/>
  <c r="J1123" i="8"/>
  <c r="J1124" i="8"/>
  <c r="J1125" i="8"/>
  <c r="J1126" i="8"/>
  <c r="J1127" i="8"/>
  <c r="I1115" i="8" l="1"/>
  <c r="I1116" i="8"/>
  <c r="I1117" i="8"/>
  <c r="I1118" i="8"/>
  <c r="I1119" i="8"/>
  <c r="J1115" i="8"/>
  <c r="J1116" i="8"/>
  <c r="J1117" i="8"/>
  <c r="J1118" i="8"/>
  <c r="J1119" i="8"/>
  <c r="I1113" i="8"/>
  <c r="I1114" i="8"/>
  <c r="J1113" i="8"/>
  <c r="J1114" i="8"/>
  <c r="I1112" i="8"/>
  <c r="J1112" i="8"/>
  <c r="I1111" i="8"/>
  <c r="J1111" i="8"/>
  <c r="I1110" i="8"/>
  <c r="J1110" i="8"/>
  <c r="I1109" i="8"/>
  <c r="J1109" i="8"/>
  <c r="I1103" i="8" l="1"/>
  <c r="I1104" i="8"/>
  <c r="I1105" i="8"/>
  <c r="I1106" i="8"/>
  <c r="I1107" i="8"/>
  <c r="I1108" i="8"/>
  <c r="J1103" i="8"/>
  <c r="J1104" i="8"/>
  <c r="J1105" i="8"/>
  <c r="J1106" i="8"/>
  <c r="J1107" i="8"/>
  <c r="J1108" i="8"/>
  <c r="I1102" i="8"/>
  <c r="J1102" i="8"/>
  <c r="I1096" i="8" l="1"/>
  <c r="U14" i="21" s="1"/>
  <c r="I1097" i="8"/>
  <c r="I1098" i="8"/>
  <c r="I1099" i="8"/>
  <c r="I1100" i="8"/>
  <c r="I1101" i="8"/>
  <c r="J1096" i="8"/>
  <c r="J1097" i="8"/>
  <c r="J1098" i="8"/>
  <c r="J1099" i="8"/>
  <c r="J1100" i="8"/>
  <c r="J1101" i="8"/>
  <c r="U23" i="8" l="1"/>
  <c r="I1085" i="8"/>
  <c r="I1086" i="8"/>
  <c r="I1087" i="8"/>
  <c r="I1088" i="8"/>
  <c r="I1089" i="8"/>
  <c r="I1090" i="8"/>
  <c r="I1091" i="8"/>
  <c r="I1092" i="8"/>
  <c r="I1093" i="8"/>
  <c r="I1094" i="8"/>
  <c r="I1095" i="8"/>
  <c r="J1085" i="8"/>
  <c r="J1086" i="8"/>
  <c r="J1087" i="8"/>
  <c r="J1088" i="8"/>
  <c r="J1089" i="8"/>
  <c r="J1090" i="8"/>
  <c r="J1091" i="8"/>
  <c r="J1092" i="8"/>
  <c r="J1093" i="8"/>
  <c r="J1094" i="8"/>
  <c r="J1095" i="8"/>
  <c r="I1084" i="8" l="1"/>
  <c r="J1084" i="8"/>
  <c r="U22" i="8" l="1"/>
  <c r="U13" i="21"/>
  <c r="I1079" i="8"/>
  <c r="I1080" i="8"/>
  <c r="I1081" i="8"/>
  <c r="I1082" i="8"/>
  <c r="I1083" i="8"/>
  <c r="J1079" i="8"/>
  <c r="J1080" i="8"/>
  <c r="J1081" i="8"/>
  <c r="J1082" i="8"/>
  <c r="J1083" i="8"/>
  <c r="I1078" i="8"/>
  <c r="M15" i="21" s="1"/>
  <c r="J1078" i="8"/>
  <c r="I1075" i="8"/>
  <c r="I1076" i="8"/>
  <c r="I1077" i="8"/>
  <c r="J1075" i="8"/>
  <c r="J1076" i="8"/>
  <c r="J1077" i="8"/>
  <c r="I1074" i="8" l="1"/>
  <c r="J1074" i="8"/>
  <c r="I1073" i="8"/>
  <c r="J1073" i="8"/>
  <c r="U21" i="8" l="1"/>
  <c r="U12" i="21"/>
  <c r="I1066" i="8"/>
  <c r="I1067" i="8"/>
  <c r="I1068" i="8"/>
  <c r="I1069" i="8"/>
  <c r="I1070" i="8"/>
  <c r="I1071" i="8"/>
  <c r="I1072" i="8"/>
  <c r="J1066" i="8"/>
  <c r="J1067" i="8"/>
  <c r="J1068" i="8"/>
  <c r="J1069" i="8"/>
  <c r="J1070" i="8"/>
  <c r="J1071" i="8"/>
  <c r="J1072" i="8"/>
  <c r="I1059" i="8" l="1"/>
  <c r="I1060" i="8"/>
  <c r="I1061" i="8"/>
  <c r="I1062" i="8"/>
  <c r="I1063" i="8"/>
  <c r="I1064" i="8"/>
  <c r="I1065" i="8"/>
  <c r="J1059" i="8"/>
  <c r="J1060" i="8"/>
  <c r="J1061" i="8"/>
  <c r="J1062" i="8"/>
  <c r="J1063" i="8"/>
  <c r="J1064" i="8"/>
  <c r="J1065" i="8"/>
  <c r="J1051" i="8"/>
  <c r="J1052" i="8"/>
  <c r="J1053" i="8"/>
  <c r="J1054" i="8"/>
  <c r="J1055" i="8"/>
  <c r="J1056" i="8"/>
  <c r="J1057" i="8"/>
  <c r="J1058" i="8"/>
  <c r="I1051" i="8"/>
  <c r="I1052" i="8"/>
  <c r="I1053" i="8"/>
  <c r="I1054" i="8"/>
  <c r="I1055" i="8"/>
  <c r="I1056" i="8"/>
  <c r="I1057" i="8"/>
  <c r="I1058" i="8"/>
  <c r="I1043" i="8" l="1"/>
  <c r="I1044" i="8"/>
  <c r="I1045" i="8"/>
  <c r="I1046" i="8"/>
  <c r="I1047" i="8"/>
  <c r="I1048" i="8"/>
  <c r="I1049" i="8"/>
  <c r="I1050" i="8"/>
  <c r="J1043" i="8"/>
  <c r="J1044" i="8"/>
  <c r="J1045" i="8"/>
  <c r="J1046" i="8"/>
  <c r="J1047" i="8"/>
  <c r="J1048" i="8"/>
  <c r="J1049" i="8"/>
  <c r="J1050" i="8"/>
  <c r="I1035" i="8"/>
  <c r="I1039" i="8"/>
  <c r="J1032" i="8"/>
  <c r="J1033" i="8"/>
  <c r="J1034" i="8"/>
  <c r="J1035" i="8"/>
  <c r="J1036" i="8"/>
  <c r="J1037" i="8"/>
  <c r="J1038" i="8"/>
  <c r="J1039" i="8"/>
  <c r="J1040" i="8"/>
  <c r="J1041" i="8"/>
  <c r="J1042" i="8"/>
  <c r="I1042" i="8"/>
  <c r="I1041" i="8"/>
  <c r="I1040" i="8"/>
  <c r="I1038" i="8"/>
  <c r="I1037" i="8"/>
  <c r="I1036" i="8"/>
  <c r="I1034" i="8"/>
  <c r="I1033" i="8"/>
  <c r="I10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M13" i="21" s="1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M8" i="21" s="1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U7" i="21" l="1"/>
  <c r="M10" i="21"/>
  <c r="E7" i="21"/>
  <c r="M9" i="21"/>
  <c r="M14" i="21"/>
  <c r="U8" i="21"/>
  <c r="U11" i="21"/>
  <c r="M7" i="21"/>
  <c r="H19" i="21"/>
  <c r="G20" i="21"/>
  <c r="D12" i="21"/>
  <c r="H12" i="21"/>
  <c r="G14" i="21"/>
  <c r="E17" i="21"/>
  <c r="D18" i="21"/>
  <c r="H18" i="21"/>
  <c r="H20" i="21"/>
  <c r="E11" i="21"/>
  <c r="H16" i="21"/>
  <c r="G16" i="21"/>
  <c r="E12" i="21"/>
  <c r="F12" i="21" s="1"/>
  <c r="D14" i="21"/>
  <c r="H14" i="21"/>
  <c r="G15" i="21"/>
  <c r="F17" i="21"/>
  <c r="E18" i="21"/>
  <c r="D20" i="21"/>
  <c r="H11" i="21"/>
  <c r="D11" i="21"/>
  <c r="D13" i="21" s="1"/>
  <c r="H13" i="21"/>
  <c r="G13" i="21"/>
  <c r="E14" i="21"/>
  <c r="E16" i="21" s="1"/>
  <c r="F16" i="21" s="1"/>
  <c r="D15" i="21"/>
  <c r="H15" i="21"/>
  <c r="G17" i="21"/>
  <c r="F18" i="21"/>
  <c r="E20" i="21"/>
  <c r="F20" i="21" s="1"/>
  <c r="G11" i="21"/>
  <c r="G19" i="21"/>
  <c r="G12" i="21"/>
  <c r="E15" i="21"/>
  <c r="F15" i="21" s="1"/>
  <c r="D17" i="21"/>
  <c r="D19" i="21" s="1"/>
  <c r="H17" i="21"/>
  <c r="G18" i="21"/>
  <c r="F11" i="21"/>
  <c r="U10" i="21"/>
  <c r="U9" i="21"/>
  <c r="M11" i="21"/>
  <c r="U20" i="8"/>
  <c r="E13" i="21" l="1"/>
  <c r="F13" i="21" s="1"/>
  <c r="E19" i="21"/>
  <c r="F19" i="21" s="1"/>
  <c r="F14" i="21"/>
  <c r="D16" i="21"/>
  <c r="U19" i="8"/>
  <c r="U16" i="8"/>
  <c r="U15" i="8"/>
  <c r="W7" i="8"/>
  <c r="U17" i="8"/>
  <c r="W6" i="8"/>
  <c r="W10" i="8"/>
  <c r="V7" i="8"/>
  <c r="V4" i="8"/>
  <c r="U18" i="8"/>
  <c r="V10" i="8"/>
  <c r="V6" i="8"/>
  <c r="W9" i="8"/>
  <c r="W5" i="8"/>
  <c r="V9" i="8"/>
  <c r="V5" i="8"/>
  <c r="W8" i="8"/>
  <c r="V8" i="8"/>
  <c r="W4" i="8"/>
  <c r="AA10" i="8"/>
  <c r="Z10" i="8"/>
  <c r="AA7" i="8" l="1"/>
  <c r="Z7" i="8"/>
  <c r="W4" i="9" l="1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3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3" i="9"/>
  <c r="U4" i="9"/>
  <c r="AA5" i="8" l="1"/>
  <c r="AA6" i="8"/>
  <c r="AA8" i="8"/>
  <c r="AA9" i="8"/>
  <c r="AA4" i="8"/>
  <c r="Z5" i="8"/>
  <c r="Z6" i="8"/>
  <c r="Z8" i="8"/>
  <c r="Z9" i="8"/>
  <c r="Z4" i="8"/>
  <c r="U5" i="8" l="1"/>
  <c r="U9" i="8"/>
  <c r="U6" i="8"/>
  <c r="U10" i="8"/>
  <c r="U8" i="8"/>
  <c r="U7" i="8"/>
  <c r="U4" i="8"/>
  <c r="Q3" i="12" l="1"/>
  <c r="A4" i="8" l="1"/>
  <c r="Q3" i="9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L4" i="8"/>
  <c r="L208" i="8" l="1"/>
  <c r="L205" i="8"/>
  <c r="L295" i="8"/>
  <c r="L326" i="8"/>
  <c r="L213" i="8"/>
  <c r="L206" i="8"/>
  <c r="L244" i="8"/>
  <c r="L293" i="8"/>
  <c r="L261" i="8"/>
  <c r="L231" i="8"/>
  <c r="L290" i="8"/>
  <c r="L256" i="8"/>
  <c r="L217" i="8"/>
  <c r="L296" i="8"/>
  <c r="L280" i="8"/>
  <c r="L245" i="8"/>
  <c r="L235" i="8"/>
  <c r="L222" i="8"/>
  <c r="L327" i="8"/>
  <c r="L252" i="8"/>
  <c r="L202" i="8"/>
  <c r="L319" i="8"/>
  <c r="L265" i="8"/>
  <c r="L228" i="8"/>
  <c r="L325" i="8"/>
  <c r="L279" i="8"/>
  <c r="L207" i="8"/>
  <c r="L312" i="8"/>
  <c r="L328" i="8"/>
  <c r="L292" i="8"/>
  <c r="L221" i="8"/>
  <c r="L307" i="8"/>
  <c r="L291" i="8"/>
  <c r="L275" i="8"/>
  <c r="L259" i="8"/>
  <c r="L239" i="8"/>
  <c r="L226" i="8"/>
  <c r="L215" i="8"/>
  <c r="L289" i="8"/>
  <c r="L273" i="8"/>
  <c r="L255" i="8"/>
  <c r="L240" i="8"/>
  <c r="L216" i="8"/>
  <c r="L302" i="8"/>
  <c r="L286" i="8"/>
  <c r="L270" i="8"/>
  <c r="L258" i="8"/>
  <c r="L243" i="8"/>
  <c r="L230" i="8"/>
  <c r="L219" i="8"/>
  <c r="L266" i="8"/>
  <c r="L321" i="8"/>
  <c r="L246" i="8"/>
  <c r="L298" i="8"/>
  <c r="L318" i="8"/>
  <c r="L297" i="8"/>
  <c r="L309" i="8"/>
  <c r="L277" i="8"/>
  <c r="L241" i="8"/>
  <c r="L218" i="8"/>
  <c r="L274" i="8"/>
  <c r="L247" i="8"/>
  <c r="L305" i="8"/>
  <c r="L264" i="8"/>
  <c r="L317" i="8"/>
  <c r="L220" i="8"/>
  <c r="L329" i="8"/>
  <c r="L314" i="8"/>
  <c r="L260" i="8"/>
  <c r="L204" i="8"/>
  <c r="L316" i="8"/>
  <c r="L254" i="8"/>
  <c r="L323" i="8"/>
  <c r="L281" i="8"/>
  <c r="L324" i="8"/>
  <c r="L282" i="8"/>
  <c r="L212" i="8"/>
  <c r="L304" i="8"/>
  <c r="L288" i="8"/>
  <c r="L272" i="8"/>
  <c r="L249" i="8"/>
  <c r="L234" i="8"/>
  <c r="L225" i="8"/>
  <c r="L303" i="8"/>
  <c r="L287" i="8"/>
  <c r="L271" i="8"/>
  <c r="L250" i="8"/>
  <c r="L232" i="8"/>
  <c r="L311" i="8"/>
  <c r="L301" i="8"/>
  <c r="L285" i="8"/>
  <c r="L269" i="8"/>
  <c r="L257" i="8"/>
  <c r="L238" i="8"/>
  <c r="L229" i="8"/>
  <c r="L214" i="8"/>
  <c r="L276" i="8"/>
  <c r="L210" i="8"/>
  <c r="L322" i="8"/>
  <c r="L313" i="8"/>
  <c r="L251" i="8"/>
  <c r="L203" i="8"/>
  <c r="L308" i="8"/>
  <c r="L236" i="8"/>
  <c r="L320" i="8"/>
  <c r="L209" i="8"/>
  <c r="L315" i="8"/>
  <c r="L263" i="8"/>
  <c r="L310" i="8"/>
  <c r="L294" i="8"/>
  <c r="L278" i="8"/>
  <c r="L262" i="8"/>
  <c r="L242" i="8"/>
  <c r="L233" i="8"/>
  <c r="L223" i="8"/>
  <c r="L300" i="8"/>
  <c r="L284" i="8"/>
  <c r="L268" i="8"/>
  <c r="L248" i="8"/>
  <c r="L224" i="8"/>
  <c r="L306" i="8"/>
  <c r="L299" i="8"/>
  <c r="L283" i="8"/>
  <c r="L267" i="8"/>
  <c r="L253" i="8"/>
  <c r="L237" i="8"/>
  <c r="L227" i="8"/>
  <c r="L211" i="8"/>
  <c r="L173" i="8"/>
  <c r="L169" i="8"/>
  <c r="L175" i="8"/>
  <c r="L174" i="8"/>
  <c r="L170" i="8"/>
  <c r="L172" i="8"/>
  <c r="L171" i="8"/>
  <c r="L168" i="8"/>
  <c r="L176" i="8"/>
  <c r="L165" i="8"/>
  <c r="L166" i="8"/>
  <c r="L160" i="8"/>
  <c r="L164" i="8"/>
  <c r="L158" i="8"/>
  <c r="L163" i="8"/>
  <c r="L162" i="8"/>
  <c r="L161" i="8"/>
  <c r="L167" i="8"/>
  <c r="L122" i="8"/>
  <c r="L129" i="8"/>
  <c r="L151" i="8"/>
  <c r="L124" i="8"/>
  <c r="L120" i="8"/>
  <c r="L140" i="8"/>
  <c r="L143" i="8"/>
  <c r="L119" i="8"/>
  <c r="L131" i="8"/>
  <c r="L115" i="8"/>
  <c r="L152" i="8"/>
  <c r="L135" i="8"/>
  <c r="L144" i="8"/>
  <c r="L154" i="8"/>
  <c r="L147" i="8"/>
  <c r="L132" i="8"/>
  <c r="L150" i="8"/>
  <c r="L153" i="8"/>
  <c r="L134" i="8"/>
  <c r="L139" i="8"/>
  <c r="L136" i="8"/>
  <c r="L148" i="8"/>
  <c r="L138" i="8"/>
  <c r="L123" i="8"/>
  <c r="L149" i="8"/>
  <c r="L128" i="8"/>
  <c r="L157" i="8"/>
  <c r="L116" i="8"/>
  <c r="L142" i="8"/>
  <c r="L121" i="8"/>
  <c r="L145" i="8"/>
  <c r="L133" i="8"/>
  <c r="L141" i="8"/>
  <c r="L155" i="8"/>
  <c r="L118" i="8"/>
  <c r="L127" i="8"/>
  <c r="L125" i="8"/>
  <c r="L117" i="8"/>
  <c r="L130" i="8"/>
  <c r="L156" i="8"/>
  <c r="L126" i="8"/>
  <c r="L137" i="8"/>
  <c r="L146" i="8"/>
  <c r="O4" i="8"/>
  <c r="Q4" i="8" s="1"/>
  <c r="P4" i="8"/>
  <c r="L23" i="8"/>
  <c r="L9" i="8"/>
  <c r="N9" i="8" s="1"/>
  <c r="L19" i="8"/>
  <c r="L26" i="8"/>
  <c r="L10" i="8"/>
  <c r="N10" i="8" s="1"/>
  <c r="L21" i="8"/>
  <c r="L5" i="8"/>
  <c r="L16" i="8"/>
  <c r="L7" i="8"/>
  <c r="N7" i="8" s="1"/>
  <c r="L25" i="8"/>
  <c r="L20" i="8"/>
  <c r="L15" i="8"/>
  <c r="L22" i="8"/>
  <c r="L6" i="8"/>
  <c r="L17" i="8"/>
  <c r="L28" i="8"/>
  <c r="L12" i="8"/>
  <c r="L14" i="8"/>
  <c r="L27" i="8"/>
  <c r="L11" i="8"/>
  <c r="L18" i="8"/>
  <c r="L13" i="8"/>
  <c r="L24" i="8"/>
  <c r="L8" i="8"/>
  <c r="N4" i="8"/>
  <c r="N6" i="8"/>
  <c r="P267" i="8" l="1"/>
  <c r="M267" i="8"/>
  <c r="N267" i="8"/>
  <c r="O267" i="8"/>
  <c r="O224" i="8"/>
  <c r="P224" i="8"/>
  <c r="M224" i="8"/>
  <c r="N224" i="8"/>
  <c r="P262" i="8"/>
  <c r="O262" i="8"/>
  <c r="M262" i="8"/>
  <c r="N262" i="8"/>
  <c r="M263" i="8"/>
  <c r="N263" i="8"/>
  <c r="O263" i="8"/>
  <c r="P263" i="8"/>
  <c r="N313" i="8"/>
  <c r="O313" i="8"/>
  <c r="P313" i="8"/>
  <c r="M313" i="8"/>
  <c r="M214" i="8"/>
  <c r="P214" i="8"/>
  <c r="O214" i="8"/>
  <c r="N214" i="8"/>
  <c r="O232" i="8"/>
  <c r="P232" i="8"/>
  <c r="M232" i="8"/>
  <c r="N232" i="8"/>
  <c r="O272" i="8"/>
  <c r="P272" i="8"/>
  <c r="N272" i="8"/>
  <c r="M272" i="8"/>
  <c r="O282" i="8"/>
  <c r="P282" i="8"/>
  <c r="M282" i="8"/>
  <c r="N282" i="8"/>
  <c r="P314" i="8"/>
  <c r="M314" i="8"/>
  <c r="N314" i="8"/>
  <c r="O314" i="8"/>
  <c r="O264" i="8"/>
  <c r="N264" i="8"/>
  <c r="P264" i="8"/>
  <c r="M264" i="8"/>
  <c r="N297" i="8"/>
  <c r="M297" i="8"/>
  <c r="O297" i="8"/>
  <c r="P297" i="8"/>
  <c r="M243" i="8"/>
  <c r="O243" i="8"/>
  <c r="P243" i="8"/>
  <c r="N243" i="8"/>
  <c r="M239" i="8"/>
  <c r="P239" i="8"/>
  <c r="O239" i="8"/>
  <c r="N239" i="8"/>
  <c r="N307" i="8"/>
  <c r="O307" i="8"/>
  <c r="P307" i="8"/>
  <c r="M307" i="8"/>
  <c r="M228" i="8"/>
  <c r="N228" i="8"/>
  <c r="O228" i="8"/>
  <c r="P228" i="8"/>
  <c r="M252" i="8"/>
  <c r="N252" i="8"/>
  <c r="O252" i="8"/>
  <c r="P252" i="8"/>
  <c r="N245" i="8"/>
  <c r="M245" i="8"/>
  <c r="P245" i="8"/>
  <c r="O245" i="8"/>
  <c r="O256" i="8"/>
  <c r="N256" i="8"/>
  <c r="P256" i="8"/>
  <c r="M256" i="8"/>
  <c r="N293" i="8"/>
  <c r="O293" i="8"/>
  <c r="P293" i="8"/>
  <c r="M293" i="8"/>
  <c r="N326" i="8"/>
  <c r="P326" i="8"/>
  <c r="M326" i="8"/>
  <c r="O326" i="8"/>
  <c r="M227" i="8"/>
  <c r="O227" i="8"/>
  <c r="P227" i="8"/>
  <c r="N227" i="8"/>
  <c r="P283" i="8"/>
  <c r="M283" i="8"/>
  <c r="N283" i="8"/>
  <c r="O283" i="8"/>
  <c r="O248" i="8"/>
  <c r="P248" i="8"/>
  <c r="M248" i="8"/>
  <c r="N248" i="8"/>
  <c r="M223" i="8"/>
  <c r="P223" i="8"/>
  <c r="O223" i="8"/>
  <c r="N223" i="8"/>
  <c r="P278" i="8"/>
  <c r="M278" i="8"/>
  <c r="N278" i="8"/>
  <c r="O278" i="8"/>
  <c r="P315" i="8"/>
  <c r="O315" i="8"/>
  <c r="M315" i="8"/>
  <c r="N315" i="8"/>
  <c r="O308" i="8"/>
  <c r="N308" i="8"/>
  <c r="P308" i="8"/>
  <c r="M308" i="8"/>
  <c r="M322" i="8"/>
  <c r="O322" i="8"/>
  <c r="P322" i="8"/>
  <c r="N322" i="8"/>
  <c r="O229" i="8"/>
  <c r="M229" i="8"/>
  <c r="N229" i="8"/>
  <c r="P229" i="8"/>
  <c r="N285" i="8"/>
  <c r="M285" i="8"/>
  <c r="O285" i="8"/>
  <c r="P285" i="8"/>
  <c r="M250" i="8"/>
  <c r="P250" i="8"/>
  <c r="N250" i="8"/>
  <c r="O250" i="8"/>
  <c r="O225" i="8"/>
  <c r="N225" i="8"/>
  <c r="P225" i="8"/>
  <c r="M225" i="8"/>
  <c r="O288" i="8"/>
  <c r="P288" i="8"/>
  <c r="N288" i="8"/>
  <c r="M288" i="8"/>
  <c r="P324" i="8"/>
  <c r="O324" i="8"/>
  <c r="N324" i="8"/>
  <c r="M324" i="8"/>
  <c r="N316" i="8"/>
  <c r="P316" i="8"/>
  <c r="M316" i="8"/>
  <c r="O316" i="8"/>
  <c r="N329" i="8"/>
  <c r="O329" i="8"/>
  <c r="P329" i="8"/>
  <c r="M329" i="8"/>
  <c r="N305" i="8"/>
  <c r="M305" i="8"/>
  <c r="O305" i="8"/>
  <c r="P305" i="8"/>
  <c r="O241" i="8"/>
  <c r="N241" i="8"/>
  <c r="P241" i="8"/>
  <c r="M241" i="8"/>
  <c r="N318" i="8"/>
  <c r="P318" i="8"/>
  <c r="M318" i="8"/>
  <c r="O318" i="8"/>
  <c r="P266" i="8"/>
  <c r="N266" i="8"/>
  <c r="O266" i="8"/>
  <c r="M266" i="8"/>
  <c r="M258" i="8"/>
  <c r="P258" i="8"/>
  <c r="O258" i="8"/>
  <c r="N258" i="8"/>
  <c r="M216" i="8"/>
  <c r="P216" i="8"/>
  <c r="N216" i="8"/>
  <c r="O216" i="8"/>
  <c r="N289" i="8"/>
  <c r="P289" i="8"/>
  <c r="M289" i="8"/>
  <c r="O289" i="8"/>
  <c r="N259" i="8"/>
  <c r="O259" i="8"/>
  <c r="P259" i="8"/>
  <c r="M259" i="8"/>
  <c r="M221" i="8"/>
  <c r="N221" i="8"/>
  <c r="O221" i="8"/>
  <c r="P221" i="8"/>
  <c r="M207" i="8"/>
  <c r="N207" i="8"/>
  <c r="O207" i="8"/>
  <c r="P207" i="8"/>
  <c r="N265" i="8"/>
  <c r="M265" i="8"/>
  <c r="O265" i="8"/>
  <c r="P265" i="8"/>
  <c r="M327" i="8"/>
  <c r="P327" i="8"/>
  <c r="N327" i="8"/>
  <c r="O327" i="8"/>
  <c r="O280" i="8"/>
  <c r="N280" i="8"/>
  <c r="P280" i="8"/>
  <c r="M280" i="8"/>
  <c r="N290" i="8"/>
  <c r="P290" i="8"/>
  <c r="O290" i="8"/>
  <c r="M290" i="8"/>
  <c r="M244" i="8"/>
  <c r="N244" i="8"/>
  <c r="O244" i="8"/>
  <c r="P244" i="8"/>
  <c r="M295" i="8"/>
  <c r="N295" i="8"/>
  <c r="O295" i="8"/>
  <c r="P295" i="8"/>
  <c r="M211" i="8"/>
  <c r="O211" i="8"/>
  <c r="P211" i="8"/>
  <c r="N211" i="8"/>
  <c r="O300" i="8"/>
  <c r="N300" i="8"/>
  <c r="P300" i="8"/>
  <c r="M300" i="8"/>
  <c r="M236" i="8"/>
  <c r="N236" i="8"/>
  <c r="O236" i="8"/>
  <c r="P236" i="8"/>
  <c r="N269" i="8"/>
  <c r="M269" i="8"/>
  <c r="O269" i="8"/>
  <c r="P269" i="8"/>
  <c r="O303" i="8"/>
  <c r="P303" i="8"/>
  <c r="M303" i="8"/>
  <c r="N303" i="8"/>
  <c r="M254" i="8"/>
  <c r="P254" i="8"/>
  <c r="O254" i="8"/>
  <c r="N254" i="8"/>
  <c r="M218" i="8"/>
  <c r="P218" i="8"/>
  <c r="O218" i="8"/>
  <c r="N218" i="8"/>
  <c r="N321" i="8"/>
  <c r="O321" i="8"/>
  <c r="P321" i="8"/>
  <c r="M321" i="8"/>
  <c r="P302" i="8"/>
  <c r="M302" i="8"/>
  <c r="N302" i="8"/>
  <c r="O302" i="8"/>
  <c r="N273" i="8"/>
  <c r="P273" i="8"/>
  <c r="M273" i="8"/>
  <c r="O273" i="8"/>
  <c r="O312" i="8"/>
  <c r="N312" i="8"/>
  <c r="P312" i="8"/>
  <c r="M312" i="8"/>
  <c r="O237" i="8"/>
  <c r="M237" i="8"/>
  <c r="N237" i="8"/>
  <c r="P237" i="8"/>
  <c r="P299" i="8"/>
  <c r="M299" i="8"/>
  <c r="N299" i="8"/>
  <c r="O299" i="8"/>
  <c r="O268" i="8"/>
  <c r="N268" i="8"/>
  <c r="P268" i="8"/>
  <c r="M268" i="8"/>
  <c r="O233" i="8"/>
  <c r="N233" i="8"/>
  <c r="P233" i="8"/>
  <c r="M233" i="8"/>
  <c r="P294" i="8"/>
  <c r="O294" i="8"/>
  <c r="M294" i="8"/>
  <c r="N294" i="8"/>
  <c r="M209" i="8"/>
  <c r="P209" i="8"/>
  <c r="O209" i="8"/>
  <c r="N209" i="8"/>
  <c r="M203" i="8"/>
  <c r="P203" i="8"/>
  <c r="N203" i="8"/>
  <c r="O203" i="8"/>
  <c r="M210" i="8"/>
  <c r="P210" i="8"/>
  <c r="O210" i="8"/>
  <c r="N210" i="8"/>
  <c r="M238" i="8"/>
  <c r="P238" i="8"/>
  <c r="O238" i="8"/>
  <c r="N238" i="8"/>
  <c r="N301" i="8"/>
  <c r="M301" i="8"/>
  <c r="O301" i="8"/>
  <c r="P301" i="8"/>
  <c r="O271" i="8"/>
  <c r="P271" i="8"/>
  <c r="M271" i="8"/>
  <c r="N271" i="8"/>
  <c r="M234" i="8"/>
  <c r="P234" i="8"/>
  <c r="O234" i="8"/>
  <c r="N234" i="8"/>
  <c r="O304" i="8"/>
  <c r="N304" i="8"/>
  <c r="M304" i="8"/>
  <c r="P304" i="8"/>
  <c r="N281" i="8"/>
  <c r="M281" i="8"/>
  <c r="O281" i="8"/>
  <c r="P281" i="8"/>
  <c r="O204" i="8"/>
  <c r="N204" i="8"/>
  <c r="P204" i="8"/>
  <c r="M204" i="8"/>
  <c r="M220" i="8"/>
  <c r="N220" i="8"/>
  <c r="O220" i="8"/>
  <c r="P220" i="8"/>
  <c r="M247" i="8"/>
  <c r="P247" i="8"/>
  <c r="N247" i="8"/>
  <c r="O247" i="8"/>
  <c r="N277" i="8"/>
  <c r="O277" i="8"/>
  <c r="P277" i="8"/>
  <c r="M277" i="8"/>
  <c r="M298" i="8"/>
  <c r="N298" i="8"/>
  <c r="O298" i="8"/>
  <c r="P298" i="8"/>
  <c r="M219" i="8"/>
  <c r="O219" i="8"/>
  <c r="P219" i="8"/>
  <c r="N219" i="8"/>
  <c r="P270" i="8"/>
  <c r="N270" i="8"/>
  <c r="O270" i="8"/>
  <c r="M270" i="8"/>
  <c r="O240" i="8"/>
  <c r="P240" i="8"/>
  <c r="M240" i="8"/>
  <c r="N240" i="8"/>
  <c r="M215" i="8"/>
  <c r="P215" i="8"/>
  <c r="O215" i="8"/>
  <c r="N215" i="8"/>
  <c r="N275" i="8"/>
  <c r="O275" i="8"/>
  <c r="P275" i="8"/>
  <c r="M275" i="8"/>
  <c r="O292" i="8"/>
  <c r="N292" i="8"/>
  <c r="P292" i="8"/>
  <c r="M292" i="8"/>
  <c r="M279" i="8"/>
  <c r="N279" i="8"/>
  <c r="O279" i="8"/>
  <c r="P279" i="8"/>
  <c r="N319" i="8"/>
  <c r="O319" i="8"/>
  <c r="P319" i="8"/>
  <c r="M319" i="8"/>
  <c r="M222" i="8"/>
  <c r="P222" i="8"/>
  <c r="O222" i="8"/>
  <c r="N222" i="8"/>
  <c r="O296" i="8"/>
  <c r="N296" i="8"/>
  <c r="P296" i="8"/>
  <c r="M296" i="8"/>
  <c r="M231" i="8"/>
  <c r="P231" i="8"/>
  <c r="O231" i="8"/>
  <c r="N231" i="8"/>
  <c r="M206" i="8"/>
  <c r="O206" i="8"/>
  <c r="P206" i="8"/>
  <c r="N206" i="8"/>
  <c r="M205" i="8"/>
  <c r="P205" i="8"/>
  <c r="N205" i="8"/>
  <c r="O205" i="8"/>
  <c r="N253" i="8"/>
  <c r="M253" i="8"/>
  <c r="P253" i="8"/>
  <c r="O253" i="8"/>
  <c r="P306" i="8"/>
  <c r="N306" i="8"/>
  <c r="O306" i="8"/>
  <c r="M306" i="8"/>
  <c r="O284" i="8"/>
  <c r="N284" i="8"/>
  <c r="P284" i="8"/>
  <c r="M284" i="8"/>
  <c r="M242" i="8"/>
  <c r="P242" i="8"/>
  <c r="N242" i="8"/>
  <c r="O242" i="8"/>
  <c r="P310" i="8"/>
  <c r="M310" i="8"/>
  <c r="N310" i="8"/>
  <c r="O310" i="8"/>
  <c r="N320" i="8"/>
  <c r="P320" i="8"/>
  <c r="O320" i="8"/>
  <c r="M320" i="8"/>
  <c r="M251" i="8"/>
  <c r="N251" i="8"/>
  <c r="O251" i="8"/>
  <c r="P251" i="8"/>
  <c r="O276" i="8"/>
  <c r="N276" i="8"/>
  <c r="P276" i="8"/>
  <c r="M276" i="8"/>
  <c r="N257" i="8"/>
  <c r="M257" i="8"/>
  <c r="O257" i="8"/>
  <c r="P257" i="8"/>
  <c r="M311" i="8"/>
  <c r="N311" i="8"/>
  <c r="O311" i="8"/>
  <c r="P311" i="8"/>
  <c r="O287" i="8"/>
  <c r="P287" i="8"/>
  <c r="M287" i="8"/>
  <c r="N287" i="8"/>
  <c r="N249" i="8"/>
  <c r="P249" i="8"/>
  <c r="M249" i="8"/>
  <c r="O249" i="8"/>
  <c r="M212" i="8"/>
  <c r="N212" i="8"/>
  <c r="O212" i="8"/>
  <c r="P212" i="8"/>
  <c r="M323" i="8"/>
  <c r="N323" i="8"/>
  <c r="O323" i="8"/>
  <c r="P323" i="8"/>
  <c r="O260" i="8"/>
  <c r="N260" i="8"/>
  <c r="P260" i="8"/>
  <c r="M260" i="8"/>
  <c r="N317" i="8"/>
  <c r="M317" i="8"/>
  <c r="O317" i="8"/>
  <c r="P317" i="8"/>
  <c r="M274" i="8"/>
  <c r="P274" i="8"/>
  <c r="O274" i="8"/>
  <c r="N274" i="8"/>
  <c r="N309" i="8"/>
  <c r="O309" i="8"/>
  <c r="P309" i="8"/>
  <c r="M309" i="8"/>
  <c r="M246" i="8"/>
  <c r="P246" i="8"/>
  <c r="O246" i="8"/>
  <c r="N246" i="8"/>
  <c r="M230" i="8"/>
  <c r="P230" i="8"/>
  <c r="O230" i="8"/>
  <c r="N230" i="8"/>
  <c r="P286" i="8"/>
  <c r="M286" i="8"/>
  <c r="N286" i="8"/>
  <c r="O286" i="8"/>
  <c r="M255" i="8"/>
  <c r="P255" i="8"/>
  <c r="N255" i="8"/>
  <c r="O255" i="8"/>
  <c r="M226" i="8"/>
  <c r="P226" i="8"/>
  <c r="N226" i="8"/>
  <c r="O226" i="8"/>
  <c r="N291" i="8"/>
  <c r="O291" i="8"/>
  <c r="P291" i="8"/>
  <c r="M291" i="8"/>
  <c r="N328" i="8"/>
  <c r="O328" i="8"/>
  <c r="P328" i="8"/>
  <c r="M328" i="8"/>
  <c r="N325" i="8"/>
  <c r="P325" i="8"/>
  <c r="O325" i="8"/>
  <c r="M325" i="8"/>
  <c r="M202" i="8"/>
  <c r="P202" i="8"/>
  <c r="O202" i="8"/>
  <c r="N202" i="8"/>
  <c r="M235" i="8"/>
  <c r="O235" i="8"/>
  <c r="P235" i="8"/>
  <c r="N235" i="8"/>
  <c r="O217" i="8"/>
  <c r="P217" i="8"/>
  <c r="M217" i="8"/>
  <c r="N217" i="8"/>
  <c r="N261" i="8"/>
  <c r="O261" i="8"/>
  <c r="P261" i="8"/>
  <c r="M261" i="8"/>
  <c r="M213" i="8"/>
  <c r="N213" i="8"/>
  <c r="O213" i="8"/>
  <c r="P213" i="8"/>
  <c r="M208" i="8"/>
  <c r="P208" i="8"/>
  <c r="N208" i="8"/>
  <c r="O208" i="8"/>
  <c r="L159" i="8"/>
  <c r="O159" i="8" s="1"/>
  <c r="L177" i="8"/>
  <c r="P177" i="8" s="1"/>
  <c r="M168" i="8"/>
  <c r="N168" i="8"/>
  <c r="O168" i="8"/>
  <c r="P168" i="8"/>
  <c r="N174" i="8"/>
  <c r="M174" i="8"/>
  <c r="P174" i="8"/>
  <c r="O174" i="8"/>
  <c r="N171" i="8"/>
  <c r="M171" i="8"/>
  <c r="P171" i="8"/>
  <c r="O171" i="8"/>
  <c r="N175" i="8"/>
  <c r="P175" i="8"/>
  <c r="M175" i="8"/>
  <c r="O175" i="8"/>
  <c r="M172" i="8"/>
  <c r="N172" i="8"/>
  <c r="P172" i="8"/>
  <c r="O172" i="8"/>
  <c r="M169" i="8"/>
  <c r="N169" i="8"/>
  <c r="O169" i="8"/>
  <c r="P169" i="8"/>
  <c r="M170" i="8"/>
  <c r="N170" i="8"/>
  <c r="O170" i="8"/>
  <c r="P170" i="8"/>
  <c r="M173" i="8"/>
  <c r="N173" i="8"/>
  <c r="P173" i="8"/>
  <c r="O173" i="8"/>
  <c r="L195" i="8"/>
  <c r="O195" i="8" s="1"/>
  <c r="M159" i="8"/>
  <c r="L194" i="8"/>
  <c r="P194" i="8" s="1"/>
  <c r="L201" i="8"/>
  <c r="M201" i="8" s="1"/>
  <c r="L187" i="8"/>
  <c r="N187" i="8" s="1"/>
  <c r="L178" i="8"/>
  <c r="M178" i="8" s="1"/>
  <c r="L185" i="8"/>
  <c r="P185" i="8" s="1"/>
  <c r="L183" i="8"/>
  <c r="M183" i="8" s="1"/>
  <c r="L181" i="8"/>
  <c r="O181" i="8" s="1"/>
  <c r="L182" i="8"/>
  <c r="P182" i="8" s="1"/>
  <c r="L196" i="8"/>
  <c r="N196" i="8" s="1"/>
  <c r="L179" i="8"/>
  <c r="N179" i="8" s="1"/>
  <c r="L193" i="8"/>
  <c r="N193" i="8" s="1"/>
  <c r="L188" i="8"/>
  <c r="N188" i="8" s="1"/>
  <c r="L184" i="8"/>
  <c r="N184" i="8" s="1"/>
  <c r="L180" i="8"/>
  <c r="M180" i="8" s="1"/>
  <c r="L199" i="8"/>
  <c r="N199" i="8" s="1"/>
  <c r="L198" i="8"/>
  <c r="P198" i="8" s="1"/>
  <c r="L197" i="8"/>
  <c r="O197" i="8" s="1"/>
  <c r="L190" i="8"/>
  <c r="P190" i="8" s="1"/>
  <c r="L192" i="8"/>
  <c r="O192" i="8" s="1"/>
  <c r="L189" i="8"/>
  <c r="L191" i="8"/>
  <c r="L200" i="8"/>
  <c r="L186" i="8"/>
  <c r="M176" i="8"/>
  <c r="P176" i="8"/>
  <c r="N176" i="8"/>
  <c r="O176" i="8"/>
  <c r="M161" i="8"/>
  <c r="P161" i="8"/>
  <c r="O161" i="8"/>
  <c r="N161" i="8"/>
  <c r="N164" i="8"/>
  <c r="M164" i="8"/>
  <c r="P164" i="8"/>
  <c r="O164" i="8"/>
  <c r="M162" i="8"/>
  <c r="N162" i="8"/>
  <c r="O162" i="8"/>
  <c r="P162" i="8"/>
  <c r="N160" i="8"/>
  <c r="M160" i="8"/>
  <c r="P160" i="8"/>
  <c r="O160" i="8"/>
  <c r="M163" i="8"/>
  <c r="N163" i="8"/>
  <c r="O163" i="8"/>
  <c r="P163" i="8"/>
  <c r="M166" i="8"/>
  <c r="N166" i="8"/>
  <c r="O166" i="8"/>
  <c r="P166" i="8"/>
  <c r="M167" i="8"/>
  <c r="N167" i="8"/>
  <c r="O167" i="8"/>
  <c r="P167" i="8"/>
  <c r="M158" i="8"/>
  <c r="N158" i="8"/>
  <c r="O158" i="8"/>
  <c r="P158" i="8"/>
  <c r="M165" i="8"/>
  <c r="P165" i="8"/>
  <c r="N165" i="8"/>
  <c r="O165" i="8"/>
  <c r="P156" i="8"/>
  <c r="M156" i="8"/>
  <c r="N156" i="8"/>
  <c r="P127" i="8"/>
  <c r="M127" i="8"/>
  <c r="N127" i="8"/>
  <c r="M133" i="8"/>
  <c r="N133" i="8"/>
  <c r="P133" i="8"/>
  <c r="N116" i="8"/>
  <c r="M116" i="8"/>
  <c r="P116" i="8"/>
  <c r="M123" i="8"/>
  <c r="N123" i="8"/>
  <c r="P123" i="8"/>
  <c r="N139" i="8"/>
  <c r="P139" i="8"/>
  <c r="M139" i="8"/>
  <c r="M132" i="8"/>
  <c r="N132" i="8"/>
  <c r="P132" i="8"/>
  <c r="P135" i="8"/>
  <c r="M135" i="8"/>
  <c r="N135" i="8"/>
  <c r="P119" i="8"/>
  <c r="N119" i="8"/>
  <c r="M119" i="8"/>
  <c r="M124" i="8"/>
  <c r="N124" i="8"/>
  <c r="P124" i="8"/>
  <c r="M146" i="8"/>
  <c r="N146" i="8"/>
  <c r="P146" i="8"/>
  <c r="P130" i="8"/>
  <c r="N130" i="8"/>
  <c r="M130" i="8"/>
  <c r="P118" i="8"/>
  <c r="N118" i="8"/>
  <c r="M118" i="8"/>
  <c r="N145" i="8"/>
  <c r="P145" i="8"/>
  <c r="M145" i="8"/>
  <c r="N157" i="8"/>
  <c r="M157" i="8"/>
  <c r="P157" i="8"/>
  <c r="M138" i="8"/>
  <c r="N138" i="8"/>
  <c r="P138" i="8"/>
  <c r="N134" i="8"/>
  <c r="P134" i="8"/>
  <c r="M134" i="8"/>
  <c r="P147" i="8"/>
  <c r="M147" i="8"/>
  <c r="N147" i="8"/>
  <c r="N152" i="8"/>
  <c r="P152" i="8"/>
  <c r="M152" i="8"/>
  <c r="N143" i="8"/>
  <c r="P143" i="8"/>
  <c r="M143" i="8"/>
  <c r="P151" i="8"/>
  <c r="M151" i="8"/>
  <c r="N151" i="8"/>
  <c r="M137" i="8"/>
  <c r="P137" i="8"/>
  <c r="N137" i="8"/>
  <c r="M117" i="8"/>
  <c r="N117" i="8"/>
  <c r="P117" i="8"/>
  <c r="N155" i="8"/>
  <c r="P155" i="8"/>
  <c r="M155" i="8"/>
  <c r="M121" i="8"/>
  <c r="N121" i="8"/>
  <c r="P121" i="8"/>
  <c r="N128" i="8"/>
  <c r="P128" i="8"/>
  <c r="M128" i="8"/>
  <c r="P148" i="8"/>
  <c r="M148" i="8"/>
  <c r="N148" i="8"/>
  <c r="M153" i="8"/>
  <c r="N153" i="8"/>
  <c r="P153" i="8"/>
  <c r="P154" i="8"/>
  <c r="M154" i="8"/>
  <c r="N154" i="8"/>
  <c r="N115" i="8"/>
  <c r="M115" i="8"/>
  <c r="P115" i="8"/>
  <c r="M140" i="8"/>
  <c r="N140" i="8"/>
  <c r="P140" i="8"/>
  <c r="N129" i="8"/>
  <c r="P129" i="8"/>
  <c r="M129" i="8"/>
  <c r="N126" i="8"/>
  <c r="P126" i="8"/>
  <c r="M126" i="8"/>
  <c r="M125" i="8"/>
  <c r="P125" i="8"/>
  <c r="N125" i="8"/>
  <c r="P141" i="8"/>
  <c r="M141" i="8"/>
  <c r="N141" i="8"/>
  <c r="P142" i="8"/>
  <c r="N142" i="8"/>
  <c r="M142" i="8"/>
  <c r="P149" i="8"/>
  <c r="M149" i="8"/>
  <c r="N149" i="8"/>
  <c r="M136" i="8"/>
  <c r="P136" i="8"/>
  <c r="N136" i="8"/>
  <c r="N150" i="8"/>
  <c r="M150" i="8"/>
  <c r="P150" i="8"/>
  <c r="N144" i="8"/>
  <c r="P144" i="8"/>
  <c r="M144" i="8"/>
  <c r="P131" i="8"/>
  <c r="M131" i="8"/>
  <c r="N131" i="8"/>
  <c r="N120" i="8"/>
  <c r="P120" i="8"/>
  <c r="M120" i="8"/>
  <c r="M122" i="8"/>
  <c r="N122" i="8"/>
  <c r="P122" i="8"/>
  <c r="O18" i="8"/>
  <c r="P18" i="8"/>
  <c r="P12" i="8"/>
  <c r="O12" i="8"/>
  <c r="O22" i="8"/>
  <c r="P22" i="8"/>
  <c r="O7" i="8"/>
  <c r="P7" i="8"/>
  <c r="O10" i="8"/>
  <c r="P10" i="8"/>
  <c r="O23" i="8"/>
  <c r="P23" i="8"/>
  <c r="P8" i="8"/>
  <c r="O8" i="8"/>
  <c r="O11" i="8"/>
  <c r="P11" i="8"/>
  <c r="P28" i="8"/>
  <c r="O28" i="8"/>
  <c r="O15" i="8"/>
  <c r="P15" i="8"/>
  <c r="P16" i="8"/>
  <c r="O16" i="8"/>
  <c r="O26" i="8"/>
  <c r="P26" i="8"/>
  <c r="P24" i="8"/>
  <c r="O24" i="8"/>
  <c r="O27" i="8"/>
  <c r="P27" i="8"/>
  <c r="P17" i="8"/>
  <c r="O17" i="8"/>
  <c r="P20" i="8"/>
  <c r="O20" i="8"/>
  <c r="P5" i="8"/>
  <c r="O5" i="8"/>
  <c r="Q5" i="8" s="1"/>
  <c r="O19" i="8"/>
  <c r="P19" i="8"/>
  <c r="P13" i="8"/>
  <c r="O13" i="8"/>
  <c r="O14" i="8"/>
  <c r="P14" i="8"/>
  <c r="O6" i="8"/>
  <c r="P6" i="8"/>
  <c r="P25" i="8"/>
  <c r="O25" i="8"/>
  <c r="P21" i="8"/>
  <c r="O21" i="8"/>
  <c r="P9" i="8"/>
  <c r="O9" i="8"/>
  <c r="N11" i="8"/>
  <c r="N8" i="8"/>
  <c r="N5" i="8"/>
  <c r="M4" i="8"/>
  <c r="M10" i="8"/>
  <c r="M7" i="8"/>
  <c r="M6" i="8"/>
  <c r="M9" i="8"/>
  <c r="M8" i="8"/>
  <c r="M11" i="8"/>
  <c r="M5" i="8"/>
  <c r="W290" i="12"/>
  <c r="W289" i="12"/>
  <c r="W288" i="12"/>
  <c r="W287" i="12"/>
  <c r="W286" i="12"/>
  <c r="W285" i="12"/>
  <c r="W284" i="12"/>
  <c r="W283" i="12"/>
  <c r="W282" i="12"/>
  <c r="W281" i="12"/>
  <c r="W280" i="12"/>
  <c r="W279" i="12"/>
  <c r="W278" i="12"/>
  <c r="W277" i="12"/>
  <c r="W276" i="12"/>
  <c r="W275" i="12"/>
  <c r="W274" i="12"/>
  <c r="W273" i="12"/>
  <c r="W272" i="12"/>
  <c r="W271" i="12"/>
  <c r="W270" i="12"/>
  <c r="W269" i="12"/>
  <c r="W268" i="12"/>
  <c r="W267" i="12"/>
  <c r="W266" i="12"/>
  <c r="W265" i="12"/>
  <c r="W264" i="12"/>
  <c r="W263" i="12"/>
  <c r="W262" i="12"/>
  <c r="W261" i="12"/>
  <c r="W260" i="12"/>
  <c r="W259" i="12"/>
  <c r="W258" i="12"/>
  <c r="W257" i="12"/>
  <c r="W256" i="12"/>
  <c r="W255" i="12"/>
  <c r="W254" i="12"/>
  <c r="W253" i="12"/>
  <c r="W252" i="12"/>
  <c r="W251" i="12"/>
  <c r="W250" i="12"/>
  <c r="W249" i="12"/>
  <c r="W248" i="12"/>
  <c r="W247" i="12"/>
  <c r="W246" i="12"/>
  <c r="W245" i="12"/>
  <c r="W244" i="12"/>
  <c r="W243" i="12"/>
  <c r="W242" i="12"/>
  <c r="W241" i="12"/>
  <c r="W240" i="12"/>
  <c r="W239" i="12"/>
  <c r="W238" i="12"/>
  <c r="W237" i="12"/>
  <c r="W236" i="12"/>
  <c r="W235" i="12"/>
  <c r="W234" i="12"/>
  <c r="W233" i="12"/>
  <c r="W232" i="12"/>
  <c r="W231" i="12"/>
  <c r="W230" i="12"/>
  <c r="W229" i="12"/>
  <c r="W228" i="12"/>
  <c r="W227" i="12"/>
  <c r="W226" i="12"/>
  <c r="W225" i="12"/>
  <c r="W224" i="12"/>
  <c r="W223" i="12"/>
  <c r="W222" i="12"/>
  <c r="W221" i="12"/>
  <c r="W220" i="12"/>
  <c r="W219" i="12"/>
  <c r="W218" i="12"/>
  <c r="W217" i="12"/>
  <c r="W216" i="12"/>
  <c r="W215" i="12"/>
  <c r="W214" i="12"/>
  <c r="W213" i="12"/>
  <c r="W212" i="12"/>
  <c r="W211" i="12"/>
  <c r="W210" i="12"/>
  <c r="W209" i="12"/>
  <c r="W208" i="12"/>
  <c r="W207" i="12"/>
  <c r="W206" i="12"/>
  <c r="W205" i="12"/>
  <c r="W204" i="12"/>
  <c r="W203" i="12"/>
  <c r="W202" i="12"/>
  <c r="W201" i="12"/>
  <c r="W200" i="12"/>
  <c r="W199" i="12"/>
  <c r="W198" i="12"/>
  <c r="W197" i="12"/>
  <c r="W196" i="12"/>
  <c r="W195" i="12"/>
  <c r="W194" i="12"/>
  <c r="V194" i="12"/>
  <c r="U194" i="12"/>
  <c r="T194" i="12"/>
  <c r="W193" i="12"/>
  <c r="V193" i="12"/>
  <c r="U193" i="12"/>
  <c r="T193" i="12"/>
  <c r="W192" i="12"/>
  <c r="V192" i="12"/>
  <c r="U192" i="12"/>
  <c r="T192" i="12"/>
  <c r="W191" i="12"/>
  <c r="V191" i="12"/>
  <c r="U191" i="12"/>
  <c r="T191" i="12"/>
  <c r="W190" i="12"/>
  <c r="V190" i="12"/>
  <c r="U190" i="12"/>
  <c r="T190" i="12"/>
  <c r="W189" i="12"/>
  <c r="V189" i="12"/>
  <c r="U189" i="12"/>
  <c r="T189" i="12"/>
  <c r="W188" i="12"/>
  <c r="V188" i="12"/>
  <c r="U188" i="12"/>
  <c r="T188" i="12"/>
  <c r="W187" i="12"/>
  <c r="V187" i="12"/>
  <c r="U187" i="12"/>
  <c r="T187" i="12"/>
  <c r="W186" i="12"/>
  <c r="V186" i="12"/>
  <c r="U186" i="12"/>
  <c r="T186" i="12"/>
  <c r="W185" i="12"/>
  <c r="V185" i="12"/>
  <c r="U185" i="12"/>
  <c r="T185" i="12"/>
  <c r="W184" i="12"/>
  <c r="V184" i="12"/>
  <c r="U184" i="12"/>
  <c r="T184" i="12"/>
  <c r="W183" i="12"/>
  <c r="V183" i="12"/>
  <c r="U183" i="12"/>
  <c r="T183" i="12"/>
  <c r="W182" i="12"/>
  <c r="V182" i="12"/>
  <c r="U182" i="12"/>
  <c r="T182" i="12"/>
  <c r="W181" i="12"/>
  <c r="V181" i="12"/>
  <c r="U181" i="12"/>
  <c r="T181" i="12"/>
  <c r="W180" i="12"/>
  <c r="V180" i="12"/>
  <c r="U180" i="12"/>
  <c r="T180" i="12"/>
  <c r="W179" i="12"/>
  <c r="V179" i="12"/>
  <c r="U179" i="12"/>
  <c r="T179" i="12"/>
  <c r="W178" i="12"/>
  <c r="V178" i="12"/>
  <c r="U178" i="12"/>
  <c r="T178" i="12"/>
  <c r="W177" i="12"/>
  <c r="V177" i="12"/>
  <c r="U177" i="12"/>
  <c r="T177" i="12"/>
  <c r="W176" i="12"/>
  <c r="V176" i="12"/>
  <c r="U176" i="12"/>
  <c r="T176" i="12"/>
  <c r="W175" i="12"/>
  <c r="V175" i="12"/>
  <c r="U175" i="12"/>
  <c r="T175" i="12"/>
  <c r="W174" i="12"/>
  <c r="V174" i="12"/>
  <c r="U174" i="12"/>
  <c r="T174" i="12"/>
  <c r="W173" i="12"/>
  <c r="V173" i="12"/>
  <c r="U173" i="12"/>
  <c r="T173" i="12"/>
  <c r="W172" i="12"/>
  <c r="V172" i="12"/>
  <c r="U172" i="12"/>
  <c r="T172" i="12"/>
  <c r="W171" i="12"/>
  <c r="V171" i="12"/>
  <c r="U171" i="12"/>
  <c r="T171" i="12"/>
  <c r="W170" i="12"/>
  <c r="V170" i="12"/>
  <c r="U170" i="12"/>
  <c r="T170" i="12"/>
  <c r="W169" i="12"/>
  <c r="V169" i="12"/>
  <c r="U169" i="12"/>
  <c r="T169" i="12"/>
  <c r="W168" i="12"/>
  <c r="V168" i="12"/>
  <c r="U168" i="12"/>
  <c r="T168" i="12"/>
  <c r="W167" i="12"/>
  <c r="V167" i="12"/>
  <c r="U167" i="12"/>
  <c r="T167" i="12"/>
  <c r="W166" i="12"/>
  <c r="V166" i="12"/>
  <c r="U166" i="12"/>
  <c r="T166" i="12"/>
  <c r="W165" i="12"/>
  <c r="V165" i="12"/>
  <c r="U165" i="12"/>
  <c r="T165" i="12"/>
  <c r="W164" i="12"/>
  <c r="V164" i="12"/>
  <c r="U164" i="12"/>
  <c r="T164" i="12"/>
  <c r="W163" i="12"/>
  <c r="V163" i="12"/>
  <c r="U163" i="12"/>
  <c r="T163" i="12"/>
  <c r="W162" i="12"/>
  <c r="V162" i="12"/>
  <c r="U162" i="12"/>
  <c r="T162" i="12"/>
  <c r="W161" i="12"/>
  <c r="V161" i="12"/>
  <c r="U161" i="12"/>
  <c r="T161" i="12"/>
  <c r="W160" i="12"/>
  <c r="V160" i="12"/>
  <c r="U160" i="12"/>
  <c r="T160" i="12"/>
  <c r="W159" i="12"/>
  <c r="V159" i="12"/>
  <c r="U159" i="12"/>
  <c r="T159" i="12"/>
  <c r="W158" i="12"/>
  <c r="V158" i="12"/>
  <c r="U158" i="12"/>
  <c r="T158" i="12"/>
  <c r="W157" i="12"/>
  <c r="V157" i="12"/>
  <c r="U157" i="12"/>
  <c r="T157" i="12"/>
  <c r="W156" i="12"/>
  <c r="V156" i="12"/>
  <c r="U156" i="12"/>
  <c r="T156" i="12"/>
  <c r="W155" i="12"/>
  <c r="V155" i="12"/>
  <c r="U155" i="12"/>
  <c r="T155" i="12"/>
  <c r="W154" i="12"/>
  <c r="V154" i="12"/>
  <c r="U154" i="12"/>
  <c r="T154" i="12"/>
  <c r="W153" i="12"/>
  <c r="V153" i="12"/>
  <c r="U153" i="12"/>
  <c r="T153" i="12"/>
  <c r="W152" i="12"/>
  <c r="V152" i="12"/>
  <c r="U152" i="12"/>
  <c r="T152" i="12"/>
  <c r="W151" i="12"/>
  <c r="V151" i="12"/>
  <c r="U151" i="12"/>
  <c r="T151" i="12"/>
  <c r="W150" i="12"/>
  <c r="V150" i="12"/>
  <c r="U150" i="12"/>
  <c r="T150" i="12"/>
  <c r="W149" i="12"/>
  <c r="V149" i="12"/>
  <c r="U149" i="12"/>
  <c r="T149" i="12"/>
  <c r="W148" i="12"/>
  <c r="V148" i="12"/>
  <c r="U148" i="12"/>
  <c r="T148" i="12"/>
  <c r="W147" i="12"/>
  <c r="V147" i="12"/>
  <c r="U147" i="12"/>
  <c r="T147" i="12"/>
  <c r="W146" i="12"/>
  <c r="V146" i="12"/>
  <c r="U146" i="12"/>
  <c r="T146" i="12"/>
  <c r="W145" i="12"/>
  <c r="V145" i="12"/>
  <c r="U145" i="12"/>
  <c r="T145" i="12"/>
  <c r="W144" i="12"/>
  <c r="V144" i="12"/>
  <c r="U144" i="12"/>
  <c r="T144" i="12"/>
  <c r="W143" i="12"/>
  <c r="V143" i="12"/>
  <c r="U143" i="12"/>
  <c r="T143" i="12"/>
  <c r="W142" i="12"/>
  <c r="V142" i="12"/>
  <c r="U142" i="12"/>
  <c r="T142" i="12"/>
  <c r="W141" i="12"/>
  <c r="V141" i="12"/>
  <c r="U141" i="12"/>
  <c r="T141" i="12"/>
  <c r="W140" i="12"/>
  <c r="V140" i="12"/>
  <c r="U140" i="12"/>
  <c r="T140" i="12"/>
  <c r="W139" i="12"/>
  <c r="V139" i="12"/>
  <c r="U139" i="12"/>
  <c r="T139" i="12"/>
  <c r="W138" i="12"/>
  <c r="V138" i="12"/>
  <c r="U138" i="12"/>
  <c r="T138" i="12"/>
  <c r="W137" i="12"/>
  <c r="V137" i="12"/>
  <c r="U137" i="12"/>
  <c r="T137" i="12"/>
  <c r="W136" i="12"/>
  <c r="V136" i="12"/>
  <c r="U136" i="12"/>
  <c r="T136" i="12"/>
  <c r="W135" i="12"/>
  <c r="V135" i="12"/>
  <c r="U135" i="12"/>
  <c r="T135" i="12"/>
  <c r="W134" i="12"/>
  <c r="V134" i="12"/>
  <c r="U134" i="12"/>
  <c r="T134" i="12"/>
  <c r="W133" i="12"/>
  <c r="V133" i="12"/>
  <c r="U133" i="12"/>
  <c r="T133" i="12"/>
  <c r="W132" i="12"/>
  <c r="V132" i="12"/>
  <c r="U132" i="12"/>
  <c r="T132" i="12"/>
  <c r="W131" i="12"/>
  <c r="V131" i="12"/>
  <c r="U131" i="12"/>
  <c r="T131" i="12"/>
  <c r="W130" i="12"/>
  <c r="V130" i="12"/>
  <c r="U130" i="12"/>
  <c r="T130" i="12"/>
  <c r="W129" i="12"/>
  <c r="V129" i="12"/>
  <c r="U129" i="12"/>
  <c r="T129" i="12"/>
  <c r="W128" i="12"/>
  <c r="V128" i="12"/>
  <c r="U128" i="12"/>
  <c r="T128" i="12"/>
  <c r="W127" i="12"/>
  <c r="V127" i="12"/>
  <c r="U127" i="12"/>
  <c r="T127" i="12"/>
  <c r="W126" i="12"/>
  <c r="V126" i="12"/>
  <c r="U126" i="12"/>
  <c r="T126" i="12"/>
  <c r="W125" i="12"/>
  <c r="V125" i="12"/>
  <c r="U125" i="12"/>
  <c r="T125" i="12"/>
  <c r="W124" i="12"/>
  <c r="V124" i="12"/>
  <c r="U124" i="12"/>
  <c r="T124" i="12"/>
  <c r="W123" i="12"/>
  <c r="V123" i="12"/>
  <c r="U123" i="12"/>
  <c r="T123" i="12"/>
  <c r="W122" i="12"/>
  <c r="V122" i="12"/>
  <c r="U122" i="12"/>
  <c r="T122" i="12"/>
  <c r="W121" i="12"/>
  <c r="V121" i="12"/>
  <c r="U121" i="12"/>
  <c r="T121" i="12"/>
  <c r="W120" i="12"/>
  <c r="V120" i="12"/>
  <c r="U120" i="12"/>
  <c r="T120" i="12"/>
  <c r="W119" i="12"/>
  <c r="V119" i="12"/>
  <c r="U119" i="12"/>
  <c r="T119" i="12"/>
  <c r="W118" i="12"/>
  <c r="V118" i="12"/>
  <c r="U118" i="12"/>
  <c r="T118" i="12"/>
  <c r="W117" i="12"/>
  <c r="V117" i="12"/>
  <c r="U117" i="12"/>
  <c r="T117" i="12"/>
  <c r="W116" i="12"/>
  <c r="V116" i="12"/>
  <c r="U116" i="12"/>
  <c r="T116" i="12"/>
  <c r="W115" i="12"/>
  <c r="V115" i="12"/>
  <c r="U115" i="12"/>
  <c r="T115" i="12"/>
  <c r="W114" i="12"/>
  <c r="V114" i="12"/>
  <c r="U114" i="12"/>
  <c r="T114" i="12"/>
  <c r="W113" i="12"/>
  <c r="V113" i="12"/>
  <c r="U113" i="12"/>
  <c r="T113" i="12"/>
  <c r="W112" i="12"/>
  <c r="V112" i="12"/>
  <c r="U112" i="12"/>
  <c r="T112" i="12"/>
  <c r="W111" i="12"/>
  <c r="V111" i="12"/>
  <c r="U111" i="12"/>
  <c r="T111" i="12"/>
  <c r="W110" i="12"/>
  <c r="V110" i="12"/>
  <c r="U110" i="12"/>
  <c r="T110" i="12"/>
  <c r="W109" i="12"/>
  <c r="V109" i="12"/>
  <c r="U109" i="12"/>
  <c r="T109" i="12"/>
  <c r="W108" i="12"/>
  <c r="V108" i="12"/>
  <c r="U108" i="12"/>
  <c r="T108" i="12"/>
  <c r="W107" i="12"/>
  <c r="V107" i="12"/>
  <c r="U107" i="12"/>
  <c r="T107" i="12"/>
  <c r="W106" i="12"/>
  <c r="V106" i="12"/>
  <c r="U106" i="12"/>
  <c r="T106" i="12"/>
  <c r="W105" i="12"/>
  <c r="V105" i="12"/>
  <c r="U105" i="12"/>
  <c r="T105" i="12"/>
  <c r="W104" i="12"/>
  <c r="V104" i="12"/>
  <c r="U104" i="12"/>
  <c r="T104" i="12"/>
  <c r="W103" i="12"/>
  <c r="V103" i="12"/>
  <c r="U103" i="12"/>
  <c r="T103" i="12"/>
  <c r="W102" i="12"/>
  <c r="V102" i="12"/>
  <c r="U102" i="12"/>
  <c r="T102" i="12"/>
  <c r="W101" i="12"/>
  <c r="V101" i="12"/>
  <c r="U101" i="12"/>
  <c r="T101" i="12"/>
  <c r="W100" i="12"/>
  <c r="V100" i="12"/>
  <c r="U100" i="12"/>
  <c r="T100" i="12"/>
  <c r="W99" i="12"/>
  <c r="V99" i="12"/>
  <c r="U99" i="12"/>
  <c r="T99" i="12"/>
  <c r="W98" i="12"/>
  <c r="V98" i="12"/>
  <c r="U98" i="12"/>
  <c r="T98" i="12"/>
  <c r="R98" i="12"/>
  <c r="Q98" i="12"/>
  <c r="P98" i="12"/>
  <c r="W97" i="12"/>
  <c r="V97" i="12"/>
  <c r="U97" i="12"/>
  <c r="T97" i="12"/>
  <c r="R97" i="12"/>
  <c r="Q97" i="12"/>
  <c r="P97" i="12"/>
  <c r="W96" i="12"/>
  <c r="V96" i="12"/>
  <c r="U96" i="12"/>
  <c r="T96" i="12"/>
  <c r="R96" i="12"/>
  <c r="Q96" i="12"/>
  <c r="P96" i="12"/>
  <c r="W95" i="12"/>
  <c r="V95" i="12"/>
  <c r="U95" i="12"/>
  <c r="T95" i="12"/>
  <c r="R95" i="12"/>
  <c r="Q95" i="12"/>
  <c r="P95" i="12"/>
  <c r="W94" i="12"/>
  <c r="V94" i="12"/>
  <c r="U94" i="12"/>
  <c r="T94" i="12"/>
  <c r="R94" i="12"/>
  <c r="Q94" i="12"/>
  <c r="P94" i="12"/>
  <c r="W93" i="12"/>
  <c r="V93" i="12"/>
  <c r="U93" i="12"/>
  <c r="T93" i="12"/>
  <c r="R93" i="12"/>
  <c r="Q93" i="12"/>
  <c r="P93" i="12"/>
  <c r="W92" i="12"/>
  <c r="V92" i="12"/>
  <c r="U92" i="12"/>
  <c r="T92" i="12"/>
  <c r="R92" i="12"/>
  <c r="Q92" i="12"/>
  <c r="P92" i="12"/>
  <c r="W91" i="12"/>
  <c r="V91" i="12"/>
  <c r="U91" i="12"/>
  <c r="T91" i="12"/>
  <c r="R91" i="12"/>
  <c r="Q91" i="12"/>
  <c r="P91" i="12"/>
  <c r="W90" i="12"/>
  <c r="V90" i="12"/>
  <c r="U90" i="12"/>
  <c r="T90" i="12"/>
  <c r="R90" i="12"/>
  <c r="Q90" i="12"/>
  <c r="P90" i="12"/>
  <c r="W89" i="12"/>
  <c r="V89" i="12"/>
  <c r="U89" i="12"/>
  <c r="T89" i="12"/>
  <c r="R89" i="12"/>
  <c r="Q89" i="12"/>
  <c r="P89" i="12"/>
  <c r="W88" i="12"/>
  <c r="V88" i="12"/>
  <c r="U88" i="12"/>
  <c r="T88" i="12"/>
  <c r="R88" i="12"/>
  <c r="Q88" i="12"/>
  <c r="P88" i="12"/>
  <c r="W87" i="12"/>
  <c r="V87" i="12"/>
  <c r="U87" i="12"/>
  <c r="T87" i="12"/>
  <c r="R87" i="12"/>
  <c r="Q87" i="12"/>
  <c r="P87" i="12"/>
  <c r="W86" i="12"/>
  <c r="V86" i="12"/>
  <c r="U86" i="12"/>
  <c r="T86" i="12"/>
  <c r="R86" i="12"/>
  <c r="Q86" i="12"/>
  <c r="P86" i="12"/>
  <c r="W85" i="12"/>
  <c r="V85" i="12"/>
  <c r="U85" i="12"/>
  <c r="T85" i="12"/>
  <c r="R85" i="12"/>
  <c r="Q85" i="12"/>
  <c r="P85" i="12"/>
  <c r="W84" i="12"/>
  <c r="V84" i="12"/>
  <c r="U84" i="12"/>
  <c r="T84" i="12"/>
  <c r="R84" i="12"/>
  <c r="Q84" i="12"/>
  <c r="P84" i="12"/>
  <c r="W83" i="12"/>
  <c r="V83" i="12"/>
  <c r="U83" i="12"/>
  <c r="T83" i="12"/>
  <c r="R83" i="12"/>
  <c r="Q83" i="12"/>
  <c r="P83" i="12"/>
  <c r="W82" i="12"/>
  <c r="V82" i="12"/>
  <c r="U82" i="12"/>
  <c r="T82" i="12"/>
  <c r="R82" i="12"/>
  <c r="Q82" i="12"/>
  <c r="P82" i="12"/>
  <c r="W81" i="12"/>
  <c r="V81" i="12"/>
  <c r="U81" i="12"/>
  <c r="T81" i="12"/>
  <c r="R81" i="12"/>
  <c r="Q81" i="12"/>
  <c r="P81" i="12"/>
  <c r="W80" i="12"/>
  <c r="V80" i="12"/>
  <c r="U80" i="12"/>
  <c r="T80" i="12"/>
  <c r="R80" i="12"/>
  <c r="Q80" i="12"/>
  <c r="P80" i="12"/>
  <c r="W79" i="12"/>
  <c r="V79" i="12"/>
  <c r="U79" i="12"/>
  <c r="T79" i="12"/>
  <c r="R79" i="12"/>
  <c r="Q79" i="12"/>
  <c r="P79" i="12"/>
  <c r="W78" i="12"/>
  <c r="V78" i="12"/>
  <c r="U78" i="12"/>
  <c r="T78" i="12"/>
  <c r="R78" i="12"/>
  <c r="Q78" i="12"/>
  <c r="P78" i="12"/>
  <c r="W77" i="12"/>
  <c r="V77" i="12"/>
  <c r="U77" i="12"/>
  <c r="T77" i="12"/>
  <c r="R77" i="12"/>
  <c r="Q77" i="12"/>
  <c r="P77" i="12"/>
  <c r="W76" i="12"/>
  <c r="V76" i="12"/>
  <c r="U76" i="12"/>
  <c r="T76" i="12"/>
  <c r="R76" i="12"/>
  <c r="Q76" i="12"/>
  <c r="P76" i="12"/>
  <c r="W75" i="12"/>
  <c r="V75" i="12"/>
  <c r="U75" i="12"/>
  <c r="T75" i="12"/>
  <c r="R75" i="12"/>
  <c r="Q75" i="12"/>
  <c r="P75" i="12"/>
  <c r="W74" i="12"/>
  <c r="V74" i="12"/>
  <c r="U74" i="12"/>
  <c r="T74" i="12"/>
  <c r="R74" i="12"/>
  <c r="Q74" i="12"/>
  <c r="P74" i="12"/>
  <c r="W73" i="12"/>
  <c r="V73" i="12"/>
  <c r="U73" i="12"/>
  <c r="T73" i="12"/>
  <c r="R73" i="12"/>
  <c r="Q73" i="12"/>
  <c r="P73" i="12"/>
  <c r="W72" i="12"/>
  <c r="V72" i="12"/>
  <c r="U72" i="12"/>
  <c r="T72" i="12"/>
  <c r="R72" i="12"/>
  <c r="Q72" i="12"/>
  <c r="P72" i="12"/>
  <c r="W71" i="12"/>
  <c r="V71" i="12"/>
  <c r="U71" i="12"/>
  <c r="T71" i="12"/>
  <c r="R71" i="12"/>
  <c r="Q71" i="12"/>
  <c r="P71" i="12"/>
  <c r="W70" i="12"/>
  <c r="V70" i="12"/>
  <c r="U70" i="12"/>
  <c r="T70" i="12"/>
  <c r="R70" i="12"/>
  <c r="Q70" i="12"/>
  <c r="P70" i="12"/>
  <c r="W69" i="12"/>
  <c r="V69" i="12"/>
  <c r="U69" i="12"/>
  <c r="T69" i="12"/>
  <c r="R69" i="12"/>
  <c r="Q69" i="12"/>
  <c r="P69" i="12"/>
  <c r="W68" i="12"/>
  <c r="V68" i="12"/>
  <c r="U68" i="12"/>
  <c r="T68" i="12"/>
  <c r="R68" i="12"/>
  <c r="Q68" i="12"/>
  <c r="P68" i="12"/>
  <c r="W67" i="12"/>
  <c r="V67" i="12"/>
  <c r="U67" i="12"/>
  <c r="T67" i="12"/>
  <c r="R67" i="12"/>
  <c r="Q67" i="12"/>
  <c r="P67" i="12"/>
  <c r="W66" i="12"/>
  <c r="V66" i="12"/>
  <c r="U66" i="12"/>
  <c r="T66" i="12"/>
  <c r="R66" i="12"/>
  <c r="Q66" i="12"/>
  <c r="P66" i="12"/>
  <c r="W65" i="12"/>
  <c r="V65" i="12"/>
  <c r="U65" i="12"/>
  <c r="T65" i="12"/>
  <c r="R65" i="12"/>
  <c r="Q65" i="12"/>
  <c r="P65" i="12"/>
  <c r="W64" i="12"/>
  <c r="V64" i="12"/>
  <c r="U64" i="12"/>
  <c r="T64" i="12"/>
  <c r="R64" i="12"/>
  <c r="Q64" i="12"/>
  <c r="P64" i="12"/>
  <c r="W63" i="12"/>
  <c r="V63" i="12"/>
  <c r="U63" i="12"/>
  <c r="T63" i="12"/>
  <c r="R63" i="12"/>
  <c r="Q63" i="12"/>
  <c r="P63" i="12"/>
  <c r="W62" i="12"/>
  <c r="V62" i="12"/>
  <c r="U62" i="12"/>
  <c r="T62" i="12"/>
  <c r="R62" i="12"/>
  <c r="Q62" i="12"/>
  <c r="P62" i="12"/>
  <c r="W61" i="12"/>
  <c r="V61" i="12"/>
  <c r="U61" i="12"/>
  <c r="T61" i="12"/>
  <c r="R61" i="12"/>
  <c r="Q61" i="12"/>
  <c r="P61" i="12"/>
  <c r="W60" i="12"/>
  <c r="V60" i="12"/>
  <c r="U60" i="12"/>
  <c r="T60" i="12"/>
  <c r="R60" i="12"/>
  <c r="Q60" i="12"/>
  <c r="P60" i="12"/>
  <c r="W59" i="12"/>
  <c r="V59" i="12"/>
  <c r="U59" i="12"/>
  <c r="T59" i="12"/>
  <c r="R59" i="12"/>
  <c r="Q59" i="12"/>
  <c r="P59" i="12"/>
  <c r="W58" i="12"/>
  <c r="V58" i="12"/>
  <c r="U58" i="12"/>
  <c r="T58" i="12"/>
  <c r="R58" i="12"/>
  <c r="Q58" i="12"/>
  <c r="P58" i="12"/>
  <c r="W57" i="12"/>
  <c r="V57" i="12"/>
  <c r="U57" i="12"/>
  <c r="T57" i="12"/>
  <c r="R57" i="12"/>
  <c r="Q57" i="12"/>
  <c r="P57" i="12"/>
  <c r="W56" i="12"/>
  <c r="V56" i="12"/>
  <c r="U56" i="12"/>
  <c r="T56" i="12"/>
  <c r="R56" i="12"/>
  <c r="Q56" i="12"/>
  <c r="P56" i="12"/>
  <c r="W55" i="12"/>
  <c r="V55" i="12"/>
  <c r="U55" i="12"/>
  <c r="T55" i="12"/>
  <c r="R55" i="12"/>
  <c r="Q55" i="12"/>
  <c r="P55" i="12"/>
  <c r="W54" i="12"/>
  <c r="V54" i="12"/>
  <c r="U54" i="12"/>
  <c r="T54" i="12"/>
  <c r="R54" i="12"/>
  <c r="Q54" i="12"/>
  <c r="P54" i="12"/>
  <c r="W53" i="12"/>
  <c r="V53" i="12"/>
  <c r="U53" i="12"/>
  <c r="T53" i="12"/>
  <c r="R53" i="12"/>
  <c r="Q53" i="12"/>
  <c r="P53" i="12"/>
  <c r="W52" i="12"/>
  <c r="V52" i="12"/>
  <c r="U52" i="12"/>
  <c r="T52" i="12"/>
  <c r="R52" i="12"/>
  <c r="Q52" i="12"/>
  <c r="P52" i="12"/>
  <c r="W51" i="12"/>
  <c r="V51" i="12"/>
  <c r="U51" i="12"/>
  <c r="T51" i="12"/>
  <c r="R51" i="12"/>
  <c r="Q51" i="12"/>
  <c r="P51" i="12"/>
  <c r="W50" i="12"/>
  <c r="Y434" i="12" s="1"/>
  <c r="V50" i="12"/>
  <c r="Y433" i="12" s="1"/>
  <c r="U50" i="12"/>
  <c r="Y432" i="12" s="1"/>
  <c r="T50" i="12"/>
  <c r="Y431" i="12" s="1"/>
  <c r="S50" i="12"/>
  <c r="Y430" i="12" s="1"/>
  <c r="R50" i="12"/>
  <c r="Y429" i="12" s="1"/>
  <c r="Q50" i="12"/>
  <c r="Y428" i="12" s="1"/>
  <c r="P50" i="12"/>
  <c r="Y427" i="12" s="1"/>
  <c r="O50" i="12"/>
  <c r="Y426" i="12" s="1"/>
  <c r="W49" i="12"/>
  <c r="Y425" i="12" s="1"/>
  <c r="V49" i="12"/>
  <c r="Y424" i="12" s="1"/>
  <c r="U49" i="12"/>
  <c r="Y423" i="12" s="1"/>
  <c r="T49" i="12"/>
  <c r="Y422" i="12" s="1"/>
  <c r="S49" i="12"/>
  <c r="Y421" i="12" s="1"/>
  <c r="R49" i="12"/>
  <c r="Y420" i="12" s="1"/>
  <c r="Q49" i="12"/>
  <c r="Y419" i="12" s="1"/>
  <c r="P49" i="12"/>
  <c r="Y418" i="12" s="1"/>
  <c r="O49" i="12"/>
  <c r="Y417" i="12" s="1"/>
  <c r="W48" i="12"/>
  <c r="Y416" i="12" s="1"/>
  <c r="V48" i="12"/>
  <c r="Y415" i="12" s="1"/>
  <c r="U48" i="12"/>
  <c r="Y414" i="12" s="1"/>
  <c r="T48" i="12"/>
  <c r="Y413" i="12" s="1"/>
  <c r="S48" i="12"/>
  <c r="Y412" i="12" s="1"/>
  <c r="R48" i="12"/>
  <c r="Y411" i="12" s="1"/>
  <c r="Q48" i="12"/>
  <c r="Y410" i="12" s="1"/>
  <c r="P48" i="12"/>
  <c r="Y409" i="12" s="1"/>
  <c r="O48" i="12"/>
  <c r="Y408" i="12" s="1"/>
  <c r="W47" i="12"/>
  <c r="Y407" i="12" s="1"/>
  <c r="V47" i="12"/>
  <c r="Y406" i="12" s="1"/>
  <c r="U47" i="12"/>
  <c r="Y405" i="12" s="1"/>
  <c r="T47" i="12"/>
  <c r="Y404" i="12" s="1"/>
  <c r="S47" i="12"/>
  <c r="Y403" i="12" s="1"/>
  <c r="R47" i="12"/>
  <c r="Y402" i="12" s="1"/>
  <c r="Q47" i="12"/>
  <c r="Y401" i="12" s="1"/>
  <c r="P47" i="12"/>
  <c r="Y400" i="12" s="1"/>
  <c r="O47" i="12"/>
  <c r="Y399" i="12" s="1"/>
  <c r="W46" i="12"/>
  <c r="Y398" i="12" s="1"/>
  <c r="V46" i="12"/>
  <c r="Y397" i="12" s="1"/>
  <c r="U46" i="12"/>
  <c r="Y396" i="12" s="1"/>
  <c r="T46" i="12"/>
  <c r="Y395" i="12" s="1"/>
  <c r="S46" i="12"/>
  <c r="Y394" i="12" s="1"/>
  <c r="R46" i="12"/>
  <c r="Y393" i="12" s="1"/>
  <c r="Q46" i="12"/>
  <c r="Y392" i="12" s="1"/>
  <c r="P46" i="12"/>
  <c r="Y391" i="12" s="1"/>
  <c r="O46" i="12"/>
  <c r="Y390" i="12" s="1"/>
  <c r="W45" i="12"/>
  <c r="Y389" i="12" s="1"/>
  <c r="V45" i="12"/>
  <c r="Y388" i="12" s="1"/>
  <c r="U45" i="12"/>
  <c r="Y387" i="12" s="1"/>
  <c r="T45" i="12"/>
  <c r="Y386" i="12" s="1"/>
  <c r="S45" i="12"/>
  <c r="Y385" i="12" s="1"/>
  <c r="R45" i="12"/>
  <c r="Y384" i="12" s="1"/>
  <c r="Q45" i="12"/>
  <c r="Y383" i="12" s="1"/>
  <c r="P45" i="12"/>
  <c r="Y382" i="12" s="1"/>
  <c r="O45" i="12"/>
  <c r="Y381" i="12" s="1"/>
  <c r="W44" i="12"/>
  <c r="Y380" i="12" s="1"/>
  <c r="V44" i="12"/>
  <c r="Y379" i="12" s="1"/>
  <c r="U44" i="12"/>
  <c r="Y378" i="12" s="1"/>
  <c r="T44" i="12"/>
  <c r="Y377" i="12" s="1"/>
  <c r="S44" i="12"/>
  <c r="Y376" i="12" s="1"/>
  <c r="R44" i="12"/>
  <c r="Y375" i="12" s="1"/>
  <c r="Q44" i="12"/>
  <c r="Y374" i="12" s="1"/>
  <c r="P44" i="12"/>
  <c r="Y373" i="12" s="1"/>
  <c r="O44" i="12"/>
  <c r="Y372" i="12" s="1"/>
  <c r="W43" i="12"/>
  <c r="Y371" i="12" s="1"/>
  <c r="V43" i="12"/>
  <c r="Y370" i="12" s="1"/>
  <c r="U43" i="12"/>
  <c r="Y369" i="12" s="1"/>
  <c r="T43" i="12"/>
  <c r="Y368" i="12" s="1"/>
  <c r="S43" i="12"/>
  <c r="Y367" i="12" s="1"/>
  <c r="R43" i="12"/>
  <c r="Y366" i="12" s="1"/>
  <c r="Q43" i="12"/>
  <c r="Y365" i="12" s="1"/>
  <c r="P43" i="12"/>
  <c r="Y364" i="12" s="1"/>
  <c r="O43" i="12"/>
  <c r="Y363" i="12" s="1"/>
  <c r="W42" i="12"/>
  <c r="Y362" i="12" s="1"/>
  <c r="V42" i="12"/>
  <c r="Y361" i="12" s="1"/>
  <c r="U42" i="12"/>
  <c r="Y360" i="12" s="1"/>
  <c r="T42" i="12"/>
  <c r="Y359" i="12" s="1"/>
  <c r="S42" i="12"/>
  <c r="Y358" i="12" s="1"/>
  <c r="R42" i="12"/>
  <c r="Y357" i="12" s="1"/>
  <c r="Q42" i="12"/>
  <c r="Y356" i="12" s="1"/>
  <c r="P42" i="12"/>
  <c r="Y355" i="12" s="1"/>
  <c r="O42" i="12"/>
  <c r="Y354" i="12" s="1"/>
  <c r="W41" i="12"/>
  <c r="Y353" i="12" s="1"/>
  <c r="V41" i="12"/>
  <c r="Y352" i="12" s="1"/>
  <c r="U41" i="12"/>
  <c r="Y351" i="12" s="1"/>
  <c r="T41" i="12"/>
  <c r="Y350" i="12" s="1"/>
  <c r="S41" i="12"/>
  <c r="Y349" i="12" s="1"/>
  <c r="R41" i="12"/>
  <c r="Y348" i="12" s="1"/>
  <c r="Q41" i="12"/>
  <c r="Y347" i="12" s="1"/>
  <c r="P41" i="12"/>
  <c r="Y346" i="12" s="1"/>
  <c r="O41" i="12"/>
  <c r="Y345" i="12" s="1"/>
  <c r="W40" i="12"/>
  <c r="Y344" i="12" s="1"/>
  <c r="V40" i="12"/>
  <c r="Y343" i="12" s="1"/>
  <c r="U40" i="12"/>
  <c r="Y342" i="12" s="1"/>
  <c r="T40" i="12"/>
  <c r="Y341" i="12" s="1"/>
  <c r="S40" i="12"/>
  <c r="Y340" i="12" s="1"/>
  <c r="R40" i="12"/>
  <c r="Y339" i="12" s="1"/>
  <c r="Q40" i="12"/>
  <c r="Y338" i="12" s="1"/>
  <c r="P40" i="12"/>
  <c r="Y337" i="12" s="1"/>
  <c r="O40" i="12"/>
  <c r="Y336" i="12" s="1"/>
  <c r="W39" i="12"/>
  <c r="Y335" i="12" s="1"/>
  <c r="V39" i="12"/>
  <c r="Y334" i="12" s="1"/>
  <c r="U39" i="12"/>
  <c r="Y333" i="12" s="1"/>
  <c r="T39" i="12"/>
  <c r="Y332" i="12" s="1"/>
  <c r="S39" i="12"/>
  <c r="Y331" i="12" s="1"/>
  <c r="R39" i="12"/>
  <c r="Y330" i="12" s="1"/>
  <c r="Q39" i="12"/>
  <c r="Y329" i="12" s="1"/>
  <c r="P39" i="12"/>
  <c r="Y328" i="12" s="1"/>
  <c r="O39" i="12"/>
  <c r="Y327" i="12" s="1"/>
  <c r="W38" i="12"/>
  <c r="Y326" i="12" s="1"/>
  <c r="V38" i="12"/>
  <c r="Y325" i="12" s="1"/>
  <c r="U38" i="12"/>
  <c r="Y324" i="12" s="1"/>
  <c r="T38" i="12"/>
  <c r="Y323" i="12" s="1"/>
  <c r="S38" i="12"/>
  <c r="Y322" i="12" s="1"/>
  <c r="R38" i="12"/>
  <c r="Y321" i="12" s="1"/>
  <c r="Q38" i="12"/>
  <c r="Y320" i="12" s="1"/>
  <c r="P38" i="12"/>
  <c r="Y319" i="12" s="1"/>
  <c r="O38" i="12"/>
  <c r="Y318" i="12" s="1"/>
  <c r="W37" i="12"/>
  <c r="Y317" i="12" s="1"/>
  <c r="V37" i="12"/>
  <c r="Y316" i="12" s="1"/>
  <c r="U37" i="12"/>
  <c r="Y315" i="12" s="1"/>
  <c r="T37" i="12"/>
  <c r="Y314" i="12" s="1"/>
  <c r="S37" i="12"/>
  <c r="Y313" i="12" s="1"/>
  <c r="R37" i="12"/>
  <c r="Y312" i="12" s="1"/>
  <c r="Q37" i="12"/>
  <c r="Y311" i="12" s="1"/>
  <c r="P37" i="12"/>
  <c r="Y310" i="12" s="1"/>
  <c r="O37" i="12"/>
  <c r="Y309" i="12" s="1"/>
  <c r="W36" i="12"/>
  <c r="Y308" i="12" s="1"/>
  <c r="V36" i="12"/>
  <c r="Y307" i="12" s="1"/>
  <c r="U36" i="12"/>
  <c r="Y306" i="12" s="1"/>
  <c r="T36" i="12"/>
  <c r="Y305" i="12" s="1"/>
  <c r="S36" i="12"/>
  <c r="Y304" i="12" s="1"/>
  <c r="R36" i="12"/>
  <c r="Y303" i="12" s="1"/>
  <c r="Q36" i="12"/>
  <c r="Y302" i="12" s="1"/>
  <c r="P36" i="12"/>
  <c r="Y301" i="12" s="1"/>
  <c r="O36" i="12"/>
  <c r="Y300" i="12" s="1"/>
  <c r="W35" i="12"/>
  <c r="Y299" i="12" s="1"/>
  <c r="V35" i="12"/>
  <c r="Y298" i="12" s="1"/>
  <c r="U35" i="12"/>
  <c r="Y297" i="12" s="1"/>
  <c r="T35" i="12"/>
  <c r="Y296" i="12" s="1"/>
  <c r="S35" i="12"/>
  <c r="Y295" i="12" s="1"/>
  <c r="R35" i="12"/>
  <c r="Y294" i="12" s="1"/>
  <c r="Q35" i="12"/>
  <c r="Y293" i="12" s="1"/>
  <c r="P35" i="12"/>
  <c r="Y292" i="12" s="1"/>
  <c r="O35" i="12"/>
  <c r="Y291" i="12" s="1"/>
  <c r="W34" i="12"/>
  <c r="Y290" i="12" s="1"/>
  <c r="V34" i="12"/>
  <c r="Y289" i="12" s="1"/>
  <c r="U34" i="12"/>
  <c r="Y288" i="12" s="1"/>
  <c r="T34" i="12"/>
  <c r="Y287" i="12" s="1"/>
  <c r="S34" i="12"/>
  <c r="Y286" i="12" s="1"/>
  <c r="R34" i="12"/>
  <c r="Y285" i="12" s="1"/>
  <c r="Z285" i="12" s="1"/>
  <c r="Q34" i="12"/>
  <c r="Y284" i="12" s="1"/>
  <c r="P34" i="12"/>
  <c r="Y283" i="12" s="1"/>
  <c r="O34" i="12"/>
  <c r="Y282" i="12" s="1"/>
  <c r="W33" i="12"/>
  <c r="Y281" i="12" s="1"/>
  <c r="V33" i="12"/>
  <c r="Y280" i="12" s="1"/>
  <c r="U33" i="12"/>
  <c r="Y279" i="12" s="1"/>
  <c r="T33" i="12"/>
  <c r="Y278" i="12" s="1"/>
  <c r="S33" i="12"/>
  <c r="Y277" i="12" s="1"/>
  <c r="R33" i="12"/>
  <c r="Y276" i="12" s="1"/>
  <c r="Q33" i="12"/>
  <c r="Y275" i="12" s="1"/>
  <c r="P33" i="12"/>
  <c r="Y274" i="12" s="1"/>
  <c r="O33" i="12"/>
  <c r="Y273" i="12" s="1"/>
  <c r="W32" i="12"/>
  <c r="Y272" i="12" s="1"/>
  <c r="V32" i="12"/>
  <c r="Y271" i="12" s="1"/>
  <c r="U32" i="12"/>
  <c r="Y270" i="12" s="1"/>
  <c r="T32" i="12"/>
  <c r="Y269" i="12" s="1"/>
  <c r="S32" i="12"/>
  <c r="Y268" i="12" s="1"/>
  <c r="R32" i="12"/>
  <c r="Y267" i="12" s="1"/>
  <c r="Q32" i="12"/>
  <c r="Y266" i="12" s="1"/>
  <c r="P32" i="12"/>
  <c r="Y265" i="12" s="1"/>
  <c r="O32" i="12"/>
  <c r="Y264" i="12" s="1"/>
  <c r="W31" i="12"/>
  <c r="Y263" i="12" s="1"/>
  <c r="V31" i="12"/>
  <c r="Y262" i="12" s="1"/>
  <c r="U31" i="12"/>
  <c r="Y261" i="12" s="1"/>
  <c r="T31" i="12"/>
  <c r="Y260" i="12" s="1"/>
  <c r="S31" i="12"/>
  <c r="Y259" i="12" s="1"/>
  <c r="R31" i="12"/>
  <c r="Y258" i="12" s="1"/>
  <c r="Q31" i="12"/>
  <c r="Y257" i="12" s="1"/>
  <c r="P31" i="12"/>
  <c r="Y256" i="12" s="1"/>
  <c r="O31" i="12"/>
  <c r="Y255" i="12" s="1"/>
  <c r="W30" i="12"/>
  <c r="Y254" i="12" s="1"/>
  <c r="V30" i="12"/>
  <c r="Y253" i="12" s="1"/>
  <c r="U30" i="12"/>
  <c r="Y252" i="12" s="1"/>
  <c r="T30" i="12"/>
  <c r="Y251" i="12" s="1"/>
  <c r="S30" i="12"/>
  <c r="Y250" i="12" s="1"/>
  <c r="R30" i="12"/>
  <c r="Y249" i="12" s="1"/>
  <c r="Q30" i="12"/>
  <c r="Y248" i="12" s="1"/>
  <c r="P30" i="12"/>
  <c r="Y247" i="12" s="1"/>
  <c r="O30" i="12"/>
  <c r="Y246" i="12" s="1"/>
  <c r="W29" i="12"/>
  <c r="Y245" i="12" s="1"/>
  <c r="V29" i="12"/>
  <c r="Y244" i="12" s="1"/>
  <c r="U29" i="12"/>
  <c r="Y243" i="12" s="1"/>
  <c r="T29" i="12"/>
  <c r="Y242" i="12" s="1"/>
  <c r="S29" i="12"/>
  <c r="Y241" i="12" s="1"/>
  <c r="R29" i="12"/>
  <c r="Y240" i="12" s="1"/>
  <c r="Q29" i="12"/>
  <c r="Y239" i="12" s="1"/>
  <c r="P29" i="12"/>
  <c r="Y238" i="12" s="1"/>
  <c r="O29" i="12"/>
  <c r="Y237" i="12" s="1"/>
  <c r="W28" i="12"/>
  <c r="Y236" i="12" s="1"/>
  <c r="V28" i="12"/>
  <c r="Y235" i="12" s="1"/>
  <c r="U28" i="12"/>
  <c r="Y234" i="12" s="1"/>
  <c r="T28" i="12"/>
  <c r="Y233" i="12" s="1"/>
  <c r="S28" i="12"/>
  <c r="Y232" i="12" s="1"/>
  <c r="R28" i="12"/>
  <c r="Y231" i="12" s="1"/>
  <c r="Q28" i="12"/>
  <c r="Y230" i="12" s="1"/>
  <c r="P28" i="12"/>
  <c r="Y229" i="12" s="1"/>
  <c r="O28" i="12"/>
  <c r="Y228" i="12" s="1"/>
  <c r="W27" i="12"/>
  <c r="Y227" i="12" s="1"/>
  <c r="V27" i="12"/>
  <c r="Y226" i="12" s="1"/>
  <c r="U27" i="12"/>
  <c r="Y225" i="12" s="1"/>
  <c r="T27" i="12"/>
  <c r="Y224" i="12" s="1"/>
  <c r="S27" i="12"/>
  <c r="Y223" i="12" s="1"/>
  <c r="R27" i="12"/>
  <c r="Y222" i="12" s="1"/>
  <c r="Q27" i="12"/>
  <c r="Y221" i="12" s="1"/>
  <c r="P27" i="12"/>
  <c r="Y220" i="12" s="1"/>
  <c r="O27" i="12"/>
  <c r="Y219" i="12" s="1"/>
  <c r="W26" i="12"/>
  <c r="Y218" i="12" s="1"/>
  <c r="V26" i="12"/>
  <c r="Y217" i="12" s="1"/>
  <c r="U26" i="12"/>
  <c r="Y216" i="12" s="1"/>
  <c r="T26" i="12"/>
  <c r="Y215" i="12" s="1"/>
  <c r="S26" i="12"/>
  <c r="Y214" i="12" s="1"/>
  <c r="R26" i="12"/>
  <c r="Y213" i="12" s="1"/>
  <c r="Q26" i="12"/>
  <c r="Y212" i="12" s="1"/>
  <c r="P26" i="12"/>
  <c r="Y211" i="12" s="1"/>
  <c r="O26" i="12"/>
  <c r="Y210" i="12" s="1"/>
  <c r="W25" i="12"/>
  <c r="Y209" i="12" s="1"/>
  <c r="V25" i="12"/>
  <c r="Y208" i="12" s="1"/>
  <c r="U25" i="12"/>
  <c r="Y207" i="12" s="1"/>
  <c r="T25" i="12"/>
  <c r="Y206" i="12" s="1"/>
  <c r="S25" i="12"/>
  <c r="Y205" i="12" s="1"/>
  <c r="R25" i="12"/>
  <c r="Y204" i="12" s="1"/>
  <c r="Q25" i="12"/>
  <c r="Y203" i="12" s="1"/>
  <c r="P25" i="12"/>
  <c r="Y202" i="12" s="1"/>
  <c r="O25" i="12"/>
  <c r="Y201" i="12" s="1"/>
  <c r="W24" i="12"/>
  <c r="Y200" i="12" s="1"/>
  <c r="V24" i="12"/>
  <c r="Y199" i="12" s="1"/>
  <c r="U24" i="12"/>
  <c r="Y198" i="12" s="1"/>
  <c r="T24" i="12"/>
  <c r="Y197" i="12" s="1"/>
  <c r="S24" i="12"/>
  <c r="Y196" i="12" s="1"/>
  <c r="R24" i="12"/>
  <c r="Y195" i="12" s="1"/>
  <c r="Q24" i="12"/>
  <c r="Y194" i="12" s="1"/>
  <c r="P24" i="12"/>
  <c r="Y193" i="12" s="1"/>
  <c r="O24" i="12"/>
  <c r="Y192" i="12" s="1"/>
  <c r="W23" i="12"/>
  <c r="Y191" i="12" s="1"/>
  <c r="V23" i="12"/>
  <c r="Y190" i="12" s="1"/>
  <c r="U23" i="12"/>
  <c r="Y189" i="12" s="1"/>
  <c r="T23" i="12"/>
  <c r="Y188" i="12" s="1"/>
  <c r="S23" i="12"/>
  <c r="Y187" i="12" s="1"/>
  <c r="R23" i="12"/>
  <c r="Y186" i="12" s="1"/>
  <c r="Q23" i="12"/>
  <c r="Y185" i="12" s="1"/>
  <c r="P23" i="12"/>
  <c r="Y184" i="12" s="1"/>
  <c r="O23" i="12"/>
  <c r="Y183" i="12" s="1"/>
  <c r="W22" i="12"/>
  <c r="Y182" i="12" s="1"/>
  <c r="V22" i="12"/>
  <c r="Y181" i="12" s="1"/>
  <c r="U22" i="12"/>
  <c r="Y180" i="12" s="1"/>
  <c r="T22" i="12"/>
  <c r="Y179" i="12" s="1"/>
  <c r="S22" i="12"/>
  <c r="Y178" i="12" s="1"/>
  <c r="R22" i="12"/>
  <c r="Y177" i="12" s="1"/>
  <c r="Q22" i="12"/>
  <c r="Y176" i="12" s="1"/>
  <c r="P22" i="12"/>
  <c r="Y175" i="12" s="1"/>
  <c r="O22" i="12"/>
  <c r="Y174" i="12" s="1"/>
  <c r="W21" i="12"/>
  <c r="Y173" i="12" s="1"/>
  <c r="V21" i="12"/>
  <c r="Y172" i="12" s="1"/>
  <c r="U21" i="12"/>
  <c r="Y171" i="12" s="1"/>
  <c r="T21" i="12"/>
  <c r="Y170" i="12" s="1"/>
  <c r="S21" i="12"/>
  <c r="Y169" i="12" s="1"/>
  <c r="R21" i="12"/>
  <c r="Y168" i="12" s="1"/>
  <c r="Q21" i="12"/>
  <c r="Y167" i="12" s="1"/>
  <c r="P21" i="12"/>
  <c r="Y166" i="12" s="1"/>
  <c r="O21" i="12"/>
  <c r="Y165" i="12" s="1"/>
  <c r="W20" i="12"/>
  <c r="Y164" i="12" s="1"/>
  <c r="V20" i="12"/>
  <c r="Y163" i="12" s="1"/>
  <c r="U20" i="12"/>
  <c r="Y162" i="12" s="1"/>
  <c r="T20" i="12"/>
  <c r="Y161" i="12" s="1"/>
  <c r="S20" i="12"/>
  <c r="Y160" i="12" s="1"/>
  <c r="R20" i="12"/>
  <c r="Y159" i="12" s="1"/>
  <c r="Q20" i="12"/>
  <c r="Y158" i="12" s="1"/>
  <c r="P20" i="12"/>
  <c r="Y157" i="12" s="1"/>
  <c r="O20" i="12"/>
  <c r="Y156" i="12" s="1"/>
  <c r="W19" i="12"/>
  <c r="Y155" i="12" s="1"/>
  <c r="V19" i="12"/>
  <c r="Y154" i="12" s="1"/>
  <c r="U19" i="12"/>
  <c r="Y153" i="12" s="1"/>
  <c r="T19" i="12"/>
  <c r="Y152" i="12" s="1"/>
  <c r="S19" i="12"/>
  <c r="Y151" i="12" s="1"/>
  <c r="R19" i="12"/>
  <c r="Y150" i="12" s="1"/>
  <c r="AB150" i="12" s="1"/>
  <c r="Q19" i="12"/>
  <c r="Y149" i="12" s="1"/>
  <c r="P19" i="12"/>
  <c r="Y148" i="12" s="1"/>
  <c r="O19" i="12"/>
  <c r="Y147" i="12" s="1"/>
  <c r="W18" i="12"/>
  <c r="Y146" i="12" s="1"/>
  <c r="V18" i="12"/>
  <c r="Y145" i="12" s="1"/>
  <c r="U18" i="12"/>
  <c r="Y144" i="12" s="1"/>
  <c r="T18" i="12"/>
  <c r="Y143" i="12" s="1"/>
  <c r="S18" i="12"/>
  <c r="Y142" i="12" s="1"/>
  <c r="R18" i="12"/>
  <c r="Y141" i="12" s="1"/>
  <c r="Q18" i="12"/>
  <c r="Y140" i="12" s="1"/>
  <c r="P18" i="12"/>
  <c r="Y139" i="12" s="1"/>
  <c r="O18" i="12"/>
  <c r="Y138" i="12" s="1"/>
  <c r="W17" i="12"/>
  <c r="Y137" i="12" s="1"/>
  <c r="V17" i="12"/>
  <c r="Y136" i="12" s="1"/>
  <c r="U17" i="12"/>
  <c r="Y135" i="12" s="1"/>
  <c r="T17" i="12"/>
  <c r="Y134" i="12" s="1"/>
  <c r="S17" i="12"/>
  <c r="Y133" i="12" s="1"/>
  <c r="R17" i="12"/>
  <c r="Y132" i="12" s="1"/>
  <c r="Q17" i="12"/>
  <c r="Y131" i="12" s="1"/>
  <c r="P17" i="12"/>
  <c r="Y130" i="12" s="1"/>
  <c r="O17" i="12"/>
  <c r="Y129" i="12" s="1"/>
  <c r="W16" i="12"/>
  <c r="Y128" i="12" s="1"/>
  <c r="V16" i="12"/>
  <c r="Y127" i="12" s="1"/>
  <c r="U16" i="12"/>
  <c r="Y126" i="12" s="1"/>
  <c r="T16" i="12"/>
  <c r="Y125" i="12" s="1"/>
  <c r="S16" i="12"/>
  <c r="Y124" i="12" s="1"/>
  <c r="R16" i="12"/>
  <c r="Y123" i="12" s="1"/>
  <c r="AB123" i="12" s="1"/>
  <c r="Q16" i="12"/>
  <c r="Y122" i="12" s="1"/>
  <c r="P16" i="12"/>
  <c r="Y121" i="12" s="1"/>
  <c r="O16" i="12"/>
  <c r="Y120" i="12" s="1"/>
  <c r="W15" i="12"/>
  <c r="Y119" i="12" s="1"/>
  <c r="V15" i="12"/>
  <c r="Y118" i="12" s="1"/>
  <c r="U15" i="12"/>
  <c r="Y117" i="12" s="1"/>
  <c r="Z117" i="12" s="1"/>
  <c r="T15" i="12"/>
  <c r="Y116" i="12" s="1"/>
  <c r="S15" i="12"/>
  <c r="Y115" i="12" s="1"/>
  <c r="R15" i="12"/>
  <c r="Y114" i="12" s="1"/>
  <c r="Q15" i="12"/>
  <c r="Y113" i="12" s="1"/>
  <c r="P15" i="12"/>
  <c r="Y112" i="12" s="1"/>
  <c r="O15" i="12"/>
  <c r="Y111" i="12" s="1"/>
  <c r="W14" i="12"/>
  <c r="Y110" i="12" s="1"/>
  <c r="V14" i="12"/>
  <c r="Y109" i="12" s="1"/>
  <c r="U14" i="12"/>
  <c r="Y108" i="12" s="1"/>
  <c r="T14" i="12"/>
  <c r="Y107" i="12" s="1"/>
  <c r="S14" i="12"/>
  <c r="Y106" i="12" s="1"/>
  <c r="R14" i="12"/>
  <c r="Y105" i="12" s="1"/>
  <c r="Q14" i="12"/>
  <c r="Y104" i="12" s="1"/>
  <c r="P14" i="12"/>
  <c r="Y103" i="12" s="1"/>
  <c r="O14" i="12"/>
  <c r="Y102" i="12" s="1"/>
  <c r="W13" i="12"/>
  <c r="Y101" i="12" s="1"/>
  <c r="V13" i="12"/>
  <c r="Y100" i="12" s="1"/>
  <c r="U13" i="12"/>
  <c r="Y99" i="12" s="1"/>
  <c r="AB99" i="12" s="1"/>
  <c r="T13" i="12"/>
  <c r="Y98" i="12" s="1"/>
  <c r="S13" i="12"/>
  <c r="Y97" i="12" s="1"/>
  <c r="R13" i="12"/>
  <c r="Y96" i="12" s="1"/>
  <c r="Q13" i="12"/>
  <c r="Y95" i="12" s="1"/>
  <c r="P13" i="12"/>
  <c r="Y94" i="12" s="1"/>
  <c r="O13" i="12"/>
  <c r="Y93" i="12" s="1"/>
  <c r="W12" i="12"/>
  <c r="Y92" i="12" s="1"/>
  <c r="V12" i="12"/>
  <c r="Y91" i="12" s="1"/>
  <c r="U12" i="12"/>
  <c r="Y90" i="12" s="1"/>
  <c r="T12" i="12"/>
  <c r="Y89" i="12" s="1"/>
  <c r="S12" i="12"/>
  <c r="Y88" i="12" s="1"/>
  <c r="R12" i="12"/>
  <c r="Y87" i="12" s="1"/>
  <c r="Q12" i="12"/>
  <c r="Y86" i="12" s="1"/>
  <c r="P12" i="12"/>
  <c r="Y85" i="12" s="1"/>
  <c r="O12" i="12"/>
  <c r="Y84" i="12" s="1"/>
  <c r="W11" i="12"/>
  <c r="Y83" i="12" s="1"/>
  <c r="V11" i="12"/>
  <c r="Y82" i="12" s="1"/>
  <c r="U11" i="12"/>
  <c r="Y81" i="12" s="1"/>
  <c r="T11" i="12"/>
  <c r="Y80" i="12" s="1"/>
  <c r="S11" i="12"/>
  <c r="Y79" i="12" s="1"/>
  <c r="R11" i="12"/>
  <c r="Y78" i="12" s="1"/>
  <c r="Q11" i="12"/>
  <c r="Y77" i="12" s="1"/>
  <c r="P11" i="12"/>
  <c r="Y76" i="12" s="1"/>
  <c r="O11" i="12"/>
  <c r="Y75" i="12" s="1"/>
  <c r="W10" i="12"/>
  <c r="Y74" i="12" s="1"/>
  <c r="V10" i="12"/>
  <c r="Y73" i="12" s="1"/>
  <c r="U10" i="12"/>
  <c r="Y72" i="12" s="1"/>
  <c r="T10" i="12"/>
  <c r="Y71" i="12" s="1"/>
  <c r="S10" i="12"/>
  <c r="Y70" i="12" s="1"/>
  <c r="R10" i="12"/>
  <c r="Y69" i="12" s="1"/>
  <c r="Q10" i="12"/>
  <c r="Y68" i="12" s="1"/>
  <c r="Z68" i="12" s="1"/>
  <c r="P10" i="12"/>
  <c r="Y67" i="12" s="1"/>
  <c r="O10" i="12"/>
  <c r="Y66" i="12" s="1"/>
  <c r="W9" i="12"/>
  <c r="Y65" i="12" s="1"/>
  <c r="V9" i="12"/>
  <c r="Y64" i="12" s="1"/>
  <c r="U9" i="12"/>
  <c r="Y63" i="12" s="1"/>
  <c r="AA63" i="12" s="1"/>
  <c r="T9" i="12"/>
  <c r="Y62" i="12" s="1"/>
  <c r="AA62" i="12" s="1"/>
  <c r="S9" i="12"/>
  <c r="Y61" i="12" s="1"/>
  <c r="R9" i="12"/>
  <c r="Y60" i="12" s="1"/>
  <c r="AA60" i="12" s="1"/>
  <c r="Q9" i="12"/>
  <c r="Y59" i="12" s="1"/>
  <c r="AA59" i="12" s="1"/>
  <c r="P9" i="12"/>
  <c r="Y58" i="12" s="1"/>
  <c r="AA58" i="12" s="1"/>
  <c r="O9" i="12"/>
  <c r="Y57" i="12" s="1"/>
  <c r="W8" i="12"/>
  <c r="Y56" i="12" s="1"/>
  <c r="AA56" i="12" s="1"/>
  <c r="V8" i="12"/>
  <c r="Y55" i="12" s="1"/>
  <c r="AA55" i="12" s="1"/>
  <c r="U8" i="12"/>
  <c r="Y54" i="12" s="1"/>
  <c r="AA54" i="12" s="1"/>
  <c r="T8" i="12"/>
  <c r="Y53" i="12" s="1"/>
  <c r="S8" i="12"/>
  <c r="Y52" i="12" s="1"/>
  <c r="AA52" i="12" s="1"/>
  <c r="R8" i="12"/>
  <c r="Y51" i="12" s="1"/>
  <c r="AA51" i="12" s="1"/>
  <c r="Q8" i="12"/>
  <c r="Y50" i="12" s="1"/>
  <c r="AA50" i="12" s="1"/>
  <c r="P8" i="12"/>
  <c r="Y49" i="12" s="1"/>
  <c r="O8" i="12"/>
  <c r="Y48" i="12" s="1"/>
  <c r="AA48" i="12" s="1"/>
  <c r="W7" i="12"/>
  <c r="Y47" i="12" s="1"/>
  <c r="V7" i="12"/>
  <c r="Y46" i="12" s="1"/>
  <c r="AA46" i="12" s="1"/>
  <c r="U7" i="12"/>
  <c r="Y45" i="12" s="1"/>
  <c r="T7" i="12"/>
  <c r="Y44" i="12" s="1"/>
  <c r="S7" i="12"/>
  <c r="Y43" i="12" s="1"/>
  <c r="R7" i="12"/>
  <c r="Y42" i="12" s="1"/>
  <c r="AA42" i="12" s="1"/>
  <c r="Q7" i="12"/>
  <c r="Y41" i="12" s="1"/>
  <c r="P7" i="12"/>
  <c r="Y40" i="12" s="1"/>
  <c r="O7" i="12"/>
  <c r="Y39" i="12" s="1"/>
  <c r="W6" i="12"/>
  <c r="Y38" i="12" s="1"/>
  <c r="AA38" i="12" s="1"/>
  <c r="V6" i="12"/>
  <c r="Y37" i="12" s="1"/>
  <c r="U6" i="12"/>
  <c r="Y36" i="12" s="1"/>
  <c r="T6" i="12"/>
  <c r="Y35" i="12" s="1"/>
  <c r="S6" i="12"/>
  <c r="Y34" i="12" s="1"/>
  <c r="AA34" i="12" s="1"/>
  <c r="R6" i="12"/>
  <c r="Y33" i="12" s="1"/>
  <c r="Q6" i="12"/>
  <c r="Y32" i="12" s="1"/>
  <c r="AA32" i="12" s="1"/>
  <c r="P6" i="12"/>
  <c r="Y31" i="12" s="1"/>
  <c r="O6" i="12"/>
  <c r="Y30" i="12" s="1"/>
  <c r="W5" i="12"/>
  <c r="Y29" i="12" s="1"/>
  <c r="V5" i="12"/>
  <c r="Y28" i="12" s="1"/>
  <c r="U5" i="12"/>
  <c r="Y27" i="12" s="1"/>
  <c r="T5" i="12"/>
  <c r="Y26" i="12" s="1"/>
  <c r="S5" i="12"/>
  <c r="Y25" i="12" s="1"/>
  <c r="R5" i="12"/>
  <c r="Y24" i="12" s="1"/>
  <c r="Q5" i="12"/>
  <c r="Y23" i="12" s="1"/>
  <c r="P5" i="12"/>
  <c r="Y22" i="12" s="1"/>
  <c r="O5" i="12"/>
  <c r="Y21" i="12" s="1"/>
  <c r="W4" i="12"/>
  <c r="Y20" i="12" s="1"/>
  <c r="V4" i="12"/>
  <c r="Y19" i="12" s="1"/>
  <c r="U4" i="12"/>
  <c r="Y18" i="12" s="1"/>
  <c r="T4" i="12"/>
  <c r="Y17" i="12" s="1"/>
  <c r="S4" i="12"/>
  <c r="Y16" i="12" s="1"/>
  <c r="R4" i="12"/>
  <c r="Y15" i="12" s="1"/>
  <c r="Q4" i="12"/>
  <c r="Y14" i="12" s="1"/>
  <c r="P4" i="12"/>
  <c r="Y13" i="12" s="1"/>
  <c r="O4" i="12"/>
  <c r="Y12" i="12" s="1"/>
  <c r="W3" i="12"/>
  <c r="Y11" i="12" s="1"/>
  <c r="V3" i="12"/>
  <c r="Y10" i="12" s="1"/>
  <c r="U3" i="12"/>
  <c r="Y9" i="12" s="1"/>
  <c r="T3" i="12"/>
  <c r="Y8" i="12" s="1"/>
  <c r="S3" i="12"/>
  <c r="Y7" i="12" s="1"/>
  <c r="R3" i="12"/>
  <c r="Y6" i="12" s="1"/>
  <c r="Y5" i="12"/>
  <c r="P3" i="12"/>
  <c r="Y4" i="12" s="1"/>
  <c r="O3" i="12"/>
  <c r="Y3" i="12" s="1"/>
  <c r="AB3" i="12" s="1"/>
  <c r="AA2" i="12"/>
  <c r="B1" i="12"/>
  <c r="M177" i="8" l="1"/>
  <c r="P178" i="8"/>
  <c r="O177" i="8"/>
  <c r="N177" i="8"/>
  <c r="P159" i="8"/>
  <c r="N159" i="8"/>
  <c r="P187" i="8"/>
  <c r="O193" i="8"/>
  <c r="N194" i="8"/>
  <c r="N178" i="8"/>
  <c r="P192" i="8"/>
  <c r="O187" i="8"/>
  <c r="M187" i="8"/>
  <c r="M193" i="8"/>
  <c r="P193" i="8"/>
  <c r="N181" i="8"/>
  <c r="N190" i="8"/>
  <c r="N192" i="8"/>
  <c r="O201" i="8"/>
  <c r="N197" i="8"/>
  <c r="M197" i="8"/>
  <c r="O185" i="8"/>
  <c r="P197" i="8"/>
  <c r="N180" i="8"/>
  <c r="P196" i="8"/>
  <c r="M184" i="8"/>
  <c r="P195" i="8"/>
  <c r="O184" i="8"/>
  <c r="M195" i="8"/>
  <c r="N185" i="8"/>
  <c r="P184" i="8"/>
  <c r="O196" i="8"/>
  <c r="P201" i="8"/>
  <c r="M196" i="8"/>
  <c r="N195" i="8"/>
  <c r="N201" i="8"/>
  <c r="M185" i="8"/>
  <c r="O190" i="8"/>
  <c r="N182" i="8"/>
  <c r="O188" i="8"/>
  <c r="P188" i="8"/>
  <c r="M181" i="8"/>
  <c r="M192" i="8"/>
  <c r="P181" i="8"/>
  <c r="O198" i="8"/>
  <c r="O179" i="8"/>
  <c r="M182" i="8"/>
  <c r="M194" i="8"/>
  <c r="N198" i="8"/>
  <c r="O178" i="8"/>
  <c r="M188" i="8"/>
  <c r="O182" i="8"/>
  <c r="O194" i="8"/>
  <c r="M198" i="8"/>
  <c r="O199" i="8"/>
  <c r="N183" i="8"/>
  <c r="M179" i="8"/>
  <c r="P180" i="8"/>
  <c r="O183" i="8"/>
  <c r="M190" i="8"/>
  <c r="P179" i="8"/>
  <c r="O180" i="8"/>
  <c r="P183" i="8"/>
  <c r="M199" i="8"/>
  <c r="P199" i="8"/>
  <c r="O186" i="8"/>
  <c r="M186" i="8"/>
  <c r="N186" i="8"/>
  <c r="P186" i="8"/>
  <c r="M200" i="8"/>
  <c r="P200" i="8"/>
  <c r="O200" i="8"/>
  <c r="N200" i="8"/>
  <c r="N191" i="8"/>
  <c r="M191" i="8"/>
  <c r="P191" i="8"/>
  <c r="O191" i="8"/>
  <c r="P189" i="8"/>
  <c r="M189" i="8"/>
  <c r="N189" i="8"/>
  <c r="O189" i="8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Z8" i="12"/>
  <c r="AB8" i="12"/>
  <c r="AA8" i="12"/>
  <c r="AB7" i="12"/>
  <c r="Z7" i="12"/>
  <c r="Z4" i="12"/>
  <c r="AA4" i="12"/>
  <c r="AB4" i="12"/>
  <c r="Z3" i="12"/>
  <c r="X3" i="12" s="1"/>
  <c r="AA6" i="12"/>
  <c r="Z6" i="12"/>
  <c r="AB6" i="12"/>
  <c r="AA16" i="12"/>
  <c r="AB16" i="12"/>
  <c r="Z16" i="12"/>
  <c r="AB25" i="12"/>
  <c r="Z25" i="12"/>
  <c r="AA25" i="12"/>
  <c r="AB37" i="12"/>
  <c r="AA37" i="12"/>
  <c r="Z37" i="12"/>
  <c r="AB17" i="12"/>
  <c r="AA17" i="12"/>
  <c r="Z17" i="12"/>
  <c r="Z22" i="12"/>
  <c r="AB22" i="12"/>
  <c r="AA22" i="12"/>
  <c r="Z26" i="12"/>
  <c r="AB26" i="12"/>
  <c r="AA26" i="12"/>
  <c r="Z30" i="12"/>
  <c r="AB30" i="12"/>
  <c r="AA30" i="12"/>
  <c r="AB69" i="12"/>
  <c r="AA69" i="12"/>
  <c r="Z69" i="12"/>
  <c r="AB85" i="12"/>
  <c r="AA85" i="12"/>
  <c r="Z85" i="12"/>
  <c r="AB89" i="12"/>
  <c r="AA89" i="12"/>
  <c r="Z89" i="12"/>
  <c r="AB93" i="12"/>
  <c r="AA93" i="12"/>
  <c r="Z93" i="12"/>
  <c r="AA10" i="12"/>
  <c r="AB10" i="12"/>
  <c r="Z10" i="12"/>
  <c r="AA20" i="12"/>
  <c r="Z20" i="12"/>
  <c r="AB20" i="12"/>
  <c r="AB29" i="12"/>
  <c r="Z29" i="12"/>
  <c r="AA29" i="12"/>
  <c r="AB41" i="12"/>
  <c r="AA41" i="12"/>
  <c r="Z41" i="12"/>
  <c r="AB11" i="12"/>
  <c r="AA11" i="12"/>
  <c r="Z11" i="12"/>
  <c r="AA18" i="12"/>
  <c r="Z18" i="12"/>
  <c r="AB18" i="12"/>
  <c r="AB31" i="12"/>
  <c r="Z31" i="12"/>
  <c r="AA31" i="12"/>
  <c r="AB35" i="12"/>
  <c r="AA35" i="12"/>
  <c r="Z35" i="12"/>
  <c r="AB39" i="12"/>
  <c r="AA39" i="12"/>
  <c r="Z39" i="12"/>
  <c r="AB43" i="12"/>
  <c r="AA43" i="12"/>
  <c r="Z43" i="12"/>
  <c r="AB47" i="12"/>
  <c r="AA47" i="12"/>
  <c r="Z47" i="12"/>
  <c r="AB49" i="12"/>
  <c r="AA49" i="12"/>
  <c r="Z49" i="12"/>
  <c r="AB114" i="12"/>
  <c r="AA114" i="12"/>
  <c r="Z114" i="12"/>
  <c r="AB130" i="12"/>
  <c r="AA130" i="12"/>
  <c r="Z130" i="12"/>
  <c r="AA12" i="12"/>
  <c r="Z12" i="12"/>
  <c r="AB12" i="12"/>
  <c r="Z21" i="12"/>
  <c r="AA21" i="12"/>
  <c r="AB21" i="12"/>
  <c r="AB33" i="12"/>
  <c r="AA33" i="12"/>
  <c r="Z33" i="12"/>
  <c r="AB45" i="12"/>
  <c r="AA45" i="12"/>
  <c r="Z45" i="12"/>
  <c r="Z13" i="12"/>
  <c r="AB13" i="12"/>
  <c r="AA13" i="12"/>
  <c r="AA14" i="12"/>
  <c r="AB14" i="12"/>
  <c r="Z14" i="12"/>
  <c r="AB23" i="12"/>
  <c r="Z23" i="12"/>
  <c r="AA23" i="12"/>
  <c r="AB27" i="12"/>
  <c r="Z27" i="12"/>
  <c r="AA27" i="12"/>
  <c r="AB5" i="12"/>
  <c r="AA5" i="12"/>
  <c r="Z5" i="12"/>
  <c r="AB9" i="12"/>
  <c r="Z9" i="12"/>
  <c r="AA9" i="12"/>
  <c r="AB15" i="12"/>
  <c r="AA15" i="12"/>
  <c r="Z15" i="12"/>
  <c r="AB19" i="12"/>
  <c r="AA19" i="12"/>
  <c r="Z19" i="12"/>
  <c r="Z24" i="12"/>
  <c r="AB24" i="12"/>
  <c r="AA24" i="12"/>
  <c r="Z28" i="12"/>
  <c r="AB28" i="12"/>
  <c r="AA28" i="12"/>
  <c r="AB71" i="12"/>
  <c r="Z71" i="12"/>
  <c r="AA71" i="12"/>
  <c r="AB75" i="12"/>
  <c r="Z75" i="12"/>
  <c r="AA75" i="12"/>
  <c r="Z53" i="12"/>
  <c r="AB53" i="12"/>
  <c r="AB67" i="12"/>
  <c r="Z67" i="12"/>
  <c r="AB82" i="12"/>
  <c r="AA82" i="12"/>
  <c r="Z82" i="12"/>
  <c r="Z100" i="12"/>
  <c r="AB100" i="12"/>
  <c r="AA100" i="12"/>
  <c r="AB118" i="12"/>
  <c r="AA118" i="12"/>
  <c r="Z118" i="12"/>
  <c r="AB125" i="12"/>
  <c r="AA125" i="12"/>
  <c r="Z125" i="12"/>
  <c r="AB136" i="12"/>
  <c r="AA136" i="12"/>
  <c r="Z136" i="12"/>
  <c r="Z143" i="12"/>
  <c r="AB143" i="12"/>
  <c r="AA143" i="12"/>
  <c r="AA154" i="12"/>
  <c r="Z154" i="12"/>
  <c r="AB154" i="12"/>
  <c r="AB161" i="12"/>
  <c r="AA161" i="12"/>
  <c r="Z161" i="12"/>
  <c r="AB177" i="12"/>
  <c r="AA177" i="12"/>
  <c r="Z177" i="12"/>
  <c r="AB185" i="12"/>
  <c r="AA185" i="12"/>
  <c r="Z185" i="12"/>
  <c r="AB201" i="12"/>
  <c r="Z201" i="12"/>
  <c r="AA201" i="12"/>
  <c r="AB209" i="12"/>
  <c r="Z209" i="12"/>
  <c r="AA209" i="12"/>
  <c r="AB225" i="12"/>
  <c r="Z225" i="12"/>
  <c r="AA225" i="12"/>
  <c r="AB241" i="12"/>
  <c r="Z241" i="12"/>
  <c r="AA241" i="12"/>
  <c r="AB257" i="12"/>
  <c r="AA257" i="12"/>
  <c r="Z257" i="12"/>
  <c r="AB273" i="12"/>
  <c r="AA273" i="12"/>
  <c r="Z273" i="12"/>
  <c r="AA67" i="12"/>
  <c r="AB81" i="12"/>
  <c r="AA81" i="12"/>
  <c r="Z81" i="12"/>
  <c r="AB97" i="12"/>
  <c r="AA97" i="12"/>
  <c r="Z97" i="12"/>
  <c r="AB141" i="12"/>
  <c r="AA141" i="12"/>
  <c r="Z141" i="12"/>
  <c r="AA3" i="12"/>
  <c r="Z50" i="12"/>
  <c r="AB50" i="12"/>
  <c r="Z57" i="12"/>
  <c r="AB57" i="12"/>
  <c r="Z61" i="12"/>
  <c r="AB61" i="12"/>
  <c r="Z65" i="12"/>
  <c r="AB65" i="12"/>
  <c r="AB68" i="12"/>
  <c r="AA68" i="12"/>
  <c r="AB72" i="12"/>
  <c r="Z72" i="12"/>
  <c r="AB79" i="12"/>
  <c r="AA79" i="12"/>
  <c r="Z79" i="12"/>
  <c r="AB83" i="12"/>
  <c r="AA83" i="12"/>
  <c r="Z83" i="12"/>
  <c r="AB86" i="12"/>
  <c r="AA86" i="12"/>
  <c r="Z86" i="12"/>
  <c r="AB90" i="12"/>
  <c r="AA90" i="12"/>
  <c r="Z90" i="12"/>
  <c r="AB101" i="12"/>
  <c r="AA101" i="12"/>
  <c r="Z104" i="12"/>
  <c r="AB104" i="12"/>
  <c r="Z108" i="12"/>
  <c r="AB108" i="12"/>
  <c r="AA108" i="12"/>
  <c r="AA111" i="12"/>
  <c r="Z111" i="12"/>
  <c r="AB111" i="12"/>
  <c r="AA115" i="12"/>
  <c r="Z115" i="12"/>
  <c r="AB115" i="12"/>
  <c r="AA119" i="12"/>
  <c r="Z119" i="12"/>
  <c r="AB119" i="12"/>
  <c r="AB122" i="12"/>
  <c r="AA122" i="12"/>
  <c r="Z122" i="12"/>
  <c r="AB126" i="12"/>
  <c r="AA126" i="12"/>
  <c r="Z126" i="12"/>
  <c r="AB129" i="12"/>
  <c r="AA129" i="12"/>
  <c r="Z129" i="12"/>
  <c r="AB133" i="12"/>
  <c r="AA133" i="12"/>
  <c r="Z133" i="12"/>
  <c r="AB137" i="12"/>
  <c r="AA137" i="12"/>
  <c r="Z137" i="12"/>
  <c r="AB140" i="12"/>
  <c r="AA140" i="12"/>
  <c r="Z140" i="12"/>
  <c r="AB144" i="12"/>
  <c r="AA144" i="12"/>
  <c r="Z144" i="12"/>
  <c r="Z147" i="12"/>
  <c r="AB147" i="12"/>
  <c r="AA147" i="12"/>
  <c r="Z151" i="12"/>
  <c r="AB151" i="12"/>
  <c r="AA151" i="12"/>
  <c r="Z155" i="12"/>
  <c r="AB155" i="12"/>
  <c r="AA155" i="12"/>
  <c r="AA158" i="12"/>
  <c r="Z158" i="12"/>
  <c r="AB158" i="12"/>
  <c r="AA162" i="12"/>
  <c r="Z162" i="12"/>
  <c r="AB162" i="12"/>
  <c r="AB165" i="12"/>
  <c r="AA165" i="12"/>
  <c r="Z165" i="12"/>
  <c r="AB169" i="12"/>
  <c r="AA169" i="12"/>
  <c r="Z169" i="12"/>
  <c r="AB173" i="12"/>
  <c r="AA173" i="12"/>
  <c r="Z173" i="12"/>
  <c r="AA174" i="12"/>
  <c r="Z174" i="12"/>
  <c r="AB174" i="12"/>
  <c r="AA178" i="12"/>
  <c r="Z178" i="12"/>
  <c r="AB178" i="12"/>
  <c r="AA182" i="12"/>
  <c r="Z182" i="12"/>
  <c r="AB182" i="12"/>
  <c r="AA194" i="12"/>
  <c r="Z194" i="12"/>
  <c r="AB194" i="12"/>
  <c r="Z198" i="12"/>
  <c r="AB198" i="12"/>
  <c r="AA198" i="12"/>
  <c r="Z210" i="12"/>
  <c r="AB210" i="12"/>
  <c r="AA210" i="12"/>
  <c r="Z214" i="12"/>
  <c r="AB214" i="12"/>
  <c r="AA214" i="12"/>
  <c r="Z218" i="12"/>
  <c r="AB218" i="12"/>
  <c r="AA218" i="12"/>
  <c r="Z230" i="12"/>
  <c r="AB230" i="12"/>
  <c r="AA230" i="12"/>
  <c r="Z234" i="12"/>
  <c r="AB234" i="12"/>
  <c r="AA234" i="12"/>
  <c r="Z246" i="12"/>
  <c r="AB246" i="12"/>
  <c r="AA246" i="12"/>
  <c r="Z250" i="12"/>
  <c r="AB250" i="12"/>
  <c r="AA250" i="12"/>
  <c r="Z254" i="12"/>
  <c r="AB254" i="12"/>
  <c r="AA254" i="12"/>
  <c r="AA266" i="12"/>
  <c r="Z266" i="12"/>
  <c r="AB266" i="12"/>
  <c r="AA270" i="12"/>
  <c r="Z270" i="12"/>
  <c r="AB270" i="12"/>
  <c r="Z101" i="12"/>
  <c r="Z42" i="12"/>
  <c r="AB42" i="12"/>
  <c r="Z64" i="12"/>
  <c r="AB64" i="12"/>
  <c r="AB78" i="12"/>
  <c r="AA78" i="12"/>
  <c r="Z78" i="12"/>
  <c r="AA103" i="12"/>
  <c r="Z103" i="12"/>
  <c r="AB103" i="12"/>
  <c r="AB132" i="12"/>
  <c r="AA132" i="12"/>
  <c r="Z132" i="12"/>
  <c r="Z36" i="12"/>
  <c r="AB36" i="12"/>
  <c r="AA7" i="12"/>
  <c r="Z54" i="12"/>
  <c r="AB54" i="12"/>
  <c r="Z40" i="12"/>
  <c r="AB40" i="12"/>
  <c r="Z44" i="12"/>
  <c r="AB44" i="12"/>
  <c r="Z51" i="12"/>
  <c r="AB51" i="12"/>
  <c r="Z55" i="12"/>
  <c r="AB55" i="12"/>
  <c r="Z58" i="12"/>
  <c r="AB58" i="12"/>
  <c r="Z62" i="12"/>
  <c r="AB62" i="12"/>
  <c r="AB73" i="12"/>
  <c r="Z73" i="12"/>
  <c r="AA73" i="12"/>
  <c r="AB76" i="12"/>
  <c r="Z76" i="12"/>
  <c r="AB80" i="12"/>
  <c r="AA80" i="12"/>
  <c r="Z80" i="12"/>
  <c r="AB87" i="12"/>
  <c r="AA87" i="12"/>
  <c r="Z87" i="12"/>
  <c r="AB91" i="12"/>
  <c r="AA91" i="12"/>
  <c r="Z91" i="12"/>
  <c r="AB94" i="12"/>
  <c r="AA94" i="12"/>
  <c r="Z94" i="12"/>
  <c r="AB98" i="12"/>
  <c r="AA98" i="12"/>
  <c r="Z98" i="12"/>
  <c r="AB105" i="12"/>
  <c r="AA105" i="12"/>
  <c r="Z105" i="12"/>
  <c r="AB109" i="12"/>
  <c r="AA109" i="12"/>
  <c r="Z109" i="12"/>
  <c r="Z112" i="12"/>
  <c r="AB112" i="12"/>
  <c r="AA112" i="12"/>
  <c r="Z116" i="12"/>
  <c r="AB116" i="12"/>
  <c r="AA116" i="12"/>
  <c r="AA123" i="12"/>
  <c r="Z123" i="12"/>
  <c r="AA127" i="12"/>
  <c r="Z127" i="12"/>
  <c r="AB127" i="12"/>
  <c r="AA134" i="12"/>
  <c r="Z134" i="12"/>
  <c r="AB145" i="12"/>
  <c r="AA145" i="12"/>
  <c r="Z145" i="12"/>
  <c r="AB148" i="12"/>
  <c r="AA148" i="12"/>
  <c r="Z148" i="12"/>
  <c r="AB152" i="12"/>
  <c r="AA152" i="12"/>
  <c r="Z152" i="12"/>
  <c r="Z159" i="12"/>
  <c r="AB159" i="12"/>
  <c r="AA159" i="12"/>
  <c r="Z163" i="12"/>
  <c r="AB163" i="12"/>
  <c r="AA166" i="12"/>
  <c r="Z166" i="12"/>
  <c r="AB166" i="12"/>
  <c r="AA170" i="12"/>
  <c r="Z170" i="12"/>
  <c r="AB170" i="12"/>
  <c r="AB183" i="12"/>
  <c r="AA183" i="12"/>
  <c r="Z183" i="12"/>
  <c r="Z187" i="12"/>
  <c r="AB187" i="12"/>
  <c r="AA187" i="12"/>
  <c r="Z191" i="12"/>
  <c r="AB191" i="12"/>
  <c r="AA191" i="12"/>
  <c r="AB203" i="12"/>
  <c r="AA203" i="12"/>
  <c r="Z203" i="12"/>
  <c r="AB207" i="12"/>
  <c r="AA207" i="12"/>
  <c r="Z207" i="12"/>
  <c r="AB219" i="12"/>
  <c r="AA219" i="12"/>
  <c r="Z219" i="12"/>
  <c r="AB223" i="12"/>
  <c r="AA223" i="12"/>
  <c r="Z223" i="12"/>
  <c r="AB227" i="12"/>
  <c r="AA227" i="12"/>
  <c r="Z227" i="12"/>
  <c r="AB239" i="12"/>
  <c r="AA239" i="12"/>
  <c r="Z239" i="12"/>
  <c r="AB243" i="12"/>
  <c r="AA243" i="12"/>
  <c r="Z243" i="12"/>
  <c r="AB255" i="12"/>
  <c r="AA255" i="12"/>
  <c r="Z255" i="12"/>
  <c r="AB259" i="12"/>
  <c r="AA259" i="12"/>
  <c r="Z259" i="12"/>
  <c r="AB263" i="12"/>
  <c r="AA263" i="12"/>
  <c r="Z263" i="12"/>
  <c r="AB275" i="12"/>
  <c r="AA275" i="12"/>
  <c r="Z275" i="12"/>
  <c r="AA279" i="12"/>
  <c r="Z279" i="12"/>
  <c r="AB279" i="12"/>
  <c r="AA36" i="12"/>
  <c r="AA40" i="12"/>
  <c r="AA44" i="12"/>
  <c r="AA64" i="12"/>
  <c r="AA72" i="12"/>
  <c r="AA76" i="12"/>
  <c r="AA104" i="12"/>
  <c r="AA163" i="12"/>
  <c r="Z46" i="12"/>
  <c r="AB46" i="12"/>
  <c r="Z60" i="12"/>
  <c r="AB60" i="12"/>
  <c r="AB96" i="12"/>
  <c r="AA96" i="12"/>
  <c r="Z96" i="12"/>
  <c r="AA107" i="12"/>
  <c r="Z107" i="12"/>
  <c r="AB121" i="12"/>
  <c r="AA121" i="12"/>
  <c r="Z121" i="12"/>
  <c r="Z139" i="12"/>
  <c r="AB139" i="12"/>
  <c r="AA139" i="12"/>
  <c r="AA150" i="12"/>
  <c r="Z150" i="12"/>
  <c r="AB157" i="12"/>
  <c r="AA157" i="12"/>
  <c r="Z157" i="12"/>
  <c r="AB168" i="12"/>
  <c r="AA168" i="12"/>
  <c r="Z168" i="12"/>
  <c r="AB189" i="12"/>
  <c r="AA189" i="12"/>
  <c r="Z189" i="12"/>
  <c r="AB205" i="12"/>
  <c r="AA205" i="12"/>
  <c r="Z205" i="12"/>
  <c r="AB221" i="12"/>
  <c r="AA221" i="12"/>
  <c r="Z221" i="12"/>
  <c r="AB237" i="12"/>
  <c r="AA237" i="12"/>
  <c r="Z237" i="12"/>
  <c r="AB245" i="12"/>
  <c r="AA245" i="12"/>
  <c r="Z245" i="12"/>
  <c r="AB261" i="12"/>
  <c r="AA261" i="12"/>
  <c r="Z261" i="12"/>
  <c r="Z32" i="12"/>
  <c r="AB32" i="12"/>
  <c r="Z34" i="12"/>
  <c r="AB34" i="12"/>
  <c r="Z38" i="12"/>
  <c r="AB38" i="12"/>
  <c r="Z48" i="12"/>
  <c r="AB48" i="12"/>
  <c r="Z52" i="12"/>
  <c r="AB52" i="12"/>
  <c r="Z56" i="12"/>
  <c r="AB56" i="12"/>
  <c r="Z59" i="12"/>
  <c r="AB59" i="12"/>
  <c r="Z63" i="12"/>
  <c r="AB63" i="12"/>
  <c r="AB66" i="12"/>
  <c r="AA66" i="12"/>
  <c r="Z66" i="12"/>
  <c r="AB70" i="12"/>
  <c r="Z70" i="12"/>
  <c r="AA70" i="12"/>
  <c r="AB74" i="12"/>
  <c r="Z74" i="12"/>
  <c r="AA74" i="12"/>
  <c r="AB77" i="12"/>
  <c r="Z77" i="12"/>
  <c r="AA77" i="12"/>
  <c r="AB84" i="12"/>
  <c r="AA84" i="12"/>
  <c r="Z84" i="12"/>
  <c r="AB88" i="12"/>
  <c r="AA88" i="12"/>
  <c r="Z88" i="12"/>
  <c r="AB92" i="12"/>
  <c r="AA92" i="12"/>
  <c r="Z92" i="12"/>
  <c r="AB95" i="12"/>
  <c r="AA95" i="12"/>
  <c r="Z95" i="12"/>
  <c r="AA99" i="12"/>
  <c r="Z99" i="12"/>
  <c r="AB102" i="12"/>
  <c r="AA102" i="12"/>
  <c r="Z102" i="12"/>
  <c r="AB106" i="12"/>
  <c r="AA106" i="12"/>
  <c r="Z106" i="12"/>
  <c r="AB110" i="12"/>
  <c r="AA110" i="12"/>
  <c r="Z110" i="12"/>
  <c r="AB113" i="12"/>
  <c r="AA113" i="12"/>
  <c r="Z113" i="12"/>
  <c r="AB117" i="12"/>
  <c r="AA117" i="12"/>
  <c r="Z120" i="12"/>
  <c r="AB120" i="12"/>
  <c r="Z124" i="12"/>
  <c r="AB124" i="12"/>
  <c r="AA124" i="12"/>
  <c r="Z128" i="12"/>
  <c r="AB128" i="12"/>
  <c r="AA128" i="12"/>
  <c r="AA131" i="12"/>
  <c r="Z131" i="12"/>
  <c r="AB131" i="12"/>
  <c r="Z135" i="12"/>
  <c r="AB135" i="12"/>
  <c r="AA135" i="12"/>
  <c r="AA138" i="12"/>
  <c r="Z138" i="12"/>
  <c r="AB138" i="12"/>
  <c r="AA142" i="12"/>
  <c r="Z142" i="12"/>
  <c r="AB142" i="12"/>
  <c r="AA146" i="12"/>
  <c r="Z146" i="12"/>
  <c r="AB146" i="12"/>
  <c r="AB149" i="12"/>
  <c r="AA149" i="12"/>
  <c r="Z149" i="12"/>
  <c r="AB153" i="12"/>
  <c r="AA153" i="12"/>
  <c r="Z153" i="12"/>
  <c r="AB156" i="12"/>
  <c r="AA156" i="12"/>
  <c r="Z156" i="12"/>
  <c r="AB160" i="12"/>
  <c r="AA160" i="12"/>
  <c r="Z160" i="12"/>
  <c r="AB164" i="12"/>
  <c r="AA164" i="12"/>
  <c r="Z164" i="12"/>
  <c r="Z167" i="12"/>
  <c r="AB167" i="12"/>
  <c r="AA167" i="12"/>
  <c r="Z171" i="12"/>
  <c r="AB171" i="12"/>
  <c r="AA171" i="12"/>
  <c r="AB176" i="12"/>
  <c r="AA176" i="12"/>
  <c r="AB180" i="12"/>
  <c r="AA180" i="12"/>
  <c r="Z180" i="12"/>
  <c r="AB192" i="12"/>
  <c r="AA192" i="12"/>
  <c r="Z192" i="12"/>
  <c r="Z196" i="12"/>
  <c r="AB196" i="12"/>
  <c r="AA196" i="12"/>
  <c r="Z200" i="12"/>
  <c r="AA200" i="12"/>
  <c r="AB200" i="12"/>
  <c r="Z212" i="12"/>
  <c r="AB212" i="12"/>
  <c r="AA212" i="12"/>
  <c r="Z216" i="12"/>
  <c r="AA216" i="12"/>
  <c r="AB216" i="12"/>
  <c r="Z220" i="12"/>
  <c r="AB220" i="12"/>
  <c r="AA220" i="12"/>
  <c r="Z228" i="12"/>
  <c r="AB228" i="12"/>
  <c r="AA228" i="12"/>
  <c r="Z232" i="12"/>
  <c r="AA232" i="12"/>
  <c r="AB232" i="12"/>
  <c r="Z236" i="12"/>
  <c r="AB236" i="12"/>
  <c r="AA236" i="12"/>
  <c r="Z248" i="12"/>
  <c r="AA248" i="12"/>
  <c r="AB248" i="12"/>
  <c r="Z252" i="12"/>
  <c r="AB252" i="12"/>
  <c r="AA252" i="12"/>
  <c r="AA264" i="12"/>
  <c r="Z264" i="12"/>
  <c r="AB264" i="12"/>
  <c r="AA268" i="12"/>
  <c r="Z268" i="12"/>
  <c r="AB268" i="12"/>
  <c r="AA272" i="12"/>
  <c r="Z272" i="12"/>
  <c r="AB272" i="12"/>
  <c r="AA282" i="12"/>
  <c r="AB282" i="12"/>
  <c r="Z282" i="12"/>
  <c r="AA286" i="12"/>
  <c r="AB286" i="12"/>
  <c r="Z286" i="12"/>
  <c r="AA290" i="12"/>
  <c r="AB290" i="12"/>
  <c r="Z290" i="12"/>
  <c r="AA53" i="12"/>
  <c r="AA57" i="12"/>
  <c r="AA61" i="12"/>
  <c r="AA65" i="12"/>
  <c r="AB107" i="12"/>
  <c r="AA120" i="12"/>
  <c r="AB134" i="12"/>
  <c r="Z176" i="12"/>
  <c r="AB172" i="12"/>
  <c r="AA172" i="12"/>
  <c r="Z172" i="12"/>
  <c r="Z175" i="12"/>
  <c r="AB175" i="12"/>
  <c r="AA175" i="12"/>
  <c r="Z179" i="12"/>
  <c r="AB179" i="12"/>
  <c r="AA186" i="12"/>
  <c r="Z186" i="12"/>
  <c r="AB186" i="12"/>
  <c r="AA190" i="12"/>
  <c r="Z190" i="12"/>
  <c r="AB190" i="12"/>
  <c r="AB193" i="12"/>
  <c r="AA193" i="12"/>
  <c r="Z193" i="12"/>
  <c r="AB197" i="12"/>
  <c r="AA197" i="12"/>
  <c r="Z197" i="12"/>
  <c r="Z204" i="12"/>
  <c r="AB204" i="12"/>
  <c r="AA204" i="12"/>
  <c r="Z208" i="12"/>
  <c r="AA208" i="12"/>
  <c r="AB208" i="12"/>
  <c r="AB211" i="12"/>
  <c r="AA211" i="12"/>
  <c r="Z211" i="12"/>
  <c r="AB215" i="12"/>
  <c r="AA215" i="12"/>
  <c r="Z215" i="12"/>
  <c r="Z222" i="12"/>
  <c r="AB222" i="12"/>
  <c r="AA222" i="12"/>
  <c r="Z226" i="12"/>
  <c r="AB226" i="12"/>
  <c r="AA226" i="12"/>
  <c r="AB229" i="12"/>
  <c r="AA229" i="12"/>
  <c r="Z229" i="12"/>
  <c r="AB233" i="12"/>
  <c r="Z233" i="12"/>
  <c r="AA233" i="12"/>
  <c r="Z240" i="12"/>
  <c r="AA240" i="12"/>
  <c r="AB240" i="12"/>
  <c r="Z244" i="12"/>
  <c r="AB244" i="12"/>
  <c r="AA244" i="12"/>
  <c r="AB247" i="12"/>
  <c r="AA247" i="12"/>
  <c r="Z247" i="12"/>
  <c r="AB251" i="12"/>
  <c r="AA251" i="12"/>
  <c r="Z251" i="12"/>
  <c r="AA258" i="12"/>
  <c r="Z258" i="12"/>
  <c r="AB258" i="12"/>
  <c r="AA262" i="12"/>
  <c r="Z262" i="12"/>
  <c r="AB262" i="12"/>
  <c r="AB265" i="12"/>
  <c r="AA265" i="12"/>
  <c r="Z265" i="12"/>
  <c r="AB269" i="12"/>
  <c r="AA269" i="12"/>
  <c r="Z269" i="12"/>
  <c r="AA276" i="12"/>
  <c r="Z276" i="12"/>
  <c r="AB276" i="12"/>
  <c r="AA280" i="12"/>
  <c r="AB280" i="12"/>
  <c r="Z280" i="12"/>
  <c r="AA283" i="12"/>
  <c r="Z283" i="12"/>
  <c r="AB283" i="12"/>
  <c r="AA287" i="12"/>
  <c r="Z287" i="12"/>
  <c r="AB287" i="12"/>
  <c r="AA179" i="12"/>
  <c r="AB277" i="12"/>
  <c r="AA277" i="12"/>
  <c r="Z277" i="12"/>
  <c r="AB281" i="12"/>
  <c r="AA281" i="12"/>
  <c r="Z281" i="12"/>
  <c r="AA284" i="12"/>
  <c r="AB284" i="12"/>
  <c r="Z284" i="12"/>
  <c r="AA288" i="12"/>
  <c r="AB288" i="12"/>
  <c r="Z288" i="12"/>
  <c r="AB181" i="12"/>
  <c r="AA181" i="12"/>
  <c r="Z181" i="12"/>
  <c r="AA184" i="12"/>
  <c r="AB184" i="12"/>
  <c r="Z184" i="12"/>
  <c r="AB188" i="12"/>
  <c r="AA188" i="12"/>
  <c r="Z188" i="12"/>
  <c r="AB195" i="12"/>
  <c r="AA195" i="12"/>
  <c r="Z195" i="12"/>
  <c r="AB199" i="12"/>
  <c r="AA199" i="12"/>
  <c r="Z199" i="12"/>
  <c r="Z202" i="12"/>
  <c r="AB202" i="12"/>
  <c r="AA202" i="12"/>
  <c r="Z206" i="12"/>
  <c r="AB206" i="12"/>
  <c r="AA206" i="12"/>
  <c r="AB213" i="12"/>
  <c r="AA213" i="12"/>
  <c r="Z213" i="12"/>
  <c r="AB217" i="12"/>
  <c r="Z217" i="12"/>
  <c r="AA217" i="12"/>
  <c r="Z224" i="12"/>
  <c r="AA224" i="12"/>
  <c r="AB224" i="12"/>
  <c r="AB231" i="12"/>
  <c r="AA231" i="12"/>
  <c r="Z231" i="12"/>
  <c r="AB235" i="12"/>
  <c r="AA235" i="12"/>
  <c r="Z235" i="12"/>
  <c r="Z238" i="12"/>
  <c r="AB238" i="12"/>
  <c r="AA238" i="12"/>
  <c r="Z242" i="12"/>
  <c r="AB242" i="12"/>
  <c r="AA242" i="12"/>
  <c r="AB249" i="12"/>
  <c r="Z249" i="12"/>
  <c r="AA249" i="12"/>
  <c r="AB253" i="12"/>
  <c r="AA253" i="12"/>
  <c r="Z253" i="12"/>
  <c r="AA256" i="12"/>
  <c r="Z256" i="12"/>
  <c r="AB256" i="12"/>
  <c r="AA260" i="12"/>
  <c r="Z260" i="12"/>
  <c r="AB260" i="12"/>
  <c r="AB267" i="12"/>
  <c r="AA267" i="12"/>
  <c r="Z267" i="12"/>
  <c r="AB271" i="12"/>
  <c r="AA271" i="12"/>
  <c r="Z271" i="12"/>
  <c r="AA274" i="12"/>
  <c r="Z274" i="12"/>
  <c r="AB274" i="12"/>
  <c r="AA278" i="12"/>
  <c r="AB278" i="12"/>
  <c r="Z278" i="12"/>
  <c r="AB285" i="12"/>
  <c r="AA285" i="12"/>
  <c r="AB289" i="12"/>
  <c r="AA289" i="12"/>
  <c r="Z289" i="12"/>
  <c r="N12" i="8" l="1"/>
  <c r="X4" i="12"/>
  <c r="X5" i="12" s="1"/>
  <c r="X6" i="12" s="1"/>
  <c r="M12" i="8" l="1"/>
  <c r="X7" i="12"/>
  <c r="X8" i="12" l="1"/>
  <c r="X9" i="12" l="1"/>
  <c r="Y334" i="9"/>
  <c r="Y344" i="9"/>
  <c r="Y360" i="9"/>
  <c r="Y370" i="9"/>
  <c r="Y380" i="9"/>
  <c r="Y396" i="9"/>
  <c r="Y406" i="9"/>
  <c r="Y416" i="9"/>
  <c r="Y432" i="9"/>
  <c r="Y20" i="9"/>
  <c r="Y29" i="9"/>
  <c r="Y38" i="9"/>
  <c r="Y47" i="9"/>
  <c r="Y56" i="9"/>
  <c r="Y65" i="9"/>
  <c r="Y74" i="9"/>
  <c r="Y83" i="9"/>
  <c r="Y92" i="9"/>
  <c r="Y101" i="9"/>
  <c r="Y110" i="9"/>
  <c r="Y119" i="9"/>
  <c r="Y128" i="9"/>
  <c r="Y137" i="9"/>
  <c r="Y146" i="9"/>
  <c r="Y155" i="9"/>
  <c r="Y164" i="9"/>
  <c r="Y173" i="9"/>
  <c r="Y182" i="9"/>
  <c r="Y191" i="9"/>
  <c r="Y200" i="9"/>
  <c r="Y209" i="9"/>
  <c r="Y218" i="9"/>
  <c r="Y227" i="9"/>
  <c r="Y236" i="9"/>
  <c r="Y245" i="9"/>
  <c r="Y254" i="9"/>
  <c r="Y263" i="9"/>
  <c r="Y272" i="9"/>
  <c r="Y281" i="9"/>
  <c r="Y290" i="9"/>
  <c r="Y299" i="9"/>
  <c r="Y308" i="9"/>
  <c r="Y317" i="9"/>
  <c r="Y326" i="9"/>
  <c r="Y335" i="9"/>
  <c r="Y353" i="9"/>
  <c r="Y362" i="9"/>
  <c r="Y371" i="9"/>
  <c r="Y389" i="9"/>
  <c r="Y398" i="9"/>
  <c r="Y407" i="9"/>
  <c r="Y425" i="9"/>
  <c r="Y434" i="9"/>
  <c r="Y11" i="9"/>
  <c r="Y18" i="9"/>
  <c r="Y27" i="9"/>
  <c r="Y36" i="9"/>
  <c r="Y45" i="9"/>
  <c r="Y54" i="9"/>
  <c r="Y63" i="9"/>
  <c r="Y72" i="9"/>
  <c r="Y81" i="9"/>
  <c r="Y90" i="9"/>
  <c r="Y99" i="9"/>
  <c r="Y108" i="9"/>
  <c r="Y117" i="9"/>
  <c r="Y126" i="9"/>
  <c r="Y135" i="9"/>
  <c r="Y144" i="9"/>
  <c r="Y153" i="9"/>
  <c r="Y162" i="9"/>
  <c r="Y171" i="9"/>
  <c r="Y180" i="9"/>
  <c r="Y189" i="9"/>
  <c r="Y198" i="9"/>
  <c r="Y207" i="9"/>
  <c r="Y216" i="9"/>
  <c r="Y225" i="9"/>
  <c r="Y234" i="9"/>
  <c r="Y243" i="9"/>
  <c r="Y252" i="9"/>
  <c r="Y261" i="9"/>
  <c r="Y270" i="9"/>
  <c r="Y279" i="9"/>
  <c r="Y288" i="9"/>
  <c r="Y297" i="9"/>
  <c r="Y306" i="9"/>
  <c r="Y315" i="9"/>
  <c r="Y324" i="9"/>
  <c r="Y333" i="9"/>
  <c r="Y342" i="9"/>
  <c r="Y351" i="9"/>
  <c r="Y369" i="9"/>
  <c r="Y378" i="9"/>
  <c r="Y387" i="9"/>
  <c r="Y405" i="9"/>
  <c r="Y414" i="9"/>
  <c r="Y423" i="9"/>
  <c r="Y9" i="9"/>
  <c r="Y19" i="9"/>
  <c r="Y28" i="9"/>
  <c r="Y37" i="9"/>
  <c r="Y46" i="9"/>
  <c r="Y55" i="9"/>
  <c r="Y64" i="9"/>
  <c r="Y73" i="9"/>
  <c r="Y82" i="9"/>
  <c r="Y91" i="9"/>
  <c r="Y100" i="9"/>
  <c r="Y109" i="9"/>
  <c r="Y118" i="9"/>
  <c r="Y127" i="9"/>
  <c r="Y136" i="9"/>
  <c r="Y145" i="9"/>
  <c r="Y154" i="9"/>
  <c r="Y163" i="9"/>
  <c r="Y172" i="9"/>
  <c r="Y181" i="9"/>
  <c r="Y190" i="9"/>
  <c r="Y199" i="9"/>
  <c r="Y208" i="9"/>
  <c r="Y217" i="9"/>
  <c r="Y226" i="9"/>
  <c r="Y235" i="9"/>
  <c r="Y244" i="9"/>
  <c r="Y253" i="9"/>
  <c r="Y262" i="9"/>
  <c r="Y271" i="9"/>
  <c r="Y280" i="9"/>
  <c r="Y289" i="9"/>
  <c r="Y298" i="9"/>
  <c r="Y307" i="9"/>
  <c r="Y316" i="9"/>
  <c r="Y325" i="9"/>
  <c r="Y343" i="9"/>
  <c r="Y352" i="9"/>
  <c r="Y361" i="9"/>
  <c r="Y379" i="9"/>
  <c r="Y388" i="9"/>
  <c r="Y397" i="9"/>
  <c r="Y415" i="9"/>
  <c r="Y424" i="9"/>
  <c r="Y433" i="9"/>
  <c r="Y10" i="9"/>
  <c r="X10" i="12" l="1"/>
  <c r="AB145" i="9"/>
  <c r="Z145" i="9"/>
  <c r="AA145" i="9"/>
  <c r="AA144" i="9"/>
  <c r="AB144" i="9"/>
  <c r="Z144" i="9"/>
  <c r="Z110" i="9"/>
  <c r="AA110" i="9"/>
  <c r="AB110" i="9"/>
  <c r="Z199" i="9"/>
  <c r="AA199" i="9"/>
  <c r="AB199" i="9"/>
  <c r="Z163" i="9"/>
  <c r="AA163" i="9"/>
  <c r="AB163" i="9"/>
  <c r="Z127" i="9"/>
  <c r="AA127" i="9"/>
  <c r="AB127" i="9"/>
  <c r="Z198" i="9"/>
  <c r="AA198" i="9"/>
  <c r="AB198" i="9"/>
  <c r="Z162" i="9"/>
  <c r="AA162" i="9"/>
  <c r="AB162" i="9"/>
  <c r="Z126" i="9"/>
  <c r="AA126" i="9"/>
  <c r="AB126" i="9"/>
  <c r="AA200" i="9"/>
  <c r="AB200" i="9"/>
  <c r="Z200" i="9"/>
  <c r="AA164" i="9"/>
  <c r="AB164" i="9"/>
  <c r="Z164" i="9"/>
  <c r="AA128" i="9"/>
  <c r="AB128" i="9"/>
  <c r="Z128" i="9"/>
  <c r="Z217" i="9"/>
  <c r="AA217" i="9"/>
  <c r="AB217" i="9"/>
  <c r="Z190" i="9"/>
  <c r="AA190" i="9"/>
  <c r="AB190" i="9"/>
  <c r="Z154" i="9"/>
  <c r="AA154" i="9"/>
  <c r="AB154" i="9"/>
  <c r="Z118" i="9"/>
  <c r="AA118" i="9"/>
  <c r="AB118" i="9"/>
  <c r="AB189" i="9"/>
  <c r="Z189" i="9"/>
  <c r="AA189" i="9"/>
  <c r="AB153" i="9"/>
  <c r="Z153" i="9"/>
  <c r="AA153" i="9"/>
  <c r="Z191" i="9"/>
  <c r="AA191" i="9"/>
  <c r="AB191" i="9"/>
  <c r="Z155" i="9"/>
  <c r="AA155" i="9"/>
  <c r="AB155" i="9"/>
  <c r="Z119" i="9"/>
  <c r="AA119" i="9"/>
  <c r="AB119" i="9"/>
  <c r="Z146" i="9"/>
  <c r="AA146" i="9"/>
  <c r="AB146" i="9"/>
  <c r="AB181" i="9"/>
  <c r="Z181" i="9"/>
  <c r="AA181" i="9"/>
  <c r="Z216" i="9"/>
  <c r="AA216" i="9"/>
  <c r="AB216" i="9"/>
  <c r="AA180" i="9"/>
  <c r="AB180" i="9"/>
  <c r="Z180" i="9"/>
  <c r="Z182" i="9"/>
  <c r="AA182" i="9"/>
  <c r="AB182" i="9"/>
  <c r="AA208" i="9"/>
  <c r="AB208" i="9"/>
  <c r="Z208" i="9"/>
  <c r="AA172" i="9"/>
  <c r="AB172" i="9"/>
  <c r="Z172" i="9"/>
  <c r="AA136" i="9"/>
  <c r="AB136" i="9"/>
  <c r="Z136" i="9"/>
  <c r="Z207" i="9"/>
  <c r="AA207" i="9"/>
  <c r="AB207" i="9"/>
  <c r="Z171" i="9"/>
  <c r="AA171" i="9"/>
  <c r="AB171" i="9"/>
  <c r="Z135" i="9"/>
  <c r="AA135" i="9"/>
  <c r="AB135" i="9"/>
  <c r="AB209" i="9"/>
  <c r="Z209" i="9"/>
  <c r="AA209" i="9"/>
  <c r="AB173" i="9"/>
  <c r="Z173" i="9"/>
  <c r="AA173" i="9"/>
  <c r="AB137" i="9"/>
  <c r="Z137" i="9"/>
  <c r="AA137" i="9"/>
  <c r="AB109" i="9"/>
  <c r="Z109" i="9"/>
  <c r="AA109" i="9"/>
  <c r="AA108" i="9"/>
  <c r="AB108" i="9"/>
  <c r="Z108" i="9"/>
  <c r="AA290" i="9"/>
  <c r="AB290" i="9"/>
  <c r="Z290" i="9"/>
  <c r="AA270" i="9"/>
  <c r="AB270" i="9"/>
  <c r="Z270" i="9"/>
  <c r="AA262" i="9"/>
  <c r="AB262" i="9"/>
  <c r="Z262" i="9"/>
  <c r="AA254" i="9"/>
  <c r="AB254" i="9"/>
  <c r="Z254" i="9"/>
  <c r="AA234" i="9"/>
  <c r="AB234" i="9"/>
  <c r="Z234" i="9"/>
  <c r="AA226" i="9"/>
  <c r="AB226" i="9"/>
  <c r="Z226" i="9"/>
  <c r="AA218" i="9"/>
  <c r="AB218" i="9"/>
  <c r="Z218" i="9"/>
  <c r="Z289" i="9"/>
  <c r="AA289" i="9"/>
  <c r="AB289" i="9"/>
  <c r="Z281" i="9"/>
  <c r="AA281" i="9"/>
  <c r="AB281" i="9"/>
  <c r="Z261" i="9"/>
  <c r="AA261" i="9"/>
  <c r="AB261" i="9"/>
  <c r="Z253" i="9"/>
  <c r="AA253" i="9"/>
  <c r="AB253" i="9"/>
  <c r="Z245" i="9"/>
  <c r="AA245" i="9"/>
  <c r="AB245" i="9"/>
  <c r="Z225" i="9"/>
  <c r="AA225" i="9"/>
  <c r="AB225" i="9"/>
  <c r="Z288" i="9"/>
  <c r="AA288" i="9"/>
  <c r="AB288" i="9"/>
  <c r="Z280" i="9"/>
  <c r="AA280" i="9"/>
  <c r="AB280" i="9"/>
  <c r="Z272" i="9"/>
  <c r="AA272" i="9"/>
  <c r="AB272" i="9"/>
  <c r="Z252" i="9"/>
  <c r="AA252" i="9"/>
  <c r="AB252" i="9"/>
  <c r="Z244" i="9"/>
  <c r="AA244" i="9"/>
  <c r="AB244" i="9"/>
  <c r="Z236" i="9"/>
  <c r="AA236" i="9"/>
  <c r="AB236" i="9"/>
  <c r="AB117" i="9"/>
  <c r="Z117" i="9"/>
  <c r="AA117" i="9"/>
  <c r="AB279" i="9"/>
  <c r="Z279" i="9"/>
  <c r="AA279" i="9"/>
  <c r="AB271" i="9"/>
  <c r="Z271" i="9"/>
  <c r="AA271" i="9"/>
  <c r="AB263" i="9"/>
  <c r="Z263" i="9"/>
  <c r="AA263" i="9"/>
  <c r="AB243" i="9"/>
  <c r="Z243" i="9"/>
  <c r="AA243" i="9"/>
  <c r="AB235" i="9"/>
  <c r="Z235" i="9"/>
  <c r="AA235" i="9"/>
  <c r="AB227" i="9"/>
  <c r="Z227" i="9"/>
  <c r="AA227" i="9"/>
  <c r="AB90" i="9"/>
  <c r="Z90" i="9"/>
  <c r="AA90" i="9"/>
  <c r="AB82" i="9"/>
  <c r="Z82" i="9"/>
  <c r="AA82" i="9"/>
  <c r="AB74" i="9"/>
  <c r="Z74" i="9"/>
  <c r="AA74" i="9"/>
  <c r="AB54" i="9"/>
  <c r="Z54" i="9"/>
  <c r="AA54" i="9"/>
  <c r="AB46" i="9"/>
  <c r="Z46" i="9"/>
  <c r="AA46" i="9"/>
  <c r="AB38" i="9"/>
  <c r="Z38" i="9"/>
  <c r="AA38" i="9"/>
  <c r="AB18" i="9"/>
  <c r="Z18" i="9"/>
  <c r="AA18" i="9"/>
  <c r="AB10" i="9"/>
  <c r="Z10" i="9"/>
  <c r="AA10" i="9"/>
  <c r="AA101" i="9"/>
  <c r="AB101" i="9"/>
  <c r="Z101" i="9"/>
  <c r="AA81" i="9"/>
  <c r="AB81" i="9"/>
  <c r="Z81" i="9"/>
  <c r="AA73" i="9"/>
  <c r="AB73" i="9"/>
  <c r="Z73" i="9"/>
  <c r="AA65" i="9"/>
  <c r="AB65" i="9"/>
  <c r="Z65" i="9"/>
  <c r="AA45" i="9"/>
  <c r="AB45" i="9"/>
  <c r="Z45" i="9"/>
  <c r="AA37" i="9"/>
  <c r="AB37" i="9"/>
  <c r="Z37" i="9"/>
  <c r="AA29" i="9"/>
  <c r="AB29" i="9"/>
  <c r="Z29" i="9"/>
  <c r="AA9" i="9"/>
  <c r="AB9" i="9"/>
  <c r="Z9" i="9"/>
  <c r="Z100" i="9"/>
  <c r="AA100" i="9"/>
  <c r="AB100" i="9"/>
  <c r="Z92" i="9"/>
  <c r="AA92" i="9"/>
  <c r="AB92" i="9"/>
  <c r="Z72" i="9"/>
  <c r="AA72" i="9"/>
  <c r="AB72" i="9"/>
  <c r="Z64" i="9"/>
  <c r="AA64" i="9"/>
  <c r="AB64" i="9"/>
  <c r="Z56" i="9"/>
  <c r="AA56" i="9"/>
  <c r="AB56" i="9"/>
  <c r="Z36" i="9"/>
  <c r="AA36" i="9"/>
  <c r="AB36" i="9"/>
  <c r="Z28" i="9"/>
  <c r="AA28" i="9"/>
  <c r="AB28" i="9"/>
  <c r="Z20" i="9"/>
  <c r="AA20" i="9"/>
  <c r="AB20" i="9"/>
  <c r="Z99" i="9"/>
  <c r="AA99" i="9"/>
  <c r="AB99" i="9"/>
  <c r="Z91" i="9"/>
  <c r="AA91" i="9"/>
  <c r="AB91" i="9"/>
  <c r="Z83" i="9"/>
  <c r="AA83" i="9"/>
  <c r="AB83" i="9"/>
  <c r="Z63" i="9"/>
  <c r="AA63" i="9"/>
  <c r="AB63" i="9"/>
  <c r="Z55" i="9"/>
  <c r="AA55" i="9"/>
  <c r="AB55" i="9"/>
  <c r="Z47" i="9"/>
  <c r="AA47" i="9"/>
  <c r="AB47" i="9"/>
  <c r="Z27" i="9"/>
  <c r="AA27" i="9"/>
  <c r="AB27" i="9"/>
  <c r="Z19" i="9"/>
  <c r="AA19" i="9"/>
  <c r="AB19" i="9"/>
  <c r="Z11" i="9"/>
  <c r="AA11" i="9"/>
  <c r="AB11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R98" i="9"/>
  <c r="Q98" i="9"/>
  <c r="P98" i="9"/>
  <c r="T97" i="9"/>
  <c r="R97" i="9"/>
  <c r="Q97" i="9"/>
  <c r="P97" i="9"/>
  <c r="T96" i="9"/>
  <c r="R96" i="9"/>
  <c r="Q96" i="9"/>
  <c r="P96" i="9"/>
  <c r="T95" i="9"/>
  <c r="R95" i="9"/>
  <c r="Q95" i="9"/>
  <c r="P95" i="9"/>
  <c r="T94" i="9"/>
  <c r="R94" i="9"/>
  <c r="Q94" i="9"/>
  <c r="P94" i="9"/>
  <c r="T93" i="9"/>
  <c r="R93" i="9"/>
  <c r="Q93" i="9"/>
  <c r="P93" i="9"/>
  <c r="T92" i="9"/>
  <c r="R92" i="9"/>
  <c r="Q92" i="9"/>
  <c r="P92" i="9"/>
  <c r="T91" i="9"/>
  <c r="R91" i="9"/>
  <c r="Q91" i="9"/>
  <c r="P91" i="9"/>
  <c r="T90" i="9"/>
  <c r="R90" i="9"/>
  <c r="Q90" i="9"/>
  <c r="P90" i="9"/>
  <c r="T89" i="9"/>
  <c r="R89" i="9"/>
  <c r="Q89" i="9"/>
  <c r="P89" i="9"/>
  <c r="T88" i="9"/>
  <c r="R88" i="9"/>
  <c r="Q88" i="9"/>
  <c r="P88" i="9"/>
  <c r="T87" i="9"/>
  <c r="R87" i="9"/>
  <c r="Q87" i="9"/>
  <c r="P87" i="9"/>
  <c r="T86" i="9"/>
  <c r="R86" i="9"/>
  <c r="Q86" i="9"/>
  <c r="P86" i="9"/>
  <c r="T85" i="9"/>
  <c r="R85" i="9"/>
  <c r="Q85" i="9"/>
  <c r="P85" i="9"/>
  <c r="T84" i="9"/>
  <c r="R84" i="9"/>
  <c r="Q84" i="9"/>
  <c r="P84" i="9"/>
  <c r="T83" i="9"/>
  <c r="R83" i="9"/>
  <c r="Q83" i="9"/>
  <c r="P83" i="9"/>
  <c r="T82" i="9"/>
  <c r="R82" i="9"/>
  <c r="Q82" i="9"/>
  <c r="P82" i="9"/>
  <c r="T81" i="9"/>
  <c r="R81" i="9"/>
  <c r="Q81" i="9"/>
  <c r="P81" i="9"/>
  <c r="T80" i="9"/>
  <c r="R80" i="9"/>
  <c r="Q80" i="9"/>
  <c r="P80" i="9"/>
  <c r="T79" i="9"/>
  <c r="R79" i="9"/>
  <c r="Q79" i="9"/>
  <c r="P79" i="9"/>
  <c r="T78" i="9"/>
  <c r="R78" i="9"/>
  <c r="Q78" i="9"/>
  <c r="P78" i="9"/>
  <c r="T77" i="9"/>
  <c r="R77" i="9"/>
  <c r="Q77" i="9"/>
  <c r="P77" i="9"/>
  <c r="T76" i="9"/>
  <c r="R76" i="9"/>
  <c r="Q76" i="9"/>
  <c r="P76" i="9"/>
  <c r="T75" i="9"/>
  <c r="R75" i="9"/>
  <c r="Q75" i="9"/>
  <c r="P75" i="9"/>
  <c r="T74" i="9"/>
  <c r="R74" i="9"/>
  <c r="Q74" i="9"/>
  <c r="P74" i="9"/>
  <c r="T73" i="9"/>
  <c r="R73" i="9"/>
  <c r="Q73" i="9"/>
  <c r="P73" i="9"/>
  <c r="T72" i="9"/>
  <c r="R72" i="9"/>
  <c r="Q72" i="9"/>
  <c r="P72" i="9"/>
  <c r="T71" i="9"/>
  <c r="R71" i="9"/>
  <c r="Q71" i="9"/>
  <c r="P71" i="9"/>
  <c r="T70" i="9"/>
  <c r="R70" i="9"/>
  <c r="Q70" i="9"/>
  <c r="P70" i="9"/>
  <c r="T69" i="9"/>
  <c r="R69" i="9"/>
  <c r="Q69" i="9"/>
  <c r="P69" i="9"/>
  <c r="T68" i="9"/>
  <c r="R68" i="9"/>
  <c r="Q68" i="9"/>
  <c r="P68" i="9"/>
  <c r="T67" i="9"/>
  <c r="R67" i="9"/>
  <c r="Q67" i="9"/>
  <c r="P67" i="9"/>
  <c r="T66" i="9"/>
  <c r="R66" i="9"/>
  <c r="Q66" i="9"/>
  <c r="P66" i="9"/>
  <c r="T65" i="9"/>
  <c r="R65" i="9"/>
  <c r="Q65" i="9"/>
  <c r="P65" i="9"/>
  <c r="T64" i="9"/>
  <c r="R64" i="9"/>
  <c r="Q64" i="9"/>
  <c r="P64" i="9"/>
  <c r="T63" i="9"/>
  <c r="R63" i="9"/>
  <c r="Q63" i="9"/>
  <c r="P63" i="9"/>
  <c r="T62" i="9"/>
  <c r="R62" i="9"/>
  <c r="Q62" i="9"/>
  <c r="P62" i="9"/>
  <c r="T61" i="9"/>
  <c r="R61" i="9"/>
  <c r="Q61" i="9"/>
  <c r="P61" i="9"/>
  <c r="T60" i="9"/>
  <c r="R60" i="9"/>
  <c r="Q60" i="9"/>
  <c r="P60" i="9"/>
  <c r="T59" i="9"/>
  <c r="R59" i="9"/>
  <c r="Q59" i="9"/>
  <c r="P59" i="9"/>
  <c r="T58" i="9"/>
  <c r="R58" i="9"/>
  <c r="Q58" i="9"/>
  <c r="P58" i="9"/>
  <c r="T57" i="9"/>
  <c r="R57" i="9"/>
  <c r="Q57" i="9"/>
  <c r="P57" i="9"/>
  <c r="T56" i="9"/>
  <c r="R56" i="9"/>
  <c r="Q56" i="9"/>
  <c r="P56" i="9"/>
  <c r="T55" i="9"/>
  <c r="R55" i="9"/>
  <c r="Q55" i="9"/>
  <c r="P55" i="9"/>
  <c r="T54" i="9"/>
  <c r="R54" i="9"/>
  <c r="Q54" i="9"/>
  <c r="P54" i="9"/>
  <c r="T53" i="9"/>
  <c r="R53" i="9"/>
  <c r="Q53" i="9"/>
  <c r="P53" i="9"/>
  <c r="T52" i="9"/>
  <c r="R52" i="9"/>
  <c r="Q52" i="9"/>
  <c r="P52" i="9"/>
  <c r="T51" i="9"/>
  <c r="R51" i="9"/>
  <c r="Q51" i="9"/>
  <c r="P51" i="9"/>
  <c r="T50" i="9"/>
  <c r="Y431" i="9" s="1"/>
  <c r="S50" i="9"/>
  <c r="Y430" i="9" s="1"/>
  <c r="R50" i="9"/>
  <c r="Y429" i="9" s="1"/>
  <c r="Q50" i="9"/>
  <c r="Y428" i="9" s="1"/>
  <c r="P50" i="9"/>
  <c r="Y427" i="9" s="1"/>
  <c r="O50" i="9"/>
  <c r="Y426" i="9" s="1"/>
  <c r="T49" i="9"/>
  <c r="Y422" i="9" s="1"/>
  <c r="S49" i="9"/>
  <c r="Y421" i="9" s="1"/>
  <c r="R49" i="9"/>
  <c r="Y420" i="9" s="1"/>
  <c r="Q49" i="9"/>
  <c r="Y419" i="9" s="1"/>
  <c r="P49" i="9"/>
  <c r="Y418" i="9" s="1"/>
  <c r="O49" i="9"/>
  <c r="Y417" i="9" s="1"/>
  <c r="T48" i="9"/>
  <c r="Y413" i="9" s="1"/>
  <c r="S48" i="9"/>
  <c r="Y412" i="9" s="1"/>
  <c r="R48" i="9"/>
  <c r="Y411" i="9" s="1"/>
  <c r="Q48" i="9"/>
  <c r="Y410" i="9" s="1"/>
  <c r="P48" i="9"/>
  <c r="Y409" i="9" s="1"/>
  <c r="O48" i="9"/>
  <c r="Y408" i="9" s="1"/>
  <c r="T47" i="9"/>
  <c r="Y404" i="9" s="1"/>
  <c r="S47" i="9"/>
  <c r="Y403" i="9" s="1"/>
  <c r="R47" i="9"/>
  <c r="Y402" i="9" s="1"/>
  <c r="Q47" i="9"/>
  <c r="Y401" i="9" s="1"/>
  <c r="P47" i="9"/>
  <c r="Y400" i="9" s="1"/>
  <c r="O47" i="9"/>
  <c r="Y399" i="9" s="1"/>
  <c r="T46" i="9"/>
  <c r="Y395" i="9" s="1"/>
  <c r="S46" i="9"/>
  <c r="Y394" i="9" s="1"/>
  <c r="R46" i="9"/>
  <c r="Y393" i="9" s="1"/>
  <c r="Q46" i="9"/>
  <c r="Y392" i="9" s="1"/>
  <c r="P46" i="9"/>
  <c r="Y391" i="9" s="1"/>
  <c r="O46" i="9"/>
  <c r="Y390" i="9" s="1"/>
  <c r="T45" i="9"/>
  <c r="Y386" i="9" s="1"/>
  <c r="S45" i="9"/>
  <c r="Y385" i="9" s="1"/>
  <c r="R45" i="9"/>
  <c r="Y384" i="9" s="1"/>
  <c r="Q45" i="9"/>
  <c r="Y383" i="9" s="1"/>
  <c r="P45" i="9"/>
  <c r="Y382" i="9" s="1"/>
  <c r="O45" i="9"/>
  <c r="Y381" i="9" s="1"/>
  <c r="T44" i="9"/>
  <c r="Y377" i="9" s="1"/>
  <c r="S44" i="9"/>
  <c r="Y376" i="9" s="1"/>
  <c r="R44" i="9"/>
  <c r="Y375" i="9" s="1"/>
  <c r="Q44" i="9"/>
  <c r="Y374" i="9" s="1"/>
  <c r="P44" i="9"/>
  <c r="Y373" i="9" s="1"/>
  <c r="O44" i="9"/>
  <c r="Y372" i="9" s="1"/>
  <c r="T43" i="9"/>
  <c r="Y368" i="9" s="1"/>
  <c r="S43" i="9"/>
  <c r="Y367" i="9" s="1"/>
  <c r="R43" i="9"/>
  <c r="Y366" i="9" s="1"/>
  <c r="Q43" i="9"/>
  <c r="Y365" i="9" s="1"/>
  <c r="P43" i="9"/>
  <c r="Y364" i="9" s="1"/>
  <c r="O43" i="9"/>
  <c r="Y363" i="9" s="1"/>
  <c r="T42" i="9"/>
  <c r="Y359" i="9" s="1"/>
  <c r="S42" i="9"/>
  <c r="Y358" i="9" s="1"/>
  <c r="R42" i="9"/>
  <c r="Y357" i="9" s="1"/>
  <c r="Q42" i="9"/>
  <c r="Y356" i="9" s="1"/>
  <c r="P42" i="9"/>
  <c r="Y355" i="9" s="1"/>
  <c r="O42" i="9"/>
  <c r="Y354" i="9" s="1"/>
  <c r="T41" i="9"/>
  <c r="Y350" i="9" s="1"/>
  <c r="S41" i="9"/>
  <c r="Y349" i="9" s="1"/>
  <c r="R41" i="9"/>
  <c r="Y348" i="9" s="1"/>
  <c r="Q41" i="9"/>
  <c r="Y347" i="9" s="1"/>
  <c r="P41" i="9"/>
  <c r="Y346" i="9" s="1"/>
  <c r="O41" i="9"/>
  <c r="Y345" i="9" s="1"/>
  <c r="T40" i="9"/>
  <c r="Y341" i="9" s="1"/>
  <c r="S40" i="9"/>
  <c r="Y340" i="9" s="1"/>
  <c r="R40" i="9"/>
  <c r="Y339" i="9" s="1"/>
  <c r="Q40" i="9"/>
  <c r="Y338" i="9" s="1"/>
  <c r="P40" i="9"/>
  <c r="Y337" i="9" s="1"/>
  <c r="O40" i="9"/>
  <c r="Y336" i="9" s="1"/>
  <c r="T39" i="9"/>
  <c r="Y332" i="9" s="1"/>
  <c r="S39" i="9"/>
  <c r="Y331" i="9" s="1"/>
  <c r="R39" i="9"/>
  <c r="Y330" i="9" s="1"/>
  <c r="Q39" i="9"/>
  <c r="Y329" i="9" s="1"/>
  <c r="P39" i="9"/>
  <c r="Y328" i="9" s="1"/>
  <c r="O39" i="9"/>
  <c r="Y327" i="9" s="1"/>
  <c r="T38" i="9"/>
  <c r="Y323" i="9" s="1"/>
  <c r="S38" i="9"/>
  <c r="Y322" i="9" s="1"/>
  <c r="R38" i="9"/>
  <c r="Y321" i="9" s="1"/>
  <c r="Q38" i="9"/>
  <c r="Y320" i="9" s="1"/>
  <c r="P38" i="9"/>
  <c r="Y319" i="9" s="1"/>
  <c r="O38" i="9"/>
  <c r="Y318" i="9" s="1"/>
  <c r="T37" i="9"/>
  <c r="Y314" i="9" s="1"/>
  <c r="S37" i="9"/>
  <c r="Y313" i="9" s="1"/>
  <c r="R37" i="9"/>
  <c r="Y312" i="9" s="1"/>
  <c r="Q37" i="9"/>
  <c r="Y311" i="9" s="1"/>
  <c r="P37" i="9"/>
  <c r="Y310" i="9" s="1"/>
  <c r="O37" i="9"/>
  <c r="Y309" i="9" s="1"/>
  <c r="T36" i="9"/>
  <c r="Y305" i="9" s="1"/>
  <c r="S36" i="9"/>
  <c r="Y304" i="9" s="1"/>
  <c r="R36" i="9"/>
  <c r="Y303" i="9" s="1"/>
  <c r="Q36" i="9"/>
  <c r="Y302" i="9" s="1"/>
  <c r="P36" i="9"/>
  <c r="Y301" i="9" s="1"/>
  <c r="O36" i="9"/>
  <c r="Y300" i="9" s="1"/>
  <c r="T35" i="9"/>
  <c r="Y296" i="9" s="1"/>
  <c r="S35" i="9"/>
  <c r="Y295" i="9" s="1"/>
  <c r="R35" i="9"/>
  <c r="Y294" i="9" s="1"/>
  <c r="Q35" i="9"/>
  <c r="Y293" i="9" s="1"/>
  <c r="P35" i="9"/>
  <c r="Y292" i="9" s="1"/>
  <c r="O35" i="9"/>
  <c r="Y291" i="9" s="1"/>
  <c r="T34" i="9"/>
  <c r="Y287" i="9" s="1"/>
  <c r="AA287" i="9" s="1"/>
  <c r="S34" i="9"/>
  <c r="Y286" i="9" s="1"/>
  <c r="Z286" i="9" s="1"/>
  <c r="R34" i="9"/>
  <c r="Y285" i="9" s="1"/>
  <c r="AB285" i="9" s="1"/>
  <c r="Q34" i="9"/>
  <c r="Y284" i="9" s="1"/>
  <c r="Z284" i="9" s="1"/>
  <c r="P34" i="9"/>
  <c r="Y283" i="9" s="1"/>
  <c r="AB283" i="9" s="1"/>
  <c r="O34" i="9"/>
  <c r="Y282" i="9" s="1"/>
  <c r="AA282" i="9" s="1"/>
  <c r="T33" i="9"/>
  <c r="Y278" i="9" s="1"/>
  <c r="AA278" i="9" s="1"/>
  <c r="S33" i="9"/>
  <c r="Y277" i="9" s="1"/>
  <c r="Z277" i="9" s="1"/>
  <c r="R33" i="9"/>
  <c r="Y276" i="9" s="1"/>
  <c r="AB276" i="9" s="1"/>
  <c r="Q33" i="9"/>
  <c r="Y275" i="9" s="1"/>
  <c r="Z275" i="9" s="1"/>
  <c r="P33" i="9"/>
  <c r="Y274" i="9" s="1"/>
  <c r="AB274" i="9" s="1"/>
  <c r="O33" i="9"/>
  <c r="Y273" i="9" s="1"/>
  <c r="T32" i="9"/>
  <c r="Y269" i="9" s="1"/>
  <c r="AB269" i="9" s="1"/>
  <c r="S32" i="9"/>
  <c r="Y268" i="9" s="1"/>
  <c r="Z268" i="9" s="1"/>
  <c r="R32" i="9"/>
  <c r="Y267" i="9" s="1"/>
  <c r="AB267" i="9" s="1"/>
  <c r="Q32" i="9"/>
  <c r="Y266" i="9" s="1"/>
  <c r="AA266" i="9" s="1"/>
  <c r="P32" i="9"/>
  <c r="Y265" i="9" s="1"/>
  <c r="Z265" i="9" s="1"/>
  <c r="O32" i="9"/>
  <c r="Y264" i="9" s="1"/>
  <c r="AA264" i="9" s="1"/>
  <c r="T31" i="9"/>
  <c r="Y260" i="9" s="1"/>
  <c r="AB260" i="9" s="1"/>
  <c r="S31" i="9"/>
  <c r="Y259" i="9" s="1"/>
  <c r="Z259" i="9" s="1"/>
  <c r="R31" i="9"/>
  <c r="Y258" i="9" s="1"/>
  <c r="AB258" i="9" s="1"/>
  <c r="Q31" i="9"/>
  <c r="Y257" i="9" s="1"/>
  <c r="AA257" i="9" s="1"/>
  <c r="P31" i="9"/>
  <c r="Y256" i="9" s="1"/>
  <c r="Z256" i="9" s="1"/>
  <c r="O31" i="9"/>
  <c r="Y255" i="9" s="1"/>
  <c r="AA255" i="9" s="1"/>
  <c r="T30" i="9"/>
  <c r="Y251" i="9" s="1"/>
  <c r="AB251" i="9" s="1"/>
  <c r="S30" i="9"/>
  <c r="Y250" i="9" s="1"/>
  <c r="AA250" i="9" s="1"/>
  <c r="R30" i="9"/>
  <c r="Y249" i="9" s="1"/>
  <c r="Z249" i="9" s="1"/>
  <c r="Q30" i="9"/>
  <c r="Y248" i="9" s="1"/>
  <c r="AA248" i="9" s="1"/>
  <c r="P30" i="9"/>
  <c r="Y247" i="9" s="1"/>
  <c r="AB247" i="9" s="1"/>
  <c r="O30" i="9"/>
  <c r="Y246" i="9" s="1"/>
  <c r="T29" i="9"/>
  <c r="Y242" i="9" s="1"/>
  <c r="AB242" i="9" s="1"/>
  <c r="S29" i="9"/>
  <c r="Y241" i="9" s="1"/>
  <c r="AA241" i="9" s="1"/>
  <c r="R29" i="9"/>
  <c r="Y240" i="9" s="1"/>
  <c r="Z240" i="9" s="1"/>
  <c r="Q29" i="9"/>
  <c r="Y239" i="9" s="1"/>
  <c r="AA239" i="9" s="1"/>
  <c r="P29" i="9"/>
  <c r="Y238" i="9" s="1"/>
  <c r="Z238" i="9" s="1"/>
  <c r="O29" i="9"/>
  <c r="Y237" i="9" s="1"/>
  <c r="AB237" i="9" s="1"/>
  <c r="T28" i="9"/>
  <c r="Y233" i="9" s="1"/>
  <c r="Z233" i="9" s="1"/>
  <c r="S28" i="9"/>
  <c r="Y232" i="9" s="1"/>
  <c r="AA232" i="9" s="1"/>
  <c r="R28" i="9"/>
  <c r="Y231" i="9" s="1"/>
  <c r="AB231" i="9" s="1"/>
  <c r="Q28" i="9"/>
  <c r="Y230" i="9" s="1"/>
  <c r="AA230" i="9" s="1"/>
  <c r="P28" i="9"/>
  <c r="Y229" i="9" s="1"/>
  <c r="Z229" i="9" s="1"/>
  <c r="O28" i="9"/>
  <c r="Y228" i="9" s="1"/>
  <c r="T27" i="9"/>
  <c r="Y224" i="9" s="1"/>
  <c r="Z224" i="9" s="1"/>
  <c r="S27" i="9"/>
  <c r="Y223" i="9" s="1"/>
  <c r="AA223" i="9" s="1"/>
  <c r="R27" i="9"/>
  <c r="Y222" i="9" s="1"/>
  <c r="Z222" i="9" s="1"/>
  <c r="Q27" i="9"/>
  <c r="Y221" i="9" s="1"/>
  <c r="AB221" i="9" s="1"/>
  <c r="P27" i="9"/>
  <c r="Y220" i="9" s="1"/>
  <c r="Z220" i="9" s="1"/>
  <c r="O27" i="9"/>
  <c r="Y219" i="9" s="1"/>
  <c r="T26" i="9"/>
  <c r="Y215" i="9" s="1"/>
  <c r="Z215" i="9" s="1"/>
  <c r="S26" i="9"/>
  <c r="Y214" i="9" s="1"/>
  <c r="R26" i="9"/>
  <c r="Y213" i="9" s="1"/>
  <c r="Q26" i="9"/>
  <c r="Y212" i="9" s="1"/>
  <c r="P26" i="9"/>
  <c r="Y211" i="9" s="1"/>
  <c r="O26" i="9"/>
  <c r="Y210" i="9" s="1"/>
  <c r="T25" i="9"/>
  <c r="Y206" i="9" s="1"/>
  <c r="Z206" i="9" s="1"/>
  <c r="S25" i="9"/>
  <c r="Y205" i="9" s="1"/>
  <c r="R25" i="9"/>
  <c r="Y204" i="9" s="1"/>
  <c r="Q25" i="9"/>
  <c r="Y203" i="9" s="1"/>
  <c r="P25" i="9"/>
  <c r="Y202" i="9" s="1"/>
  <c r="O25" i="9"/>
  <c r="Y201" i="9" s="1"/>
  <c r="T24" i="9"/>
  <c r="Y197" i="9" s="1"/>
  <c r="S24" i="9"/>
  <c r="Y196" i="9" s="1"/>
  <c r="R24" i="9"/>
  <c r="Y195" i="9" s="1"/>
  <c r="Q24" i="9"/>
  <c r="Y194" i="9" s="1"/>
  <c r="P24" i="9"/>
  <c r="Y193" i="9" s="1"/>
  <c r="O24" i="9"/>
  <c r="Y192" i="9" s="1"/>
  <c r="T23" i="9"/>
  <c r="Y188" i="9" s="1"/>
  <c r="S23" i="9"/>
  <c r="Y187" i="9" s="1"/>
  <c r="R23" i="9"/>
  <c r="Y186" i="9" s="1"/>
  <c r="Q23" i="9"/>
  <c r="Y185" i="9" s="1"/>
  <c r="P23" i="9"/>
  <c r="Y184" i="9" s="1"/>
  <c r="O23" i="9"/>
  <c r="Y183" i="9" s="1"/>
  <c r="T22" i="9"/>
  <c r="Y179" i="9" s="1"/>
  <c r="S22" i="9"/>
  <c r="Y178" i="9" s="1"/>
  <c r="R22" i="9"/>
  <c r="Y177" i="9" s="1"/>
  <c r="Q22" i="9"/>
  <c r="Y176" i="9" s="1"/>
  <c r="P22" i="9"/>
  <c r="Y175" i="9" s="1"/>
  <c r="O22" i="9"/>
  <c r="Y174" i="9" s="1"/>
  <c r="T21" i="9"/>
  <c r="Y170" i="9" s="1"/>
  <c r="S21" i="9"/>
  <c r="Y169" i="9" s="1"/>
  <c r="R21" i="9"/>
  <c r="Y168" i="9" s="1"/>
  <c r="Q21" i="9"/>
  <c r="Y167" i="9" s="1"/>
  <c r="P21" i="9"/>
  <c r="Y166" i="9" s="1"/>
  <c r="O21" i="9"/>
  <c r="Y165" i="9" s="1"/>
  <c r="T20" i="9"/>
  <c r="Y161" i="9" s="1"/>
  <c r="S20" i="9"/>
  <c r="Y160" i="9" s="1"/>
  <c r="R20" i="9"/>
  <c r="Y159" i="9" s="1"/>
  <c r="Q20" i="9"/>
  <c r="Y158" i="9" s="1"/>
  <c r="P20" i="9"/>
  <c r="Y157" i="9" s="1"/>
  <c r="O20" i="9"/>
  <c r="Y156" i="9" s="1"/>
  <c r="T19" i="9"/>
  <c r="Y152" i="9" s="1"/>
  <c r="S19" i="9"/>
  <c r="Y151" i="9" s="1"/>
  <c r="R19" i="9"/>
  <c r="Y150" i="9" s="1"/>
  <c r="Q19" i="9"/>
  <c r="Y149" i="9" s="1"/>
  <c r="P19" i="9"/>
  <c r="Y148" i="9" s="1"/>
  <c r="O19" i="9"/>
  <c r="Y147" i="9" s="1"/>
  <c r="T18" i="9"/>
  <c r="Y143" i="9" s="1"/>
  <c r="S18" i="9"/>
  <c r="Y142" i="9" s="1"/>
  <c r="R18" i="9"/>
  <c r="Y141" i="9" s="1"/>
  <c r="Q18" i="9"/>
  <c r="Y140" i="9" s="1"/>
  <c r="P18" i="9"/>
  <c r="Y139" i="9" s="1"/>
  <c r="O18" i="9"/>
  <c r="Y138" i="9" s="1"/>
  <c r="T17" i="9"/>
  <c r="Y134" i="9" s="1"/>
  <c r="S17" i="9"/>
  <c r="Y133" i="9" s="1"/>
  <c r="R17" i="9"/>
  <c r="Y132" i="9" s="1"/>
  <c r="Q17" i="9"/>
  <c r="Y131" i="9" s="1"/>
  <c r="P17" i="9"/>
  <c r="Y130" i="9" s="1"/>
  <c r="O17" i="9"/>
  <c r="Y129" i="9" s="1"/>
  <c r="T16" i="9"/>
  <c r="Y125" i="9" s="1"/>
  <c r="S16" i="9"/>
  <c r="Y124" i="9" s="1"/>
  <c r="R16" i="9"/>
  <c r="Y123" i="9" s="1"/>
  <c r="Q16" i="9"/>
  <c r="Y122" i="9" s="1"/>
  <c r="P16" i="9"/>
  <c r="Y121" i="9" s="1"/>
  <c r="O16" i="9"/>
  <c r="Y120" i="9" s="1"/>
  <c r="T15" i="9"/>
  <c r="Y116" i="9" s="1"/>
  <c r="S15" i="9"/>
  <c r="Y115" i="9" s="1"/>
  <c r="R15" i="9"/>
  <c r="Y114" i="9" s="1"/>
  <c r="Q15" i="9"/>
  <c r="Y113" i="9" s="1"/>
  <c r="P15" i="9"/>
  <c r="Y112" i="9" s="1"/>
  <c r="O15" i="9"/>
  <c r="Y111" i="9" s="1"/>
  <c r="T14" i="9"/>
  <c r="Y107" i="9" s="1"/>
  <c r="S14" i="9"/>
  <c r="Y106" i="9" s="1"/>
  <c r="R14" i="9"/>
  <c r="Y105" i="9" s="1"/>
  <c r="Q14" i="9"/>
  <c r="Y104" i="9" s="1"/>
  <c r="P14" i="9"/>
  <c r="Y103" i="9" s="1"/>
  <c r="Z103" i="9" s="1"/>
  <c r="O14" i="9"/>
  <c r="Y102" i="9" s="1"/>
  <c r="Z102" i="9" s="1"/>
  <c r="T13" i="9"/>
  <c r="Y98" i="9" s="1"/>
  <c r="AA98" i="9" s="1"/>
  <c r="S13" i="9"/>
  <c r="Y97" i="9" s="1"/>
  <c r="AA97" i="9" s="1"/>
  <c r="R13" i="9"/>
  <c r="Y96" i="9" s="1"/>
  <c r="Z96" i="9" s="1"/>
  <c r="Q13" i="9"/>
  <c r="Y95" i="9" s="1"/>
  <c r="AA95" i="9" s="1"/>
  <c r="P13" i="9"/>
  <c r="Y94" i="9" s="1"/>
  <c r="AB94" i="9" s="1"/>
  <c r="O13" i="9"/>
  <c r="Y93" i="9" s="1"/>
  <c r="AA93" i="9" s="1"/>
  <c r="T12" i="9"/>
  <c r="Y89" i="9" s="1"/>
  <c r="AB89" i="9" s="1"/>
  <c r="S12" i="9"/>
  <c r="Y88" i="9" s="1"/>
  <c r="AB88" i="9" s="1"/>
  <c r="R12" i="9"/>
  <c r="Y87" i="9" s="1"/>
  <c r="Z87" i="9" s="1"/>
  <c r="Q12" i="9"/>
  <c r="Y86" i="9" s="1"/>
  <c r="Z86" i="9" s="1"/>
  <c r="P12" i="9"/>
  <c r="Y85" i="9" s="1"/>
  <c r="Z85" i="9" s="1"/>
  <c r="O12" i="9"/>
  <c r="Y84" i="9" s="1"/>
  <c r="Z84" i="9" s="1"/>
  <c r="T11" i="9"/>
  <c r="Y80" i="9" s="1"/>
  <c r="Z80" i="9" s="1"/>
  <c r="S11" i="9"/>
  <c r="Y79" i="9" s="1"/>
  <c r="AA79" i="9" s="1"/>
  <c r="R11" i="9"/>
  <c r="Y78" i="9" s="1"/>
  <c r="AB78" i="9" s="1"/>
  <c r="Q11" i="9"/>
  <c r="Y77" i="9" s="1"/>
  <c r="AA77" i="9" s="1"/>
  <c r="P11" i="9"/>
  <c r="Y76" i="9" s="1"/>
  <c r="AA76" i="9" s="1"/>
  <c r="O11" i="9"/>
  <c r="Y75" i="9" s="1"/>
  <c r="AB75" i="9" s="1"/>
  <c r="T10" i="9"/>
  <c r="Y71" i="9" s="1"/>
  <c r="Z71" i="9" s="1"/>
  <c r="S10" i="9"/>
  <c r="Y70" i="9" s="1"/>
  <c r="Z70" i="9" s="1"/>
  <c r="R10" i="9"/>
  <c r="Y69" i="9" s="1"/>
  <c r="Z69" i="9" s="1"/>
  <c r="Q10" i="9"/>
  <c r="Y68" i="9" s="1"/>
  <c r="AB68" i="9" s="1"/>
  <c r="P10" i="9"/>
  <c r="Y67" i="9" s="1"/>
  <c r="Z67" i="9" s="1"/>
  <c r="O10" i="9"/>
  <c r="Y66" i="9" s="1"/>
  <c r="T9" i="9"/>
  <c r="Y62" i="9" s="1"/>
  <c r="AB62" i="9" s="1"/>
  <c r="S9" i="9"/>
  <c r="Y61" i="9" s="1"/>
  <c r="AA61" i="9" s="1"/>
  <c r="R9" i="9"/>
  <c r="Y60" i="9" s="1"/>
  <c r="Q9" i="9"/>
  <c r="Y59" i="9" s="1"/>
  <c r="AB59" i="9" s="1"/>
  <c r="P9" i="9"/>
  <c r="Y58" i="9" s="1"/>
  <c r="AB58" i="9" s="1"/>
  <c r="O9" i="9"/>
  <c r="Y57" i="9" s="1"/>
  <c r="T8" i="9"/>
  <c r="Y53" i="9" s="1"/>
  <c r="Z53" i="9" s="1"/>
  <c r="S8" i="9"/>
  <c r="Y52" i="9" s="1"/>
  <c r="Z52" i="9" s="1"/>
  <c r="R8" i="9"/>
  <c r="Y51" i="9" s="1"/>
  <c r="Z51" i="9" s="1"/>
  <c r="Q8" i="9"/>
  <c r="Y50" i="9" s="1"/>
  <c r="AA50" i="9" s="1"/>
  <c r="P8" i="9"/>
  <c r="Y49" i="9" s="1"/>
  <c r="AA49" i="9" s="1"/>
  <c r="O8" i="9"/>
  <c r="Y48" i="9" s="1"/>
  <c r="Z48" i="9" s="1"/>
  <c r="T7" i="9"/>
  <c r="Y44" i="9" s="1"/>
  <c r="AA44" i="9" s="1"/>
  <c r="S7" i="9"/>
  <c r="Y43" i="9" s="1"/>
  <c r="AB43" i="9" s="1"/>
  <c r="R7" i="9"/>
  <c r="Y42" i="9" s="1"/>
  <c r="AB42" i="9" s="1"/>
  <c r="Q7" i="9"/>
  <c r="Y41" i="9" s="1"/>
  <c r="AB41" i="9" s="1"/>
  <c r="P7" i="9"/>
  <c r="Y40" i="9" s="1"/>
  <c r="AB40" i="9" s="1"/>
  <c r="O7" i="9"/>
  <c r="Y39" i="9" s="1"/>
  <c r="Z39" i="9" s="1"/>
  <c r="T6" i="9"/>
  <c r="Y35" i="9" s="1"/>
  <c r="Z35" i="9" s="1"/>
  <c r="S6" i="9"/>
  <c r="Y34" i="9" s="1"/>
  <c r="AA34" i="9" s="1"/>
  <c r="R6" i="9"/>
  <c r="Y33" i="9" s="1"/>
  <c r="Q6" i="9"/>
  <c r="Y32" i="9" s="1"/>
  <c r="Z32" i="9" s="1"/>
  <c r="P6" i="9"/>
  <c r="Y31" i="9" s="1"/>
  <c r="AA31" i="9" s="1"/>
  <c r="O6" i="9"/>
  <c r="Y30" i="9" s="1"/>
  <c r="T5" i="9"/>
  <c r="Y26" i="9" s="1"/>
  <c r="AB26" i="9" s="1"/>
  <c r="S5" i="9"/>
  <c r="Y25" i="9" s="1"/>
  <c r="AB25" i="9" s="1"/>
  <c r="R5" i="9"/>
  <c r="Y24" i="9" s="1"/>
  <c r="AB24" i="9" s="1"/>
  <c r="Q5" i="9"/>
  <c r="Y23" i="9" s="1"/>
  <c r="Z23" i="9" s="1"/>
  <c r="P5" i="9"/>
  <c r="Y22" i="9" s="1"/>
  <c r="Z22" i="9" s="1"/>
  <c r="O5" i="9"/>
  <c r="Y21" i="9" s="1"/>
  <c r="Z21" i="9" s="1"/>
  <c r="T4" i="9"/>
  <c r="Y17" i="9" s="1"/>
  <c r="AA17" i="9" s="1"/>
  <c r="S4" i="9"/>
  <c r="Y16" i="9" s="1"/>
  <c r="Z16" i="9" s="1"/>
  <c r="R4" i="9"/>
  <c r="Y15" i="9" s="1"/>
  <c r="AA15" i="9" s="1"/>
  <c r="Q4" i="9"/>
  <c r="Y14" i="9" s="1"/>
  <c r="AB14" i="9" s="1"/>
  <c r="P4" i="9"/>
  <c r="Y13" i="9" s="1"/>
  <c r="AA13" i="9" s="1"/>
  <c r="O4" i="9"/>
  <c r="Y12" i="9" s="1"/>
  <c r="T3" i="9"/>
  <c r="Y8" i="9" s="1"/>
  <c r="AB8" i="9" s="1"/>
  <c r="S3" i="9"/>
  <c r="Y7" i="9" s="1"/>
  <c r="Z7" i="9" s="1"/>
  <c r="R3" i="9"/>
  <c r="Y6" i="9" s="1"/>
  <c r="Z6" i="9" s="1"/>
  <c r="Y5" i="9"/>
  <c r="Z5" i="9" s="1"/>
  <c r="P3" i="9"/>
  <c r="Y4" i="9" s="1"/>
  <c r="O3" i="9"/>
  <c r="Y3" i="9" s="1"/>
  <c r="AA2" i="9"/>
  <c r="AA273" i="9" l="1"/>
  <c r="AA12" i="9"/>
  <c r="AA66" i="9"/>
  <c r="AB228" i="9"/>
  <c r="AA246" i="9"/>
  <c r="AA60" i="9"/>
  <c r="AB57" i="9"/>
  <c r="AB219" i="9"/>
  <c r="AB30" i="9"/>
  <c r="X11" i="12"/>
  <c r="AA33" i="9"/>
  <c r="Z15" i="9"/>
  <c r="AB23" i="9"/>
  <c r="Z31" i="9"/>
  <c r="AA8" i="9"/>
  <c r="AA40" i="9"/>
  <c r="AB102" i="9"/>
  <c r="AA219" i="9"/>
  <c r="Z223" i="9"/>
  <c r="Z239" i="9"/>
  <c r="AA251" i="9"/>
  <c r="Z255" i="9"/>
  <c r="AB259" i="9"/>
  <c r="AA267" i="9"/>
  <c r="AB275" i="9"/>
  <c r="AA283" i="9"/>
  <c r="Z287" i="9"/>
  <c r="AB224" i="9"/>
  <c r="AA228" i="9"/>
  <c r="Z232" i="9"/>
  <c r="AB240" i="9"/>
  <c r="Z248" i="9"/>
  <c r="AB256" i="9"/>
  <c r="AA260" i="9"/>
  <c r="Z264" i="9"/>
  <c r="AA276" i="9"/>
  <c r="AA221" i="9"/>
  <c r="AB233" i="9"/>
  <c r="AA237" i="9"/>
  <c r="Z241" i="9"/>
  <c r="AB249" i="9"/>
  <c r="Z257" i="9"/>
  <c r="AB265" i="9"/>
  <c r="AA269" i="9"/>
  <c r="Z273" i="9"/>
  <c r="AA285" i="9"/>
  <c r="AB222" i="9"/>
  <c r="AB238" i="9"/>
  <c r="AA242" i="9"/>
  <c r="Z250" i="9"/>
  <c r="AA258" i="9"/>
  <c r="Z266" i="9"/>
  <c r="AA274" i="9"/>
  <c r="Z282" i="9"/>
  <c r="AB286" i="9"/>
  <c r="Z12" i="9"/>
  <c r="AA24" i="9"/>
  <c r="Z44" i="9"/>
  <c r="Z76" i="9"/>
  <c r="AB5" i="9"/>
  <c r="Z17" i="9"/>
  <c r="Z33" i="9"/>
  <c r="AA41" i="9"/>
  <c r="Z49" i="9"/>
  <c r="AB85" i="9"/>
  <c r="AB22" i="9"/>
  <c r="AA62" i="9"/>
  <c r="AB215" i="9"/>
  <c r="Z219" i="9"/>
  <c r="AB223" i="9"/>
  <c r="AA231" i="9"/>
  <c r="AB239" i="9"/>
  <c r="AA247" i="9"/>
  <c r="Z251" i="9"/>
  <c r="AB255" i="9"/>
  <c r="Z267" i="9"/>
  <c r="Z283" i="9"/>
  <c r="AB287" i="9"/>
  <c r="AB220" i="9"/>
  <c r="AA224" i="9"/>
  <c r="Z228" i="9"/>
  <c r="AA240" i="9"/>
  <c r="AA256" i="9"/>
  <c r="Z260" i="9"/>
  <c r="AB268" i="9"/>
  <c r="Z276" i="9"/>
  <c r="AB284" i="9"/>
  <c r="Z221" i="9"/>
  <c r="AB229" i="9"/>
  <c r="AA233" i="9"/>
  <c r="Z237" i="9"/>
  <c r="AA249" i="9"/>
  <c r="AA265" i="9"/>
  <c r="Z269" i="9"/>
  <c r="AB277" i="9"/>
  <c r="Z285" i="9"/>
  <c r="AB206" i="9"/>
  <c r="AA222" i="9"/>
  <c r="Z230" i="9"/>
  <c r="AA238" i="9"/>
  <c r="Z246" i="9"/>
  <c r="AB250" i="9"/>
  <c r="AB266" i="9"/>
  <c r="Z278" i="9"/>
  <c r="AB282" i="9"/>
  <c r="AA286" i="9"/>
  <c r="AB52" i="9"/>
  <c r="Z60" i="9"/>
  <c r="AA88" i="9"/>
  <c r="AB53" i="9"/>
  <c r="AB69" i="9"/>
  <c r="AA89" i="9"/>
  <c r="AB6" i="9"/>
  <c r="AA30" i="9"/>
  <c r="Z66" i="9"/>
  <c r="AA94" i="9"/>
  <c r="AA215" i="9"/>
  <c r="Z231" i="9"/>
  <c r="Z247" i="9"/>
  <c r="AA259" i="9"/>
  <c r="AA275" i="9"/>
  <c r="AA220" i="9"/>
  <c r="AB232" i="9"/>
  <c r="AB248" i="9"/>
  <c r="AB264" i="9"/>
  <c r="AA268" i="9"/>
  <c r="AA284" i="9"/>
  <c r="AA229" i="9"/>
  <c r="AB241" i="9"/>
  <c r="AB257" i="9"/>
  <c r="AB273" i="9"/>
  <c r="AA277" i="9"/>
  <c r="AA206" i="9"/>
  <c r="AB230" i="9"/>
  <c r="Z242" i="9"/>
  <c r="AB246" i="9"/>
  <c r="Z258" i="9"/>
  <c r="Z274" i="9"/>
  <c r="AB278" i="9"/>
  <c r="AA59" i="9"/>
  <c r="AB71" i="9"/>
  <c r="AB87" i="9"/>
  <c r="Z95" i="9"/>
  <c r="AB103" i="9"/>
  <c r="Z34" i="9"/>
  <c r="AB70" i="9"/>
  <c r="AA78" i="9"/>
  <c r="Z98" i="9"/>
  <c r="Z122" i="9"/>
  <c r="AA122" i="9"/>
  <c r="AB122" i="9"/>
  <c r="Z147" i="9"/>
  <c r="AA147" i="9"/>
  <c r="AB147" i="9"/>
  <c r="AB169" i="9"/>
  <c r="Z169" i="9"/>
  <c r="AA169" i="9"/>
  <c r="Z194" i="9"/>
  <c r="AA194" i="9"/>
  <c r="AB194" i="9"/>
  <c r="AA75" i="9"/>
  <c r="AB21" i="9"/>
  <c r="AA25" i="9"/>
  <c r="AA57" i="9"/>
  <c r="AA104" i="9"/>
  <c r="AB104" i="9"/>
  <c r="Z104" i="9"/>
  <c r="AB129" i="9"/>
  <c r="Z129" i="9"/>
  <c r="AA129" i="9"/>
  <c r="Z151" i="9"/>
  <c r="AA151" i="9"/>
  <c r="AB151" i="9"/>
  <c r="AA176" i="9"/>
  <c r="AB176" i="9"/>
  <c r="Z176" i="9"/>
  <c r="AB201" i="9"/>
  <c r="Z201" i="9"/>
  <c r="AA201" i="9"/>
  <c r="AB7" i="9"/>
  <c r="Z79" i="9"/>
  <c r="Z97" i="9"/>
  <c r="AA14" i="9"/>
  <c r="Z4" i="9"/>
  <c r="AA4" i="9"/>
  <c r="AB4" i="9"/>
  <c r="AB105" i="9"/>
  <c r="Z105" i="9"/>
  <c r="AA105" i="9"/>
  <c r="AA112" i="9"/>
  <c r="AB112" i="9"/>
  <c r="Z112" i="9"/>
  <c r="AA116" i="9"/>
  <c r="AB116" i="9"/>
  <c r="Z116" i="9"/>
  <c r="Z123" i="9"/>
  <c r="AA123" i="9"/>
  <c r="AB123" i="9"/>
  <c r="Z130" i="9"/>
  <c r="AA130" i="9"/>
  <c r="AB130" i="9"/>
  <c r="Z134" i="9"/>
  <c r="AA134" i="9"/>
  <c r="AB134" i="9"/>
  <c r="AB141" i="9"/>
  <c r="Z141" i="9"/>
  <c r="AA141" i="9"/>
  <c r="AA148" i="9"/>
  <c r="AB148" i="9"/>
  <c r="Z148" i="9"/>
  <c r="AA152" i="9"/>
  <c r="AB152" i="9"/>
  <c r="Z152" i="9"/>
  <c r="Z159" i="9"/>
  <c r="AA159" i="9"/>
  <c r="AB159" i="9"/>
  <c r="Z166" i="9"/>
  <c r="AA166" i="9"/>
  <c r="AB166" i="9"/>
  <c r="Z170" i="9"/>
  <c r="AA170" i="9"/>
  <c r="AB170" i="9"/>
  <c r="AB177" i="9"/>
  <c r="Z177" i="9"/>
  <c r="AA177" i="9"/>
  <c r="AA184" i="9"/>
  <c r="AB184" i="9"/>
  <c r="Z184" i="9"/>
  <c r="AA188" i="9"/>
  <c r="AB188" i="9"/>
  <c r="Z188" i="9"/>
  <c r="Z195" i="9"/>
  <c r="AA195" i="9"/>
  <c r="AB195" i="9"/>
  <c r="Z202" i="9"/>
  <c r="AA202" i="9"/>
  <c r="AB202" i="9"/>
  <c r="AB213" i="9"/>
  <c r="Z213" i="9"/>
  <c r="AA213" i="9"/>
  <c r="AA7" i="9"/>
  <c r="AA23" i="9"/>
  <c r="AB35" i="9"/>
  <c r="AA39" i="9"/>
  <c r="Z43" i="9"/>
  <c r="AB51" i="9"/>
  <c r="Z59" i="9"/>
  <c r="AB67" i="9"/>
  <c r="AA71" i="9"/>
  <c r="Z75" i="9"/>
  <c r="AA87" i="9"/>
  <c r="AA103" i="9"/>
  <c r="Z8" i="9"/>
  <c r="AB16" i="9"/>
  <c r="Z24" i="9"/>
  <c r="AB32" i="9"/>
  <c r="Z40" i="9"/>
  <c r="AB48" i="9"/>
  <c r="AA52" i="9"/>
  <c r="AA68" i="9"/>
  <c r="AB80" i="9"/>
  <c r="AA84" i="9"/>
  <c r="Z88" i="9"/>
  <c r="AB96" i="9"/>
  <c r="AA5" i="9"/>
  <c r="Z13" i="9"/>
  <c r="AB17" i="9"/>
  <c r="AA21" i="9"/>
  <c r="AB33" i="9"/>
  <c r="AB49" i="9"/>
  <c r="AA53" i="9"/>
  <c r="Z61" i="9"/>
  <c r="AA69" i="9"/>
  <c r="Z77" i="9"/>
  <c r="AA85" i="9"/>
  <c r="Z93" i="9"/>
  <c r="AB97" i="9"/>
  <c r="Z14" i="9"/>
  <c r="AA26" i="9"/>
  <c r="Z30" i="9"/>
  <c r="AB34" i="9"/>
  <c r="AA42" i="9"/>
  <c r="AB50" i="9"/>
  <c r="AA58" i="9"/>
  <c r="Z62" i="9"/>
  <c r="AB66" i="9"/>
  <c r="Z78" i="9"/>
  <c r="Z94" i="9"/>
  <c r="AB98" i="9"/>
  <c r="Z111" i="9"/>
  <c r="AA111" i="9"/>
  <c r="AB111" i="9"/>
  <c r="AB133" i="9"/>
  <c r="Z133" i="9"/>
  <c r="AA133" i="9"/>
  <c r="Z158" i="9"/>
  <c r="AA158" i="9"/>
  <c r="AB158" i="9"/>
  <c r="Z183" i="9"/>
  <c r="AA183" i="9"/>
  <c r="AB183" i="9"/>
  <c r="AA212" i="9"/>
  <c r="AB212" i="9"/>
  <c r="Z212" i="9"/>
  <c r="AB39" i="9"/>
  <c r="AA43" i="9"/>
  <c r="AB84" i="9"/>
  <c r="AB86" i="9"/>
  <c r="Z106" i="9"/>
  <c r="AA106" i="9"/>
  <c r="AB106" i="9"/>
  <c r="AB113" i="9"/>
  <c r="Z113" i="9"/>
  <c r="AA113" i="9"/>
  <c r="AA120" i="9"/>
  <c r="AB120" i="9"/>
  <c r="Z120" i="9"/>
  <c r="AA124" i="9"/>
  <c r="AB124" i="9"/>
  <c r="Z124" i="9"/>
  <c r="Z131" i="9"/>
  <c r="AA131" i="9"/>
  <c r="AB131" i="9"/>
  <c r="Z138" i="9"/>
  <c r="AA138" i="9"/>
  <c r="AB138" i="9"/>
  <c r="Z142" i="9"/>
  <c r="AA142" i="9"/>
  <c r="AB142" i="9"/>
  <c r="AB149" i="9"/>
  <c r="Z149" i="9"/>
  <c r="AA149" i="9"/>
  <c r="AA156" i="9"/>
  <c r="AB156" i="9"/>
  <c r="Z156" i="9"/>
  <c r="AA160" i="9"/>
  <c r="AB160" i="9"/>
  <c r="Z160" i="9"/>
  <c r="Z167" i="9"/>
  <c r="AA167" i="9"/>
  <c r="AB167" i="9"/>
  <c r="Z174" i="9"/>
  <c r="AA174" i="9"/>
  <c r="AB174" i="9"/>
  <c r="Z178" i="9"/>
  <c r="AA178" i="9"/>
  <c r="AB178" i="9"/>
  <c r="AB185" i="9"/>
  <c r="Z185" i="9"/>
  <c r="AA185" i="9"/>
  <c r="AA192" i="9"/>
  <c r="AB192" i="9"/>
  <c r="Z192" i="9"/>
  <c r="AA196" i="9"/>
  <c r="AB196" i="9"/>
  <c r="Z196" i="9"/>
  <c r="Z203" i="9"/>
  <c r="AA203" i="9"/>
  <c r="AB203" i="9"/>
  <c r="Z210" i="9"/>
  <c r="AA210" i="9"/>
  <c r="AB210" i="9"/>
  <c r="Z214" i="9"/>
  <c r="AA214" i="9"/>
  <c r="AB214" i="9"/>
  <c r="AB15" i="9"/>
  <c r="AB31" i="9"/>
  <c r="AA35" i="9"/>
  <c r="AA51" i="9"/>
  <c r="AA67" i="9"/>
  <c r="AB79" i="9"/>
  <c r="AB95" i="9"/>
  <c r="AB12" i="9"/>
  <c r="AA16" i="9"/>
  <c r="AA32" i="9"/>
  <c r="AB44" i="9"/>
  <c r="AA48" i="9"/>
  <c r="AB60" i="9"/>
  <c r="Z68" i="9"/>
  <c r="AB76" i="9"/>
  <c r="AA80" i="9"/>
  <c r="AA96" i="9"/>
  <c r="AB13" i="9"/>
  <c r="Z25" i="9"/>
  <c r="Z41" i="9"/>
  <c r="Z57" i="9"/>
  <c r="AB61" i="9"/>
  <c r="AB77" i="9"/>
  <c r="Z89" i="9"/>
  <c r="AB93" i="9"/>
  <c r="AA6" i="9"/>
  <c r="AA22" i="9"/>
  <c r="Z26" i="9"/>
  <c r="Z42" i="9"/>
  <c r="Z58" i="9"/>
  <c r="AA70" i="9"/>
  <c r="AA86" i="9"/>
  <c r="AA102" i="9"/>
  <c r="Z115" i="9"/>
  <c r="AA115" i="9"/>
  <c r="AB115" i="9"/>
  <c r="AA140" i="9"/>
  <c r="AB140" i="9"/>
  <c r="Z140" i="9"/>
  <c r="AB165" i="9"/>
  <c r="Z165" i="9"/>
  <c r="AA165" i="9"/>
  <c r="Z187" i="9"/>
  <c r="AA187" i="9"/>
  <c r="AB187" i="9"/>
  <c r="AB205" i="9"/>
  <c r="Z205" i="9"/>
  <c r="AA205" i="9"/>
  <c r="Z50" i="9"/>
  <c r="Z107" i="9"/>
  <c r="AA107" i="9"/>
  <c r="AB107" i="9"/>
  <c r="Z114" i="9"/>
  <c r="AA114" i="9"/>
  <c r="AB114" i="9"/>
  <c r="AB121" i="9"/>
  <c r="Z121" i="9"/>
  <c r="AA121" i="9"/>
  <c r="AB125" i="9"/>
  <c r="Z125" i="9"/>
  <c r="AA125" i="9"/>
  <c r="AA132" i="9"/>
  <c r="AB132" i="9"/>
  <c r="Z132" i="9"/>
  <c r="Z139" i="9"/>
  <c r="AA139" i="9"/>
  <c r="AB139" i="9"/>
  <c r="Z143" i="9"/>
  <c r="AA143" i="9"/>
  <c r="AB143" i="9"/>
  <c r="Z150" i="9"/>
  <c r="AA150" i="9"/>
  <c r="AB150" i="9"/>
  <c r="AB157" i="9"/>
  <c r="Z157" i="9"/>
  <c r="AA157" i="9"/>
  <c r="AB161" i="9"/>
  <c r="Z161" i="9"/>
  <c r="AA161" i="9"/>
  <c r="AA168" i="9"/>
  <c r="AB168" i="9"/>
  <c r="Z168" i="9"/>
  <c r="Z175" i="9"/>
  <c r="AA175" i="9"/>
  <c r="AB175" i="9"/>
  <c r="Z179" i="9"/>
  <c r="AA179" i="9"/>
  <c r="AB179" i="9"/>
  <c r="Z186" i="9"/>
  <c r="AA186" i="9"/>
  <c r="AB186" i="9"/>
  <c r="AB193" i="9"/>
  <c r="Z193" i="9"/>
  <c r="AA193" i="9"/>
  <c r="AB197" i="9"/>
  <c r="Z197" i="9"/>
  <c r="AA197" i="9"/>
  <c r="AA204" i="9"/>
  <c r="AB204" i="9"/>
  <c r="Z204" i="9"/>
  <c r="Z211" i="9"/>
  <c r="AA211" i="9"/>
  <c r="AB211" i="9"/>
  <c r="Z3" i="9"/>
  <c r="X3" i="9" s="1"/>
  <c r="AB3" i="9"/>
  <c r="AA3" i="9"/>
  <c r="X12" i="12" l="1"/>
  <c r="X4" i="9"/>
  <c r="X5" i="9" s="1"/>
  <c r="X6" i="9" s="1"/>
  <c r="X13" i="12" l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X243" i="12" s="1"/>
  <c r="X244" i="12" s="1"/>
  <c r="X245" i="12" s="1"/>
  <c r="X246" i="12" s="1"/>
  <c r="X247" i="12" s="1"/>
  <c r="X248" i="12" s="1"/>
  <c r="X249" i="12" s="1"/>
  <c r="X250" i="12" s="1"/>
  <c r="X251" i="12" s="1"/>
  <c r="X252" i="12" s="1"/>
  <c r="X253" i="12" s="1"/>
  <c r="X254" i="12" s="1"/>
  <c r="X255" i="12" s="1"/>
  <c r="X256" i="12" s="1"/>
  <c r="X257" i="12" s="1"/>
  <c r="X258" i="12" s="1"/>
  <c r="X259" i="12" s="1"/>
  <c r="X260" i="12" s="1"/>
  <c r="X261" i="12" s="1"/>
  <c r="X262" i="12" s="1"/>
  <c r="X263" i="12" s="1"/>
  <c r="X264" i="12" s="1"/>
  <c r="X265" i="12" s="1"/>
  <c r="X266" i="12" s="1"/>
  <c r="X267" i="12" s="1"/>
  <c r="X268" i="12" s="1"/>
  <c r="X269" i="12" s="1"/>
  <c r="X270" i="12" s="1"/>
  <c r="X271" i="12" s="1"/>
  <c r="X272" i="12" s="1"/>
  <c r="X273" i="12" s="1"/>
  <c r="X274" i="12" s="1"/>
  <c r="X275" i="12" s="1"/>
  <c r="X276" i="12" s="1"/>
  <c r="X277" i="12" s="1"/>
  <c r="X278" i="12" s="1"/>
  <c r="X279" i="12" s="1"/>
  <c r="X280" i="12" s="1"/>
  <c r="X281" i="12" s="1"/>
  <c r="X282" i="12" s="1"/>
  <c r="X283" i="12" s="1"/>
  <c r="X284" i="12" s="1"/>
  <c r="X285" i="12" s="1"/>
  <c r="X286" i="12" s="1"/>
  <c r="X287" i="12" s="1"/>
  <c r="X288" i="12" s="1"/>
  <c r="X289" i="12" s="1"/>
  <c r="X290" i="12" s="1"/>
  <c r="B36" i="12" s="1"/>
  <c r="A36" i="12" s="1"/>
  <c r="X7" i="9"/>
  <c r="N26" i="8" l="1"/>
  <c r="N19" i="8"/>
  <c r="N18" i="8"/>
  <c r="N24" i="8"/>
  <c r="N14" i="8"/>
  <c r="N22" i="8"/>
  <c r="N28" i="8"/>
  <c r="N20" i="8"/>
  <c r="N21" i="8"/>
  <c r="N16" i="8"/>
  <c r="N25" i="8"/>
  <c r="N17" i="8"/>
  <c r="N27" i="8"/>
  <c r="N15" i="8"/>
  <c r="N13" i="8"/>
  <c r="N23" i="8"/>
  <c r="C27" i="12"/>
  <c r="B44" i="12"/>
  <c r="A44" i="12" s="1"/>
  <c r="B73" i="12"/>
  <c r="A73" i="12" s="1"/>
  <c r="C30" i="12"/>
  <c r="B32" i="12"/>
  <c r="A32" i="12" s="1"/>
  <c r="C45" i="12"/>
  <c r="D56" i="12"/>
  <c r="C79" i="12"/>
  <c r="B93" i="12"/>
  <c r="A93" i="12" s="1"/>
  <c r="B62" i="12"/>
  <c r="A62" i="12" s="1"/>
  <c r="C61" i="12"/>
  <c r="D5" i="12"/>
  <c r="X291" i="12"/>
  <c r="X292" i="12" s="1"/>
  <c r="X293" i="12" s="1"/>
  <c r="X294" i="12" s="1"/>
  <c r="X295" i="12" s="1"/>
  <c r="X296" i="12" s="1"/>
  <c r="X297" i="12" s="1"/>
  <c r="X298" i="12" s="1"/>
  <c r="X299" i="12" s="1"/>
  <c r="X300" i="12" s="1"/>
  <c r="X301" i="12" s="1"/>
  <c r="X302" i="12" s="1"/>
  <c r="X303" i="12" s="1"/>
  <c r="X304" i="12" s="1"/>
  <c r="X305" i="12" s="1"/>
  <c r="X306" i="12" s="1"/>
  <c r="X307" i="12" s="1"/>
  <c r="X308" i="12" s="1"/>
  <c r="X309" i="12" s="1"/>
  <c r="X310" i="12" s="1"/>
  <c r="X311" i="12" s="1"/>
  <c r="X312" i="12" s="1"/>
  <c r="X313" i="12" s="1"/>
  <c r="X314" i="12" s="1"/>
  <c r="X315" i="12" s="1"/>
  <c r="X316" i="12" s="1"/>
  <c r="X317" i="12" s="1"/>
  <c r="X318" i="12" s="1"/>
  <c r="X319" i="12" s="1"/>
  <c r="X320" i="12" s="1"/>
  <c r="X321" i="12" s="1"/>
  <c r="X322" i="12" s="1"/>
  <c r="X323" i="12" s="1"/>
  <c r="X324" i="12" s="1"/>
  <c r="X325" i="12" s="1"/>
  <c r="X326" i="12" s="1"/>
  <c r="X327" i="12" s="1"/>
  <c r="X328" i="12" s="1"/>
  <c r="X329" i="12" s="1"/>
  <c r="X330" i="12" s="1"/>
  <c r="X331" i="12" s="1"/>
  <c r="X332" i="12" s="1"/>
  <c r="X333" i="12" s="1"/>
  <c r="X334" i="12" s="1"/>
  <c r="X335" i="12" s="1"/>
  <c r="X336" i="12" s="1"/>
  <c r="X337" i="12" s="1"/>
  <c r="X338" i="12" s="1"/>
  <c r="X339" i="12" s="1"/>
  <c r="X340" i="12" s="1"/>
  <c r="X341" i="12" s="1"/>
  <c r="X342" i="12" s="1"/>
  <c r="X343" i="12" s="1"/>
  <c r="X344" i="12" s="1"/>
  <c r="X345" i="12" s="1"/>
  <c r="X346" i="12" s="1"/>
  <c r="X347" i="12" s="1"/>
  <c r="X348" i="12" s="1"/>
  <c r="X349" i="12" s="1"/>
  <c r="X350" i="12" s="1"/>
  <c r="X351" i="12" s="1"/>
  <c r="X352" i="12" s="1"/>
  <c r="X353" i="12" s="1"/>
  <c r="X354" i="12" s="1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D71" i="12"/>
  <c r="D7" i="12"/>
  <c r="D89" i="12"/>
  <c r="D32" i="12"/>
  <c r="C51" i="12"/>
  <c r="B39" i="12"/>
  <c r="A39" i="12" s="1"/>
  <c r="D37" i="12"/>
  <c r="C74" i="12"/>
  <c r="D22" i="12"/>
  <c r="C101" i="12"/>
  <c r="C75" i="12"/>
  <c r="B64" i="12"/>
  <c r="A64" i="12" s="1"/>
  <c r="B15" i="12"/>
  <c r="A15" i="12" s="1"/>
  <c r="B79" i="12"/>
  <c r="A79" i="12" s="1"/>
  <c r="C46" i="12"/>
  <c r="D87" i="12"/>
  <c r="C100" i="12"/>
  <c r="D62" i="12"/>
  <c r="C80" i="12"/>
  <c r="B30" i="12"/>
  <c r="A30" i="12" s="1"/>
  <c r="C96" i="12"/>
  <c r="D8" i="12"/>
  <c r="B55" i="12"/>
  <c r="A55" i="12" s="1"/>
  <c r="C62" i="12"/>
  <c r="C13" i="12"/>
  <c r="D51" i="12"/>
  <c r="B88" i="12"/>
  <c r="A88" i="12" s="1"/>
  <c r="D76" i="12"/>
  <c r="D27" i="12"/>
  <c r="D91" i="12"/>
  <c r="D82" i="12"/>
  <c r="B20" i="12"/>
  <c r="A20" i="12" s="1"/>
  <c r="B38" i="12"/>
  <c r="A38" i="12" s="1"/>
  <c r="D45" i="12"/>
  <c r="D54" i="12"/>
  <c r="C84" i="12"/>
  <c r="D68" i="12"/>
  <c r="C41" i="12"/>
  <c r="B50" i="12"/>
  <c r="A50" i="12" s="1"/>
  <c r="D63" i="12"/>
  <c r="D36" i="12"/>
  <c r="D15" i="12"/>
  <c r="D40" i="12"/>
  <c r="C88" i="12"/>
  <c r="B56" i="12"/>
  <c r="A56" i="12" s="1"/>
  <c r="D66" i="12"/>
  <c r="D57" i="12"/>
  <c r="D53" i="12"/>
  <c r="D78" i="12"/>
  <c r="D88" i="12"/>
  <c r="C55" i="12"/>
  <c r="B12" i="12"/>
  <c r="A12" i="12" s="1"/>
  <c r="C26" i="12"/>
  <c r="B87" i="12"/>
  <c r="A87" i="12" s="1"/>
  <c r="D79" i="12"/>
  <c r="D94" i="12"/>
  <c r="C38" i="12"/>
  <c r="B7" i="12"/>
  <c r="A7" i="12" s="1"/>
  <c r="D28" i="12"/>
  <c r="D100" i="12"/>
  <c r="C64" i="12"/>
  <c r="B37" i="12"/>
  <c r="A37" i="12" s="1"/>
  <c r="D80" i="12"/>
  <c r="B45" i="12"/>
  <c r="A45" i="12" s="1"/>
  <c r="D20" i="12"/>
  <c r="C36" i="12"/>
  <c r="C86" i="12"/>
  <c r="C28" i="12"/>
  <c r="D90" i="12"/>
  <c r="C69" i="12"/>
  <c r="D31" i="12"/>
  <c r="B99" i="12"/>
  <c r="A99" i="12" s="1"/>
  <c r="B90" i="12"/>
  <c r="A90" i="12" s="1"/>
  <c r="D55" i="12"/>
  <c r="D61" i="12"/>
  <c r="D67" i="12"/>
  <c r="C60" i="12"/>
  <c r="C63" i="12"/>
  <c r="B86" i="12"/>
  <c r="A86" i="12" s="1"/>
  <c r="C5" i="12"/>
  <c r="C23" i="12"/>
  <c r="D47" i="12"/>
  <c r="B19" i="12"/>
  <c r="A19" i="12" s="1"/>
  <c r="B41" i="12"/>
  <c r="A41" i="12" s="1"/>
  <c r="C83" i="12"/>
  <c r="B57" i="12"/>
  <c r="A57" i="12" s="1"/>
  <c r="B63" i="12"/>
  <c r="A63" i="12" s="1"/>
  <c r="D49" i="12"/>
  <c r="C67" i="12"/>
  <c r="C32" i="12"/>
  <c r="D65" i="12"/>
  <c r="C17" i="12"/>
  <c r="C18" i="12"/>
  <c r="B83" i="12"/>
  <c r="A83" i="12" s="1"/>
  <c r="D96" i="12"/>
  <c r="D30" i="12"/>
  <c r="C31" i="12"/>
  <c r="B81" i="12"/>
  <c r="A81" i="12" s="1"/>
  <c r="B35" i="12"/>
  <c r="A35" i="12" s="1"/>
  <c r="D44" i="12"/>
  <c r="D86" i="12"/>
  <c r="D9" i="12"/>
  <c r="B13" i="12"/>
  <c r="A13" i="12" s="1"/>
  <c r="B68" i="12"/>
  <c r="A68" i="12" s="1"/>
  <c r="B49" i="12"/>
  <c r="A49" i="12" s="1"/>
  <c r="C14" i="12"/>
  <c r="D92" i="12"/>
  <c r="B11" i="12"/>
  <c r="A11" i="12" s="1"/>
  <c r="B82" i="12"/>
  <c r="A82" i="12" s="1"/>
  <c r="C47" i="12"/>
  <c r="D83" i="12"/>
  <c r="B31" i="12"/>
  <c r="A31" i="12" s="1"/>
  <c r="D99" i="12"/>
  <c r="B70" i="12"/>
  <c r="A70" i="12" s="1"/>
  <c r="B18" i="12"/>
  <c r="A18" i="12" s="1"/>
  <c r="B94" i="12"/>
  <c r="A94" i="12" s="1"/>
  <c r="B16" i="12"/>
  <c r="A16" i="12" s="1"/>
  <c r="B92" i="12"/>
  <c r="A92" i="12" s="1"/>
  <c r="D70" i="12"/>
  <c r="C68" i="12"/>
  <c r="D35" i="12"/>
  <c r="B61" i="12"/>
  <c r="A61" i="12" s="1"/>
  <c r="D39" i="12"/>
  <c r="D3" i="12"/>
  <c r="B34" i="12"/>
  <c r="A34" i="12" s="1"/>
  <c r="B22" i="12"/>
  <c r="A22" i="12" s="1"/>
  <c r="C20" i="12"/>
  <c r="D13" i="12"/>
  <c r="C35" i="12"/>
  <c r="C85" i="12"/>
  <c r="C33" i="12"/>
  <c r="D4" i="12"/>
  <c r="D11" i="12"/>
  <c r="D73" i="12"/>
  <c r="C9" i="12"/>
  <c r="C93" i="12"/>
  <c r="C57" i="12"/>
  <c r="B9" i="12"/>
  <c r="A9" i="12" s="1"/>
  <c r="D24" i="12"/>
  <c r="C78" i="12"/>
  <c r="B23" i="12"/>
  <c r="A23" i="12" s="1"/>
  <c r="C22" i="12"/>
  <c r="B78" i="12"/>
  <c r="A78" i="12" s="1"/>
  <c r="B26" i="12"/>
  <c r="A26" i="12" s="1"/>
  <c r="B100" i="12"/>
  <c r="A100" i="12" s="1"/>
  <c r="B95" i="12"/>
  <c r="A95" i="12" s="1"/>
  <c r="B67" i="12"/>
  <c r="A67" i="12" s="1"/>
  <c r="B65" i="12"/>
  <c r="A65" i="12" s="1"/>
  <c r="C73" i="12"/>
  <c r="C90" i="12"/>
  <c r="C58" i="12"/>
  <c r="D58" i="12"/>
  <c r="C81" i="12"/>
  <c r="C15" i="12"/>
  <c r="C97" i="12"/>
  <c r="B72" i="12"/>
  <c r="A72" i="12" s="1"/>
  <c r="D59" i="12"/>
  <c r="D43" i="12"/>
  <c r="D21" i="12"/>
  <c r="B29" i="12"/>
  <c r="A29" i="12" s="1"/>
  <c r="D33" i="12"/>
  <c r="C44" i="12"/>
  <c r="D101" i="12"/>
  <c r="C37" i="12"/>
  <c r="B59" i="12"/>
  <c r="A59" i="12" s="1"/>
  <c r="B51" i="12"/>
  <c r="A51" i="12" s="1"/>
  <c r="B46" i="12"/>
  <c r="A46" i="12" s="1"/>
  <c r="C4" i="12"/>
  <c r="C50" i="12"/>
  <c r="D14" i="12"/>
  <c r="C99" i="12"/>
  <c r="B101" i="12"/>
  <c r="A101" i="12" s="1"/>
  <c r="B80" i="12"/>
  <c r="A80" i="12" s="1"/>
  <c r="C10" i="12"/>
  <c r="D16" i="12"/>
  <c r="B98" i="12"/>
  <c r="A98" i="12" s="1"/>
  <c r="B3" i="12"/>
  <c r="A3" i="12" s="1"/>
  <c r="C65" i="12"/>
  <c r="C92" i="12"/>
  <c r="B60" i="12"/>
  <c r="A60" i="12" s="1"/>
  <c r="C53" i="12"/>
  <c r="B40" i="12"/>
  <c r="A40" i="12" s="1"/>
  <c r="C11" i="12"/>
  <c r="B6" i="12"/>
  <c r="A6" i="12" s="1"/>
  <c r="D41" i="12"/>
  <c r="B54" i="12"/>
  <c r="A54" i="12" s="1"/>
  <c r="C19" i="12"/>
  <c r="B75" i="12"/>
  <c r="A75" i="12" s="1"/>
  <c r="D52" i="12"/>
  <c r="C34" i="12"/>
  <c r="B77" i="12"/>
  <c r="A77" i="12" s="1"/>
  <c r="C40" i="12"/>
  <c r="C16" i="12"/>
  <c r="B71" i="12"/>
  <c r="A71" i="12" s="1"/>
  <c r="D95" i="12"/>
  <c r="B5" i="12"/>
  <c r="A5" i="12" s="1"/>
  <c r="C89" i="12"/>
  <c r="D19" i="12"/>
  <c r="D12" i="12"/>
  <c r="B42" i="12"/>
  <c r="A42" i="12" s="1"/>
  <c r="D48" i="12"/>
  <c r="C54" i="12"/>
  <c r="B27" i="12"/>
  <c r="A27" i="12" s="1"/>
  <c r="D6" i="12"/>
  <c r="B10" i="12"/>
  <c r="A10" i="12" s="1"/>
  <c r="B69" i="12"/>
  <c r="A69" i="12" s="1"/>
  <c r="B89" i="12"/>
  <c r="A89" i="12" s="1"/>
  <c r="B14" i="12"/>
  <c r="A14" i="12" s="1"/>
  <c r="D34" i="12"/>
  <c r="B8" i="12"/>
  <c r="A8" i="12" s="1"/>
  <c r="C87" i="12"/>
  <c r="D98" i="12"/>
  <c r="B66" i="12"/>
  <c r="A66" i="12" s="1"/>
  <c r="D74" i="12"/>
  <c r="B74" i="12"/>
  <c r="A74" i="12" s="1"/>
  <c r="B17" i="12"/>
  <c r="A17" i="12" s="1"/>
  <c r="B47" i="12"/>
  <c r="A47" i="12" s="1"/>
  <c r="C21" i="12"/>
  <c r="B91" i="12"/>
  <c r="A91" i="12" s="1"/>
  <c r="C49" i="12"/>
  <c r="D72" i="12"/>
  <c r="C72" i="12"/>
  <c r="B58" i="12"/>
  <c r="A58" i="12" s="1"/>
  <c r="D50" i="12"/>
  <c r="D25" i="12"/>
  <c r="D46" i="12"/>
  <c r="B85" i="12"/>
  <c r="A85" i="12" s="1"/>
  <c r="B24" i="12"/>
  <c r="A24" i="12" s="1"/>
  <c r="C59" i="12"/>
  <c r="D77" i="12"/>
  <c r="D29" i="12"/>
  <c r="B84" i="12"/>
  <c r="A84" i="12" s="1"/>
  <c r="B4" i="12"/>
  <c r="A4" i="12" s="1"/>
  <c r="B21" i="12"/>
  <c r="A21" i="12" s="1"/>
  <c r="C8" i="12"/>
  <c r="B33" i="12"/>
  <c r="A33" i="12" s="1"/>
  <c r="D42" i="12"/>
  <c r="C56" i="12"/>
  <c r="C6" i="12"/>
  <c r="D38" i="12"/>
  <c r="C25" i="12"/>
  <c r="C3" i="12"/>
  <c r="C24" i="12"/>
  <c r="C43" i="12"/>
  <c r="D26" i="12"/>
  <c r="B25" i="12"/>
  <c r="A25" i="12" s="1"/>
  <c r="D69" i="12"/>
  <c r="B43" i="12"/>
  <c r="A43" i="12" s="1"/>
  <c r="D17" i="12"/>
  <c r="C98" i="12"/>
  <c r="B76" i="12"/>
  <c r="A76" i="12" s="1"/>
  <c r="D10" i="12"/>
  <c r="D84" i="12"/>
  <c r="D81" i="12"/>
  <c r="C12" i="12"/>
  <c r="C29" i="12"/>
  <c r="D60" i="12"/>
  <c r="D93" i="12"/>
  <c r="D97" i="12"/>
  <c r="B52" i="12"/>
  <c r="A52" i="12" s="1"/>
  <c r="C70" i="12"/>
  <c r="D23" i="12"/>
  <c r="C48" i="12"/>
  <c r="B96" i="12"/>
  <c r="A96" i="12" s="1"/>
  <c r="C95" i="12"/>
  <c r="C77" i="12"/>
  <c r="C94" i="12"/>
  <c r="C66" i="12"/>
  <c r="C7" i="12"/>
  <c r="D85" i="12"/>
  <c r="D75" i="12"/>
  <c r="C39" i="12"/>
  <c r="B48" i="12"/>
  <c r="A48" i="12" s="1"/>
  <c r="B97" i="12"/>
  <c r="A97" i="12" s="1"/>
  <c r="C82" i="12"/>
  <c r="D18" i="12"/>
  <c r="C71" i="12"/>
  <c r="C91" i="12"/>
  <c r="C76" i="12"/>
  <c r="C52" i="12"/>
  <c r="C42" i="12"/>
  <c r="B28" i="12"/>
  <c r="A28" i="12" s="1"/>
  <c r="B53" i="12"/>
  <c r="A53" i="12" s="1"/>
  <c r="D64" i="12"/>
  <c r="X8" i="9"/>
  <c r="X9" i="9" s="1"/>
  <c r="X10" i="9" s="1"/>
  <c r="O141" i="8" l="1"/>
  <c r="O127" i="8"/>
  <c r="O136" i="8"/>
  <c r="L109" i="8"/>
  <c r="O148" i="8"/>
  <c r="O119" i="8"/>
  <c r="L110" i="8"/>
  <c r="L100" i="8"/>
  <c r="P100" i="8" s="1"/>
  <c r="O121" i="8"/>
  <c r="L108" i="8"/>
  <c r="O138" i="8"/>
  <c r="L111" i="8"/>
  <c r="O152" i="8"/>
  <c r="L90" i="8"/>
  <c r="L105" i="8"/>
  <c r="P105" i="8" s="1"/>
  <c r="O135" i="8"/>
  <c r="L114" i="8"/>
  <c r="O149" i="8"/>
  <c r="O123" i="8"/>
  <c r="O116" i="8"/>
  <c r="O126" i="8"/>
  <c r="O125" i="8"/>
  <c r="L86" i="8"/>
  <c r="P86" i="8" s="1"/>
  <c r="L98" i="8"/>
  <c r="P98" i="8" s="1"/>
  <c r="O150" i="8"/>
  <c r="L88" i="8"/>
  <c r="P88" i="8" s="1"/>
  <c r="O157" i="8"/>
  <c r="O128" i="8"/>
  <c r="O155" i="8"/>
  <c r="L102" i="8"/>
  <c r="L99" i="8"/>
  <c r="P99" i="8" s="1"/>
  <c r="O131" i="8"/>
  <c r="O139" i="8"/>
  <c r="O132" i="8"/>
  <c r="O130" i="8"/>
  <c r="O140" i="8"/>
  <c r="L91" i="8"/>
  <c r="O115" i="8"/>
  <c r="L112" i="8"/>
  <c r="L103" i="8"/>
  <c r="P103" i="8" s="1"/>
  <c r="O144" i="8"/>
  <c r="L93" i="8"/>
  <c r="P93" i="8" s="1"/>
  <c r="O118" i="8"/>
  <c r="O143" i="8"/>
  <c r="L107" i="8"/>
  <c r="O117" i="8"/>
  <c r="O142" i="8"/>
  <c r="L96" i="8"/>
  <c r="P96" i="8" s="1"/>
  <c r="O151" i="8"/>
  <c r="L106" i="8"/>
  <c r="L104" i="8"/>
  <c r="P104" i="8" s="1"/>
  <c r="L95" i="8"/>
  <c r="P95" i="8" s="1"/>
  <c r="O129" i="8"/>
  <c r="L89" i="8"/>
  <c r="L97" i="8"/>
  <c r="L92" i="8"/>
  <c r="P92" i="8" s="1"/>
  <c r="M18" i="8"/>
  <c r="M14" i="8"/>
  <c r="M105" i="8"/>
  <c r="M24" i="8"/>
  <c r="M19" i="8"/>
  <c r="M15" i="8"/>
  <c r="M27" i="8"/>
  <c r="M100" i="8"/>
  <c r="M23" i="8"/>
  <c r="M22" i="8"/>
  <c r="M13" i="8"/>
  <c r="M16" i="8"/>
  <c r="M21" i="8"/>
  <c r="M20" i="8"/>
  <c r="M28" i="8"/>
  <c r="M26" i="8"/>
  <c r="M17" i="8"/>
  <c r="M25" i="8"/>
  <c r="M86" i="8"/>
  <c r="X11" i="9"/>
  <c r="M88" i="8" l="1"/>
  <c r="M98" i="8"/>
  <c r="M104" i="8"/>
  <c r="M99" i="8"/>
  <c r="M95" i="8"/>
  <c r="M96" i="8"/>
  <c r="M103" i="8"/>
  <c r="O111" i="8"/>
  <c r="P111" i="8"/>
  <c r="O109" i="8"/>
  <c r="P109" i="8"/>
  <c r="M97" i="8"/>
  <c r="P97" i="8"/>
  <c r="O112" i="8"/>
  <c r="P112" i="8"/>
  <c r="O110" i="8"/>
  <c r="P110" i="8"/>
  <c r="M89" i="8"/>
  <c r="P89" i="8"/>
  <c r="M106" i="8"/>
  <c r="P106" i="8"/>
  <c r="M102" i="8"/>
  <c r="P102" i="8"/>
  <c r="M90" i="8"/>
  <c r="P90" i="8"/>
  <c r="O108" i="8"/>
  <c r="P108" i="8"/>
  <c r="M93" i="8"/>
  <c r="O107" i="8"/>
  <c r="P107" i="8"/>
  <c r="M91" i="8"/>
  <c r="P91" i="8"/>
  <c r="O114" i="8"/>
  <c r="P114" i="8"/>
  <c r="M92" i="8"/>
  <c r="O92" i="8"/>
  <c r="O95" i="8"/>
  <c r="O96" i="8"/>
  <c r="O103" i="8"/>
  <c r="O98" i="8"/>
  <c r="O100" i="8"/>
  <c r="O97" i="8"/>
  <c r="O104" i="8"/>
  <c r="O99" i="8"/>
  <c r="O86" i="8"/>
  <c r="O105" i="8"/>
  <c r="O89" i="8"/>
  <c r="O106" i="8"/>
  <c r="O93" i="8"/>
  <c r="O102" i="8"/>
  <c r="O88" i="8"/>
  <c r="O90" i="8"/>
  <c r="O91" i="8"/>
  <c r="M107" i="8"/>
  <c r="N107" i="8"/>
  <c r="N91" i="8"/>
  <c r="N114" i="8"/>
  <c r="M114" i="8"/>
  <c r="O145" i="8"/>
  <c r="O137" i="8"/>
  <c r="O154" i="8"/>
  <c r="O134" i="8"/>
  <c r="O133" i="8"/>
  <c r="N92" i="8"/>
  <c r="N95" i="8"/>
  <c r="N96" i="8"/>
  <c r="N103" i="8"/>
  <c r="N98" i="8"/>
  <c r="N111" i="8"/>
  <c r="M111" i="8"/>
  <c r="N100" i="8"/>
  <c r="O124" i="8"/>
  <c r="O120" i="8"/>
  <c r="L101" i="8"/>
  <c r="P101" i="8" s="1"/>
  <c r="L94" i="8"/>
  <c r="P94" i="8" s="1"/>
  <c r="O146" i="8"/>
  <c r="N97" i="8"/>
  <c r="N104" i="8"/>
  <c r="N112" i="8"/>
  <c r="M112" i="8"/>
  <c r="N99" i="8"/>
  <c r="N86" i="8"/>
  <c r="N105" i="8"/>
  <c r="M110" i="8"/>
  <c r="N110" i="8"/>
  <c r="L113" i="8"/>
  <c r="O153" i="8"/>
  <c r="O147" i="8"/>
  <c r="O122" i="8"/>
  <c r="N89" i="8"/>
  <c r="N106" i="8"/>
  <c r="N93" i="8"/>
  <c r="N102" i="8"/>
  <c r="N88" i="8"/>
  <c r="N90" i="8"/>
  <c r="M108" i="8"/>
  <c r="N108" i="8"/>
  <c r="N109" i="8"/>
  <c r="M109" i="8"/>
  <c r="L78" i="8"/>
  <c r="P78" i="8" s="1"/>
  <c r="L33" i="8"/>
  <c r="L63" i="8"/>
  <c r="L54" i="8"/>
  <c r="L46" i="8"/>
  <c r="L65" i="8"/>
  <c r="P65" i="8" s="1"/>
  <c r="L68" i="8"/>
  <c r="P68" i="8" s="1"/>
  <c r="L82" i="8"/>
  <c r="P82" i="8" s="1"/>
  <c r="L58" i="8"/>
  <c r="L48" i="8"/>
  <c r="L30" i="8"/>
  <c r="L72" i="8"/>
  <c r="P72" i="8" s="1"/>
  <c r="L35" i="8"/>
  <c r="L55" i="8"/>
  <c r="L61" i="8"/>
  <c r="L32" i="8"/>
  <c r="L76" i="8"/>
  <c r="P76" i="8" s="1"/>
  <c r="L53" i="8"/>
  <c r="L39" i="8"/>
  <c r="L70" i="8"/>
  <c r="P70" i="8" s="1"/>
  <c r="L36" i="8"/>
  <c r="L64" i="8"/>
  <c r="L71" i="8"/>
  <c r="P71" i="8" s="1"/>
  <c r="L66" i="8"/>
  <c r="P66" i="8" s="1"/>
  <c r="L42" i="8"/>
  <c r="L67" i="8"/>
  <c r="P67" i="8" s="1"/>
  <c r="L52" i="8"/>
  <c r="L69" i="8"/>
  <c r="P69" i="8" s="1"/>
  <c r="L44" i="8"/>
  <c r="L37" i="8"/>
  <c r="L51" i="8"/>
  <c r="L59" i="8"/>
  <c r="L57" i="8"/>
  <c r="L47" i="8"/>
  <c r="L74" i="8"/>
  <c r="P74" i="8" s="1"/>
  <c r="L75" i="8"/>
  <c r="P75" i="8" s="1"/>
  <c r="L50" i="8"/>
  <c r="L40" i="8"/>
  <c r="L43" i="8"/>
  <c r="L60" i="8"/>
  <c r="L34" i="8"/>
  <c r="L79" i="8"/>
  <c r="P79" i="8" s="1"/>
  <c r="L29" i="8"/>
  <c r="L41" i="8"/>
  <c r="L31" i="8"/>
  <c r="L38" i="8"/>
  <c r="L45" i="8"/>
  <c r="L73" i="8"/>
  <c r="P73" i="8" s="1"/>
  <c r="L49" i="8"/>
  <c r="L62" i="8"/>
  <c r="L81" i="8"/>
  <c r="P81" i="8" s="1"/>
  <c r="L83" i="8"/>
  <c r="P83" i="8" s="1"/>
  <c r="L56" i="8"/>
  <c r="L80" i="8"/>
  <c r="P80" i="8" s="1"/>
  <c r="L87" i="8"/>
  <c r="P87" i="8" s="1"/>
  <c r="L85" i="8"/>
  <c r="P85" i="8" s="1"/>
  <c r="L84" i="8"/>
  <c r="P84" i="8" s="1"/>
  <c r="O156" i="8"/>
  <c r="L77" i="8"/>
  <c r="P77" i="8" s="1"/>
  <c r="X12" i="9"/>
  <c r="O113" i="8" l="1"/>
  <c r="P113" i="8"/>
  <c r="O101" i="8"/>
  <c r="O85" i="8"/>
  <c r="O83" i="8"/>
  <c r="O73" i="8"/>
  <c r="P41" i="8"/>
  <c r="O41" i="8"/>
  <c r="O60" i="8"/>
  <c r="P60" i="8"/>
  <c r="O75" i="8"/>
  <c r="O59" i="8"/>
  <c r="P59" i="8"/>
  <c r="O69" i="8"/>
  <c r="O66" i="8"/>
  <c r="O70" i="8"/>
  <c r="P32" i="8"/>
  <c r="O32" i="8"/>
  <c r="O72" i="8"/>
  <c r="O82" i="8"/>
  <c r="O54" i="8"/>
  <c r="P54" i="8"/>
  <c r="O56" i="8"/>
  <c r="P56" i="8"/>
  <c r="O31" i="8"/>
  <c r="P31" i="8"/>
  <c r="O50" i="8"/>
  <c r="P50" i="8"/>
  <c r="P44" i="8"/>
  <c r="O44" i="8"/>
  <c r="O76" i="8"/>
  <c r="O35" i="8"/>
  <c r="P35" i="8"/>
  <c r="O58" i="8"/>
  <c r="P58" i="8"/>
  <c r="O46" i="8"/>
  <c r="P46" i="8"/>
  <c r="O78" i="8"/>
  <c r="O77" i="8"/>
  <c r="O81" i="8"/>
  <c r="P29" i="8"/>
  <c r="O29" i="8"/>
  <c r="Q29" i="8" s="1"/>
  <c r="O84" i="8"/>
  <c r="P49" i="8"/>
  <c r="O49" i="8"/>
  <c r="O34" i="8"/>
  <c r="P34" i="8"/>
  <c r="P57" i="8"/>
  <c r="O57" i="8"/>
  <c r="O42" i="8"/>
  <c r="P42" i="8"/>
  <c r="P36" i="8"/>
  <c r="O36" i="8"/>
  <c r="O87" i="8"/>
  <c r="P45" i="8"/>
  <c r="O45" i="8"/>
  <c r="O43" i="8"/>
  <c r="P43" i="8"/>
  <c r="O74" i="8"/>
  <c r="O51" i="8"/>
  <c r="P51" i="8"/>
  <c r="O52" i="8"/>
  <c r="P52" i="8"/>
  <c r="O71" i="8"/>
  <c r="O39" i="8"/>
  <c r="P39" i="8"/>
  <c r="P61" i="8"/>
  <c r="O61" i="8"/>
  <c r="O30" i="8"/>
  <c r="P30" i="8"/>
  <c r="O68" i="8"/>
  <c r="O63" i="8"/>
  <c r="P63" i="8"/>
  <c r="O80" i="8"/>
  <c r="O62" i="8"/>
  <c r="P62" i="8"/>
  <c r="O38" i="8"/>
  <c r="P38" i="8"/>
  <c r="O79" i="8"/>
  <c r="P40" i="8"/>
  <c r="O40" i="8"/>
  <c r="O47" i="8"/>
  <c r="P47" i="8"/>
  <c r="P37" i="8"/>
  <c r="O37" i="8"/>
  <c r="O67" i="8"/>
  <c r="O64" i="8"/>
  <c r="P64" i="8"/>
  <c r="P53" i="8"/>
  <c r="O53" i="8"/>
  <c r="O55" i="8"/>
  <c r="P55" i="8"/>
  <c r="O48" i="8"/>
  <c r="P48" i="8"/>
  <c r="O65" i="8"/>
  <c r="P33" i="8"/>
  <c r="O33" i="8"/>
  <c r="O94" i="8"/>
  <c r="N56" i="8"/>
  <c r="M56" i="8"/>
  <c r="N81" i="8"/>
  <c r="M81" i="8"/>
  <c r="N45" i="8"/>
  <c r="M45" i="8"/>
  <c r="N74" i="8"/>
  <c r="M74" i="8"/>
  <c r="N52" i="8"/>
  <c r="M52" i="8"/>
  <c r="N39" i="8"/>
  <c r="M39" i="8"/>
  <c r="N30" i="8"/>
  <c r="M30" i="8"/>
  <c r="N80" i="8"/>
  <c r="M80" i="8"/>
  <c r="N62" i="8"/>
  <c r="M62" i="8"/>
  <c r="N38" i="8"/>
  <c r="M38" i="8"/>
  <c r="N79" i="8"/>
  <c r="M79" i="8"/>
  <c r="N40" i="8"/>
  <c r="M40" i="8"/>
  <c r="N47" i="8"/>
  <c r="M47" i="8"/>
  <c r="N37" i="8"/>
  <c r="M37" i="8"/>
  <c r="N67" i="8"/>
  <c r="M67" i="8"/>
  <c r="N64" i="8"/>
  <c r="M64" i="8"/>
  <c r="N53" i="8"/>
  <c r="M53" i="8"/>
  <c r="N55" i="8"/>
  <c r="M55" i="8"/>
  <c r="N48" i="8"/>
  <c r="M48" i="8"/>
  <c r="N65" i="8"/>
  <c r="M65" i="8"/>
  <c r="N33" i="8"/>
  <c r="M33" i="8"/>
  <c r="N101" i="8"/>
  <c r="M101" i="8"/>
  <c r="N84" i="8"/>
  <c r="M84" i="8"/>
  <c r="N49" i="8"/>
  <c r="M49" i="8"/>
  <c r="N34" i="8"/>
  <c r="M34" i="8"/>
  <c r="N57" i="8"/>
  <c r="M57" i="8"/>
  <c r="N42" i="8"/>
  <c r="M42" i="8"/>
  <c r="N36" i="8"/>
  <c r="M36" i="8"/>
  <c r="N76" i="8"/>
  <c r="M76" i="8"/>
  <c r="N35" i="8"/>
  <c r="M35" i="8"/>
  <c r="N58" i="8"/>
  <c r="M58" i="8"/>
  <c r="N46" i="8"/>
  <c r="M46" i="8"/>
  <c r="N78" i="8"/>
  <c r="M78" i="8"/>
  <c r="M113" i="8"/>
  <c r="N113" i="8"/>
  <c r="N31" i="8"/>
  <c r="M31" i="8"/>
  <c r="N50" i="8"/>
  <c r="M50" i="8"/>
  <c r="N44" i="8"/>
  <c r="M44" i="8"/>
  <c r="N85" i="8"/>
  <c r="M85" i="8"/>
  <c r="N83" i="8"/>
  <c r="M83" i="8"/>
  <c r="N73" i="8"/>
  <c r="M73" i="8"/>
  <c r="N41" i="8"/>
  <c r="M41" i="8"/>
  <c r="N60" i="8"/>
  <c r="M60" i="8"/>
  <c r="N75" i="8"/>
  <c r="M75" i="8"/>
  <c r="N59" i="8"/>
  <c r="M59" i="8"/>
  <c r="N69" i="8"/>
  <c r="M69" i="8"/>
  <c r="N66" i="8"/>
  <c r="M66" i="8"/>
  <c r="N70" i="8"/>
  <c r="M70" i="8"/>
  <c r="N32" i="8"/>
  <c r="M32" i="8"/>
  <c r="N72" i="8"/>
  <c r="M72" i="8"/>
  <c r="N82" i="8"/>
  <c r="M82" i="8"/>
  <c r="N54" i="8"/>
  <c r="M54" i="8"/>
  <c r="N77" i="8"/>
  <c r="M77" i="8"/>
  <c r="N87" i="8"/>
  <c r="M87" i="8"/>
  <c r="N29" i="8"/>
  <c r="M29" i="8"/>
  <c r="N43" i="8"/>
  <c r="M43" i="8"/>
  <c r="N51" i="8"/>
  <c r="M51" i="8"/>
  <c r="N71" i="8"/>
  <c r="M71" i="8"/>
  <c r="N61" i="8"/>
  <c r="M61" i="8"/>
  <c r="N68" i="8"/>
  <c r="M68" i="8"/>
  <c r="N63" i="8"/>
  <c r="M63" i="8"/>
  <c r="N94" i="8"/>
  <c r="M94" i="8"/>
  <c r="X13" i="9"/>
  <c r="Q30" i="8" l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X14" i="9"/>
  <c r="X15" i="9" l="1"/>
  <c r="X16" i="9" l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X123" i="9" s="1"/>
  <c r="X124" i="9" s="1"/>
  <c r="X125" i="9" s="1"/>
  <c r="X126" i="9" s="1"/>
  <c r="X127" i="9" s="1"/>
  <c r="X128" i="9" s="1"/>
  <c r="X129" i="9" s="1"/>
  <c r="X130" i="9" s="1"/>
  <c r="X131" i="9" s="1"/>
  <c r="X132" i="9" s="1"/>
  <c r="X133" i="9" s="1"/>
  <c r="X134" i="9" s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X229" i="9" s="1"/>
  <c r="X230" i="9" s="1"/>
  <c r="X231" i="9" s="1"/>
  <c r="X232" i="9" s="1"/>
  <c r="X233" i="9" s="1"/>
  <c r="X234" i="9" s="1"/>
  <c r="X235" i="9" s="1"/>
  <c r="X236" i="9" s="1"/>
  <c r="X237" i="9" s="1"/>
  <c r="X238" i="9" s="1"/>
  <c r="X239" i="9" s="1"/>
  <c r="X240" i="9" s="1"/>
  <c r="X241" i="9" s="1"/>
  <c r="X242" i="9" s="1"/>
  <c r="X243" i="9" s="1"/>
  <c r="X244" i="9" s="1"/>
  <c r="X245" i="9" s="1"/>
  <c r="X246" i="9" s="1"/>
  <c r="X247" i="9" s="1"/>
  <c r="X248" i="9" s="1"/>
  <c r="X249" i="9" s="1"/>
  <c r="X250" i="9" s="1"/>
  <c r="X251" i="9" s="1"/>
  <c r="X252" i="9" s="1"/>
  <c r="X253" i="9" s="1"/>
  <c r="X254" i="9" s="1"/>
  <c r="X255" i="9" s="1"/>
  <c r="X256" i="9" s="1"/>
  <c r="X257" i="9" s="1"/>
  <c r="X258" i="9" s="1"/>
  <c r="X259" i="9" s="1"/>
  <c r="X260" i="9" s="1"/>
  <c r="X261" i="9" s="1"/>
  <c r="X262" i="9" s="1"/>
  <c r="X263" i="9" s="1"/>
  <c r="X264" i="9" s="1"/>
  <c r="X265" i="9" s="1"/>
  <c r="X266" i="9" s="1"/>
  <c r="X267" i="9" s="1"/>
  <c r="X268" i="9" s="1"/>
  <c r="X269" i="9" s="1"/>
  <c r="X270" i="9" s="1"/>
  <c r="X271" i="9" s="1"/>
  <c r="X272" i="9" s="1"/>
  <c r="X273" i="9" s="1"/>
  <c r="X274" i="9" s="1"/>
  <c r="X275" i="9" s="1"/>
  <c r="X276" i="9" s="1"/>
  <c r="X277" i="9" s="1"/>
  <c r="X278" i="9" s="1"/>
  <c r="X279" i="9" s="1"/>
  <c r="X280" i="9" s="1"/>
  <c r="X281" i="9" s="1"/>
  <c r="X282" i="9" s="1"/>
  <c r="X283" i="9" s="1"/>
  <c r="X284" i="9" s="1"/>
  <c r="X285" i="9" s="1"/>
  <c r="X286" i="9" s="1"/>
  <c r="X287" i="9" s="1"/>
  <c r="X288" i="9" s="1"/>
  <c r="X289" i="9" s="1"/>
  <c r="X290" i="9" s="1"/>
  <c r="C3" i="9" l="1"/>
  <c r="B3" i="9"/>
  <c r="A3" i="9" s="1"/>
  <c r="D3" i="9"/>
  <c r="C4" i="9"/>
  <c r="D4" i="9"/>
  <c r="B4" i="9"/>
  <c r="A4" i="9" s="1"/>
  <c r="B87" i="9"/>
  <c r="A87" i="9" s="1"/>
  <c r="X291" i="9"/>
  <c r="X292" i="9" s="1"/>
  <c r="X293" i="9" s="1"/>
  <c r="X294" i="9" s="1"/>
  <c r="X295" i="9" s="1"/>
  <c r="X296" i="9" s="1"/>
  <c r="X297" i="9" s="1"/>
  <c r="X298" i="9" s="1"/>
  <c r="X299" i="9" s="1"/>
  <c r="X300" i="9" s="1"/>
  <c r="X301" i="9" s="1"/>
  <c r="X302" i="9" s="1"/>
  <c r="X303" i="9" s="1"/>
  <c r="X304" i="9" s="1"/>
  <c r="X305" i="9" s="1"/>
  <c r="X306" i="9" s="1"/>
  <c r="X307" i="9" s="1"/>
  <c r="X308" i="9" s="1"/>
  <c r="X309" i="9" s="1"/>
  <c r="X310" i="9" s="1"/>
  <c r="X311" i="9" s="1"/>
  <c r="X312" i="9" s="1"/>
  <c r="X313" i="9" s="1"/>
  <c r="X314" i="9" s="1"/>
  <c r="X315" i="9" s="1"/>
  <c r="X316" i="9" s="1"/>
  <c r="X317" i="9" s="1"/>
  <c r="X318" i="9" s="1"/>
  <c r="X319" i="9" s="1"/>
  <c r="X320" i="9" s="1"/>
  <c r="X321" i="9" s="1"/>
  <c r="X322" i="9" s="1"/>
  <c r="X323" i="9" s="1"/>
  <c r="X324" i="9" s="1"/>
  <c r="X325" i="9" s="1"/>
  <c r="X326" i="9" s="1"/>
  <c r="X327" i="9" s="1"/>
  <c r="X328" i="9" s="1"/>
  <c r="X329" i="9" s="1"/>
  <c r="X330" i="9" s="1"/>
  <c r="X331" i="9" s="1"/>
  <c r="X332" i="9" s="1"/>
  <c r="X333" i="9" s="1"/>
  <c r="X334" i="9" s="1"/>
  <c r="X335" i="9" s="1"/>
  <c r="X336" i="9" s="1"/>
  <c r="X337" i="9" s="1"/>
  <c r="X338" i="9" s="1"/>
  <c r="X339" i="9" s="1"/>
  <c r="X340" i="9" s="1"/>
  <c r="X341" i="9" s="1"/>
  <c r="X342" i="9" s="1"/>
  <c r="X343" i="9" s="1"/>
  <c r="X344" i="9" s="1"/>
  <c r="X345" i="9" s="1"/>
  <c r="X346" i="9" s="1"/>
  <c r="X347" i="9" s="1"/>
  <c r="X348" i="9" s="1"/>
  <c r="X349" i="9" s="1"/>
  <c r="X350" i="9" s="1"/>
  <c r="X351" i="9" s="1"/>
  <c r="X352" i="9" s="1"/>
  <c r="X353" i="9" s="1"/>
  <c r="X354" i="9" s="1"/>
  <c r="X355" i="9" s="1"/>
  <c r="X356" i="9" s="1"/>
  <c r="X357" i="9" s="1"/>
  <c r="X358" i="9" s="1"/>
  <c r="X359" i="9" s="1"/>
  <c r="X360" i="9" s="1"/>
  <c r="X361" i="9" s="1"/>
  <c r="X362" i="9" s="1"/>
  <c r="X363" i="9" s="1"/>
  <c r="X364" i="9" s="1"/>
  <c r="X365" i="9" s="1"/>
  <c r="X366" i="9" s="1"/>
  <c r="X367" i="9" s="1"/>
  <c r="X368" i="9" s="1"/>
  <c r="X369" i="9" s="1"/>
  <c r="X370" i="9" s="1"/>
  <c r="X371" i="9" s="1"/>
  <c r="X372" i="9" s="1"/>
  <c r="X373" i="9" s="1"/>
  <c r="X374" i="9" s="1"/>
  <c r="X375" i="9" s="1"/>
  <c r="X376" i="9" s="1"/>
  <c r="X377" i="9" s="1"/>
  <c r="X378" i="9" s="1"/>
  <c r="X379" i="9" s="1"/>
  <c r="X380" i="9" s="1"/>
  <c r="X381" i="9" s="1"/>
  <c r="X382" i="9" s="1"/>
  <c r="X383" i="9" s="1"/>
  <c r="X384" i="9" s="1"/>
  <c r="X385" i="9" s="1"/>
  <c r="X386" i="9" s="1"/>
  <c r="X387" i="9" s="1"/>
  <c r="X388" i="9" s="1"/>
  <c r="X389" i="9" s="1"/>
  <c r="X390" i="9" s="1"/>
  <c r="X391" i="9" s="1"/>
  <c r="X392" i="9" s="1"/>
  <c r="X393" i="9" s="1"/>
  <c r="X394" i="9" s="1"/>
  <c r="X395" i="9" s="1"/>
  <c r="X396" i="9" s="1"/>
  <c r="X397" i="9" s="1"/>
  <c r="X398" i="9" s="1"/>
  <c r="X399" i="9" s="1"/>
  <c r="X400" i="9" s="1"/>
  <c r="X401" i="9" s="1"/>
  <c r="X402" i="9" s="1"/>
  <c r="X403" i="9" s="1"/>
  <c r="X404" i="9" s="1"/>
  <c r="X405" i="9" s="1"/>
  <c r="X406" i="9" s="1"/>
  <c r="X407" i="9" s="1"/>
  <c r="X408" i="9" s="1"/>
  <c r="X409" i="9" s="1"/>
  <c r="X410" i="9" s="1"/>
  <c r="X411" i="9" s="1"/>
  <c r="X412" i="9" s="1"/>
  <c r="X413" i="9" s="1"/>
  <c r="X414" i="9" s="1"/>
  <c r="X415" i="9" s="1"/>
  <c r="X416" i="9" s="1"/>
  <c r="X417" i="9" s="1"/>
  <c r="X418" i="9" s="1"/>
  <c r="X419" i="9" s="1"/>
  <c r="X420" i="9" s="1"/>
  <c r="X421" i="9" s="1"/>
  <c r="X422" i="9" s="1"/>
  <c r="X423" i="9" s="1"/>
  <c r="X424" i="9" s="1"/>
  <c r="X425" i="9" s="1"/>
  <c r="X426" i="9" s="1"/>
  <c r="X427" i="9" s="1"/>
  <c r="X428" i="9" s="1"/>
  <c r="X429" i="9" s="1"/>
  <c r="X430" i="9" s="1"/>
  <c r="X431" i="9" s="1"/>
  <c r="X432" i="9" s="1"/>
  <c r="X433" i="9" s="1"/>
  <c r="X434" i="9" s="1"/>
  <c r="C7" i="9"/>
  <c r="B6" i="9"/>
  <c r="A6" i="9" s="1"/>
  <c r="B5" i="9"/>
  <c r="A5" i="9" s="1"/>
  <c r="D56" i="9"/>
  <c r="D78" i="9"/>
  <c r="B43" i="9"/>
  <c r="A43" i="9" s="1"/>
  <c r="D13" i="9"/>
  <c r="D72" i="9"/>
  <c r="B61" i="9"/>
  <c r="A61" i="9" s="1"/>
  <c r="C77" i="9"/>
  <c r="B59" i="9"/>
  <c r="A59" i="9" s="1"/>
  <c r="D87" i="9"/>
  <c r="C35" i="9"/>
  <c r="D28" i="9"/>
  <c r="C82" i="9"/>
  <c r="D22" i="9"/>
  <c r="C26" i="9"/>
  <c r="C12" i="9"/>
  <c r="B82" i="9"/>
  <c r="A82" i="9" s="1"/>
  <c r="D34" i="9"/>
  <c r="D16" i="9"/>
  <c r="D50" i="9"/>
  <c r="C16" i="9"/>
  <c r="B56" i="9"/>
  <c r="A56" i="9" s="1"/>
  <c r="B45" i="9"/>
  <c r="A45" i="9" s="1"/>
  <c r="C56" i="9"/>
  <c r="D65" i="9"/>
  <c r="B23" i="9"/>
  <c r="A23" i="9" s="1"/>
  <c r="D93" i="9"/>
  <c r="D61" i="9"/>
  <c r="D68" i="9"/>
  <c r="C39" i="9"/>
  <c r="C43" i="9"/>
  <c r="B76" i="9"/>
  <c r="A76" i="9" s="1"/>
  <c r="C71" i="9"/>
  <c r="D9" i="9"/>
  <c r="D94" i="9"/>
  <c r="B27" i="9"/>
  <c r="A27" i="9" s="1"/>
  <c r="C88" i="9"/>
  <c r="C19" i="9"/>
  <c r="C49" i="9"/>
  <c r="D90" i="9"/>
  <c r="C64" i="9"/>
  <c r="B64" i="9"/>
  <c r="A64" i="9" s="1"/>
  <c r="B89" i="9"/>
  <c r="A89" i="9" s="1"/>
  <c r="C89" i="9"/>
  <c r="D84" i="9"/>
  <c r="D30" i="9"/>
  <c r="B101" i="9"/>
  <c r="A101" i="9" s="1"/>
  <c r="D8" i="9"/>
  <c r="C90" i="9"/>
  <c r="C99" i="9"/>
  <c r="D11" i="9"/>
  <c r="B49" i="9"/>
  <c r="A49" i="9" s="1"/>
  <c r="C21" i="9"/>
  <c r="C83" i="9"/>
  <c r="D81" i="9"/>
  <c r="C46" i="9"/>
  <c r="B55" i="9"/>
  <c r="A55" i="9" s="1"/>
  <c r="B70" i="9"/>
  <c r="A70" i="9" s="1"/>
  <c r="B58" i="9"/>
  <c r="A58" i="9" s="1"/>
  <c r="C6" i="9"/>
  <c r="D20" i="9"/>
  <c r="B34" i="9"/>
  <c r="A34" i="9" s="1"/>
  <c r="C32" i="9"/>
  <c r="C94" i="9"/>
  <c r="B41" i="9"/>
  <c r="A41" i="9" s="1"/>
  <c r="D67" i="9"/>
  <c r="C9" i="9"/>
  <c r="D98" i="9"/>
  <c r="C51" i="9"/>
  <c r="B26" i="9"/>
  <c r="A26" i="9" s="1"/>
  <c r="D83" i="9"/>
  <c r="D80" i="9"/>
  <c r="B17" i="9"/>
  <c r="A17" i="9" s="1"/>
  <c r="C8" i="9"/>
  <c r="B31" i="9"/>
  <c r="A31" i="9" s="1"/>
  <c r="B46" i="9"/>
  <c r="A46" i="9" s="1"/>
  <c r="C73" i="9"/>
  <c r="C36" i="9"/>
  <c r="B53" i="9"/>
  <c r="A53" i="9" s="1"/>
  <c r="C55" i="9"/>
  <c r="D45" i="9"/>
  <c r="B77" i="9"/>
  <c r="A77" i="9" s="1"/>
  <c r="B71" i="9"/>
  <c r="A71" i="9" s="1"/>
  <c r="C69" i="9"/>
  <c r="B85" i="9"/>
  <c r="A85" i="9" s="1"/>
  <c r="C96" i="9"/>
  <c r="D5" i="9"/>
  <c r="C75" i="9"/>
  <c r="C61" i="9"/>
  <c r="B38" i="9"/>
  <c r="A38" i="9" s="1"/>
  <c r="B93" i="9"/>
  <c r="A93" i="9" s="1"/>
  <c r="C11" i="9"/>
  <c r="D97" i="9"/>
  <c r="D59" i="9"/>
  <c r="D60" i="9"/>
  <c r="B63" i="9"/>
  <c r="A63" i="9" s="1"/>
  <c r="D95" i="9"/>
  <c r="C22" i="9"/>
  <c r="D29" i="9"/>
  <c r="B91" i="9"/>
  <c r="A91" i="9" s="1"/>
  <c r="D76" i="9"/>
  <c r="C63" i="9"/>
  <c r="C67" i="9"/>
  <c r="B22" i="9"/>
  <c r="A22" i="9" s="1"/>
  <c r="B60" i="9"/>
  <c r="A60" i="9" s="1"/>
  <c r="B54" i="9"/>
  <c r="A54" i="9" s="1"/>
  <c r="B86" i="9"/>
  <c r="A86" i="9" s="1"/>
  <c r="D57" i="9"/>
  <c r="D27" i="9"/>
  <c r="D70" i="9"/>
  <c r="D66" i="9"/>
  <c r="B10" i="9"/>
  <c r="A10" i="9" s="1"/>
  <c r="B16" i="9"/>
  <c r="A16" i="9" s="1"/>
  <c r="C70" i="9"/>
  <c r="C72" i="9"/>
  <c r="B14" i="9"/>
  <c r="A14" i="9" s="1"/>
  <c r="C98" i="9"/>
  <c r="B80" i="9"/>
  <c r="A80" i="9" s="1"/>
  <c r="B84" i="9"/>
  <c r="A84" i="9" s="1"/>
  <c r="D14" i="9"/>
  <c r="D99" i="9"/>
  <c r="C5" i="9"/>
  <c r="C30" i="9"/>
  <c r="D25" i="9"/>
  <c r="D48" i="9"/>
  <c r="B97" i="9"/>
  <c r="A97" i="9" s="1"/>
  <c r="C34" i="9"/>
  <c r="D42" i="9"/>
  <c r="D51" i="9"/>
  <c r="D73" i="9"/>
  <c r="D74" i="9"/>
  <c r="B32" i="9"/>
  <c r="A32" i="9" s="1"/>
  <c r="B7" i="9"/>
  <c r="A7" i="9" s="1"/>
  <c r="C84" i="9"/>
  <c r="C15" i="9"/>
  <c r="C65" i="9"/>
  <c r="C68" i="9"/>
  <c r="C58" i="9"/>
  <c r="C14" i="9"/>
  <c r="D100" i="9"/>
  <c r="B39" i="9"/>
  <c r="A39" i="9" s="1"/>
  <c r="C28" i="9"/>
  <c r="D41" i="9"/>
  <c r="B83" i="9"/>
  <c r="A83" i="9" s="1"/>
  <c r="C47" i="9"/>
  <c r="D91" i="9"/>
  <c r="D43" i="9"/>
  <c r="B9" i="9"/>
  <c r="A9" i="9" s="1"/>
  <c r="B95" i="9"/>
  <c r="A95" i="9" s="1"/>
  <c r="D7" i="9"/>
  <c r="C20" i="9"/>
  <c r="B11" i="9"/>
  <c r="A11" i="9" s="1"/>
  <c r="B29" i="9"/>
  <c r="A29" i="9" s="1"/>
  <c r="B35" i="9"/>
  <c r="A35" i="9" s="1"/>
  <c r="B36" i="9"/>
  <c r="A36" i="9" s="1"/>
  <c r="D82" i="9"/>
  <c r="B51" i="9"/>
  <c r="A51" i="9" s="1"/>
  <c r="D46" i="9"/>
  <c r="C37" i="9"/>
  <c r="B48" i="9"/>
  <c r="A48" i="9" s="1"/>
  <c r="B100" i="9"/>
  <c r="A100" i="9" s="1"/>
  <c r="D24" i="9"/>
  <c r="B67" i="9"/>
  <c r="A67" i="9" s="1"/>
  <c r="B78" i="9"/>
  <c r="A78" i="9" s="1"/>
  <c r="C100" i="9"/>
  <c r="D85" i="9"/>
  <c r="B47" i="9"/>
  <c r="A47" i="9" s="1"/>
  <c r="C91" i="9"/>
  <c r="C95" i="9"/>
  <c r="B81" i="9"/>
  <c r="A81" i="9" s="1"/>
  <c r="D77" i="9"/>
  <c r="C66" i="9"/>
  <c r="D101" i="9"/>
  <c r="C10" i="9"/>
  <c r="D32" i="9"/>
  <c r="D23" i="9"/>
  <c r="C54" i="9"/>
  <c r="C48" i="9"/>
  <c r="D88" i="9"/>
  <c r="C93" i="9"/>
  <c r="B12" i="9"/>
  <c r="A12" i="9" s="1"/>
  <c r="B50" i="9"/>
  <c r="A50" i="9" s="1"/>
  <c r="C76" i="9"/>
  <c r="D53" i="9"/>
  <c r="C79" i="9"/>
  <c r="D26" i="9"/>
  <c r="C42" i="9"/>
  <c r="D12" i="9"/>
  <c r="D18" i="9"/>
  <c r="B52" i="9"/>
  <c r="A52" i="9" s="1"/>
  <c r="D31" i="9"/>
  <c r="C52" i="9"/>
  <c r="B98" i="9"/>
  <c r="A98" i="9" s="1"/>
  <c r="D86" i="9"/>
  <c r="B40" i="9"/>
  <c r="A40" i="9" s="1"/>
  <c r="B69" i="9"/>
  <c r="A69" i="9" s="1"/>
  <c r="B15" i="9"/>
  <c r="A15" i="9" s="1"/>
  <c r="D21" i="9"/>
  <c r="C18" i="9"/>
  <c r="C45" i="9"/>
  <c r="D49" i="9"/>
  <c r="D44" i="9"/>
  <c r="D17" i="9"/>
  <c r="B8" i="9"/>
  <c r="A8" i="9" s="1"/>
  <c r="B44" i="9"/>
  <c r="A44" i="9" s="1"/>
  <c r="B96" i="9"/>
  <c r="A96" i="9" s="1"/>
  <c r="C31" i="9"/>
  <c r="C50" i="9"/>
  <c r="D47" i="9"/>
  <c r="B19" i="9"/>
  <c r="A19" i="9" s="1"/>
  <c r="D71" i="9"/>
  <c r="B25" i="9"/>
  <c r="A25" i="9" s="1"/>
  <c r="B62" i="9"/>
  <c r="A62" i="9" s="1"/>
  <c r="C86" i="9"/>
  <c r="B30" i="9"/>
  <c r="A30" i="9" s="1"/>
  <c r="D54" i="9"/>
  <c r="D19" i="9"/>
  <c r="D36" i="9"/>
  <c r="B65" i="9"/>
  <c r="A65" i="9" s="1"/>
  <c r="C60" i="9"/>
  <c r="B73" i="9"/>
  <c r="A73" i="9" s="1"/>
  <c r="D15" i="9"/>
  <c r="C80" i="9"/>
  <c r="D52" i="9"/>
  <c r="B68" i="9"/>
  <c r="A68" i="9" s="1"/>
  <c r="D38" i="9"/>
  <c r="B79" i="9"/>
  <c r="A79" i="9" s="1"/>
  <c r="D79" i="9"/>
  <c r="C78" i="9"/>
  <c r="C97" i="9"/>
  <c r="B24" i="9"/>
  <c r="A24" i="9" s="1"/>
  <c r="C13" i="9"/>
  <c r="B20" i="9"/>
  <c r="A20" i="9" s="1"/>
  <c r="D58" i="9"/>
  <c r="C23" i="9"/>
  <c r="B66" i="9"/>
  <c r="A66" i="9" s="1"/>
  <c r="B33" i="9"/>
  <c r="A33" i="9" s="1"/>
  <c r="D33" i="9"/>
  <c r="C74" i="9"/>
  <c r="B92" i="9"/>
  <c r="A92" i="9" s="1"/>
  <c r="D40" i="9"/>
  <c r="D39" i="9"/>
  <c r="B75" i="9"/>
  <c r="A75" i="9" s="1"/>
  <c r="D10" i="9"/>
  <c r="C41" i="9"/>
  <c r="D69" i="9"/>
  <c r="D75" i="9"/>
  <c r="C33" i="9"/>
  <c r="D64" i="9"/>
  <c r="B99" i="9"/>
  <c r="A99" i="9" s="1"/>
  <c r="C62" i="9"/>
  <c r="D37" i="9"/>
  <c r="B28" i="9"/>
  <c r="A28" i="9" s="1"/>
  <c r="C27" i="9"/>
  <c r="D62" i="9"/>
  <c r="C92" i="9"/>
  <c r="C24" i="9"/>
  <c r="C59" i="9"/>
  <c r="D96" i="9"/>
  <c r="C29" i="9"/>
  <c r="C25" i="9"/>
  <c r="C44" i="9"/>
  <c r="D92" i="9"/>
  <c r="B72" i="9"/>
  <c r="A72" i="9" s="1"/>
  <c r="C101" i="9"/>
  <c r="B74" i="9"/>
  <c r="A74" i="9" s="1"/>
  <c r="D6" i="9"/>
  <c r="B13" i="9"/>
  <c r="A13" i="9" s="1"/>
  <c r="B37" i="9"/>
  <c r="A37" i="9" s="1"/>
  <c r="D89" i="9"/>
  <c r="C85" i="9"/>
  <c r="C81" i="9"/>
  <c r="B88" i="9"/>
  <c r="A88" i="9" s="1"/>
  <c r="D55" i="9"/>
  <c r="B94" i="9"/>
  <c r="A94" i="9" s="1"/>
  <c r="B42" i="9"/>
  <c r="A42" i="9" s="1"/>
  <c r="B21" i="9"/>
  <c r="A21" i="9" s="1"/>
  <c r="B90" i="9"/>
  <c r="A90" i="9" s="1"/>
  <c r="B18" i="9"/>
  <c r="A18" i="9" s="1"/>
  <c r="C40" i="9"/>
  <c r="C53" i="9"/>
  <c r="C38" i="9"/>
  <c r="C57" i="9"/>
  <c r="D63" i="9"/>
  <c r="B57" i="9"/>
  <c r="A57" i="9" s="1"/>
  <c r="C87" i="9"/>
  <c r="D35" i="9"/>
  <c r="C17" i="9"/>
</calcChain>
</file>

<file path=xl/sharedStrings.xml><?xml version="1.0" encoding="utf-8"?>
<sst xmlns="http://schemas.openxmlformats.org/spreadsheetml/2006/main" count="7029" uniqueCount="2253">
  <si>
    <t>Date</t>
  </si>
  <si>
    <t>Bet</t>
  </si>
  <si>
    <t>Risk</t>
  </si>
  <si>
    <t>Game</t>
  </si>
  <si>
    <t>Over 52</t>
  </si>
  <si>
    <t>Result</t>
  </si>
  <si>
    <t>L</t>
  </si>
  <si>
    <t>Chargers</t>
  </si>
  <si>
    <t>Eagles</t>
  </si>
  <si>
    <t>Bears @ Giants</t>
  </si>
  <si>
    <t>Bears -4</t>
  </si>
  <si>
    <t>Colts @ Jaguars</t>
  </si>
  <si>
    <t>Panthers @ Buccaneers</t>
  </si>
  <si>
    <t>Cardinals @ Packers</t>
  </si>
  <si>
    <t>Browns @ Texans</t>
  </si>
  <si>
    <t>Bills @ Dolphins</t>
  </si>
  <si>
    <t>Broncos @ Bengals</t>
  </si>
  <si>
    <t>Rams @ Lions</t>
  </si>
  <si>
    <t>Jets @ Titans</t>
  </si>
  <si>
    <t>Vikings @ Patriots</t>
  </si>
  <si>
    <t>49ers @ Seahawks</t>
  </si>
  <si>
    <t>Chargers @ Steelers</t>
  </si>
  <si>
    <t>Colts -4.5</t>
  </si>
  <si>
    <t>Under 54.5</t>
  </si>
  <si>
    <t>Packers -14</t>
  </si>
  <si>
    <t>Under 42.5</t>
  </si>
  <si>
    <t>Over 48</t>
  </si>
  <si>
    <t>Dolphins -3.5</t>
  </si>
  <si>
    <t>Under 40</t>
  </si>
  <si>
    <t>Over 45</t>
  </si>
  <si>
    <t>Rams -10</t>
  </si>
  <si>
    <t>Over 54.5</t>
  </si>
  <si>
    <t>Over 40.5</t>
  </si>
  <si>
    <t>Patriots -5</t>
  </si>
  <si>
    <t>Over 49.5</t>
  </si>
  <si>
    <t>Over 45.5</t>
  </si>
  <si>
    <t>W</t>
  </si>
  <si>
    <t>Redskins @ Eagles</t>
  </si>
  <si>
    <t>Under 45</t>
  </si>
  <si>
    <t>Cowboys</t>
  </si>
  <si>
    <t>Win Prob</t>
  </si>
  <si>
    <t>Over/Under</t>
  </si>
  <si>
    <t>Line</t>
  </si>
  <si>
    <t>Under</t>
  </si>
  <si>
    <t>Over</t>
  </si>
  <si>
    <t>Favorite</t>
  </si>
  <si>
    <t>Dog</t>
  </si>
  <si>
    <t>Titans @ Jaguars</t>
  </si>
  <si>
    <t>Under 37</t>
  </si>
  <si>
    <t>Confidence Level</t>
  </si>
  <si>
    <t>Conditional Formats</t>
  </si>
  <si>
    <t>Ravens @ Chiefs</t>
  </si>
  <si>
    <t>Over 51</t>
  </si>
  <si>
    <t>Saints @ Buccaneers</t>
  </si>
  <si>
    <t>Panthers @ Browns</t>
  </si>
  <si>
    <t>Under 47</t>
  </si>
  <si>
    <t>Jets @ Bills</t>
  </si>
  <si>
    <t>Under 38.5</t>
  </si>
  <si>
    <t>Bengals @ Chargers</t>
  </si>
  <si>
    <t>Patriots @ Dolphins</t>
  </si>
  <si>
    <t>Patriots -8</t>
  </si>
  <si>
    <t>Colts @ Texans</t>
  </si>
  <si>
    <t>Texans -4.5</t>
  </si>
  <si>
    <t>Saints -9.5</t>
  </si>
  <si>
    <t>Over 47.5</t>
  </si>
  <si>
    <t>Push</t>
  </si>
  <si>
    <t>Steelers @ Raiders</t>
  </si>
  <si>
    <t>Under 51</t>
  </si>
  <si>
    <t>Eagles @ Cowboys</t>
  </si>
  <si>
    <t>Cowboys -3.5</t>
  </si>
  <si>
    <t>Colts -3</t>
  </si>
  <si>
    <t>Vikings @ Seahawks</t>
  </si>
  <si>
    <t>Seahawks -3</t>
  </si>
  <si>
    <t>Chargers @ Chiefs</t>
  </si>
  <si>
    <t>Over 53.5</t>
  </si>
  <si>
    <t>Chargers +3.5</t>
  </si>
  <si>
    <t>Texans @ Jets</t>
  </si>
  <si>
    <t>Under 44</t>
  </si>
  <si>
    <t>Texans -7</t>
  </si>
  <si>
    <t>Browns @ Broncos</t>
  </si>
  <si>
    <t>Under 45.5</t>
  </si>
  <si>
    <t>Cowboys @ Colts</t>
  </si>
  <si>
    <t>Over 47</t>
  </si>
  <si>
    <t>Lions @ Bills</t>
  </si>
  <si>
    <t>Packers @ Bears</t>
  </si>
  <si>
    <t>Bears -5</t>
  </si>
  <si>
    <t>Dolphins @ Vikings</t>
  </si>
  <si>
    <t>Vikings -8</t>
  </si>
  <si>
    <t>Raiders @ Bengals</t>
  </si>
  <si>
    <t>Bengals -3</t>
  </si>
  <si>
    <t>Buccaneers @ Ravens</t>
  </si>
  <si>
    <t>Titans @ Giants</t>
  </si>
  <si>
    <t>Redskins @ Jaguars</t>
  </si>
  <si>
    <t>Seahawks @ 49ers</t>
  </si>
  <si>
    <t>Over 44</t>
  </si>
  <si>
    <t>Patriots @ Steelers</t>
  </si>
  <si>
    <t>Under 36.5</t>
  </si>
  <si>
    <t>Redskins +7.5</t>
  </si>
  <si>
    <t>Seahawks -4.5</t>
  </si>
  <si>
    <t>Steelers +3</t>
  </si>
  <si>
    <t>Over 56</t>
  </si>
  <si>
    <t>Eagles @ Rams</t>
  </si>
  <si>
    <t>Rams -13</t>
  </si>
  <si>
    <t>Saints @ Panthers</t>
  </si>
  <si>
    <t>Over 50.5</t>
  </si>
  <si>
    <t>Odds</t>
  </si>
  <si>
    <t>Steelers Moneyline</t>
  </si>
  <si>
    <t>Confidence</t>
  </si>
  <si>
    <t>Bucks @ Pistons</t>
  </si>
  <si>
    <t>Under 225</t>
  </si>
  <si>
    <t>Bucks -4</t>
  </si>
  <si>
    <t>Suns @ Knicks</t>
  </si>
  <si>
    <t>Under 223</t>
  </si>
  <si>
    <t>Knicks -1.5</t>
  </si>
  <si>
    <t>Kings @ Timberwolves</t>
  </si>
  <si>
    <t>Kings +7.5</t>
  </si>
  <si>
    <t>Jazz @ Rockets</t>
  </si>
  <si>
    <t>Over 212</t>
  </si>
  <si>
    <t>Grizzlies @ Warriors</t>
  </si>
  <si>
    <t>Over 211</t>
  </si>
  <si>
    <t>Warriors -11</t>
  </si>
  <si>
    <t>Trailblazers @ Clippers</t>
  </si>
  <si>
    <t>Trailblazers +2</t>
  </si>
  <si>
    <t>Trailblazers Moneyline</t>
  </si>
  <si>
    <t>Cavaliers @ Pacers</t>
  </si>
  <si>
    <t>Over 207</t>
  </si>
  <si>
    <t>Wizards @ Hawks</t>
  </si>
  <si>
    <t>Under 236</t>
  </si>
  <si>
    <t>Wizards -3.5</t>
  </si>
  <si>
    <t>Mavericks @ Nuggets</t>
  </si>
  <si>
    <t>Over 208</t>
  </si>
  <si>
    <t>Nuggets -5</t>
  </si>
  <si>
    <t>Record</t>
  </si>
  <si>
    <t>NFL</t>
  </si>
  <si>
    <t>NBA</t>
  </si>
  <si>
    <t>Cavaliers @ Hornets</t>
  </si>
  <si>
    <t>Under 214</t>
  </si>
  <si>
    <t>Spurs @ Magic</t>
  </si>
  <si>
    <t>Spurs -3.5</t>
  </si>
  <si>
    <t>Pacers @ Raptors</t>
  </si>
  <si>
    <t>Over 209</t>
  </si>
  <si>
    <t>Raptors -5</t>
  </si>
  <si>
    <t>Suns @ Celtics</t>
  </si>
  <si>
    <t>Nets @ Bulls</t>
  </si>
  <si>
    <t>Under 213</t>
  </si>
  <si>
    <t>Nets -2</t>
  </si>
  <si>
    <t>Pistons @ Timberwolves</t>
  </si>
  <si>
    <t>Timberwolves -5</t>
  </si>
  <si>
    <t>Wizards @ Rockets</t>
  </si>
  <si>
    <t>Wizards +11</t>
  </si>
  <si>
    <t>Warriors @ Jazz</t>
  </si>
  <si>
    <t>Warriors -2.5</t>
  </si>
  <si>
    <t>Thunder @ Kings</t>
  </si>
  <si>
    <t>Kings Moneyline</t>
  </si>
  <si>
    <t>Rockets @ Heat</t>
  </si>
  <si>
    <t>Rockets -3.5</t>
  </si>
  <si>
    <t>Mavericks @ Clippers</t>
  </si>
  <si>
    <t>Clippers -3</t>
  </si>
  <si>
    <t>Ravens @ Chargers</t>
  </si>
  <si>
    <t>Packers @ Jets</t>
  </si>
  <si>
    <t>Cavaliers @ Raptors</t>
  </si>
  <si>
    <t>Raptors -13</t>
  </si>
  <si>
    <t>Pistons @ Hornets</t>
  </si>
  <si>
    <t>Over 218</t>
  </si>
  <si>
    <t>Hornets -4</t>
  </si>
  <si>
    <t>Hawks @ Knicks</t>
  </si>
  <si>
    <t>Under 230</t>
  </si>
  <si>
    <t>Pacers @ Nets</t>
  </si>
  <si>
    <t>Nets +2.5</t>
  </si>
  <si>
    <t>Bucks @ Celtics</t>
  </si>
  <si>
    <t>Celtics -1.5</t>
  </si>
  <si>
    <t>Magic @ Bulls</t>
  </si>
  <si>
    <t>Magic -3</t>
  </si>
  <si>
    <t>Timberwolves @ Spurs</t>
  </si>
  <si>
    <t>Over 220</t>
  </si>
  <si>
    <t>Spurs -4</t>
  </si>
  <si>
    <t>Grizzlies @ Kings</t>
  </si>
  <si>
    <t>Kings -1.5</t>
  </si>
  <si>
    <t>Jazz @ TrailBlazers</t>
  </si>
  <si>
    <t>Under 212</t>
  </si>
  <si>
    <t>TrailBlazers -2</t>
  </si>
  <si>
    <t>Pelicans @ Lakers</t>
  </si>
  <si>
    <t>Under 234</t>
  </si>
  <si>
    <t>Pelicans +5</t>
  </si>
  <si>
    <t>Pelicans Moneyline</t>
  </si>
  <si>
    <t>Nuggets @ Clippers</t>
  </si>
  <si>
    <t>Nuggets +1.5</t>
  </si>
  <si>
    <t>Nuggets Moneyline</t>
  </si>
  <si>
    <t>Suns @ Wizards</t>
  </si>
  <si>
    <t>Wizards -6</t>
  </si>
  <si>
    <t>Raptors @ 76ers</t>
  </si>
  <si>
    <t>Raptors +7.5</t>
  </si>
  <si>
    <t>Raptors Moneyline</t>
  </si>
  <si>
    <t>Bucks @ Heat</t>
  </si>
  <si>
    <t>Bucks -3</t>
  </si>
  <si>
    <t>Spurs @ Rockets</t>
  </si>
  <si>
    <t>Spurs +5.5</t>
  </si>
  <si>
    <t>Spurs Moneyline</t>
  </si>
  <si>
    <t>Mavericks @ Warriors</t>
  </si>
  <si>
    <t>Warriors -11.5</t>
  </si>
  <si>
    <t>Thunder @ Jazz</t>
  </si>
  <si>
    <t>Under 218</t>
  </si>
  <si>
    <t>Thunder +1.5</t>
  </si>
  <si>
    <t>Hawks @ Wizards</t>
  </si>
  <si>
    <t>Wizards -6.5</t>
  </si>
  <si>
    <t>Mavericks @ Hornets</t>
  </si>
  <si>
    <t>Hornets -1.5</t>
  </si>
  <si>
    <t>Heat @ Cavaliers</t>
  </si>
  <si>
    <t>Over 203</t>
  </si>
  <si>
    <t>Heat -6</t>
  </si>
  <si>
    <t>Pelicans @ Nets</t>
  </si>
  <si>
    <t>Over 230</t>
  </si>
  <si>
    <t>Pelicans -1</t>
  </si>
  <si>
    <t>Pistons @ Grizzlies</t>
  </si>
  <si>
    <t>Pistons +6.5</t>
  </si>
  <si>
    <t>76ers @ Suns</t>
  </si>
  <si>
    <t>Under 228</t>
  </si>
  <si>
    <t>76ers -4.5</t>
  </si>
  <si>
    <t>Thunder @ Lakers</t>
  </si>
  <si>
    <t>Under 229</t>
  </si>
  <si>
    <t>Lakers +6</t>
  </si>
  <si>
    <t>Raptors @ Spurs</t>
  </si>
  <si>
    <t>Over 216</t>
  </si>
  <si>
    <t>Raptors +2.5</t>
  </si>
  <si>
    <t>Nuggets @ Kings</t>
  </si>
  <si>
    <t>Under 227</t>
  </si>
  <si>
    <t>Nuggets -3.5</t>
  </si>
  <si>
    <t>Rockets @ Warriors</t>
  </si>
  <si>
    <t>Over 224</t>
  </si>
  <si>
    <t>Colts</t>
  </si>
  <si>
    <t>Over 48.5</t>
  </si>
  <si>
    <t>Seahawks @ Cowboys</t>
  </si>
  <si>
    <t>Over 43</t>
  </si>
  <si>
    <t>Seahawks +2</t>
  </si>
  <si>
    <t>Chargers @ Ravens</t>
  </si>
  <si>
    <t>Over 42</t>
  </si>
  <si>
    <t>Chargers +2.5</t>
  </si>
  <si>
    <t>Over 1.5</t>
  </si>
  <si>
    <t>How many Wild Card team win Wild Card Weekend</t>
  </si>
  <si>
    <t>Bears Suberbowl</t>
  </si>
  <si>
    <t>Rams Suberbowl</t>
  </si>
  <si>
    <t>Most points scored by 1 team wildcard weekend</t>
  </si>
  <si>
    <t>Over 36.5</t>
  </si>
  <si>
    <t>Jazz @ Cavaliers</t>
  </si>
  <si>
    <t>Jazz -9.5</t>
  </si>
  <si>
    <t>Nets @ Grizzlies</t>
  </si>
  <si>
    <t>Under 204</t>
  </si>
  <si>
    <t>Nets +4</t>
  </si>
  <si>
    <t>Nets Moneyline</t>
  </si>
  <si>
    <t>Pacers @ Bulls</t>
  </si>
  <si>
    <t>Under 200</t>
  </si>
  <si>
    <t>Pacers -7</t>
  </si>
  <si>
    <t>Magic @ Timberwolves</t>
  </si>
  <si>
    <t>Timberwolves -4.5</t>
  </si>
  <si>
    <t>Wizards @ Heat</t>
  </si>
  <si>
    <t>Wizards +7.5</t>
  </si>
  <si>
    <t>Mavericks @ Celtics</t>
  </si>
  <si>
    <t>Over 214</t>
  </si>
  <si>
    <t>Celtics -5.5</t>
  </si>
  <si>
    <t>Hawks @ Bucks</t>
  </si>
  <si>
    <t>Bucks -13.5</t>
  </si>
  <si>
    <t>Clippers @ Suns</t>
  </si>
  <si>
    <t>Clippers -4.5</t>
  </si>
  <si>
    <t>Knicks @ Lakers</t>
  </si>
  <si>
    <t>Under 224</t>
  </si>
  <si>
    <t>Lakers -7.5</t>
  </si>
  <si>
    <t>Thunder @ Trailblazers</t>
  </si>
  <si>
    <t>Trailblazers -1</t>
  </si>
  <si>
    <t>N/A</t>
  </si>
  <si>
    <t>Spurs @ Pistons</t>
  </si>
  <si>
    <t>Nets @ Celtics</t>
  </si>
  <si>
    <t>Under 221</t>
  </si>
  <si>
    <t>Nuggets @ Rockets</t>
  </si>
  <si>
    <t>Grizzlies @ Pelicans</t>
  </si>
  <si>
    <t>Pelicans -5.5</t>
  </si>
  <si>
    <t>Jazz @ Bucks</t>
  </si>
  <si>
    <t>Under 222</t>
  </si>
  <si>
    <t>Bucks -5.5</t>
  </si>
  <si>
    <t>Lakers @ Mavericks</t>
  </si>
  <si>
    <t>Lakers +8</t>
  </si>
  <si>
    <t>Knicks @ Trailblazers</t>
  </si>
  <si>
    <t>Trailblazers -12</t>
  </si>
  <si>
    <t>Magic @ Kings</t>
  </si>
  <si>
    <t>Kings -5.5</t>
  </si>
  <si>
    <t>Lakers Moneyline</t>
  </si>
  <si>
    <t>Anthony Miller Receiving Yards</t>
  </si>
  <si>
    <t>Over 21.5</t>
  </si>
  <si>
    <t>Pacers @ Cavaliers</t>
  </si>
  <si>
    <t>Under 208</t>
  </si>
  <si>
    <t>Pacers -10</t>
  </si>
  <si>
    <t>Hawks @ Raptors</t>
  </si>
  <si>
    <t>Raptors -14.5</t>
  </si>
  <si>
    <t>Nuggets @ Heat</t>
  </si>
  <si>
    <t>Timberwolves @ Thunder</t>
  </si>
  <si>
    <t>Timberwolves +8</t>
  </si>
  <si>
    <t>Hornets @ Clippers</t>
  </si>
  <si>
    <t>Hornets +6.5</t>
  </si>
  <si>
    <t>Knicks @ Warriors</t>
  </si>
  <si>
    <t>Warriors -18</t>
  </si>
  <si>
    <t>Chiefs</t>
  </si>
  <si>
    <t>Rams</t>
  </si>
  <si>
    <t>Patriots</t>
  </si>
  <si>
    <t>Saints</t>
  </si>
  <si>
    <t>Pacers @ Celtics</t>
  </si>
  <si>
    <t>Pacers +6.5</t>
  </si>
  <si>
    <t>76ers @ Wizards</t>
  </si>
  <si>
    <t>Over 228</t>
  </si>
  <si>
    <t>Hawks @ Nets</t>
  </si>
  <si>
    <t>Nets -9</t>
  </si>
  <si>
    <t>Cavaliers @ Pelicans</t>
  </si>
  <si>
    <t>Pelicans -14</t>
  </si>
  <si>
    <t>Bucks @ Rockets</t>
  </si>
  <si>
    <t>Over 226</t>
  </si>
  <si>
    <t>Bucks -1.5</t>
  </si>
  <si>
    <t>Spurs @ Grizzlies</t>
  </si>
  <si>
    <t>Spurs -3</t>
  </si>
  <si>
    <t>Magic @ Jazz</t>
  </si>
  <si>
    <t>Jazz -9</t>
  </si>
  <si>
    <t>Bulls @ Trailblazers</t>
  </si>
  <si>
    <t>Trailblazers -9.5</t>
  </si>
  <si>
    <t>Pistons @ Lakers</t>
  </si>
  <si>
    <t>Lakers -1.5</t>
  </si>
  <si>
    <t>+5</t>
  </si>
  <si>
    <t>Celtics @ Heat</t>
  </si>
  <si>
    <t>Celtics -3</t>
  </si>
  <si>
    <t>Clippers @ Nuggets</t>
  </si>
  <si>
    <t>Clippers +5.5</t>
  </si>
  <si>
    <t>Thunder @ Spurs</t>
  </si>
  <si>
    <t>Spurs +1.5</t>
  </si>
  <si>
    <t>Pistons @ Kings</t>
  </si>
  <si>
    <t>Kings -5</t>
  </si>
  <si>
    <t>+8</t>
  </si>
  <si>
    <t>Hawks @ 76ers</t>
  </si>
  <si>
    <t>Under 232</t>
  </si>
  <si>
    <t>76ers -12.5</t>
  </si>
  <si>
    <t>Bucks @ Wizards</t>
  </si>
  <si>
    <t>Under 231</t>
  </si>
  <si>
    <t>Nets @ Raptors</t>
  </si>
  <si>
    <t>Raptors -9.5</t>
  </si>
  <si>
    <t>Pacers @ Knicks</t>
  </si>
  <si>
    <t>Under 219</t>
  </si>
  <si>
    <t>Pacers -8.5</t>
  </si>
  <si>
    <t>Cavaliers @ Rockets</t>
  </si>
  <si>
    <t>Rockets -14</t>
  </si>
  <si>
    <t>Mavericks @ Timberwolves</t>
  </si>
  <si>
    <t>Lakers @ Jazz</t>
  </si>
  <si>
    <t>Bulls @ Warriors</t>
  </si>
  <si>
    <t>Warriors -15.5</t>
  </si>
  <si>
    <t>Version</t>
  </si>
  <si>
    <t>+7</t>
  </si>
  <si>
    <t>+4</t>
  </si>
  <si>
    <t>Over 50</t>
  </si>
  <si>
    <t>Celtics @ Nets</t>
  </si>
  <si>
    <t>Over 219</t>
  </si>
  <si>
    <t>Grizzlies @ Rockets</t>
  </si>
  <si>
    <t>Rockets -5</t>
  </si>
  <si>
    <t>Hornets @ Spurs</t>
  </si>
  <si>
    <t>Over 222</t>
  </si>
  <si>
    <t>Spurs -9</t>
  </si>
  <si>
    <t>Pistons @ Jazz</t>
  </si>
  <si>
    <t>Jazz -8.5</t>
  </si>
  <si>
    <t>Trailblazers @ Kings</t>
  </si>
  <si>
    <t>Trailblazers +2.5</t>
  </si>
  <si>
    <t>Pelicans @ Clippers</t>
  </si>
  <si>
    <t>Under 239</t>
  </si>
  <si>
    <t>Pelicans +2.5</t>
  </si>
  <si>
    <t>Timberwolves @ 76ers</t>
  </si>
  <si>
    <t>Timberwolves +6</t>
  </si>
  <si>
    <t>Suns @ Pacers</t>
  </si>
  <si>
    <t>Thunder @ Hawks</t>
  </si>
  <si>
    <t>Thunder -8.5</t>
  </si>
  <si>
    <t>Heat @ Bucks</t>
  </si>
  <si>
    <t>Bucks -8.5</t>
  </si>
  <si>
    <t>Warriors @ Nuggets</t>
  </si>
  <si>
    <t>Warriors -1</t>
  </si>
  <si>
    <t>Bulls @ Lakers</t>
  </si>
  <si>
    <t>Under 215</t>
  </si>
  <si>
    <t>Lakers -7</t>
  </si>
  <si>
    <t>Magic @ Pistons</t>
  </si>
  <si>
    <t>Under 207</t>
  </si>
  <si>
    <t>Magic +3.5</t>
  </si>
  <si>
    <t>Nets @ Rockets</t>
  </si>
  <si>
    <t>Bucks @ Grizzlies</t>
  </si>
  <si>
    <t>Bucks -6</t>
  </si>
  <si>
    <t>Raptors @ Celtics</t>
  </si>
  <si>
    <t>Raptors +2</t>
  </si>
  <si>
    <t>Spurs @ Mavericks</t>
  </si>
  <si>
    <t>Spurs -1</t>
  </si>
  <si>
    <t>Cavaliers @ Trailblazers</t>
  </si>
  <si>
    <t>Trailblazers -13.5</t>
  </si>
  <si>
    <t>Pelicans @ Warriors</t>
  </si>
  <si>
    <t>Under 241</t>
  </si>
  <si>
    <t>Warriors -7</t>
  </si>
  <si>
    <t>Jazz @ Clippers</t>
  </si>
  <si>
    <t>Clippers -1.5</t>
  </si>
  <si>
    <t>Underdog</t>
  </si>
  <si>
    <t>Moneyline Confidence</t>
  </si>
  <si>
    <t>Knicks @ Wizards</t>
  </si>
  <si>
    <t>Wizards -7.5</t>
  </si>
  <si>
    <t>76ers @ Pacers</t>
  </si>
  <si>
    <t>76ers +2.5</t>
  </si>
  <si>
    <t>76ers Moneyline</t>
  </si>
  <si>
    <t>Kings @ Hornets</t>
  </si>
  <si>
    <t>Kings +3</t>
  </si>
  <si>
    <t>Bulls @ Nuggets</t>
  </si>
  <si>
    <t>Nuggets -13</t>
  </si>
  <si>
    <t>Lakers @ Thunder</t>
  </si>
  <si>
    <t>Under 226</t>
  </si>
  <si>
    <t>Maryland +3.5</t>
  </si>
  <si>
    <t>Under 140</t>
  </si>
  <si>
    <t>Buffalo -15.5</t>
  </si>
  <si>
    <t>Villanova -10</t>
  </si>
  <si>
    <t>Northwestern -1.5</t>
  </si>
  <si>
    <t>Toledo -8.5</t>
  </si>
  <si>
    <t>Maryland @ Ohio State</t>
  </si>
  <si>
    <t>Eastern Michigan @ Buffalo</t>
  </si>
  <si>
    <t>Xavier @ Villanova</t>
  </si>
  <si>
    <t>Northwestern @ Rutgers</t>
  </si>
  <si>
    <t>Ohio @ Toledo</t>
  </si>
  <si>
    <t>NCAAB</t>
  </si>
  <si>
    <t>Nets @ Magic</t>
  </si>
  <si>
    <t>Under 217</t>
  </si>
  <si>
    <t>Nets +1.5</t>
  </si>
  <si>
    <t>Grizzlies @ Celtics</t>
  </si>
  <si>
    <t>Celtics -11</t>
  </si>
  <si>
    <t>Heat @ Pistons</t>
  </si>
  <si>
    <t>Heat +2</t>
  </si>
  <si>
    <t>Spurs @ Timberwolves</t>
  </si>
  <si>
    <t>Cavaliers @ Jazz</t>
  </si>
  <si>
    <t>Jazz -15.5</t>
  </si>
  <si>
    <t>Warriors @ Clippers</t>
  </si>
  <si>
    <t>Under 242</t>
  </si>
  <si>
    <t>Pelicans @ Trailblazers</t>
  </si>
  <si>
    <t>Pelicans +3</t>
  </si>
  <si>
    <t>D</t>
  </si>
  <si>
    <t>Rams @ Saints</t>
  </si>
  <si>
    <t>Under 56</t>
  </si>
  <si>
    <t>Maryland @ Michigan State</t>
  </si>
  <si>
    <t>Michigan State -9</t>
  </si>
  <si>
    <t>Under 148</t>
  </si>
  <si>
    <t>Virginia Tech @ North Carolina</t>
  </si>
  <si>
    <t>Virginia Tech +4</t>
  </si>
  <si>
    <t>Under 155</t>
  </si>
  <si>
    <t>Iowa State @ Kansas</t>
  </si>
  <si>
    <t>Iowa State +5.5</t>
  </si>
  <si>
    <t>Under 147</t>
  </si>
  <si>
    <t>Nebraska @ Rutgers</t>
  </si>
  <si>
    <t>Nebraska -9</t>
  </si>
  <si>
    <t>Under 135</t>
  </si>
  <si>
    <t>Creighton @ Georgetown</t>
  </si>
  <si>
    <t>Creighton +1.5</t>
  </si>
  <si>
    <t>Under 166</t>
  </si>
  <si>
    <t>Baylor @ West Virginia</t>
  </si>
  <si>
    <t>Baylor +3</t>
  </si>
  <si>
    <t>Under 143</t>
  </si>
  <si>
    <t>Under 220</t>
  </si>
  <si>
    <t>Celtics -8.5</t>
  </si>
  <si>
    <t>Under 235</t>
  </si>
  <si>
    <t>U</t>
  </si>
  <si>
    <t>F</t>
  </si>
  <si>
    <t>O</t>
  </si>
  <si>
    <t>Bet Type</t>
  </si>
  <si>
    <t>Auburn @ South Carolina</t>
  </si>
  <si>
    <t>Auburn -8</t>
  </si>
  <si>
    <t>Clemson @ Florida State</t>
  </si>
  <si>
    <t>Florida State -6</t>
  </si>
  <si>
    <t>Minnesota @ Michigan</t>
  </si>
  <si>
    <t>Michigan -12.5</t>
  </si>
  <si>
    <t>Under 138</t>
  </si>
  <si>
    <t>Mississippi State @ Kentucky</t>
  </si>
  <si>
    <t>Under 145</t>
  </si>
  <si>
    <t>Notre Dame @ Georgia Tech</t>
  </si>
  <si>
    <t>Over 133</t>
  </si>
  <si>
    <t>Saint Peter's @ Niagara</t>
  </si>
  <si>
    <t>Over 140</t>
  </si>
  <si>
    <t>Niagara -3.5</t>
  </si>
  <si>
    <t>Texas Tech @ Kansas State</t>
  </si>
  <si>
    <t>Texas Tech +1</t>
  </si>
  <si>
    <t>Over 120</t>
  </si>
  <si>
    <t>Villanova @ Butler</t>
  </si>
  <si>
    <t>Villanova +1.5</t>
  </si>
  <si>
    <t>Under 142</t>
  </si>
  <si>
    <t>Buffalo @ Northern Illinois</t>
  </si>
  <si>
    <t>Buffalo -8</t>
  </si>
  <si>
    <t>Under 158</t>
  </si>
  <si>
    <t>Georgia Tech +3.5</t>
  </si>
  <si>
    <t>Michigan State -5</t>
  </si>
  <si>
    <t>Under 157</t>
  </si>
  <si>
    <t>Syracuse -8</t>
  </si>
  <si>
    <t>Under 156</t>
  </si>
  <si>
    <t>Murray State -5.5</t>
  </si>
  <si>
    <t>Utah +2.5</t>
  </si>
  <si>
    <t>Washington +2.5</t>
  </si>
  <si>
    <t>Over 131</t>
  </si>
  <si>
    <t>Arizona State +1</t>
  </si>
  <si>
    <t>Michigan State @ Iowa</t>
  </si>
  <si>
    <t>Miami (FL) @ Syracuse</t>
  </si>
  <si>
    <t>North Carolina State @ Louisville</t>
  </si>
  <si>
    <t>Belmont @ Murray State</t>
  </si>
  <si>
    <t>Utah @ Stanford</t>
  </si>
  <si>
    <t>Washington @ Oregon</t>
  </si>
  <si>
    <t>Arizona State @ UCLA</t>
  </si>
  <si>
    <t>Warriors @ Wizards</t>
  </si>
  <si>
    <t>Over 235</t>
  </si>
  <si>
    <t>Warriors -10.5</t>
  </si>
  <si>
    <t>Pelicans @ Thunder</t>
  </si>
  <si>
    <t>Under 233</t>
  </si>
  <si>
    <t>Pelicans +12</t>
  </si>
  <si>
    <t>TrailBlazers @ Suns</t>
  </si>
  <si>
    <t>TrailBlazers -7.5</t>
  </si>
  <si>
    <t>Timberwolves @ Lakers</t>
  </si>
  <si>
    <t>Timberwolves -1.5</t>
  </si>
  <si>
    <t>Buffalo @ Kent State</t>
  </si>
  <si>
    <t>Under 161</t>
  </si>
  <si>
    <t>Michigan @ Indiana</t>
  </si>
  <si>
    <t>Michigan -4.5</t>
  </si>
  <si>
    <t>Under 134</t>
  </si>
  <si>
    <t>Brown @ Yale</t>
  </si>
  <si>
    <t>Yale -7.5</t>
  </si>
  <si>
    <t>Under 152</t>
  </si>
  <si>
    <t>Quinnipiac @ Marist</t>
  </si>
  <si>
    <t>Quinnipiac +2</t>
  </si>
  <si>
    <t>Over 137</t>
  </si>
  <si>
    <t>Rider @ Iona</t>
  </si>
  <si>
    <t>Rider -3</t>
  </si>
  <si>
    <t>Under 172</t>
  </si>
  <si>
    <t>Butler @ Creighton</t>
  </si>
  <si>
    <t>Butler +2.5</t>
  </si>
  <si>
    <t>Under 153</t>
  </si>
  <si>
    <t>Butler Moneyline</t>
  </si>
  <si>
    <t>Duke @ Notre Dame</t>
  </si>
  <si>
    <t>Duke -15</t>
  </si>
  <si>
    <t>Florida A&amp;M @ Morgan State</t>
  </si>
  <si>
    <t>Morgan State -4</t>
  </si>
  <si>
    <t>Baylor @ Oklahoma</t>
  </si>
  <si>
    <t>Oklahoma +5.5</t>
  </si>
  <si>
    <t>Under 139</t>
  </si>
  <si>
    <t>Texas Christian @ Texas Tech</t>
  </si>
  <si>
    <t>Alcorn State @ Alabama A&amp;M</t>
  </si>
  <si>
    <t>Over 121</t>
  </si>
  <si>
    <t>Alabama A&amp;M -3</t>
  </si>
  <si>
    <t>North Carolina Central @ Savannah State</t>
  </si>
  <si>
    <t>North Carolina Central -2.5</t>
  </si>
  <si>
    <t>Over 157</t>
  </si>
  <si>
    <t>VCU @ Duquesne</t>
  </si>
  <si>
    <t>VCU -3.5</t>
  </si>
  <si>
    <t>Monmouth @ Niagara</t>
  </si>
  <si>
    <t>Niagara -2.5</t>
  </si>
  <si>
    <t>Utah Valley @ Chicago State</t>
  </si>
  <si>
    <t>Utah Valley -17.5</t>
  </si>
  <si>
    <t>Mercer @ NC Greensboro</t>
  </si>
  <si>
    <t>NC Greensboro -9</t>
  </si>
  <si>
    <t>Evansville @ Northern Iowa</t>
  </si>
  <si>
    <t>Northern Iowa -5</t>
  </si>
  <si>
    <t>North Dakota State @ Oral Roberts</t>
  </si>
  <si>
    <t>North Dakota State -1.5</t>
  </si>
  <si>
    <t>Farmers Insurance Open 2019</t>
  </si>
  <si>
    <t>Gooch over Ghim</t>
  </si>
  <si>
    <t>Warriors @ Pacers</t>
  </si>
  <si>
    <t>Warriors -7.5</t>
  </si>
  <si>
    <t>Knicks @ Hornets</t>
  </si>
  <si>
    <t>Hornets -12</t>
  </si>
  <si>
    <t>Celtics -9</t>
  </si>
  <si>
    <t>Nuggets @ Grizzlies</t>
  </si>
  <si>
    <t>Nuggets -6</t>
  </si>
  <si>
    <t>Hawks @ Clippers</t>
  </si>
  <si>
    <t>Clippers -6</t>
  </si>
  <si>
    <t>Ohio @ Northern Illinois</t>
  </si>
  <si>
    <t>Over 136</t>
  </si>
  <si>
    <t>Northern Illinois -4.5</t>
  </si>
  <si>
    <t>Tennessee @ South Carolina</t>
  </si>
  <si>
    <t>Tennessee -8.5</t>
  </si>
  <si>
    <t>Under 154</t>
  </si>
  <si>
    <t>Ball State @ Buffalo</t>
  </si>
  <si>
    <t>Buffalo -11</t>
  </si>
  <si>
    <t>Kansas @ Texas</t>
  </si>
  <si>
    <t>Kansas +1</t>
  </si>
  <si>
    <t>Under 141</t>
  </si>
  <si>
    <t>Toledo @ Miami (OH)</t>
  </si>
  <si>
    <t>Toledo -2.5</t>
  </si>
  <si>
    <t>Over 142</t>
  </si>
  <si>
    <t>Boise State @ Colorado State</t>
  </si>
  <si>
    <t>Boise State -2</t>
  </si>
  <si>
    <t>Ohio State @ Michigan</t>
  </si>
  <si>
    <t>Michigan -8.5</t>
  </si>
  <si>
    <t>Marquette @ Butler</t>
  </si>
  <si>
    <t>Marquette +2.5</t>
  </si>
  <si>
    <t>Mississippi @ Florida</t>
  </si>
  <si>
    <t>Florida -5.5</t>
  </si>
  <si>
    <t>American @ Loyola (MD)</t>
  </si>
  <si>
    <t>American -1.5</t>
  </si>
  <si>
    <t>Bradley @ Evansville</t>
  </si>
  <si>
    <t>Over 129</t>
  </si>
  <si>
    <t>Evansville -3</t>
  </si>
  <si>
    <t>Canisius @ Niagara</t>
  </si>
  <si>
    <t>High Point @ Gardner-Webb</t>
  </si>
  <si>
    <t>Gardner-Webb -4.5</t>
  </si>
  <si>
    <t>Maine @ Massachusetts-Lowell</t>
  </si>
  <si>
    <t>Over 143</t>
  </si>
  <si>
    <t>Massachusetts-Lowell -10.5</t>
  </si>
  <si>
    <t>Providence @ Seton Hall</t>
  </si>
  <si>
    <t>South Carolina Upstate @ North Carolina-Asheville</t>
  </si>
  <si>
    <t>South Carolina Upstate -4.5</t>
  </si>
  <si>
    <t>Illinois State @ Drake</t>
  </si>
  <si>
    <t>Drake -5</t>
  </si>
  <si>
    <t>Canisius -1</t>
  </si>
  <si>
    <t>Hornets @ Celtics</t>
  </si>
  <si>
    <t>Celtics -7.5</t>
  </si>
  <si>
    <t>Bulls @ Heat</t>
  </si>
  <si>
    <t>Heat -9.5</t>
  </si>
  <si>
    <t>Mavericks @ Knicks</t>
  </si>
  <si>
    <t>Mavericks -6.5</t>
  </si>
  <si>
    <t>Over 215</t>
  </si>
  <si>
    <t>Nuggets @ Pelicans</t>
  </si>
  <si>
    <t>Nuggets -8</t>
  </si>
  <si>
    <t>Pacers @ Wizards</t>
  </si>
  <si>
    <t>Grizzlies @ Timberwolves</t>
  </si>
  <si>
    <t>Hawks @ Kings</t>
  </si>
  <si>
    <t>Jazz @ Trailblazers</t>
  </si>
  <si>
    <t>Jazz +1.5</t>
  </si>
  <si>
    <t>Austin Peay @ Tennessee Tech</t>
  </si>
  <si>
    <t>Austin Peay -9</t>
  </si>
  <si>
    <t>Over 144</t>
  </si>
  <si>
    <t>Drexel @ William &amp; Mary</t>
  </si>
  <si>
    <t>Furman @ Citadel</t>
  </si>
  <si>
    <t>Furman -7</t>
  </si>
  <si>
    <t>Iona @ Marist</t>
  </si>
  <si>
    <t>Iona -1</t>
  </si>
  <si>
    <t>Purdue @ Penn State</t>
  </si>
  <si>
    <t>Under 137</t>
  </si>
  <si>
    <t>Wofford @ Mercer</t>
  </si>
  <si>
    <t>Wofford -7</t>
  </si>
  <si>
    <t>Over 145</t>
  </si>
  <si>
    <t>South Dakota State @ Oral Roberts</t>
  </si>
  <si>
    <t>South Dakota State -11</t>
  </si>
  <si>
    <t>Xavier @ Georgetown</t>
  </si>
  <si>
    <t>Xavier +3</t>
  </si>
  <si>
    <t>Drexel +4.5</t>
  </si>
  <si>
    <t>Under 169</t>
  </si>
  <si>
    <t>Purdue -7.5</t>
  </si>
  <si>
    <t>Mavericks +5</t>
  </si>
  <si>
    <t>Over 206</t>
  </si>
  <si>
    <t>Pennsylvania @ Cornell</t>
  </si>
  <si>
    <t>Over 139</t>
  </si>
  <si>
    <t>Pennsylvania Moneyline</t>
  </si>
  <si>
    <t>North Dakota @ Western Illinois</t>
  </si>
  <si>
    <t>Over 141</t>
  </si>
  <si>
    <t>Davidson @ St. Bonaventure</t>
  </si>
  <si>
    <t>Davidson -1.5</t>
  </si>
  <si>
    <t>Davidson Moneyline</t>
  </si>
  <si>
    <t>Michigan @ Iowa</t>
  </si>
  <si>
    <t>Michigan -5</t>
  </si>
  <si>
    <t>Michigan Moneyline</t>
  </si>
  <si>
    <t>Quinnipiac @ Canisius</t>
  </si>
  <si>
    <t>Quinnipiac +3.5</t>
  </si>
  <si>
    <t>Quinnipiac Moneyline</t>
  </si>
  <si>
    <t>Buffalo @ Bowling Green State</t>
  </si>
  <si>
    <t>Buffalo Moneyline</t>
  </si>
  <si>
    <t>Milwaukee @ Green Bay</t>
  </si>
  <si>
    <t>Green Bay -7</t>
  </si>
  <si>
    <t>Maryland @ Wisconsin</t>
  </si>
  <si>
    <t>Wisconsin -5</t>
  </si>
  <si>
    <t>Wright State @ Illinois-Chicago</t>
  </si>
  <si>
    <t>Wright State -2</t>
  </si>
  <si>
    <t>Wright State Moneyline</t>
  </si>
  <si>
    <t>Pennsylvania -6</t>
  </si>
  <si>
    <t>Pick em team Sacks</t>
  </si>
  <si>
    <t>CJ Anderson Rushing Yards</t>
  </si>
  <si>
    <t>Rams @ Patriots</t>
  </si>
  <si>
    <t>Colgate @ Lehigh</t>
  </si>
  <si>
    <t>Louisville @ Virginia Tech</t>
  </si>
  <si>
    <t>Virginia Tech -5</t>
  </si>
  <si>
    <t>Marist @ Canisius</t>
  </si>
  <si>
    <t>Canisius -4.5</t>
  </si>
  <si>
    <t>Penn state @ Northwestern</t>
  </si>
  <si>
    <t>Northwestern -3.5</t>
  </si>
  <si>
    <t>Under 132</t>
  </si>
  <si>
    <t>Arkansas-Pine Bluff @ Jackson State</t>
  </si>
  <si>
    <t>Over 125</t>
  </si>
  <si>
    <t>Jackson State -4.5</t>
  </si>
  <si>
    <t>Iowa State @ Oklahoma</t>
  </si>
  <si>
    <t>Iowa State -3</t>
  </si>
  <si>
    <t>Iowa State Moneyline</t>
  </si>
  <si>
    <t>Under 144</t>
  </si>
  <si>
    <t>Southern Utah @ Idaho</t>
  </si>
  <si>
    <t>Southern Utah -5</t>
  </si>
  <si>
    <t>Over 146</t>
  </si>
  <si>
    <t>Southern Utah Moneyline</t>
  </si>
  <si>
    <t>Percentage</t>
  </si>
  <si>
    <t>Bucks Moneyline</t>
  </si>
  <si>
    <t>Connecticut @ Temple</t>
  </si>
  <si>
    <t>Connecticut +4</t>
  </si>
  <si>
    <t>Connecticut Moneyline</t>
  </si>
  <si>
    <t>Under 149</t>
  </si>
  <si>
    <t>Bucknell @ Loyola (MD)</t>
  </si>
  <si>
    <t>Bucknell -5</t>
  </si>
  <si>
    <t>Clemson @ Georgia Tech</t>
  </si>
  <si>
    <t>Clemson -3.5</t>
  </si>
  <si>
    <t>Over 127</t>
  </si>
  <si>
    <t>George Mason @ Richmond</t>
  </si>
  <si>
    <t>George Mason -1.5</t>
  </si>
  <si>
    <t>George Mason Moneyline</t>
  </si>
  <si>
    <t>Maryland @ Nebraska</t>
  </si>
  <si>
    <t>Nebraska -1.5</t>
  </si>
  <si>
    <t>Notre Dame @ Miami (FL)</t>
  </si>
  <si>
    <t>Notre Dame +3.5</t>
  </si>
  <si>
    <t>Rhode Island @ Davidson</t>
  </si>
  <si>
    <t>Davidson -5</t>
  </si>
  <si>
    <t>St. Bonaventure @ Duquesne</t>
  </si>
  <si>
    <t>Duquesne -2</t>
  </si>
  <si>
    <t>Wisconsin @ Minnesota</t>
  </si>
  <si>
    <t>Wisconsin -3</t>
  </si>
  <si>
    <t>Wisconsin Moneyline</t>
  </si>
  <si>
    <t>Nuggets @ Nets</t>
  </si>
  <si>
    <t>Nuggets -2</t>
  </si>
  <si>
    <t>Pelicans @ Bulls</t>
  </si>
  <si>
    <t>Pelicans +1</t>
  </si>
  <si>
    <t>PelicansMoneyline</t>
  </si>
  <si>
    <t>Wizards @ Bucks</t>
  </si>
  <si>
    <t>Bucks -12</t>
  </si>
  <si>
    <t>Hornets @ Mavericks</t>
  </si>
  <si>
    <t>Suns @ Jazz</t>
  </si>
  <si>
    <t>Jazz Moneyline</t>
  </si>
  <si>
    <t>Jazz -14.5</t>
  </si>
  <si>
    <t>Rockets @ Kings</t>
  </si>
  <si>
    <t>Spurs @ Warriors</t>
  </si>
  <si>
    <t>Hornets +5.5</t>
  </si>
  <si>
    <t>Clippers @ Pacers</t>
  </si>
  <si>
    <t>Under 216</t>
  </si>
  <si>
    <t>Clippers +6.5</t>
  </si>
  <si>
    <t>Timberwolves @ Magic</t>
  </si>
  <si>
    <t>Timberwolves +2</t>
  </si>
  <si>
    <t>Timberwolves Moneyline</t>
  </si>
  <si>
    <t>Raptors @ Hawks</t>
  </si>
  <si>
    <t>Raptors -8.5</t>
  </si>
  <si>
    <t>Lakers @ Celtics</t>
  </si>
  <si>
    <t>Grizzlies @ Thunder</t>
  </si>
  <si>
    <t>Thunder -14</t>
  </si>
  <si>
    <t>Spurs @ Trailblazers</t>
  </si>
  <si>
    <t>Spurs +6</t>
  </si>
  <si>
    <t>Cavaliers @ Wizards</t>
  </si>
  <si>
    <t>Wizards -9.5</t>
  </si>
  <si>
    <t>Nuggets @ 76ers</t>
  </si>
  <si>
    <t>Nuggets +4</t>
  </si>
  <si>
    <t>Knicks @ Pistons</t>
  </si>
  <si>
    <t>Bulls @ Nets</t>
  </si>
  <si>
    <t>Bucks @ Mavericks</t>
  </si>
  <si>
    <t>Bucks -7.5</t>
  </si>
  <si>
    <t>Warriors @ Suns</t>
  </si>
  <si>
    <t>Timberwolves @ Pelicans</t>
  </si>
  <si>
    <t>Heat @ Kings</t>
  </si>
  <si>
    <t>Kings -3</t>
  </si>
  <si>
    <t>Columbia @ Harvard</t>
  </si>
  <si>
    <t>Over 130</t>
  </si>
  <si>
    <t>Harvard -10.5</t>
  </si>
  <si>
    <t>Cornell @ Dartmouth</t>
  </si>
  <si>
    <t>Over 138</t>
  </si>
  <si>
    <t>Dartmouth -3.5</t>
  </si>
  <si>
    <t>Pennsylvania @ Brown</t>
  </si>
  <si>
    <t>Pennsylvania -1</t>
  </si>
  <si>
    <t>Princeton @ Yale</t>
  </si>
  <si>
    <t>Yale Moneyline</t>
  </si>
  <si>
    <t>Yale -8</t>
  </si>
  <si>
    <t>Quinnipiac @ Iona</t>
  </si>
  <si>
    <t>Quinnipiac +4</t>
  </si>
  <si>
    <t>Saint Louis @ Saint Joseph's</t>
  </si>
  <si>
    <t>Saint Louis -2.5</t>
  </si>
  <si>
    <t>Saint Louis Moneyline</t>
  </si>
  <si>
    <t>Siena @ Manhattan</t>
  </si>
  <si>
    <t>Siena -2.5</t>
  </si>
  <si>
    <t>Over 112</t>
  </si>
  <si>
    <t>Georgia Southern @ Louisiana-Monroe</t>
  </si>
  <si>
    <t>Over 135</t>
  </si>
  <si>
    <t>Georgia State @ Louisiana</t>
  </si>
  <si>
    <t>Georgia State +1</t>
  </si>
  <si>
    <t>Georgia State Moneyline</t>
  </si>
  <si>
    <t>Under 165</t>
  </si>
  <si>
    <t>Kent State @ Akron</t>
  </si>
  <si>
    <t>Akron -4</t>
  </si>
  <si>
    <t>Under 162</t>
  </si>
  <si>
    <t>Georgia Southern Moneyline</t>
  </si>
  <si>
    <t>P</t>
  </si>
  <si>
    <t>San Diego Fleet @ San Antonio Commanders</t>
  </si>
  <si>
    <t>Atlanta Legends @ Orlando Appolos</t>
  </si>
  <si>
    <t>Memphis Express @ Birmingham Iron</t>
  </si>
  <si>
    <t>Salt Lake Stallions @ Arizona Hotshots</t>
  </si>
  <si>
    <t>Over 51.5</t>
  </si>
  <si>
    <t>Hornets @ Pacers</t>
  </si>
  <si>
    <t>Pacers -5.5</t>
  </si>
  <si>
    <t>Knicks @ Cavaliers</t>
  </si>
  <si>
    <t>Wizards @ Pistons</t>
  </si>
  <si>
    <t>Mavericks @ Rockets</t>
  </si>
  <si>
    <t>Rockets -10</t>
  </si>
  <si>
    <t>Over 221</t>
  </si>
  <si>
    <t>Hornets @ Pacers
Knicks @ Cavaliers
Nets @ Raptors
Mavericks @ Rockets</t>
  </si>
  <si>
    <t>Pacers Moneyline
Over 209
Under 227
Rockets Moneyline</t>
  </si>
  <si>
    <t>Lehigh @ Bucknell</t>
  </si>
  <si>
    <t>Lehigh +4.5</t>
  </si>
  <si>
    <t>Over 160</t>
  </si>
  <si>
    <t>Virginia @ North Carolina</t>
  </si>
  <si>
    <t>North Carolina Moneyline</t>
  </si>
  <si>
    <t>North Carolina +1</t>
  </si>
  <si>
    <t>Howard @ Bethune-Cookman</t>
  </si>
  <si>
    <t>Howard +4.5</t>
  </si>
  <si>
    <t>Grambling @ Alcorn State</t>
  </si>
  <si>
    <t>Kansas @ Texas Christian</t>
  </si>
  <si>
    <t>Kansas +2</t>
  </si>
  <si>
    <t>Over 149</t>
  </si>
  <si>
    <t>Portland State @ Sacramento State</t>
  </si>
  <si>
    <t>Portland State +4</t>
  </si>
  <si>
    <t>Nets @ Cavaliers</t>
  </si>
  <si>
    <t>Bucks @ Pacers</t>
  </si>
  <si>
    <t>Bucks -3.5</t>
  </si>
  <si>
    <t>Pistons @ Celtics</t>
  </si>
  <si>
    <t>Celtics -5</t>
  </si>
  <si>
    <t>76ers @ Knicks</t>
  </si>
  <si>
    <t>Wizards @ Raptors</t>
  </si>
  <si>
    <t>Raptors -11</t>
  </si>
  <si>
    <t>Grizzlies @ Bulls</t>
  </si>
  <si>
    <t>Grizzlies +2.5</t>
  </si>
  <si>
    <t>Grizzlies Moneyline</t>
  </si>
  <si>
    <t>Rockets @ Timberwolves</t>
  </si>
  <si>
    <t>Rockets -3</t>
  </si>
  <si>
    <t>Heat @ Mavericks</t>
  </si>
  <si>
    <t>Mavericks -3</t>
  </si>
  <si>
    <t>Kings @ Nuggets</t>
  </si>
  <si>
    <t>Warriors @ Trailblazers</t>
  </si>
  <si>
    <t>Pistons @ Celtics
Wizards @ Raptors
Wizards @ Raptors
Kings @ Nuggets
Suns @ Clippers</t>
  </si>
  <si>
    <t>Celtics -5
Raptors Moneyline
Under 233
Under 231
Clippers Moneyline</t>
  </si>
  <si>
    <t>Kent State @ Western Michigan</t>
  </si>
  <si>
    <t>Under 150</t>
  </si>
  <si>
    <t>Drexel @ James Madison</t>
  </si>
  <si>
    <t>Drexel +1</t>
  </si>
  <si>
    <t>Over 147</t>
  </si>
  <si>
    <t>Drexel Moneyline</t>
  </si>
  <si>
    <t>Illinois-Chicago @ Cleveland State</t>
  </si>
  <si>
    <t>Robert Morris @ Mount St. Mary's</t>
  </si>
  <si>
    <t>Over 134</t>
  </si>
  <si>
    <t>South Dakota State @ Omaha</t>
  </si>
  <si>
    <t>South Dakota State -3.5</t>
  </si>
  <si>
    <t>Over 165</t>
  </si>
  <si>
    <t>Murray State @ Austin Peay</t>
  </si>
  <si>
    <t>Over 156</t>
  </si>
  <si>
    <t>Virginia @ Virginia Tech</t>
  </si>
  <si>
    <t>North Carolina Central @ Howard</t>
  </si>
  <si>
    <t>Illinois @ Wisconsin</t>
  </si>
  <si>
    <t>Illinois +9.5</t>
  </si>
  <si>
    <t>Texas Southern @ Jackson State</t>
  </si>
  <si>
    <t>Texas Southern -4.5</t>
  </si>
  <si>
    <t>Texas Southern Moneyline</t>
  </si>
  <si>
    <t>Texas Christian @ Oklahoma State</t>
  </si>
  <si>
    <t>Texas Christian -3</t>
  </si>
  <si>
    <t>Dayton @ Davidson</t>
  </si>
  <si>
    <t>Dayton +3.5</t>
  </si>
  <si>
    <t>Akron @ Bowling Green State</t>
  </si>
  <si>
    <t>Mississippi @ South Carolina</t>
  </si>
  <si>
    <t>Mississippi -2.5</t>
  </si>
  <si>
    <t>Bradley @ Drake</t>
  </si>
  <si>
    <t>Drake Moneyline</t>
  </si>
  <si>
    <t>Drake -4</t>
  </si>
  <si>
    <t>Maryland @ Iowa</t>
  </si>
  <si>
    <t>Nevada-Las Vegas @ Wyoming</t>
  </si>
  <si>
    <t>Iowa -2</t>
  </si>
  <si>
    <t>Dayton +3.5
Over 133
Over 135
Over 143
Drake -4</t>
  </si>
  <si>
    <t>Dayton @ Davidson
Dayton @ Davidson
Akron @ Bowling Green State
Bradley @ Drake
Bradley @ Drake</t>
  </si>
  <si>
    <t>Villanova @ Georgetown</t>
  </si>
  <si>
    <t>Georgetown +5.5</t>
  </si>
  <si>
    <t>American @ Lafayette</t>
  </si>
  <si>
    <t>Fordham @ Richmond</t>
  </si>
  <si>
    <t>Xavier @ Seton Hall</t>
  </si>
  <si>
    <t>Butler @ Marquette</t>
  </si>
  <si>
    <t>Pittsburgh @ Georgia Tech</t>
  </si>
  <si>
    <t>Pittsburgh +2</t>
  </si>
  <si>
    <t>Over 128</t>
  </si>
  <si>
    <t>Colorado @ Washington State</t>
  </si>
  <si>
    <t>Washington State +4</t>
  </si>
  <si>
    <t>Villanova @ Georgetown
Fordham @ Richmond
Xavier @ Seton Hall
Butler @ Marquette
Pittsburgh @ Georgia Tech
Colorado @ Washington State</t>
  </si>
  <si>
    <t>Georgetown +5.5
Over 136
Over 141
Over 145
Over 128
Over 146</t>
  </si>
  <si>
    <t>Parlay</t>
  </si>
  <si>
    <t>Favorite ML</t>
  </si>
  <si>
    <t>Dog ML</t>
  </si>
  <si>
    <t>MF</t>
  </si>
  <si>
    <t>MD</t>
  </si>
  <si>
    <t>Michigan @ Minnesota</t>
  </si>
  <si>
    <t>Over 132</t>
  </si>
  <si>
    <t>Louisiana-Monroe @ Texas State</t>
  </si>
  <si>
    <t>Louisiana-Monroe +5</t>
  </si>
  <si>
    <t>Eastern Washington @ Southern Utah</t>
  </si>
  <si>
    <t>Southern Utah -2.5</t>
  </si>
  <si>
    <t>Connecticut @ Southern Methodist</t>
  </si>
  <si>
    <t>Connecticut +6.5</t>
  </si>
  <si>
    <t>San Francisco @ Brigham Young</t>
  </si>
  <si>
    <t>Over 148</t>
  </si>
  <si>
    <t>Idaho State @ Portland State</t>
  </si>
  <si>
    <t>Idaho State +6</t>
  </si>
  <si>
    <t>Weber State @ Sacramento State</t>
  </si>
  <si>
    <t>Weber State -2</t>
  </si>
  <si>
    <t>Hawaii @ UC-Santa Barbara</t>
  </si>
  <si>
    <t>Hawaii +3.5</t>
  </si>
  <si>
    <t>Oregon State @ UCLA</t>
  </si>
  <si>
    <t>Over 153</t>
  </si>
  <si>
    <t>Louisiana-Monroe @ Texas State
Connecticut @ Southern Methodist
Weber State @ Sacramento State
Weber State @ Sacramento State
Hawaii @ UC-Santa Barbara</t>
  </si>
  <si>
    <t>Over 142
Connecticut +6.5
Weber State -2
Over 145
Over 134</t>
  </si>
  <si>
    <t>Suns @ Cavaliers</t>
  </si>
  <si>
    <t>Celtics @ Bucks</t>
  </si>
  <si>
    <t>Rockets @ Lakers</t>
  </si>
  <si>
    <t>Lakers +3</t>
  </si>
  <si>
    <t>Kings @ Warriors</t>
  </si>
  <si>
    <t>Kings +12.5</t>
  </si>
  <si>
    <t>Cavaliers +0</t>
  </si>
  <si>
    <t>Trailblazers @ Nets</t>
  </si>
  <si>
    <t>Over 239</t>
  </si>
  <si>
    <t>Bowling Green State @ Ohio</t>
  </si>
  <si>
    <t>Bowling Green State -4.5</t>
  </si>
  <si>
    <t>Harvard @ Brown</t>
  </si>
  <si>
    <t>Iona @ Manhattan</t>
  </si>
  <si>
    <t>Saint Peter's @ Marist</t>
  </si>
  <si>
    <t>Cornell @ Princeton</t>
  </si>
  <si>
    <t>Cornell +7</t>
  </si>
  <si>
    <t>Green Bay @ Illinois-Chicago</t>
  </si>
  <si>
    <t>Green Bay +4.5</t>
  </si>
  <si>
    <t>Under 159</t>
  </si>
  <si>
    <t>Indiana @ Iowa</t>
  </si>
  <si>
    <t>Indiana +7.5</t>
  </si>
  <si>
    <t>Bulls @ Magic</t>
  </si>
  <si>
    <t>Bulls +8</t>
  </si>
  <si>
    <t>Pelicans @ Pacers</t>
  </si>
  <si>
    <t>Pacers -6.5</t>
  </si>
  <si>
    <t>Spurs @ Raptors</t>
  </si>
  <si>
    <t>Wizards @ Hornets</t>
  </si>
  <si>
    <t>Hornets -5</t>
  </si>
  <si>
    <t>Timberwolves @ Knicks</t>
  </si>
  <si>
    <t>Clippers @ Grizzlies</t>
  </si>
  <si>
    <t>Jazz @ Thunder</t>
  </si>
  <si>
    <t>Jazz +4.5</t>
  </si>
  <si>
    <t>Bulls @ Magic
Spurs @ Raptors
Timberwolves @ Knicks
Jazz @ Thunder</t>
  </si>
  <si>
    <t>Bulls +8
Under 227
Over 221
Jazz +4.5</t>
  </si>
  <si>
    <t>Cash Flow</t>
  </si>
  <si>
    <t>Type</t>
  </si>
  <si>
    <t>Hit F9 to Caculate Odds</t>
  </si>
  <si>
    <t>Individual Lines</t>
  </si>
  <si>
    <t>Duke @ Virginia Tech</t>
  </si>
  <si>
    <t>Duke -4</t>
  </si>
  <si>
    <t>Iowa @ Ohio State</t>
  </si>
  <si>
    <t>Iowa +3</t>
  </si>
  <si>
    <t>Syracuse @ North Carolina</t>
  </si>
  <si>
    <t>Texas A&amp;M @ Louisiana State</t>
  </si>
  <si>
    <t>Wisconsin @ Indiana</t>
  </si>
  <si>
    <t>Wisconsin -1.5</t>
  </si>
  <si>
    <t>Over 124</t>
  </si>
  <si>
    <t>Magic @ Knicks</t>
  </si>
  <si>
    <t>Knicks +7.5</t>
  </si>
  <si>
    <t>Celtics @ Raptors</t>
  </si>
  <si>
    <t>Thunder @ Nuggets</t>
  </si>
  <si>
    <t>Under 238</t>
  </si>
  <si>
    <t>Nuggets -3</t>
  </si>
  <si>
    <t>Rockets @ Hornets</t>
  </si>
  <si>
    <t>Hornets +5</t>
  </si>
  <si>
    <t>Warriors @ Heat</t>
  </si>
  <si>
    <t>Heat +9</t>
  </si>
  <si>
    <t>Timberwolves @ Hawks</t>
  </si>
  <si>
    <t>Under 237</t>
  </si>
  <si>
    <t>Trailblazers @ Celtics</t>
  </si>
  <si>
    <t>Wizards @ Nets</t>
  </si>
  <si>
    <t>Nets -5.5</t>
  </si>
  <si>
    <t>Bulls @ Grizzlies</t>
  </si>
  <si>
    <t>Grizzlies -3</t>
  </si>
  <si>
    <t>Pistons @ Spurs</t>
  </si>
  <si>
    <t>Pacers @ Mavericks</t>
  </si>
  <si>
    <t>Mavericks +1</t>
  </si>
  <si>
    <t>Clippers @ Jazz</t>
  </si>
  <si>
    <t>Bucks @ Kings</t>
  </si>
  <si>
    <t>Timberwolves @ Pacers</t>
  </si>
  <si>
    <t>Pacers -3.5</t>
  </si>
  <si>
    <t>Cavaliers @ Knicks</t>
  </si>
  <si>
    <t>Knicks -3</t>
  </si>
  <si>
    <t>Heat @ Rockets</t>
  </si>
  <si>
    <t>Heat +9.5</t>
  </si>
  <si>
    <t>Jazz @ Nuggets</t>
  </si>
  <si>
    <t>Jazz +7</t>
  </si>
  <si>
    <t>76ers @ Thunder</t>
  </si>
  <si>
    <t>Robert Morris @ Sacred Heart</t>
  </si>
  <si>
    <t>Connecticut @ Wichita State</t>
  </si>
  <si>
    <t>Connecticut +4.5</t>
  </si>
  <si>
    <t>Hofstra @ Drexel</t>
  </si>
  <si>
    <t>Hofstra -7</t>
  </si>
  <si>
    <t>Mercer @ VMI</t>
  </si>
  <si>
    <t>Mercer -5</t>
  </si>
  <si>
    <t>Northeastern @ Delaware</t>
  </si>
  <si>
    <t>Northeastern -4.5</t>
  </si>
  <si>
    <t>Wofford @ Chattanooga</t>
  </si>
  <si>
    <t>Wofford -13</t>
  </si>
  <si>
    <t>Coastal Carolina @ Louisiana</t>
  </si>
  <si>
    <t>Coastal Carolina +4.5</t>
  </si>
  <si>
    <t>Arizona State @ Oregon</t>
  </si>
  <si>
    <t>Arizona State +3</t>
  </si>
  <si>
    <t>Western Illinois @ Denver</t>
  </si>
  <si>
    <t>Western Illinois +3</t>
  </si>
  <si>
    <t>Mavericks @ Nets</t>
  </si>
  <si>
    <t>Nuggets @ Spurs</t>
  </si>
  <si>
    <t>Pelicans @ Jazz</t>
  </si>
  <si>
    <t>Knicks @ Kings</t>
  </si>
  <si>
    <t>Knicks +11.5</t>
  </si>
  <si>
    <t>Clippers @ Lakers</t>
  </si>
  <si>
    <t>Bulls @ Pacers</t>
  </si>
  <si>
    <t>Magic @ 76ers</t>
  </si>
  <si>
    <t>76ers -3.5</t>
  </si>
  <si>
    <t>Rockets @ Raptors</t>
  </si>
  <si>
    <t>Raptors -3</t>
  </si>
  <si>
    <t>Thunder @ Timberwolves</t>
  </si>
  <si>
    <t>Thunder +1</t>
  </si>
  <si>
    <t>Trailblazers @ Grizzlies</t>
  </si>
  <si>
    <t>Grizzlies +6</t>
  </si>
  <si>
    <t>Celtics @ Warriors</t>
  </si>
  <si>
    <t>Celtics +8</t>
  </si>
  <si>
    <t>Xavier @ Butler</t>
  </si>
  <si>
    <t>Xavier +4</t>
  </si>
  <si>
    <t>Bowling Green State @ Akron</t>
  </si>
  <si>
    <t>Virginia Tech @ Florida State</t>
  </si>
  <si>
    <t>Miami (FL) @ Pittsburgh</t>
  </si>
  <si>
    <t>Pittsburgh +6</t>
  </si>
  <si>
    <t>Auburn @ Alabama</t>
  </si>
  <si>
    <t>Auburn -2.5</t>
  </si>
  <si>
    <t>Kentucky @ Mississippi</t>
  </si>
  <si>
    <t>Kentucky -5</t>
  </si>
  <si>
    <t>Utah State @ Colorado State</t>
  </si>
  <si>
    <t>Utah State -7.5</t>
  </si>
  <si>
    <t>Mavericks @ Wizards</t>
  </si>
  <si>
    <t>Mavericks +6.5</t>
  </si>
  <si>
    <t>Heat @ Hornets</t>
  </si>
  <si>
    <t>Heat +3.5</t>
  </si>
  <si>
    <t>Timberwolves @ Pistons</t>
  </si>
  <si>
    <t>Pistons -5.5</t>
  </si>
  <si>
    <t>76ers @ Bulls</t>
  </si>
  <si>
    <t>Jazz @ Pelicans</t>
  </si>
  <si>
    <t>Knicks @ Suns</t>
  </si>
  <si>
    <t>Knicks +4</t>
  </si>
  <si>
    <t>Celtics @ Kings</t>
  </si>
  <si>
    <t>Celtics -2</t>
  </si>
  <si>
    <t>Nuggets @ Lakers</t>
  </si>
  <si>
    <t>Mavericks @ Wizards
Knicks @ Suns
Celtics @ Kings
Nuggets @ Lakers</t>
  </si>
  <si>
    <t>Mavericks +6.5
Knicks +4
Under 228
Under 229</t>
  </si>
  <si>
    <t>Long Island University @ Sacred Heart</t>
  </si>
  <si>
    <t>Long Island University +4.5</t>
  </si>
  <si>
    <t>Marquette @ Seton Hall</t>
  </si>
  <si>
    <t>Marquette -3</t>
  </si>
  <si>
    <t>Missouri @ Georgia</t>
  </si>
  <si>
    <t>Missouri +4</t>
  </si>
  <si>
    <t>Bryant @ Saint Francis (PA)</t>
  </si>
  <si>
    <t>Bryant +8.5</t>
  </si>
  <si>
    <t>Over 152</t>
  </si>
  <si>
    <t>George Washington @ Fordham</t>
  </si>
  <si>
    <t>George Washington +4.5</t>
  </si>
  <si>
    <t>Iowa State @ West Virginia</t>
  </si>
  <si>
    <t>Iowa State -5.5</t>
  </si>
  <si>
    <t>Under 146</t>
  </si>
  <si>
    <t>Southern Mississippi @ Old Dominion</t>
  </si>
  <si>
    <t>Southern Mississippi +6</t>
  </si>
  <si>
    <t>St. Bonaventure @ Davidson</t>
  </si>
  <si>
    <t>Oregon @ Washington State</t>
  </si>
  <si>
    <t>Oregon -6.5</t>
  </si>
  <si>
    <t>Oregon Moneyline</t>
  </si>
  <si>
    <t>Marquette -3
Saint Francis (PA) Moneyline
Iowa State -5.5
Davidson Moneyline
Creighton Moneyline
Oregon -6.5</t>
  </si>
  <si>
    <t>Marquette @ Seton Hall
Bryant @ Saint Francis (PA)
Iowa State @ West Virginia
St. Bonaventure @ Davidson
Providence @ Creighton
Oregon @ Washington State</t>
  </si>
  <si>
    <t>Cavaliers @ 76ers</t>
  </si>
  <si>
    <t>Cavaliers +15</t>
  </si>
  <si>
    <t>Knicks @ Pacers</t>
  </si>
  <si>
    <t>Bucks @ Pelicans</t>
  </si>
  <si>
    <t>Pelicans +11</t>
  </si>
  <si>
    <t>Mavericks +4.5</t>
  </si>
  <si>
    <t>Timberwolves @ Nuggets</t>
  </si>
  <si>
    <t>Nuggets -9</t>
  </si>
  <si>
    <t>Bucks @ Pelicans
Bucks @ Pelicans
Spurs @ Mavericks
Timberwolves @ Nuggets
Timberwolves @ Nuggets</t>
  </si>
  <si>
    <t>Pelicans +11
Under 236
Mavericks +4.5
Nuggets -9
Under 229</t>
  </si>
  <si>
    <t>Magic @ Wizards</t>
  </si>
  <si>
    <t>Magic +2</t>
  </si>
  <si>
    <t>Nets @ Thunder</t>
  </si>
  <si>
    <t>Nets +7</t>
  </si>
  <si>
    <t>Pistons @ Heat</t>
  </si>
  <si>
    <t>Heat -1.5</t>
  </si>
  <si>
    <t>Warriors @ Rockets</t>
  </si>
  <si>
    <t>Warriors +3.5</t>
  </si>
  <si>
    <t>Jazz @ Suns</t>
  </si>
  <si>
    <t>Suns +8.5</t>
  </si>
  <si>
    <t>Jazz @ Suns
Warriors @ Rockets
Magic @ Wizards
Nets @ Thunder
Nets @ Thunder</t>
  </si>
  <si>
    <t>Jazz Moneyline
Warriors +3.5
Under 227
Under 232
Nets +7</t>
  </si>
  <si>
    <t>Cavaliers @ Magic</t>
  </si>
  <si>
    <t>Magic Moneyline</t>
  </si>
  <si>
    <t>Thunder @ Pacers</t>
  </si>
  <si>
    <t>Pacers -1</t>
  </si>
  <si>
    <t>Kings @ Celtics</t>
  </si>
  <si>
    <t>Celtics Moneyline</t>
  </si>
  <si>
    <t>Lakers @ Raptors</t>
  </si>
  <si>
    <t>Timberwolves @ Jazz</t>
  </si>
  <si>
    <t>Jazz -8</t>
  </si>
  <si>
    <t>Hornets @ Wizards</t>
  </si>
  <si>
    <t>Lakers @ Pistons</t>
  </si>
  <si>
    <t>Lakers +11</t>
  </si>
  <si>
    <t>Heat +5</t>
  </si>
  <si>
    <t>Trailblazers @ Pelicans</t>
  </si>
  <si>
    <t>Pelicans +7.5</t>
  </si>
  <si>
    <t>Knicks @ Spurs</t>
  </si>
  <si>
    <t>Knicks +13.5</t>
  </si>
  <si>
    <t>Bulls @ Clippers</t>
  </si>
  <si>
    <t>Bulls +9</t>
  </si>
  <si>
    <t>Maryland @ LSU</t>
  </si>
  <si>
    <t>Wofford @ Kentucky</t>
  </si>
  <si>
    <t>Wofford Moneyline</t>
  </si>
  <si>
    <t>Florida @ Michigan</t>
  </si>
  <si>
    <t>Michigan -6</t>
  </si>
  <si>
    <t>Murray State @ Florida State</t>
  </si>
  <si>
    <t>Florida State -4.5</t>
  </si>
  <si>
    <t>Villanova @ Purdue</t>
  </si>
  <si>
    <t>Purdue -3.5</t>
  </si>
  <si>
    <t>Minnesota @ Michigan State</t>
  </si>
  <si>
    <t>Minnesota +10.5</t>
  </si>
  <si>
    <t>Iowa @ Tennessee</t>
  </si>
  <si>
    <t>Iowa +8</t>
  </si>
  <si>
    <t>Washington @ North Carolina</t>
  </si>
  <si>
    <t>Washington +12</t>
  </si>
  <si>
    <t>Buffaloa @ Texas Tech</t>
  </si>
  <si>
    <t>Texas Tech -3.5</t>
  </si>
  <si>
    <t>Liberty @ Virginia Tech</t>
  </si>
  <si>
    <t>Virginia Tech -8.5</t>
  </si>
  <si>
    <t>Central Florida @ Duke</t>
  </si>
  <si>
    <t>Duke -13.5</t>
  </si>
  <si>
    <t>Oklahoma @ Virginia</t>
  </si>
  <si>
    <t>Oklahoma +10.5</t>
  </si>
  <si>
    <t>Cal Irvine @ Oregon</t>
  </si>
  <si>
    <t>Cal Irvine +5</t>
  </si>
  <si>
    <t>Under 127</t>
  </si>
  <si>
    <t>Magic</t>
  </si>
  <si>
    <t>76ers @ Magic</t>
  </si>
  <si>
    <t>Thunder @ Grizzlies</t>
  </si>
  <si>
    <t>Grizzlies +7</t>
  </si>
  <si>
    <t>Suns +15</t>
  </si>
  <si>
    <t>Nets @ Trailblazers</t>
  </si>
  <si>
    <t>Nets +6.5</t>
  </si>
  <si>
    <t>Celtics @ Cavaliers</t>
  </si>
  <si>
    <t>Spurs @ Hornets</t>
  </si>
  <si>
    <t>Hornets +4</t>
  </si>
  <si>
    <t>Magic @ Heat</t>
  </si>
  <si>
    <t>Over 205</t>
  </si>
  <si>
    <t>Heat -4.5</t>
  </si>
  <si>
    <t>Rockets @ Bucks</t>
  </si>
  <si>
    <t>Clippers @ Timberwolves</t>
  </si>
  <si>
    <t>Kings @ Mavericks</t>
  </si>
  <si>
    <t>Mavericks +1.5</t>
  </si>
  <si>
    <t>Wizards @ Lakers</t>
  </si>
  <si>
    <t>Lakers -2</t>
  </si>
  <si>
    <t>Pacers</t>
  </si>
  <si>
    <t>Warriors @ Grizzlies</t>
  </si>
  <si>
    <t>Grizzlies +10.5</t>
  </si>
  <si>
    <t>Pacers @ Thunder</t>
  </si>
  <si>
    <t>Over 217</t>
  </si>
  <si>
    <t>Trailblazers @ Bulls</t>
  </si>
  <si>
    <t>Mavericks @ Heat</t>
  </si>
  <si>
    <t>Raptors @ Knicks</t>
  </si>
  <si>
    <t>Clippers @ Bucks</t>
  </si>
  <si>
    <t>Florida State @ Gonzaga</t>
  </si>
  <si>
    <t>Gonzaga -7</t>
  </si>
  <si>
    <t>Texas Tech @ Michigan</t>
  </si>
  <si>
    <t>Michigan -2</t>
  </si>
  <si>
    <t>Lousiana State @ Michigan State</t>
  </si>
  <si>
    <t>Michigan State -6.5</t>
  </si>
  <si>
    <t>Auburn @ North Carolina</t>
  </si>
  <si>
    <t>Houston @ Kentucky</t>
  </si>
  <si>
    <t>Houston +2</t>
  </si>
  <si>
    <t>Texas Tech @ Gonzaga</t>
  </si>
  <si>
    <t>Texas Tech +4.5</t>
  </si>
  <si>
    <t>Purdue @ Virginia</t>
  </si>
  <si>
    <t>Virginia -4.5</t>
  </si>
  <si>
    <t>Auburn @ Kentucky</t>
  </si>
  <si>
    <t>Auburn +4.5</t>
  </si>
  <si>
    <t>Auburn @ Kentucky
Auburn @ Kentucky</t>
  </si>
  <si>
    <t>Auburn +4.5
Over 143</t>
  </si>
  <si>
    <t>Michigan State @ Duke</t>
  </si>
  <si>
    <t>Duke -2.5</t>
  </si>
  <si>
    <t>Sport</t>
  </si>
  <si>
    <t>Rams @ Patriots
Rams @ Patriots</t>
  </si>
  <si>
    <t>Under 56
Rams +3</t>
  </si>
  <si>
    <t>Golf</t>
  </si>
  <si>
    <t>AAF</t>
  </si>
  <si>
    <t>Lakers +12.5</t>
  </si>
  <si>
    <t>Nuggets @ Warriors</t>
  </si>
  <si>
    <t>Nuggets +8</t>
  </si>
  <si>
    <t>MLB</t>
  </si>
  <si>
    <t>Brewers Moneyline</t>
  </si>
  <si>
    <t>Bulls @ Wizards</t>
  </si>
  <si>
    <t xml:space="preserve"> Bulls +10</t>
  </si>
  <si>
    <t>Pacers @ Pistons</t>
  </si>
  <si>
    <t>Knicks @ Magic</t>
  </si>
  <si>
    <t>Knicks +12.5</t>
  </si>
  <si>
    <t>76ers @ Hawks</t>
  </si>
  <si>
    <t>Timberwolves @ Mavericks</t>
  </si>
  <si>
    <t>Mavericks -2.5</t>
  </si>
  <si>
    <t>Suns +10.5</t>
  </si>
  <si>
    <t>Rockets @ Clippers</t>
  </si>
  <si>
    <t>Rockets -1.5</t>
  </si>
  <si>
    <t>Celtics</t>
  </si>
  <si>
    <t>Raptors</t>
  </si>
  <si>
    <t>+2.5</t>
  </si>
  <si>
    <t>Trailblazers</t>
  </si>
  <si>
    <t>Auburn @ Virginia</t>
  </si>
  <si>
    <t>Virginia -6</t>
  </si>
  <si>
    <t>Under 133</t>
  </si>
  <si>
    <t>Texas Tech @ Michigan State</t>
  </si>
  <si>
    <t>Texas Tech +2.5</t>
  </si>
  <si>
    <t>Texas Tech @ Virginia</t>
  </si>
  <si>
    <t>Virginia -1</t>
  </si>
  <si>
    <t>NHL</t>
  </si>
  <si>
    <t>Penguins @ Islanders</t>
  </si>
  <si>
    <t>Over 5.5</t>
  </si>
  <si>
    <t>Penguins Moneyline (LB)</t>
  </si>
  <si>
    <t>Nets @ 76ers</t>
  </si>
  <si>
    <t>Over 225.5</t>
  </si>
  <si>
    <t>Clippers @ Warriors</t>
  </si>
  <si>
    <t>Clippers +13.5</t>
  </si>
  <si>
    <t>Over 234</t>
  </si>
  <si>
    <t>Penguins +2 (LB)</t>
  </si>
  <si>
    <t>North Carolina +9.5 (LB)</t>
  </si>
  <si>
    <t>Month</t>
  </si>
  <si>
    <t>Net</t>
  </si>
  <si>
    <t>Lakers +10.5</t>
  </si>
  <si>
    <t>Pacers Moneyline</t>
  </si>
  <si>
    <t>Spurs @ Nuggets</t>
  </si>
  <si>
    <t>Over 208.5</t>
  </si>
  <si>
    <t>Over 223</t>
  </si>
  <si>
    <t>76ers @ Nets</t>
  </si>
  <si>
    <t>Under 229.5</t>
  </si>
  <si>
    <t>Under 233.5</t>
  </si>
  <si>
    <t>Warriors -9</t>
  </si>
  <si>
    <t>Thunder</t>
  </si>
  <si>
    <t>+7.5</t>
  </si>
  <si>
    <t>Raptors @ Magic</t>
  </si>
  <si>
    <t>Over 210.5</t>
  </si>
  <si>
    <t>Celtics @ Pacers</t>
  </si>
  <si>
    <t>Over 204</t>
  </si>
  <si>
    <t>Trailblazers @ Thunder</t>
  </si>
  <si>
    <t>Trailblazers +7.5</t>
  </si>
  <si>
    <t>Magic +5.5</t>
  </si>
  <si>
    <t>Marlins @ Phillies</t>
  </si>
  <si>
    <t>Phillies Moneyline</t>
  </si>
  <si>
    <t>Rockies @ Braves</t>
  </si>
  <si>
    <t>Braves Moneyline</t>
  </si>
  <si>
    <t>Indians @ Astros</t>
  </si>
  <si>
    <t>Astros Moneyline</t>
  </si>
  <si>
    <t>Reds @ Cardinals</t>
  </si>
  <si>
    <t>Cardinals Moneyline</t>
  </si>
  <si>
    <t>Rangers @ Mariners</t>
  </si>
  <si>
    <t>Mariners Moneyline</t>
  </si>
  <si>
    <t>Yankees @ Giants</t>
  </si>
  <si>
    <t>Yankees Moneyline</t>
  </si>
  <si>
    <t>Padres @ Nationals</t>
  </si>
  <si>
    <t>Over 7</t>
  </si>
  <si>
    <t>Brewers @ Mets</t>
  </si>
  <si>
    <t>Over 7.5</t>
  </si>
  <si>
    <t>Orioles @ Twins</t>
  </si>
  <si>
    <t>Over 9</t>
  </si>
  <si>
    <t>Cardinals @ Nationals</t>
  </si>
  <si>
    <t>Nationals Moneyline</t>
  </si>
  <si>
    <t>+140</t>
  </si>
  <si>
    <t>Athletics @ Red Sox</t>
  </si>
  <si>
    <t>Athletics Moneyline</t>
  </si>
  <si>
    <t>Padres @ Braves</t>
  </si>
  <si>
    <t>+120</t>
  </si>
  <si>
    <t>Rockies @ Brewers</t>
  </si>
  <si>
    <t>+165</t>
  </si>
  <si>
    <t>Rays @ Royals</t>
  </si>
  <si>
    <t>Rays Moneyline</t>
  </si>
  <si>
    <t>+115</t>
  </si>
  <si>
    <t>Dodgers @ Giants</t>
  </si>
  <si>
    <t>Dodgers Moneyline</t>
  </si>
  <si>
    <t>+110</t>
  </si>
  <si>
    <t>Over 8.5</t>
  </si>
  <si>
    <t>Reds @ Mets</t>
  </si>
  <si>
    <t>Over 8</t>
  </si>
  <si>
    <t>Under 9</t>
  </si>
  <si>
    <t>Reds Moneyline</t>
  </si>
  <si>
    <t>+130</t>
  </si>
  <si>
    <t>Indians @ Marlins</t>
  </si>
  <si>
    <t>Marlins Moneyline</t>
  </si>
  <si>
    <t>Astros @ Twins</t>
  </si>
  <si>
    <t>Yankees @ Diamondbacks</t>
  </si>
  <si>
    <t>Orioles @ White Sox</t>
  </si>
  <si>
    <t>Cubs @ Mariners</t>
  </si>
  <si>
    <t>Over 6.5</t>
  </si>
  <si>
    <t>Tigers @ Phillies</t>
  </si>
  <si>
    <t>Blue Jays @ Angels</t>
  </si>
  <si>
    <t>Under 8.5</t>
  </si>
  <si>
    <t>Rays @ Royals
Rays @ Royals
Cardinals @ Nationals
Blue Jays @ Angels</t>
  </si>
  <si>
    <t>Rays Moneyline
Over 8
Over 9
Under 9</t>
  </si>
  <si>
    <t>White Sox @ Indians</t>
  </si>
  <si>
    <t>Indians Moneyline</t>
  </si>
  <si>
    <t>Rangers @ Pirates</t>
  </si>
  <si>
    <t>Rangers Moneyline</t>
  </si>
  <si>
    <t>+117</t>
  </si>
  <si>
    <t>Twins @ Blue Jays</t>
  </si>
  <si>
    <t>Twins Moneyline</t>
  </si>
  <si>
    <t>Diamondbacks @ Rays</t>
  </si>
  <si>
    <t>Diamondbacks Moneyline</t>
  </si>
  <si>
    <t>Nationals @ Brewers</t>
  </si>
  <si>
    <t>Marlins @ Cubs</t>
  </si>
  <si>
    <t>Cubs Moneyline</t>
  </si>
  <si>
    <t>Reds @ Athletics</t>
  </si>
  <si>
    <t>Mets @ Padres</t>
  </si>
  <si>
    <t>Padres Moneyline</t>
  </si>
  <si>
    <t>+135</t>
  </si>
  <si>
    <t>Phillies @ Cardinals</t>
  </si>
  <si>
    <t>Royals @ Astros</t>
  </si>
  <si>
    <t>Giants @ Rockies</t>
  </si>
  <si>
    <t>Under 10.5</t>
  </si>
  <si>
    <t>+136</t>
  </si>
  <si>
    <t>Red Sox @ Orioles</t>
  </si>
  <si>
    <t>Red Sox Moneyline</t>
  </si>
  <si>
    <t>Braves @ Dodgers</t>
  </si>
  <si>
    <t>Under 10</t>
  </si>
  <si>
    <t>Pirates @ Cardinals</t>
  </si>
  <si>
    <t>Pirates Moneyline</t>
  </si>
  <si>
    <t>Braves @ Diamondbacks</t>
  </si>
  <si>
    <t>Nationals @ Dodgers</t>
  </si>
  <si>
    <t>Mariners @ Yankees</t>
  </si>
  <si>
    <t>Over 9.5</t>
  </si>
  <si>
    <t>Mariners @ Red Sox</t>
  </si>
  <si>
    <t>Tigers @ Twins</t>
  </si>
  <si>
    <t>Phillies @ Royals</t>
  </si>
  <si>
    <t>Indians @ Athletics</t>
  </si>
  <si>
    <t>Reds @ Giants</t>
  </si>
  <si>
    <t>Brewers @ Cubs</t>
  </si>
  <si>
    <t>Rangers @ Astros</t>
  </si>
  <si>
    <t>Padres @ Rockies</t>
  </si>
  <si>
    <t>+125</t>
  </si>
  <si>
    <t>Brewers @ Phillies</t>
  </si>
  <si>
    <t>Astros @ Tigers</t>
  </si>
  <si>
    <t>Angels @ Twins</t>
  </si>
  <si>
    <t>Indians @ White Sox</t>
  </si>
  <si>
    <t>Pirates @ Diamondbacks</t>
  </si>
  <si>
    <t>Athletics @ Mariners</t>
  </si>
  <si>
    <t>Cubs @ Reds</t>
  </si>
  <si>
    <t>Mets @ Nationals</t>
  </si>
  <si>
    <t>Rockies @ Red Sox</t>
  </si>
  <si>
    <t>Rays @ Marlins</t>
  </si>
  <si>
    <t>Cardinals @ Braves</t>
  </si>
  <si>
    <t>Rockies Moneyline</t>
  </si>
  <si>
    <t>+133</t>
  </si>
  <si>
    <t>Rangers @ Royals</t>
  </si>
  <si>
    <t>Athletics @ Tigers</t>
  </si>
  <si>
    <t>Twins @ Mariners</t>
  </si>
  <si>
    <t>Pirates @ Padres</t>
  </si>
  <si>
    <t>Rockies @ Phillies</t>
  </si>
  <si>
    <t>Cubs @ Nationals</t>
  </si>
  <si>
    <t>Astros @ Red Sox</t>
  </si>
  <si>
    <t>Dodgers @ Reds</t>
  </si>
  <si>
    <t>Under 9.5</t>
  </si>
  <si>
    <t>Orioles @ Indians</t>
  </si>
  <si>
    <t>+138</t>
  </si>
  <si>
    <t>Athletics @ Indians</t>
  </si>
  <si>
    <t>+108</t>
  </si>
  <si>
    <t>Rockies @ Pirates</t>
  </si>
  <si>
    <t>Yankees @ Orioles</t>
  </si>
  <si>
    <t>Marlins @ Tigers</t>
  </si>
  <si>
    <t>Under 7.5</t>
  </si>
  <si>
    <t>Nationals @ Mets</t>
  </si>
  <si>
    <t>Dodgers @ Rays</t>
  </si>
  <si>
    <t>+127</t>
  </si>
  <si>
    <t>Reds @ Brewers</t>
  </si>
  <si>
    <t>Braves @ Giants</t>
  </si>
  <si>
    <t>Twins @ Angels</t>
  </si>
  <si>
    <t>Diamondbacks @ Padres</t>
  </si>
  <si>
    <t>Red Sox @ Blue Jays</t>
  </si>
  <si>
    <t>Phillies @ Cubs</t>
  </si>
  <si>
    <t>Rays @ Indians</t>
  </si>
  <si>
    <t>+105</t>
  </si>
  <si>
    <t>Padres @ Yankees</t>
  </si>
  <si>
    <t>Pirates @ Reds</t>
  </si>
  <si>
    <t>Tigers @ Orioles</t>
  </si>
  <si>
    <t>Cardinals @ Phillies</t>
  </si>
  <si>
    <t>Giants @ Marlins</t>
  </si>
  <si>
    <t>Giants Moneyline</t>
  </si>
  <si>
    <t>Blue Jays @ Rays</t>
  </si>
  <si>
    <t>Diamondbacks @ Rockies</t>
  </si>
  <si>
    <t>+118</t>
  </si>
  <si>
    <t>Under 11.5</t>
  </si>
  <si>
    <t>Angels @ Athletics</t>
  </si>
  <si>
    <t>Indians @ Red Sox</t>
  </si>
  <si>
    <t>Orioles Moneyline</t>
  </si>
  <si>
    <t>Mets @ Dodgers</t>
  </si>
  <si>
    <t>Red Sox @ Yankees</t>
  </si>
  <si>
    <t>Brewers @ Pirates</t>
  </si>
  <si>
    <t>Tigers @ Braves</t>
  </si>
  <si>
    <t>Astros @ Athletics</t>
  </si>
  <si>
    <t>Phillies @ Dodgers</t>
  </si>
  <si>
    <t>Marlins @ Padres</t>
  </si>
  <si>
    <t>Angels @ Cubs</t>
  </si>
  <si>
    <t>Angels Moneyline</t>
  </si>
  <si>
    <t>Dodgers @ Arizona</t>
  </si>
  <si>
    <t>Dodgers @ Rockies</t>
  </si>
  <si>
    <t>Diamondbacks @ Giants</t>
  </si>
  <si>
    <t>Athletics @ Angels</t>
  </si>
  <si>
    <t>+141</t>
  </si>
  <si>
    <t>Soccer</t>
  </si>
  <si>
    <t>Brazil vs Paraguay</t>
  </si>
  <si>
    <t>Brazil -1.5</t>
  </si>
  <si>
    <t>Nationals @ Tigers</t>
  </si>
  <si>
    <t>Braves @ Mets</t>
  </si>
  <si>
    <t>+116</t>
  </si>
  <si>
    <t>Rangers @ Rays</t>
  </si>
  <si>
    <t>Giants @ Padres</t>
  </si>
  <si>
    <t>Padres -1.5</t>
  </si>
  <si>
    <t>Braves @ Nationals</t>
  </si>
  <si>
    <t>+188</t>
  </si>
  <si>
    <t>Diamondbacks @ Yankees</t>
  </si>
  <si>
    <t>Blue Jays @ Royals</t>
  </si>
  <si>
    <t>Blue Jays Moneyline</t>
  </si>
  <si>
    <t>+114</t>
  </si>
  <si>
    <t>Rays @ Red Sox</t>
  </si>
  <si>
    <t>+128</t>
  </si>
  <si>
    <t>Astros @ Indians</t>
  </si>
  <si>
    <t>Giants @ Phillies</t>
  </si>
  <si>
    <t>Twins @ Marlins</t>
  </si>
  <si>
    <t>Mets @ White Sox</t>
  </si>
  <si>
    <t>Mets Moneyline</t>
  </si>
  <si>
    <t>Padres @ Dodgers</t>
  </si>
  <si>
    <t>Blue Jays @ Orioles</t>
  </si>
  <si>
    <t>Broncos @ Falcons</t>
  </si>
  <si>
    <t>Under 34.5</t>
  </si>
  <si>
    <t>Reds @ Braves</t>
  </si>
  <si>
    <t>+148</t>
  </si>
  <si>
    <t>Tigers @ Rangers</t>
  </si>
  <si>
    <t>Mariners @ Astros</t>
  </si>
  <si>
    <t>Royals @ Twins</t>
  </si>
  <si>
    <t>Over 10.5</t>
  </si>
  <si>
    <t>White Sox @ Phillies</t>
  </si>
  <si>
    <t>Cardinals @ Athletics</t>
  </si>
  <si>
    <t>Mets @ Pirates</t>
  </si>
  <si>
    <t>Nationals @ Diamondbacks</t>
  </si>
  <si>
    <t>Under 11</t>
  </si>
  <si>
    <t>Under 13.5</t>
  </si>
  <si>
    <t>Marlins @ Mets</t>
  </si>
  <si>
    <t>+123</t>
  </si>
  <si>
    <t>Royals @ Red Sox</t>
  </si>
  <si>
    <t>Athletics @ Cubs</t>
  </si>
  <si>
    <t>Cardinals @ Dodgers</t>
  </si>
  <si>
    <t>Rangers @ Indians</t>
  </si>
  <si>
    <t>Angels @ Reds</t>
  </si>
  <si>
    <t>White Sox @ Tigers</t>
  </si>
  <si>
    <t>White Sox Moneyline</t>
  </si>
  <si>
    <t>+220</t>
  </si>
  <si>
    <t>Rockies @ Astros</t>
  </si>
  <si>
    <t>Braves @ Twins</t>
  </si>
  <si>
    <t>+175</t>
  </si>
  <si>
    <t>Nationals @ Giants</t>
  </si>
  <si>
    <t>Padres @ Mariners</t>
  </si>
  <si>
    <t>Yankees @ Blue Jays</t>
  </si>
  <si>
    <t>Angels @ Red Sox</t>
  </si>
  <si>
    <t>+210</t>
  </si>
  <si>
    <t>Braves @ Marlins</t>
  </si>
  <si>
    <t>Rockies @ Padres</t>
  </si>
  <si>
    <t>+100</t>
  </si>
  <si>
    <t>Phillies @ Giants</t>
  </si>
  <si>
    <t>Braves @ Rockies</t>
  </si>
  <si>
    <t>Reds @ Marlins</t>
  </si>
  <si>
    <t>Dodgers @ Padres</t>
  </si>
  <si>
    <t>Under 13</t>
  </si>
  <si>
    <t>Pirates @ Phillies</t>
  </si>
  <si>
    <t>Orioles @ Nationals</t>
  </si>
  <si>
    <t>Indians @ Tigers</t>
  </si>
  <si>
    <t>Cardinals @ Brewers</t>
  </si>
  <si>
    <t>Twins @ White Sox</t>
  </si>
  <si>
    <t>Rays @ Astros</t>
  </si>
  <si>
    <t>Athletics @ Royals</t>
  </si>
  <si>
    <t>Rangers @ Angels</t>
  </si>
  <si>
    <t>Yankees @ Mariners</t>
  </si>
  <si>
    <t>Over 10</t>
  </si>
  <si>
    <t>Cubs @ Mets</t>
  </si>
  <si>
    <t>+102</t>
  </si>
  <si>
    <t>Red Sox @ Rockies</t>
  </si>
  <si>
    <t>+155</t>
  </si>
  <si>
    <t>Under 8</t>
  </si>
  <si>
    <t>Dodgers @ Diamondbacks</t>
  </si>
  <si>
    <t>Pirates @ Rockies</t>
  </si>
  <si>
    <t>Under 14.5</t>
  </si>
  <si>
    <t>Column Labels</t>
  </si>
  <si>
    <t>Grand Total</t>
  </si>
  <si>
    <t>2018</t>
  </si>
  <si>
    <t>2019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</si>
  <si>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</si>
  <si>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</si>
  <si>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</si>
  <si>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</si>
  <si>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</si>
  <si>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</si>
  <si>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</si>
  <si>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</si>
  <si>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</si>
  <si>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Row Labels</t>
  </si>
  <si>
    <t>Brewers @ Marlins</t>
  </si>
  <si>
    <t>Diamondbacks @ Mets</t>
  </si>
  <si>
    <t>+205</t>
  </si>
  <si>
    <t>Indians @ Angels</t>
  </si>
  <si>
    <t>Braves @ Phillies</t>
  </si>
  <si>
    <t>Dodgers @ Orioles</t>
  </si>
  <si>
    <t>Cardinals @ Rockies</t>
  </si>
  <si>
    <t>Pirates @ Giants</t>
  </si>
  <si>
    <t>Yankees @ Tigers</t>
  </si>
  <si>
    <t>Nationals @ Twins</t>
  </si>
  <si>
    <t>Rays @ Rangers</t>
  </si>
  <si>
    <t>NCAAF</t>
  </si>
  <si>
    <t>Washington State @ Houston</t>
  </si>
  <si>
    <t>Washington State - 8</t>
  </si>
  <si>
    <t>-110</t>
  </si>
  <si>
    <t>Bears @ Broncos</t>
  </si>
  <si>
    <t>Under 41</t>
  </si>
  <si>
    <t>Eagles @ Falcons</t>
  </si>
  <si>
    <t>Under 50.5</t>
  </si>
  <si>
    <t>Pittsburgh @ Penn State</t>
  </si>
  <si>
    <t>Pittsburgh +21.5</t>
  </si>
  <si>
    <t>2nd Half Under 26.5</t>
  </si>
  <si>
    <t>Florida Atlantic @ Ball State</t>
  </si>
  <si>
    <t>Florida Atlantic -3</t>
  </si>
  <si>
    <t>Browns @ Jets</t>
  </si>
  <si>
    <t>Under 46</t>
  </si>
  <si>
    <t>White Sox @ Twins</t>
  </si>
  <si>
    <t>Nationals @ Cardinals</t>
  </si>
  <si>
    <t>Reds @ Cubs</t>
  </si>
  <si>
    <t>+163</t>
  </si>
  <si>
    <t>Mets @ Rockies</t>
  </si>
  <si>
    <t>Royals @ Athletics</t>
  </si>
  <si>
    <t>Jets +6.5</t>
  </si>
  <si>
    <t>Jets Moneyline</t>
  </si>
  <si>
    <t>+235</t>
  </si>
  <si>
    <t>Titans -1.5</t>
  </si>
  <si>
    <t>Over 39</t>
  </si>
  <si>
    <t>Jaguars Moneyline
Minshew 2+ TDs</t>
  </si>
  <si>
    <t>Pittsburgh @ UCF</t>
  </si>
  <si>
    <t>UCF -10.5</t>
  </si>
  <si>
    <t>Washington @ BYU</t>
  </si>
  <si>
    <t>Washington -6.5</t>
  </si>
  <si>
    <t>Nebraska @ Illinois</t>
  </si>
  <si>
    <t>Nebraska -12</t>
  </si>
  <si>
    <t>Rams @ Browns</t>
  </si>
  <si>
    <t>Under 32.5</t>
  </si>
  <si>
    <t>Bears @ Redskins</t>
  </si>
  <si>
    <t>Redskins -5.5</t>
  </si>
  <si>
    <t>Eagles @ Packers</t>
  </si>
  <si>
    <t>Eagles -4</t>
  </si>
  <si>
    <t>Eagles Moneyline
Nelson Agholor 1+ TD</t>
  </si>
  <si>
    <t>Ohio State @ Nebrasksa</t>
  </si>
  <si>
    <t>Ohio State -17</t>
  </si>
  <si>
    <t>Virginia @ Notre Dame</t>
  </si>
  <si>
    <t>Virginia +10.5</t>
  </si>
  <si>
    <t>Chiefs @ Lions</t>
  </si>
  <si>
    <t>Lions +7</t>
  </si>
  <si>
    <t>Cowboys @ Saints</t>
  </si>
  <si>
    <t>Cowobys -2.5</t>
  </si>
  <si>
    <t>3 Team Parlay</t>
  </si>
  <si>
    <t>Bears Moneyline
Jaguars Moneyline
Rams Moneyline</t>
  </si>
  <si>
    <t>Bengals @ Steelers</t>
  </si>
  <si>
    <t>Over 44.5</t>
  </si>
  <si>
    <t>Sep</t>
  </si>
  <si>
    <t>Steelers -3.5</t>
  </si>
  <si>
    <t>Rams @ Seahawks</t>
  </si>
  <si>
    <t>Under 49</t>
  </si>
  <si>
    <t>Cardinals @ Bengals</t>
  </si>
  <si>
    <t>Cardinals +3</t>
  </si>
  <si>
    <t>Falcons @ Texans</t>
  </si>
  <si>
    <t>Ravens @ Steelers</t>
  </si>
  <si>
    <t>Ravens -3</t>
  </si>
  <si>
    <t>Bills @ Titans</t>
  </si>
  <si>
    <t>Jaguars @ Panthers</t>
  </si>
  <si>
    <t>Jaguars +3.5</t>
  </si>
  <si>
    <t>Vikings @ Giants</t>
  </si>
  <si>
    <t>Over 43.5</t>
  </si>
  <si>
    <t>Buccaneers @ Saints</t>
  </si>
  <si>
    <t>Buccaneers +3</t>
  </si>
  <si>
    <t>Colts @ Chiefs</t>
  </si>
  <si>
    <t>Under 55.5</t>
  </si>
  <si>
    <t>Under 46.5</t>
  </si>
  <si>
    <t>Bills +3.5</t>
  </si>
  <si>
    <t>Giants +5.5</t>
  </si>
  <si>
    <t>Colts +10.5</t>
  </si>
  <si>
    <t>Michigan State @ Ohio State</t>
  </si>
  <si>
    <t>Ohio State -19.5</t>
  </si>
  <si>
    <t>Oct</t>
  </si>
  <si>
    <t>Lions @ Packers</t>
  </si>
  <si>
    <t>Lions +3.5</t>
  </si>
  <si>
    <t>Broncos +3</t>
  </si>
  <si>
    <t>Under 48.5</t>
  </si>
  <si>
    <t>Chiefs @ Broncos</t>
  </si>
  <si>
    <t>UCLA @ Stanford</t>
  </si>
  <si>
    <t>UCLA +4</t>
  </si>
  <si>
    <t>Browns @ 49ers</t>
  </si>
  <si>
    <t>Browns +4.5</t>
  </si>
  <si>
    <t>Giants @ Patriots</t>
  </si>
  <si>
    <t>Giants Under 14.5
Patriots Defensive TD</t>
  </si>
  <si>
    <t>Washington State @ Arizona</t>
  </si>
  <si>
    <t>Washington St -1.5</t>
  </si>
  <si>
    <t>Middle Tenn. @ Florida Atlantic</t>
  </si>
  <si>
    <t>Florida Atlantic -11</t>
  </si>
  <si>
    <t>Penn State @ Iowa</t>
  </si>
  <si>
    <t>Penn State -3.5</t>
  </si>
  <si>
    <t>Pittsburgh @ Syracuse</t>
  </si>
  <si>
    <t>Syracuse +3.5</t>
  </si>
  <si>
    <t>Marshall @ Florida Atlantic</t>
  </si>
  <si>
    <t>Florida @ South Carolina</t>
  </si>
  <si>
    <t>Marshall +4.5</t>
  </si>
  <si>
    <t>Florida -4</t>
  </si>
  <si>
    <t>Oregon @ Washington</t>
  </si>
  <si>
    <t>Oregon -2.5</t>
  </si>
  <si>
    <t>Duke @ Virginia</t>
  </si>
  <si>
    <t>Duke +3.5</t>
  </si>
  <si>
    <t>Michigan @ Penn State</t>
  </si>
  <si>
    <t>Michigan +7.5</t>
  </si>
  <si>
    <t>Cardinals @ Giants</t>
  </si>
  <si>
    <t>Cardinals +4</t>
  </si>
  <si>
    <t>Chargers @ Titans</t>
  </si>
  <si>
    <t>Chargers +3</t>
  </si>
  <si>
    <t>Ravens @ Seahawks</t>
  </si>
  <si>
    <t>Ravens +3.5
Under 49.5</t>
  </si>
  <si>
    <t>Saints @ Bears</t>
  </si>
  <si>
    <t>Saints Moneyline</t>
  </si>
  <si>
    <t>Patriots @ Jets</t>
  </si>
  <si>
    <t>Patriots -9.5</t>
  </si>
  <si>
    <t>Eagles +7</t>
  </si>
  <si>
    <t>Redskins @ Vikings</t>
  </si>
  <si>
    <t>Redskins 2+ Turnovers
Vikings Moneyline</t>
  </si>
  <si>
    <t>Redskins +16.5</t>
  </si>
  <si>
    <t>Packers @ Chiefs</t>
  </si>
  <si>
    <t>Packers -5.5</t>
  </si>
  <si>
    <t>Dolphins @ Steelers</t>
  </si>
  <si>
    <t>JuJu 100+ Receiving Yards
JuJu 1+ TD</t>
  </si>
  <si>
    <t>Nationals @ Astros</t>
  </si>
  <si>
    <t>Astros -1.5</t>
  </si>
  <si>
    <t>49ers @ Cardinals</t>
  </si>
  <si>
    <t>Over 49.5
Kittle over 49.5 Receiving Yards</t>
  </si>
  <si>
    <t>Georgia Southern @ Appalachian State</t>
  </si>
  <si>
    <t>Appalachian State -15</t>
  </si>
  <si>
    <t>West Virginia @ Baylor</t>
  </si>
  <si>
    <t>Baylor -19</t>
  </si>
  <si>
    <t>49ers -10</t>
  </si>
  <si>
    <t>(All)</t>
  </si>
  <si>
    <t>Sum of Risk</t>
  </si>
  <si>
    <t>Total Sum of Risk</t>
  </si>
  <si>
    <t>Profit</t>
  </si>
  <si>
    <t>Sum of Profit</t>
  </si>
  <si>
    <t>Total Sum of Profit</t>
  </si>
  <si>
    <t>Money Movement (Filterable by Bet type)</t>
  </si>
  <si>
    <t>Monthly Money Movement (Creates Chart)</t>
  </si>
  <si>
    <t>Pistons @ Wizards</t>
  </si>
  <si>
    <t>Over 225</t>
  </si>
  <si>
    <t>Pelicans +3.5</t>
  </si>
  <si>
    <t>Bucks @ Timberwolves</t>
  </si>
  <si>
    <t>Bears @ Eagles
Colts @ Steelers
Jets @ Dolphins
Vikings @ Chiefs
Titans @ Panthers
Redskins @ Bills</t>
  </si>
  <si>
    <t>Bears Moneyline
Steelers Moneyline
Jets Moneyline
Vikings Moneyline
Titans Moneyline
Bills Moneyline</t>
  </si>
  <si>
    <t>Lions @ Raiders
Buccaneers @ Seahawks
Packers @ Chargers</t>
  </si>
  <si>
    <t>Lions Moneyline
Seahawks Moneyline
Packers Moneyline</t>
  </si>
  <si>
    <t>Patriots @ Ravens</t>
  </si>
  <si>
    <t>Patriots -3</t>
  </si>
  <si>
    <t>SMU @ Memphis</t>
  </si>
  <si>
    <t>SMU +5.5</t>
  </si>
  <si>
    <t>Oregon @ USC</t>
  </si>
  <si>
    <t>Oregon -3.5</t>
  </si>
  <si>
    <t>Colts @ Steelers</t>
  </si>
  <si>
    <t>Colts +1.5</t>
  </si>
  <si>
    <t>Titans @ Panthers</t>
  </si>
  <si>
    <t>Titans +3.5</t>
  </si>
  <si>
    <t>Vikings @ Chiefs</t>
  </si>
  <si>
    <t>Chiefs +6</t>
  </si>
  <si>
    <t>Redskins @ Bills</t>
  </si>
  <si>
    <t>Redskins +10.5</t>
  </si>
  <si>
    <t>Bears @ Eagles</t>
  </si>
  <si>
    <t>Bears +5.5</t>
  </si>
  <si>
    <t>At least 3 of 5 to cover
Colts -1.5
Raiders -2.5
Browns -3.5
Packers -3.5
Patriots -3</t>
  </si>
  <si>
    <t>Lions @ Raiders</t>
  </si>
  <si>
    <t>Lions +2.5</t>
  </si>
  <si>
    <t>Buccaneers @ Seahawks</t>
  </si>
  <si>
    <t>Buccaneers +4</t>
  </si>
  <si>
    <t>Broncos +3.5</t>
  </si>
  <si>
    <t>Packers -4</t>
  </si>
  <si>
    <t>Packers @ Chargers</t>
  </si>
  <si>
    <t xml:space="preserve">
Colts @ Steelers
Lions @ Raiders
Browns @ Broncos
Packers @ Chargers
Patriots @ Ravens</t>
  </si>
  <si>
    <t>Nov</t>
  </si>
  <si>
    <t>Celtics -6</t>
  </si>
  <si>
    <t>Spurs @ Hawks</t>
  </si>
  <si>
    <t>Hawks +4.5</t>
  </si>
  <si>
    <t>Lakers @ Bulls</t>
  </si>
  <si>
    <t>Under 214.5</t>
  </si>
  <si>
    <t>Magic @ Thunder</t>
  </si>
  <si>
    <t>Thunder -3</t>
  </si>
  <si>
    <t>Over 201.5</t>
  </si>
  <si>
    <t>Heat @ Nuggets</t>
  </si>
  <si>
    <t>Heat +4.5</t>
  </si>
  <si>
    <t>Celtics @ Cavaliers
Lakers @ Bulls
Magic @ Thunder
Heat @ Nuggets</t>
  </si>
  <si>
    <t>Celtics Moneyline
Lakers Moneyline
Thunder Moneyline
Heat Moneyline</t>
  </si>
  <si>
    <t>Ball State @ Western Michigan</t>
  </si>
  <si>
    <t>Ball State +6.5</t>
  </si>
  <si>
    <t>Kansas @ Duke</t>
  </si>
  <si>
    <t>Kansas -1.5</t>
  </si>
  <si>
    <t>Bills @ Browns</t>
  </si>
  <si>
    <t>Bills +3</t>
  </si>
  <si>
    <t>Clippers @ Pelicans</t>
  </si>
  <si>
    <t>Bulls @ Bucks</t>
  </si>
  <si>
    <t>Over 229.5</t>
  </si>
  <si>
    <t>Mavericks -7.5</t>
  </si>
  <si>
    <t>Over 215.5</t>
  </si>
  <si>
    <t>Nets @ Nuggets</t>
  </si>
  <si>
    <t>Over 222.5</t>
  </si>
  <si>
    <t>Buffalo -5</t>
  </si>
  <si>
    <t>North Carolina @ Pitt</t>
  </si>
  <si>
    <t>North Carolina +4</t>
  </si>
  <si>
    <t>Under 49.5</t>
  </si>
  <si>
    <t>Steelers @ Browns</t>
  </si>
  <si>
    <t>76ers @ Magic
Wizards @ Celtics
Warriors @ Lakers
Raptors @ Trail Blazers</t>
  </si>
  <si>
    <t>623</t>
  </si>
  <si>
    <t>76ers Moneyline (120) L
Celtics Moneyline (-400) W
Lakers Moneyline (-450) W
Raptors Moneyline (115) W</t>
  </si>
  <si>
    <t>Jazz @ Grizzlies
Celtics @ Warriors
Kings @ Lakers</t>
  </si>
  <si>
    <t>Jazz Moneyline (-315)
Celtics Moneyline (-305)
Lakers Moneyline (-625)</t>
  </si>
  <si>
    <t>Patriots @ Eagles</t>
  </si>
  <si>
    <t>Brady &amp; Wentz 1 Passing TD Each</t>
  </si>
  <si>
    <t>Bears @ Rams</t>
  </si>
  <si>
    <t>Bears Moneyline</t>
  </si>
  <si>
    <t>Bears 17
Rams 28</t>
  </si>
  <si>
    <t>Indiana @ Penn state</t>
  </si>
  <si>
    <t>Penn State -15</t>
  </si>
  <si>
    <t>Wisconsin @ Nebraska</t>
  </si>
  <si>
    <t>Nebraska +14</t>
  </si>
  <si>
    <t>Kansas @ Oklahoma State</t>
  </si>
  <si>
    <t>Kansas +17.5</t>
  </si>
  <si>
    <t>Michigan State @ Michigan</t>
  </si>
  <si>
    <t>Michigan State +13.5</t>
  </si>
  <si>
    <t>Florida @ Missouri</t>
  </si>
  <si>
    <t>Florida -6.5</t>
  </si>
  <si>
    <t>Tulane @ Temple</t>
  </si>
  <si>
    <t>Alabama @ Mississippi State</t>
  </si>
  <si>
    <t>Tulane -6.5</t>
  </si>
  <si>
    <t>Mississippi State +20</t>
  </si>
  <si>
    <t>Georgia @ Auburn</t>
  </si>
  <si>
    <t>Kentucky @ Vanderbilt</t>
  </si>
  <si>
    <t>Memphis @ Houston</t>
  </si>
  <si>
    <t>Georgia -2.5</t>
  </si>
  <si>
    <t>Kentucky -9.5</t>
  </si>
  <si>
    <t>Memphis -9.5</t>
  </si>
  <si>
    <t>Texas @ Iowa State</t>
  </si>
  <si>
    <t>Virginia Tech @ Georgia Tech</t>
  </si>
  <si>
    <t>West Virginia @ Kansas State</t>
  </si>
  <si>
    <t>Minnesota @ Iowa</t>
  </si>
  <si>
    <t>Iowa State -6.5</t>
  </si>
  <si>
    <t>Virginia Tech -6</t>
  </si>
  <si>
    <t>West Virginia +14</t>
  </si>
  <si>
    <t>Iowa -3.5</t>
  </si>
  <si>
    <t>Wake Forest @ Clemson</t>
  </si>
  <si>
    <t>Waker Forest +34.5</t>
  </si>
  <si>
    <t>Arizona State -1</t>
  </si>
  <si>
    <t>Arizona State @ Oregon State</t>
  </si>
  <si>
    <t>Oklahoma @ Baylor</t>
  </si>
  <si>
    <t>Oklahoma -10.5</t>
  </si>
  <si>
    <t>South Carolina @ Texas A&amp;M</t>
  </si>
  <si>
    <t>Texas A&amp;M -10.5</t>
  </si>
  <si>
    <t>UCLA @ Utah
USC @ California</t>
  </si>
  <si>
    <t>UCLA +27.5 (L)
USC +2 (W)</t>
  </si>
  <si>
    <t>Trail Blazers @ Bucks
Pelicans @ Suns</t>
  </si>
  <si>
    <t>Bucks Moneyline (W)
Suns Moneyline (L)</t>
  </si>
  <si>
    <t>Panthers +9.5</t>
  </si>
  <si>
    <t>Panthers @ Saints</t>
  </si>
  <si>
    <t>Lions @ Redskins</t>
  </si>
  <si>
    <t>Gaints @ Bears</t>
  </si>
  <si>
    <t>Raiders @ Jets</t>
  </si>
  <si>
    <t>Steelers @ Bengals</t>
  </si>
  <si>
    <t>Seahawks @ Eagles</t>
  </si>
  <si>
    <t>Buccaneers @ Falcons</t>
  </si>
  <si>
    <t>Lions -4</t>
  </si>
  <si>
    <t>Over 39.5</t>
  </si>
  <si>
    <t>Bears -6</t>
  </si>
  <si>
    <t>Raiders -3.5</t>
  </si>
  <si>
    <t>Seahawks -2</t>
  </si>
  <si>
    <t>Buccaneers +3.5</t>
  </si>
  <si>
    <t>Ravens @ Rams</t>
  </si>
  <si>
    <t>Ravens -3.5</t>
  </si>
  <si>
    <t>Over 46.5</t>
  </si>
  <si>
    <t>Bears @ Lions</t>
  </si>
  <si>
    <t>Bears -4.5</t>
  </si>
  <si>
    <t>Bears -5.5
Under 37</t>
  </si>
  <si>
    <t>Bills @ Cowboys</t>
  </si>
  <si>
    <t>Bills +6.5
Under 47.5</t>
  </si>
  <si>
    <t>Patriots @ Texans</t>
  </si>
  <si>
    <t>Raiders @ Chiefs</t>
  </si>
  <si>
    <t>Raiders +12</t>
  </si>
  <si>
    <t>Cowboys @ Bears</t>
  </si>
  <si>
    <t>Steelers @ Cardinals
Lions @ Vikings
Redskins @ Packers</t>
  </si>
  <si>
    <t>Steelers Moneyline
Vikings Moneyline
Packers Moneyline</t>
  </si>
  <si>
    <t>Ravens @ Bills</t>
  </si>
  <si>
    <t>Seahawks @ Rams</t>
  </si>
  <si>
    <t>Patriots @ Cowboys</t>
  </si>
  <si>
    <t>Patriots -6</t>
  </si>
  <si>
    <t>Yale @ Massachusetts</t>
  </si>
  <si>
    <t>Yale -4</t>
  </si>
  <si>
    <t>Dartmouth @ Maine</t>
  </si>
  <si>
    <t>Over 118.5</t>
  </si>
  <si>
    <t>Texas-Arlington @ Houston</t>
  </si>
  <si>
    <t>Texas-Arlington +12.5</t>
  </si>
  <si>
    <t>Alabama State @ Kansas State</t>
  </si>
  <si>
    <t>Alabama State +19.5</t>
  </si>
  <si>
    <t>Over 126.5</t>
  </si>
  <si>
    <t>Winthrop @ Texas Christian</t>
  </si>
  <si>
    <t>Winthrop +12</t>
  </si>
  <si>
    <t>Over 135.5</t>
  </si>
  <si>
    <t>Boise State @ Tulsa</t>
  </si>
  <si>
    <t>Boise State +2.5</t>
  </si>
  <si>
    <t>Troy @ Jacksonville State</t>
  </si>
  <si>
    <t>Troy +4.5</t>
  </si>
  <si>
    <t>Prairie View @ Arizona State</t>
  </si>
  <si>
    <t>Prairie View +19.5</t>
  </si>
  <si>
    <t>Fresno State @ University of California</t>
  </si>
  <si>
    <t>Fairleigh Dickinson @ Saint Peter's</t>
  </si>
  <si>
    <t>Southern @ Wright State</t>
  </si>
  <si>
    <t>Over 143.5</t>
  </si>
  <si>
    <t>Austin Peay @ West Virginia</t>
  </si>
  <si>
    <t>Austin Peay +15.5</t>
  </si>
  <si>
    <t>Iowa @ Iowa State</t>
  </si>
  <si>
    <t>Iowa +4</t>
  </si>
  <si>
    <t>Under 157.5</t>
  </si>
  <si>
    <t>Northern Iowa @ Grand Canyon</t>
  </si>
  <si>
    <t>Northern Iowa -7</t>
  </si>
  <si>
    <t>Jets @ Ravens</t>
  </si>
  <si>
    <t>Ravens -17</t>
  </si>
  <si>
    <t>Colorado @ Colorado State</t>
  </si>
  <si>
    <t>Colorado -5.5</t>
  </si>
  <si>
    <t>Texas-Rio Grande Valley @ Creighton</t>
  </si>
  <si>
    <t>Under 140.5</t>
  </si>
  <si>
    <t>Prairie View @ Loyola Marymount</t>
  </si>
  <si>
    <t>Charleston Southern @ James Madison</t>
  </si>
  <si>
    <t>Under 152.5</t>
  </si>
  <si>
    <t>Marshall @ Morehead State</t>
  </si>
  <si>
    <t>Under 146.5</t>
  </si>
  <si>
    <t>Valparaiso @ Charlotte</t>
  </si>
  <si>
    <t>Over 137.5</t>
  </si>
  <si>
    <t>Southern Mississippi @ Texas Tech</t>
  </si>
  <si>
    <t>Southern Mississippi +22</t>
  </si>
  <si>
    <t>Delaware State @ Delaware</t>
  </si>
  <si>
    <t>Kennesaw State @ Murray State</t>
  </si>
  <si>
    <t>Eastern Illinois @ Western Illinois</t>
  </si>
  <si>
    <t>Evansville @ Jacksonville State</t>
  </si>
  <si>
    <t>Evansville -4.5</t>
  </si>
  <si>
    <t>UC-Santa Barbara @ Idaho State</t>
  </si>
  <si>
    <t>Over 134.5</t>
  </si>
  <si>
    <t>Florida A&amp;M @ Portland</t>
  </si>
  <si>
    <t>Portland -11.5</t>
  </si>
  <si>
    <t>Xavier @ Wake Forest</t>
  </si>
  <si>
    <t>Saint Louis @ Auburn</t>
  </si>
  <si>
    <t>UC-Santa Barbara @ Southern Utah</t>
  </si>
  <si>
    <t>Weber State @ Utah</t>
  </si>
  <si>
    <t>Georgia Tech @ Kentucky</t>
  </si>
  <si>
    <t>Georgia Tech +14.5</t>
  </si>
  <si>
    <t>Sacramento State @ Santa Clara</t>
  </si>
  <si>
    <t>Alabama State @ Boise State</t>
  </si>
  <si>
    <t>Colgate @ Cincinnati</t>
  </si>
  <si>
    <t>Colgate +12</t>
  </si>
  <si>
    <t>Drake @ Dayton</t>
  </si>
  <si>
    <t>Western Michigan @ Manhattan</t>
  </si>
  <si>
    <t>Western Michigan +4</t>
  </si>
  <si>
    <t>Niagara @ Albany (NY)</t>
  </si>
  <si>
    <t>Niagara +9</t>
  </si>
  <si>
    <t>Evansville @ Green Bay</t>
  </si>
  <si>
    <t>Under 164.5</t>
  </si>
  <si>
    <t>New Mexico State @ New Mexico</t>
  </si>
  <si>
    <t>Cal State Bakersfield @ Idaho</t>
  </si>
  <si>
    <t>Stanford @ San Jose State</t>
  </si>
  <si>
    <t>Stony Brook @ Providence</t>
  </si>
  <si>
    <t>Georgia @ Arizona State</t>
  </si>
  <si>
    <t>Under 156.5</t>
  </si>
  <si>
    <t>Louisiana-Monroe @ Stephen F. Austin</t>
  </si>
  <si>
    <t>Northern Colorado @ Wyoming</t>
  </si>
  <si>
    <t>Northern Arizona @ Utah Valley</t>
  </si>
  <si>
    <t>Under 143.5</t>
  </si>
  <si>
    <t>UC-Davis @ San Diego</t>
  </si>
  <si>
    <t>Over 133.5</t>
  </si>
  <si>
    <t>Saint Mary's (CA) @ University of California</t>
  </si>
  <si>
    <t>Under 142.5</t>
  </si>
  <si>
    <t>Over 131.5</t>
  </si>
  <si>
    <t>Drake +15.5</t>
  </si>
  <si>
    <t>Over 139.5</t>
  </si>
  <si>
    <t>Under 145.5</t>
  </si>
  <si>
    <t>Stony Brook +13</t>
  </si>
  <si>
    <t>Georgia +5</t>
  </si>
  <si>
    <t>Under 155.5</t>
  </si>
  <si>
    <t>Stephen F. Austin -10</t>
  </si>
  <si>
    <t>Northern Colorado -6</t>
  </si>
  <si>
    <t>UC-Davis +7.5</t>
  </si>
  <si>
    <t>Over 123.5</t>
  </si>
  <si>
    <t>Bills @ Steelers</t>
  </si>
  <si>
    <t>North Texas @ Dayton</t>
  </si>
  <si>
    <t>North Texas +16</t>
  </si>
  <si>
    <t>Florida @ Providence</t>
  </si>
  <si>
    <t>Providence +5</t>
  </si>
  <si>
    <t>Over 132.5</t>
  </si>
  <si>
    <t>Southeast Missouri State @ Ohio State</t>
  </si>
  <si>
    <t>Southeast Missouri State +29.5</t>
  </si>
  <si>
    <t>Mississippi Valley State @ Wright State</t>
  </si>
  <si>
    <t>Over 154.5</t>
  </si>
  <si>
    <t>American @ Mount St. Mary's</t>
  </si>
  <si>
    <t>American +1.5</t>
  </si>
  <si>
    <t>Maryland-Eastern Shore @ East Carolina</t>
  </si>
  <si>
    <t>Maryland-Eastern Shore +16</t>
  </si>
  <si>
    <t>Tennessee Tech @ Lipscomb</t>
  </si>
  <si>
    <t>Tennessee Tech +13.5</t>
  </si>
  <si>
    <t>North Carolina Central @ Louisiana Tech</t>
  </si>
  <si>
    <t>North Carolina Central +22.5</t>
  </si>
  <si>
    <t>Over 136.5</t>
  </si>
  <si>
    <t>North Alabama @ Alabama-Birmingham</t>
  </si>
  <si>
    <t>North Alabama +9.5</t>
  </si>
  <si>
    <t>Oral Roberts @ Chicago State</t>
  </si>
  <si>
    <t>Oral Roberts -16</t>
  </si>
  <si>
    <t>Toledo @ Missouri-Kansas City</t>
  </si>
  <si>
    <t>Toledo -7.5</t>
  </si>
  <si>
    <t>Oklahoma @ Creighton</t>
  </si>
  <si>
    <t>Oklahoma +3</t>
  </si>
  <si>
    <t>Portland State @ Pepperdine</t>
  </si>
  <si>
    <t>Under 163</t>
  </si>
  <si>
    <t>Seattle @ Washington</t>
  </si>
  <si>
    <t>Seattle +16</t>
  </si>
  <si>
    <t>(blank)</t>
  </si>
  <si>
    <t>Canisius @ Buffalo</t>
  </si>
  <si>
    <t>Virginia Commonwealth @ College of Charleston</t>
  </si>
  <si>
    <t>Virginia Commonwealth -5</t>
  </si>
  <si>
    <t>DePaul @ Cleveland State</t>
  </si>
  <si>
    <t>Tennessee State @ Indiana State</t>
  </si>
  <si>
    <t>Wagner @ La Salle</t>
  </si>
  <si>
    <t>Valparaiso @ High Point</t>
  </si>
  <si>
    <t>Illinois-Chicago @ Illinois State</t>
  </si>
  <si>
    <t>Illinois State -5</t>
  </si>
  <si>
    <t>Kennesaw State @ Belmont</t>
  </si>
  <si>
    <t>Alabama @ Samford</t>
  </si>
  <si>
    <t>Under 160</t>
  </si>
  <si>
    <t>Binghamton @ Youngstown State</t>
  </si>
  <si>
    <t>Binghamton +9.5</t>
  </si>
  <si>
    <t>Over 140.5</t>
  </si>
  <si>
    <t>Utah State @ South Florida</t>
  </si>
  <si>
    <t>Utah State -8.5</t>
  </si>
  <si>
    <t>Radford @ Mississippi State</t>
  </si>
  <si>
    <t>Radford +12</t>
  </si>
  <si>
    <t>Abilene Christian @ New Orleans</t>
  </si>
  <si>
    <t>Texas A&amp;M-Corpus Christi @ Nicholls State</t>
  </si>
  <si>
    <t>Hampton @ Southern Illinois</t>
  </si>
  <si>
    <t>Hampton +9</t>
  </si>
  <si>
    <t>Florida Gulf Coast @ South Dakota State</t>
  </si>
  <si>
    <t>Louisiana @ Arkansas State</t>
  </si>
  <si>
    <t>Miami (OH) @ Louisville</t>
  </si>
  <si>
    <t>Miami (OH) +22.5</t>
  </si>
  <si>
    <t>Over 141.5</t>
  </si>
  <si>
    <t>Albany (NY) @ St. John's (NY)</t>
  </si>
  <si>
    <t>St. John's (NY) -9</t>
  </si>
  <si>
    <t>Delaware State @ Jacksonville State</t>
  </si>
  <si>
    <t>Arkansas-Pine Bluff @ New Mexico State</t>
  </si>
  <si>
    <t>Arkansas-Pine Bluff +24.5</t>
  </si>
  <si>
    <t>Texas Southern @ Nevada</t>
  </si>
  <si>
    <t>Texas Southern +16.5</t>
  </si>
  <si>
    <t>Southern @ California Baptist</t>
  </si>
  <si>
    <t>Cal Poly @ Sacramento State</t>
  </si>
  <si>
    <t>Sacramento State -10.5</t>
  </si>
  <si>
    <t>Montana @ Oregon</t>
  </si>
  <si>
    <t>Montana +19</t>
  </si>
  <si>
    <t>Kentucky @ Utah</t>
  </si>
  <si>
    <t>Under 136.5</t>
  </si>
  <si>
    <t>Valparaiso -10.5</t>
  </si>
  <si>
    <t>Tennessee State +9</t>
  </si>
  <si>
    <t>Nicholls State -8</t>
  </si>
  <si>
    <t>Over 146.5</t>
  </si>
  <si>
    <t>Over 144.5</t>
  </si>
  <si>
    <t>Hawks @ Celtics</t>
  </si>
  <si>
    <t>Heat @ Magic</t>
  </si>
  <si>
    <t>Trail Blazers @ Wizards</t>
  </si>
  <si>
    <t>Under 223.5</t>
  </si>
  <si>
    <t>Wizards +6.5</t>
  </si>
  <si>
    <t>Under 225.5</t>
  </si>
  <si>
    <t>Lakers -10.5</t>
  </si>
  <si>
    <t>Utah State @ Kent State</t>
  </si>
  <si>
    <t>Kent State +7.5</t>
  </si>
  <si>
    <t>Colgate @ Army</t>
  </si>
  <si>
    <t>Colgate -7</t>
  </si>
  <si>
    <t>Louisiana-Monroe @ Coastal Carolina</t>
  </si>
  <si>
    <t>Over 138.5</t>
  </si>
  <si>
    <t>Florida A&amp;M @ North Carolina A&amp;T</t>
  </si>
  <si>
    <t>Florida A&amp;M +3.5</t>
  </si>
  <si>
    <t>Georgia State @ Arkansas State</t>
  </si>
  <si>
    <t>Alabama State @ Grambling</t>
  </si>
  <si>
    <t>Alcorn State @ Texas Southern</t>
  </si>
  <si>
    <t>West Virginia @ Oklahoma State</t>
  </si>
  <si>
    <t>Southern @ Prairie View</t>
  </si>
  <si>
    <t>Southern +9.5</t>
  </si>
  <si>
    <t>Coastal Carolina -8.5</t>
  </si>
  <si>
    <t>Over 128.5</t>
  </si>
  <si>
    <t>Alcorn State +12</t>
  </si>
  <si>
    <t>Seahawks +1</t>
  </si>
  <si>
    <t>Vikings @ Saints</t>
  </si>
  <si>
    <t>Saints -7.5</t>
  </si>
  <si>
    <t>Titans @ Patriots</t>
  </si>
  <si>
    <t>Patriots -4.5</t>
  </si>
  <si>
    <t>Bills @ Texans</t>
  </si>
  <si>
    <t>Bills +2.5</t>
  </si>
  <si>
    <t>Buffalo @ Ball State</t>
  </si>
  <si>
    <t>Northern Illinois @ Central Michigan</t>
  </si>
  <si>
    <t>Ohio State @ Maryland</t>
  </si>
  <si>
    <t>Ohio State +2.5</t>
  </si>
  <si>
    <t>Eastern Michigan @ Ohio</t>
  </si>
  <si>
    <t>Tennessee @ Missouri</t>
  </si>
  <si>
    <t>Tennessee +5</t>
  </si>
  <si>
    <t>Over 122</t>
  </si>
  <si>
    <t>Virginia @ Boston College</t>
  </si>
  <si>
    <t>Providence @ Marquette</t>
  </si>
  <si>
    <t>South Florida @ East Carolina</t>
  </si>
  <si>
    <t>Villanova @ Creighton</t>
  </si>
  <si>
    <t>Under 148.5</t>
  </si>
  <si>
    <t>Utah State @ Air Force</t>
  </si>
  <si>
    <t>Rider @ Quinnipiac</t>
  </si>
  <si>
    <t>Rider -2.5</t>
  </si>
  <si>
    <t>Over 147.5</t>
  </si>
  <si>
    <t>Central Michigan -4.5</t>
  </si>
  <si>
    <t>Ohio -5</t>
  </si>
  <si>
    <t>Under 125.5</t>
  </si>
  <si>
    <t>South Carolina +4.5</t>
  </si>
  <si>
    <t>Boston College +8.5</t>
  </si>
  <si>
    <t>Under 111.5</t>
  </si>
  <si>
    <t>East Carolina +4.5</t>
  </si>
  <si>
    <t>Northwestern @ Indiana</t>
  </si>
  <si>
    <t>American @ Army</t>
  </si>
  <si>
    <t>Davidson @ Rhode Island</t>
  </si>
  <si>
    <t>Hartford @ Massachusetts-Lowell</t>
  </si>
  <si>
    <t>Massachusetts-Lowell -6</t>
  </si>
  <si>
    <t>Northwestern State @ Incarnate Word</t>
  </si>
  <si>
    <t>St. Bonaventure @ George Mason</t>
  </si>
  <si>
    <t>Under 130</t>
  </si>
  <si>
    <t>Longwood @ Charleston Southern</t>
  </si>
  <si>
    <t>Purdue-Fort Wayne @ Western Illinois</t>
  </si>
  <si>
    <t>Over 151</t>
  </si>
  <si>
    <t>Omaha @ North Dakota</t>
  </si>
  <si>
    <t>North Dakota -2.5</t>
  </si>
  <si>
    <t>San Diego State @ Wyoming</t>
  </si>
  <si>
    <t>Under 120</t>
  </si>
  <si>
    <t>Indiana -13</t>
  </si>
  <si>
    <t>Pittsburgh @ North Carolina</t>
  </si>
  <si>
    <t>George Washington @ Saint Louis</t>
  </si>
  <si>
    <t>Under 133.5</t>
  </si>
  <si>
    <t>Western Illinois +2.5</t>
  </si>
  <si>
    <t>Wyoming +17</t>
  </si>
  <si>
    <t>Campbell @ North Carolina-Asheville</t>
  </si>
  <si>
    <t>North Carolina-Asheville -4</t>
  </si>
  <si>
    <t>Louisiana-Monroe @ Georgia Southern</t>
  </si>
  <si>
    <t>North Alabama @ Liberty</t>
  </si>
  <si>
    <t>Memphis @ Wichita State</t>
  </si>
  <si>
    <t>Memphis +6</t>
  </si>
  <si>
    <t>Eastern Illinois @ Eastern Kentucky</t>
  </si>
  <si>
    <t>Eastern Illinois -4</t>
  </si>
  <si>
    <t>Arkansas State @ South Alabama</t>
  </si>
  <si>
    <t>Arkansas State +7</t>
  </si>
  <si>
    <t>Tennessee State @ Tennessee-Martin</t>
  </si>
  <si>
    <t>Tennessee State -2.5</t>
  </si>
  <si>
    <t>Southern Mississippi @ Texas-El Paso</t>
  </si>
  <si>
    <t>Northern Colorado @ Weber State</t>
  </si>
  <si>
    <t>Arizona @ Oregon</t>
  </si>
  <si>
    <t>Washington State @ University of California</t>
  </si>
  <si>
    <t>Santa Clara @ San Francisco</t>
  </si>
  <si>
    <t>Santa Clara +6.5</t>
  </si>
  <si>
    <t>Brigham Young @ Saint Mary's (CA)</t>
  </si>
  <si>
    <t>Louisiana-Monroe +11</t>
  </si>
  <si>
    <t>Arizona +3</t>
  </si>
  <si>
    <t>Washington State +1.5</t>
  </si>
  <si>
    <t>Northern Colorado -2.5</t>
  </si>
  <si>
    <t>Brigham Young +5</t>
  </si>
  <si>
    <t>Pacers @ Bulls
Hawks @ Wizards
Pelicans @ Knicks
Heat @ Nets
Magic @ Suns
Hornets @ Jazz
Bucks @ Kings
Warriors @ Clippers</t>
  </si>
  <si>
    <t>Pacers Moneyline (-143)
Wizards Moneyline (-110)
Pelicans Moneyline (-200)
Heat Moneyline (-162)
Magic Moneyline (135)
Jazz Moneyline (-1000)
Bucks Moneyline (-450)
Clippers Moneyline (-1600)</t>
  </si>
  <si>
    <t>Clemson @ LSU</t>
  </si>
  <si>
    <t>Clemson +5</t>
  </si>
  <si>
    <t>Bulls @ Celtics</t>
  </si>
  <si>
    <t>Under 215.5</t>
  </si>
  <si>
    <t>Timberwolves +3.5</t>
  </si>
  <si>
    <t xml:space="preserve"> Kings -1.5</t>
  </si>
  <si>
    <t>Delaware State @ North Carolina A&amp;T</t>
  </si>
  <si>
    <t>Hornets @ Trail Blazers</t>
  </si>
  <si>
    <t xml:space="preserve"> Hornets +9.5</t>
  </si>
  <si>
    <t>Suns @ Hawks</t>
  </si>
  <si>
    <t>Suns -5.5</t>
  </si>
  <si>
    <t>Missouri @ Mississippi State</t>
  </si>
  <si>
    <t>Missouri +2.5</t>
  </si>
  <si>
    <t>Nebraska @ Ohio State</t>
  </si>
  <si>
    <t>Vikings @ 49ers</t>
  </si>
  <si>
    <t>49ers -7</t>
  </si>
  <si>
    <t>Titans @ Ravens</t>
  </si>
  <si>
    <t>Ravens -9.5</t>
  </si>
  <si>
    <t>Texans @ Chiefs</t>
  </si>
  <si>
    <t>Texans +9.5</t>
  </si>
  <si>
    <t>Seahawks @ Packers
Seahawks @ Packers</t>
  </si>
  <si>
    <t>Packers -4.5
Under 46.5</t>
  </si>
  <si>
    <t>2020</t>
  </si>
  <si>
    <t>San Diego State @ Fresno State</t>
  </si>
  <si>
    <t>Fresno State +7.5</t>
  </si>
  <si>
    <t>Bruins @ Blue Jackets</t>
  </si>
  <si>
    <t>Blue Jackets Moneyline</t>
  </si>
  <si>
    <t>Indiana @ Rutgers</t>
  </si>
  <si>
    <t>Indiana +3</t>
  </si>
  <si>
    <t>Warriors +8.5</t>
  </si>
  <si>
    <t>VMI @ Mercer</t>
  </si>
  <si>
    <t>Mercer -6</t>
  </si>
  <si>
    <t>Alabama +1.5</t>
  </si>
  <si>
    <t>Army @ Holy Cross</t>
  </si>
  <si>
    <t>Army -3</t>
  </si>
  <si>
    <t>Magic @ Lakers</t>
  </si>
  <si>
    <t>Under 209.5</t>
  </si>
  <si>
    <t>Utah @ Arizona</t>
  </si>
  <si>
    <t>UC-Davis @ Long Beach State</t>
  </si>
  <si>
    <t>UC-Davis +1</t>
  </si>
  <si>
    <t>Santa Clara @ Gonzaga</t>
  </si>
  <si>
    <t>Santa Clara +20</t>
  </si>
  <si>
    <t>New Mexico State @ Utah Valley State</t>
  </si>
  <si>
    <t>Weber State @ Idaho State</t>
  </si>
  <si>
    <t>North Carolina-Charlotte @ Marshall</t>
  </si>
  <si>
    <t>Charlotte +5.5</t>
  </si>
  <si>
    <t>Penguins @ Bruins</t>
  </si>
  <si>
    <t>Penguins Moneyline</t>
  </si>
  <si>
    <t>Colorado @ Arizona State</t>
  </si>
  <si>
    <t>Furman @ Wofford</t>
  </si>
  <si>
    <t>Wofford +3.5</t>
  </si>
  <si>
    <t>Rider @ Niagra</t>
  </si>
  <si>
    <t>Fairmont @ Iona</t>
  </si>
  <si>
    <t>Fairmont +4</t>
  </si>
  <si>
    <t>Wisconsin @ Michigan State</t>
  </si>
  <si>
    <t>Wisonsin +9.5</t>
  </si>
  <si>
    <t>Brown +11</t>
  </si>
  <si>
    <t>Ducks @ Hurricans</t>
  </si>
  <si>
    <t>Ducks Moneyline</t>
  </si>
  <si>
    <t>Cavaliers @ Grizzlies</t>
  </si>
  <si>
    <t>Over 228.5</t>
  </si>
  <si>
    <t>Cavaliers +8.5</t>
  </si>
  <si>
    <t>Lightning @ Jets</t>
  </si>
  <si>
    <t>Hawks @ Spurs</t>
  </si>
  <si>
    <t>Over 230.5</t>
  </si>
  <si>
    <t>Miami (OH) @ Ball State</t>
  </si>
  <si>
    <t>Ball State -8.5</t>
  </si>
  <si>
    <t>South Carolina +1.5</t>
  </si>
  <si>
    <t>Florida State @ Miami</t>
  </si>
  <si>
    <t>Miami +6.5</t>
  </si>
  <si>
    <t>St. Peters @ Quinnipiac</t>
  </si>
  <si>
    <t>Quinnipiac -5.5</t>
  </si>
  <si>
    <t>Alcorn State @ Misssissippi Valley State</t>
  </si>
  <si>
    <t>Over 155</t>
  </si>
  <si>
    <t>Murray State @ Southeast Missouri State</t>
  </si>
  <si>
    <t>Southeast Missouri State +10.5</t>
  </si>
  <si>
    <t>Sabres @ Predators</t>
  </si>
  <si>
    <t>Sabres Moneyline</t>
  </si>
  <si>
    <t>Titans @ Chiefs</t>
  </si>
  <si>
    <t>Under 53</t>
  </si>
  <si>
    <t>Packers @ 49ers</t>
  </si>
  <si>
    <t>Titans +7.5</t>
  </si>
  <si>
    <t>Packers +7</t>
  </si>
  <si>
    <t>Kings @ Heat</t>
  </si>
  <si>
    <t>North Carolina-Asheville @ Longwood</t>
  </si>
  <si>
    <t>North Carolina State @ Virginia</t>
  </si>
  <si>
    <t>North Carolina-A&amp;T @ Morgan State</t>
  </si>
  <si>
    <t>Pacers @ Jazz</t>
  </si>
  <si>
    <t>Kings +6.5</t>
  </si>
  <si>
    <t>Under 147.5</t>
  </si>
  <si>
    <t>North Carolina State +4.5</t>
  </si>
  <si>
    <t>North Carolina-A&amp;T +4</t>
  </si>
  <si>
    <t>Pacers +7.5</t>
  </si>
  <si>
    <t>Trailblazers -6.5</t>
  </si>
  <si>
    <t>Northern Illinois @ Kent State</t>
  </si>
  <si>
    <t>Eastern Michigan @ Bowling Green State</t>
  </si>
  <si>
    <t>Georgia @ Kentucky</t>
  </si>
  <si>
    <t>Jets @ Hurricanes</t>
  </si>
  <si>
    <t>Oklahoma State @ Iowa State</t>
  </si>
  <si>
    <t>Panthers @ Blackhawks</t>
  </si>
  <si>
    <t>Mississippi @ Tennessee</t>
  </si>
  <si>
    <t>Kent State -9.5</t>
  </si>
  <si>
    <t>Eastern Michigan +8.5</t>
  </si>
  <si>
    <t>Georgia +11.5</t>
  </si>
  <si>
    <t>Oklahoma State +5.5</t>
  </si>
  <si>
    <t>Panthers Moneyline</t>
  </si>
  <si>
    <t>Manhattan @ Marist</t>
  </si>
  <si>
    <t>Binghamton @ Stoney Brook</t>
  </si>
  <si>
    <t>Massachusetts @ George Mason</t>
  </si>
  <si>
    <t>Penn State @ Michigan</t>
  </si>
  <si>
    <t>Arkansas @ Mississippi State</t>
  </si>
  <si>
    <t>Western Carolina @ Mercer</t>
  </si>
  <si>
    <t>Lehigh @ Holy Cross</t>
  </si>
  <si>
    <t>Stephen F. Austin @ Northwestern State</t>
  </si>
  <si>
    <t>Manhattan -5</t>
  </si>
  <si>
    <t>Binghamton +17</t>
  </si>
  <si>
    <t>Massachusetts +6.5</t>
  </si>
  <si>
    <t>Under 151.5</t>
  </si>
  <si>
    <t>Arkansas +4</t>
  </si>
  <si>
    <t>Western Carolina +2</t>
  </si>
  <si>
    <t>Lehigh -3.5</t>
  </si>
  <si>
    <t>Stephen F. Austin -10.5</t>
  </si>
  <si>
    <t>Under 141.5</t>
  </si>
  <si>
    <t>Northern Iowa @ Southern Illinois</t>
  </si>
  <si>
    <t>Creighton @ Depaul</t>
  </si>
  <si>
    <t>Pacers @ Suns</t>
  </si>
  <si>
    <t>UC-Irvine @ Cal State Long Beach</t>
  </si>
  <si>
    <t>Jazz @ Warriors</t>
  </si>
  <si>
    <t>Nuggets +8.5</t>
  </si>
  <si>
    <t>Over 221.5</t>
  </si>
  <si>
    <t>UC-Irvine -9</t>
  </si>
  <si>
    <t>Under 218.5</t>
  </si>
  <si>
    <t>Campbell @ Hampton</t>
  </si>
  <si>
    <t>Green Bay @ Cleveland State</t>
  </si>
  <si>
    <t>Western Illinois @ Omaha</t>
  </si>
  <si>
    <t>Montana State @ Weber State</t>
  </si>
  <si>
    <t>UCLA @ Oregon State</t>
  </si>
  <si>
    <t>Citadel @ Chattanooga</t>
  </si>
  <si>
    <t>Campbell PK</t>
  </si>
  <si>
    <t>Western Illinois +11</t>
  </si>
  <si>
    <t>Montana state +3.5</t>
  </si>
  <si>
    <t>Kent State @ Buffalo</t>
  </si>
  <si>
    <t>Cansius @ Iona</t>
  </si>
  <si>
    <t>Suns @ Spurs</t>
  </si>
  <si>
    <t>Kent State +3.5</t>
  </si>
  <si>
    <t>Cansius +3</t>
  </si>
  <si>
    <t>Over 227.5</t>
  </si>
  <si>
    <t>Mississippi Valley State @ Providence</t>
  </si>
  <si>
    <t>Northern Colorado @ Eastern Washington</t>
  </si>
  <si>
    <t>Bethune-Cookman @ South Carolina State</t>
  </si>
  <si>
    <t>Cavaliers @ Pistons</t>
  </si>
  <si>
    <t>Ducks @ Sharks</t>
  </si>
  <si>
    <t>Maple Leafs @ Predators</t>
  </si>
  <si>
    <t>Under 153.5</t>
  </si>
  <si>
    <t>Kansas -7</t>
  </si>
  <si>
    <t>Cavaliers +7</t>
  </si>
  <si>
    <t>Predators Moneyline</t>
  </si>
  <si>
    <t>Sum of Profit2</t>
  </si>
  <si>
    <t>All</t>
  </si>
  <si>
    <t>Total Bets</t>
  </si>
  <si>
    <t>Total Risked</t>
  </si>
  <si>
    <t>Win %</t>
  </si>
  <si>
    <t>Summary</t>
  </si>
  <si>
    <t>By Sport</t>
  </si>
  <si>
    <t>By 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</si>
  <si>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</si>
  <si>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</si>
  <si>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</si>
  <si>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</si>
  <si>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</si>
  <si>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</si>
  <si>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</si>
  <si>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</si>
  <si>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</si>
  <si>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</si>
  <si>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</si>
  <si>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Count of Result</t>
  </si>
  <si>
    <t>By Bet Type</t>
  </si>
  <si>
    <t>Favorite Moneyline</t>
  </si>
  <si>
    <t>Dog Moneyline</t>
  </si>
  <si>
    <t>Spreads</t>
  </si>
  <si>
    <t>Totals</t>
  </si>
  <si>
    <t>Moneylines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</si>
</sst>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quotePrefix="1" applyFill="1"/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0" fillId="2" borderId="1" xfId="2" applyNumberFormat="1" applyFont="1" applyFill="1" applyBorder="1" applyAlignment="1">
      <alignment horizontal="center" vertical="center"/>
    </xf>
    <xf numFmtId="164" fontId="0" fillId="2" borderId="3" xfId="2" applyNumberFormat="1" applyFont="1" applyFill="1" applyBorder="1" applyAlignment="1">
      <alignment horizontal="center" vertical="center"/>
    </xf>
    <xf numFmtId="164" fontId="0" fillId="2" borderId="2" xfId="2" applyNumberFormat="1" applyFont="1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/>
    </xf>
    <xf numFmtId="164" fontId="0" fillId="2" borderId="3" xfId="2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4" fillId="2" borderId="0" xfId="2" applyFont="1" applyFill="1"/>
    <xf numFmtId="9" fontId="8" fillId="2" borderId="0" xfId="2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0" fillId="2" borderId="0" xfId="0" applyFill="1" applyAlignment="1">
      <alignment horizontal="center"/>
    </xf>
    <xf numFmtId="0" fontId="4" fillId="0" borderId="0" xfId="0" applyFont="1"/>
    <xf numFmtId="14" fontId="0" fillId="0" borderId="0" xfId="0" applyNumberFormat="1" applyAlignment="1">
      <alignment horizontal="center"/>
    </xf>
    <xf numFmtId="9" fontId="0" fillId="0" borderId="0" xfId="2" applyFont="1" applyFill="1"/>
    <xf numFmtId="165" fontId="0" fillId="0" borderId="0" xfId="0" applyNumberFormat="1" applyFill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65" fontId="0" fillId="0" borderId="0" xfId="0" applyNumberFormat="1"/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2" applyFont="1"/>
    <xf numFmtId="0" fontId="0" fillId="0" borderId="0" xfId="0" applyAlignment="1">
      <alignment vertical="center" wrapText="1"/>
    </xf>
    <xf numFmtId="0" fontId="6" fillId="0" borderId="4" xfId="0" applyFont="1" applyBorder="1"/>
    <xf numFmtId="165" fontId="0" fillId="2" borderId="11" xfId="0" applyNumberFormat="1" applyFill="1" applyBorder="1" applyAlignment="1">
      <alignment horizontal="right"/>
    </xf>
    <xf numFmtId="0" fontId="0" fillId="2" borderId="12" xfId="0" applyNumberFormat="1" applyFill="1" applyBorder="1" applyAlignment="1">
      <alignment horizontal="left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9" fontId="0" fillId="0" borderId="0" xfId="2" applyFont="1" applyAlignment="1">
      <alignment horizontal="left"/>
    </xf>
    <xf numFmtId="0" fontId="10" fillId="0" borderId="0" xfId="0" applyFont="1" applyFill="1"/>
    <xf numFmtId="9" fontId="14" fillId="0" borderId="0" xfId="2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 wrapText="1"/>
    </xf>
    <xf numFmtId="16" fontId="4" fillId="0" borderId="0" xfId="0" applyNumberFormat="1" applyFont="1" applyAlignment="1">
      <alignment horizontal="left" vertical="center"/>
    </xf>
    <xf numFmtId="17" fontId="0" fillId="0" borderId="0" xfId="0" applyNumberFormat="1"/>
    <xf numFmtId="44" fontId="0" fillId="0" borderId="0" xfId="1" applyFont="1"/>
    <xf numFmtId="44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right" vertical="center"/>
    </xf>
    <xf numFmtId="0" fontId="0" fillId="0" borderId="0" xfId="1" quotePrefix="1" applyNumberFormat="1" applyFont="1" applyAlignment="1">
      <alignment horizontal="right" vertical="center"/>
    </xf>
    <xf numFmtId="165" fontId="2" fillId="0" borderId="0" xfId="0" applyNumberFormat="1" applyFont="1"/>
    <xf numFmtId="0" fontId="21" fillId="0" borderId="0" xfId="1" applyNumberFormat="1" applyFont="1" applyAlignment="1">
      <alignment horizontal="right" vertical="center"/>
    </xf>
    <xf numFmtId="0" fontId="19" fillId="0" borderId="0" xfId="1" applyNumberFormat="1" applyFont="1" applyAlignment="1">
      <alignment horizontal="right" vertical="center"/>
    </xf>
    <xf numFmtId="0" fontId="9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12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right" vertical="center"/>
    </xf>
    <xf numFmtId="0" fontId="18" fillId="0" borderId="0" xfId="1" applyNumberFormat="1" applyFont="1" applyAlignment="1">
      <alignment horizontal="right" vertical="center"/>
    </xf>
    <xf numFmtId="0" fontId="20" fillId="0" borderId="0" xfId="1" applyNumberFormat="1" applyFont="1" applyAlignment="1">
      <alignment horizontal="right" vertical="center"/>
    </xf>
    <xf numFmtId="0" fontId="22" fillId="0" borderId="0" xfId="1" applyNumberFormat="1" applyFont="1" applyAlignment="1">
      <alignment horizontal="right" vertical="center"/>
    </xf>
    <xf numFmtId="0" fontId="23" fillId="0" borderId="0" xfId="1" applyNumberFormat="1" applyFont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49" fontId="0" fillId="0" borderId="0" xfId="1" applyNumberFormat="1" applyFont="1" applyAlignment="1">
      <alignment horizontal="right" vertical="center"/>
    </xf>
    <xf numFmtId="49" fontId="0" fillId="0" borderId="0" xfId="1" quotePrefix="1" applyNumberFormat="1" applyFont="1" applyAlignment="1">
      <alignment horizontal="right" vertical="center"/>
    </xf>
    <xf numFmtId="0" fontId="24" fillId="0" borderId="0" xfId="1" applyNumberFormat="1" applyFont="1" applyAlignment="1">
      <alignment horizontal="right" vertical="center"/>
    </xf>
    <xf numFmtId="0" fontId="25" fillId="0" borderId="0" xfId="1" applyNumberFormat="1" applyFont="1" applyAlignment="1">
      <alignment horizontal="right" vertical="center"/>
    </xf>
    <xf numFmtId="0" fontId="2" fillId="9" borderId="13" xfId="0" applyFont="1" applyFill="1" applyBorder="1"/>
    <xf numFmtId="0" fontId="2" fillId="6" borderId="13" xfId="0" applyFont="1" applyFill="1" applyBorder="1"/>
    <xf numFmtId="0" fontId="2" fillId="7" borderId="13" xfId="0" applyFont="1" applyFill="1" applyBorder="1"/>
    <xf numFmtId="0" fontId="2" fillId="9" borderId="13" xfId="0" applyFont="1" applyFill="1" applyBorder="1" applyAlignment="1">
      <alignment horizontal="left"/>
    </xf>
    <xf numFmtId="16" fontId="2" fillId="9" borderId="13" xfId="0" applyNumberFormat="1" applyFont="1" applyFill="1" applyBorder="1" applyAlignment="1">
      <alignment horizontal="left" indent="1"/>
    </xf>
    <xf numFmtId="165" fontId="2" fillId="9" borderId="13" xfId="0" applyNumberFormat="1" applyFont="1" applyFill="1" applyBorder="1"/>
    <xf numFmtId="165" fontId="0" fillId="4" borderId="13" xfId="0" applyNumberFormat="1" applyFill="1" applyBorder="1" applyAlignment="1">
      <alignment horizontal="center"/>
    </xf>
    <xf numFmtId="165" fontId="0" fillId="8" borderId="13" xfId="0" applyNumberFormat="1" applyFill="1" applyBorder="1" applyAlignment="1">
      <alignment horizontal="center"/>
    </xf>
    <xf numFmtId="165" fontId="0" fillId="11" borderId="13" xfId="0" applyNumberForma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15" fontId="0" fillId="0" borderId="0" xfId="0" applyNumberFormat="1" applyAlignment="1">
      <alignment horizontal="left" indent="1"/>
    </xf>
    <xf numFmtId="0" fontId="0" fillId="0" borderId="13" xfId="0" pivotButton="1" applyBorder="1"/>
    <xf numFmtId="0" fontId="0" fillId="0" borderId="13" xfId="0" applyBorder="1"/>
    <xf numFmtId="0" fontId="27" fillId="9" borderId="0" xfId="0" applyFont="1" applyFill="1" applyBorder="1"/>
    <xf numFmtId="165" fontId="0" fillId="0" borderId="0" xfId="1" applyNumberFormat="1" applyFont="1" applyAlignment="1">
      <alignment vertical="center" wrapText="1"/>
    </xf>
    <xf numFmtId="0" fontId="0" fillId="0" borderId="0" xfId="1" applyNumberFormat="1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left" indent="1"/>
    </xf>
    <xf numFmtId="0" fontId="28" fillId="0" borderId="0" xfId="1" applyNumberFormat="1" applyFont="1" applyAlignment="1">
      <alignment horizontal="right" vertical="center" wrapText="1"/>
    </xf>
    <xf numFmtId="165" fontId="0" fillId="4" borderId="13" xfId="0" applyNumberFormat="1" applyFill="1" applyBorder="1"/>
    <xf numFmtId="0" fontId="2" fillId="9" borderId="0" xfId="0" applyFont="1" applyFill="1" applyBorder="1" applyAlignment="1">
      <alignment horizontal="left"/>
    </xf>
    <xf numFmtId="165" fontId="2" fillId="9" borderId="0" xfId="0" applyNumberFormat="1" applyFont="1" applyFill="1" applyBorder="1"/>
    <xf numFmtId="16" fontId="4" fillId="0" borderId="0" xfId="0" applyNumberFormat="1" applyFont="1" applyAlignment="1">
      <alignment horizontal="center" vertical="center"/>
    </xf>
    <xf numFmtId="0" fontId="29" fillId="0" borderId="0" xfId="1" applyNumberFormat="1" applyFont="1" applyAlignment="1">
      <alignment horizontal="right" vertical="center"/>
    </xf>
    <xf numFmtId="0" fontId="29" fillId="0" borderId="0" xfId="1" applyNumberFormat="1" applyFont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30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26" fillId="9" borderId="1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2" borderId="0" xfId="0" applyNumberForma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165" fontId="0" fillId="13" borderId="0" xfId="1" applyNumberFormat="1" applyFont="1" applyFill="1" applyAlignment="1">
      <alignment horizontal="center"/>
    </xf>
    <xf numFmtId="0" fontId="0" fillId="13" borderId="0" xfId="0" applyNumberFormat="1" applyFill="1" applyAlignment="1">
      <alignment horizontal="center"/>
    </xf>
    <xf numFmtId="164" fontId="0" fillId="13" borderId="0" xfId="2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5" fontId="0" fillId="14" borderId="0" xfId="1" applyNumberFormat="1" applyFont="1" applyFill="1" applyAlignment="1">
      <alignment horizontal="center"/>
    </xf>
    <xf numFmtId="0" fontId="0" fillId="14" borderId="0" xfId="0" applyNumberForma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5" fontId="0" fillId="15" borderId="0" xfId="1" applyNumberFormat="1" applyFont="1" applyFill="1" applyAlignment="1">
      <alignment horizontal="center"/>
    </xf>
    <xf numFmtId="0" fontId="0" fillId="15" borderId="0" xfId="0" applyNumberFormat="1" applyFill="1" applyAlignment="1">
      <alignment horizontal="center"/>
    </xf>
    <xf numFmtId="164" fontId="0" fillId="15" borderId="0" xfId="2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165" fontId="0" fillId="16" borderId="0" xfId="1" applyNumberFormat="1" applyFont="1" applyFill="1" applyAlignment="1">
      <alignment horizontal="center"/>
    </xf>
    <xf numFmtId="0" fontId="0" fillId="16" borderId="0" xfId="0" applyNumberForma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165" fontId="0" fillId="17" borderId="0" xfId="1" applyNumberFormat="1" applyFont="1" applyFill="1" applyAlignment="1">
      <alignment horizontal="center"/>
    </xf>
    <xf numFmtId="0" fontId="0" fillId="17" borderId="0" xfId="0" applyNumberForma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6" fillId="15" borderId="0" xfId="0" applyFont="1" applyFill="1" applyAlignment="1">
      <alignment horizontal="right"/>
    </xf>
    <xf numFmtId="0" fontId="6" fillId="16" borderId="0" xfId="0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31" fillId="5" borderId="0" xfId="0" applyFont="1" applyFill="1"/>
    <xf numFmtId="0" fontId="31" fillId="12" borderId="0" xfId="0" applyFont="1" applyFill="1"/>
    <xf numFmtId="0" fontId="31" fillId="13" borderId="0" xfId="0" applyFont="1" applyFill="1"/>
    <xf numFmtId="0" fontId="31" fillId="1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4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</dxf>
    <dxf>
      <font>
        <color theme="0"/>
      </font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0"/>
        </patternFill>
      </fill>
    </dxf>
    <dxf>
      <font>
        <color theme="0"/>
      </font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patternFill>
          <bgColor theme="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>
          <bgColor indexed="6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>
          <bgColor indexed="64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0" indent="0" justifyLastLine="0" shrinkToFit="0" readingOrder="0"/>
    </dxf>
    <dxf>
      <numFmt numFmtId="165" formatCode="&quot;$&quot;#,##0.00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21" formatCode="d\-mmm"/>
      <alignment horizontal="left" vertical="center" textRotation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numFmt numFmtId="21" formatCode="d\-mmm"/>
      <fill>
        <patternFill patternType="solid">
          <fgColor indexed="64"/>
          <bgColor theme="0" tint="-0.499984740745262"/>
        </patternFill>
      </fill>
      <alignment indent="1" readingOrder="0"/>
    </dxf>
    <dxf>
      <font>
        <color theme="0"/>
      </font>
      <numFmt numFmtId="21" formatCode="d\-mmm"/>
      <fill>
        <patternFill patternType="solid">
          <fgColor indexed="64"/>
          <bgColor theme="0" tint="-0.499984740745262"/>
        </patternFill>
      </fill>
      <alignment indent="1" readingOrder="0"/>
    </dxf>
    <dxf>
      <font>
        <color theme="0"/>
      </font>
      <numFmt numFmtId="21" formatCode="d\-mmm"/>
      <fill>
        <patternFill patternType="solid">
          <fgColor indexed="64"/>
          <bgColor theme="0" tint="-0.499984740745262"/>
        </patternFill>
      </fill>
      <alignment indent="1" readingOrder="0"/>
    </dxf>
    <dxf>
      <font>
        <color theme="0"/>
      </font>
      <numFmt numFmtId="21" formatCode="d\-mmm"/>
      <fill>
        <patternFill patternType="solid">
          <fgColor indexed="64"/>
          <bgColor theme="0" tint="-0.499984740745262"/>
        </patternFill>
      </fill>
      <alignment indent="1" readingOrder="0"/>
    </dxf>
    <dxf>
      <fill>
        <patternFill>
          <bgColor theme="4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readingOrder="0"/>
    </dxf>
    <dxf>
      <fill>
        <patternFill patternType="solid">
          <fgColor indexed="64"/>
          <bgColor theme="6" tint="0.59999389629810485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readingOrder="0"/>
    </dxf>
    <dxf>
      <font>
        <color theme="0"/>
      </font>
      <fill>
        <patternFill patternType="solid">
          <fgColor indexed="64"/>
          <bgColor theme="0" tint="-0.49998474074526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7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theme="6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 Bets.xlsx]Summary!PivotTable2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rgbClr val="9BBB59"/>
          </a:solidFill>
          <a:ln>
            <a:solidFill>
              <a:schemeClr val="bg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Summary!$B$53</c:f>
              <c:strCache>
                <c:ptCount val="1"/>
                <c:pt idx="0">
                  <c:v>Sum of Risk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Summary!$A$54:$A$71</c:f>
              <c:multiLvlStrCache>
                <c:ptCount val="1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Summary!$B$54:$B$71</c:f>
              <c:numCache>
                <c:formatCode>"$"#,##0.00</c:formatCode>
                <c:ptCount val="14"/>
                <c:pt idx="0">
                  <c:v>995</c:v>
                </c:pt>
                <c:pt idx="1">
                  <c:v>1567.48</c:v>
                </c:pt>
                <c:pt idx="2">
                  <c:v>818.59999999999991</c:v>
                </c:pt>
                <c:pt idx="3">
                  <c:v>826.27</c:v>
                </c:pt>
                <c:pt idx="4">
                  <c:v>375.34000000000003</c:v>
                </c:pt>
                <c:pt idx="5">
                  <c:v>177.44</c:v>
                </c:pt>
                <c:pt idx="6">
                  <c:v>19.36</c:v>
                </c:pt>
                <c:pt idx="7">
                  <c:v>203.90999999999997</c:v>
                </c:pt>
                <c:pt idx="8">
                  <c:v>2060.0200000000004</c:v>
                </c:pt>
                <c:pt idx="9">
                  <c:v>1059.2400000000002</c:v>
                </c:pt>
                <c:pt idx="10">
                  <c:v>915.33999999999992</c:v>
                </c:pt>
                <c:pt idx="11">
                  <c:v>1868.6941156685459</c:v>
                </c:pt>
                <c:pt idx="12">
                  <c:v>2023.96</c:v>
                </c:pt>
                <c:pt idx="13">
                  <c:v>1919.36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C-48CF-9A88-B7E611749747}"/>
            </c:ext>
          </c:extLst>
        </c:ser>
        <c:ser>
          <c:idx val="1"/>
          <c:order val="1"/>
          <c:tx>
            <c:strRef>
              <c:f>Summary!$C$53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bg1"/>
              </a:solidFill>
            </a:ln>
            <a:effectLst>
              <a:innerShdw blurRad="114300">
                <a:schemeClr val="accent2"/>
              </a:innerShdw>
            </a:effectLst>
          </c:spPr>
          <c:invertIfNegative val="1"/>
          <c:cat>
            <c:multiLvlStrRef>
              <c:f>Summary!$A$54:$A$71</c:f>
              <c:multiLvlStrCache>
                <c:ptCount val="1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Summary!$C$54:$C$71</c:f>
              <c:numCache>
                <c:formatCode>"$"#,##0.00</c:formatCode>
                <c:ptCount val="14"/>
                <c:pt idx="0">
                  <c:v>-77.566252587991698</c:v>
                </c:pt>
                <c:pt idx="1">
                  <c:v>39.911665893984001</c:v>
                </c:pt>
                <c:pt idx="2">
                  <c:v>-109.28772567836677</c:v>
                </c:pt>
                <c:pt idx="3">
                  <c:v>42.465375866661859</c:v>
                </c:pt>
                <c:pt idx="4">
                  <c:v>-15.168232072573652</c:v>
                </c:pt>
                <c:pt idx="5">
                  <c:v>-12.779895635867481</c:v>
                </c:pt>
                <c:pt idx="6">
                  <c:v>-4.5664052287581702</c:v>
                </c:pt>
                <c:pt idx="7">
                  <c:v>-49.810867358857877</c:v>
                </c:pt>
                <c:pt idx="8">
                  <c:v>20.8274279625365</c:v>
                </c:pt>
                <c:pt idx="9">
                  <c:v>-12.086678458015903</c:v>
                </c:pt>
                <c:pt idx="10">
                  <c:v>357.59868620366922</c:v>
                </c:pt>
                <c:pt idx="11">
                  <c:v>-629.04317888468358</c:v>
                </c:pt>
                <c:pt idx="12">
                  <c:v>-158.6984083043067</c:v>
                </c:pt>
                <c:pt idx="13">
                  <c:v>-364.86476723288371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504D"/>
                  </a:solidFill>
                  <a:ln>
                    <a:solidFill>
                      <a:schemeClr val="bg1"/>
                    </a:solidFill>
                  </a:ln>
                  <a:effectLst>
                    <a:innerShdw blurRad="114300">
                      <a:schemeClr val="accent2"/>
                    </a:inn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3-1F1C-48CF-9A88-B7E61174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269160"/>
        <c:axId val="575271784"/>
      </c:barChart>
      <c:lineChart>
        <c:grouping val="stacked"/>
        <c:varyColors val="0"/>
        <c:ser>
          <c:idx val="2"/>
          <c:order val="2"/>
          <c:tx>
            <c:strRef>
              <c:f>Summary!$D$53</c:f>
              <c:strCache>
                <c:ptCount val="1"/>
                <c:pt idx="0">
                  <c:v>Sum of Profit2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multiLvlStrRef>
              <c:f>Summary!$A$54:$A$71</c:f>
              <c:multiLvlStrCache>
                <c:ptCount val="14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13">
                    <c:v>2020</c:v>
                  </c:pt>
                </c:lvl>
              </c:multiLvlStrCache>
            </c:multiLvlStrRef>
          </c:cat>
          <c:val>
            <c:numRef>
              <c:f>Summary!$D$54:$D$71</c:f>
              <c:numCache>
                <c:formatCode>General</c:formatCode>
                <c:ptCount val="14"/>
                <c:pt idx="0">
                  <c:v>-77.566252587991698</c:v>
                </c:pt>
                <c:pt idx="1">
                  <c:v>39.911665893984001</c:v>
                </c:pt>
                <c:pt idx="2">
                  <c:v>-109.28772567836677</c:v>
                </c:pt>
                <c:pt idx="3">
                  <c:v>42.465375866661859</c:v>
                </c:pt>
                <c:pt idx="4">
                  <c:v>-15.168232072573652</c:v>
                </c:pt>
                <c:pt idx="5">
                  <c:v>-12.779895635867481</c:v>
                </c:pt>
                <c:pt idx="6">
                  <c:v>-4.5664052287581702</c:v>
                </c:pt>
                <c:pt idx="7">
                  <c:v>-49.810867358857877</c:v>
                </c:pt>
                <c:pt idx="8">
                  <c:v>20.8274279625365</c:v>
                </c:pt>
                <c:pt idx="9">
                  <c:v>-12.086678458015903</c:v>
                </c:pt>
                <c:pt idx="10">
                  <c:v>357.59868620366922</c:v>
                </c:pt>
                <c:pt idx="11">
                  <c:v>-629.04317888468358</c:v>
                </c:pt>
                <c:pt idx="12">
                  <c:v>-236.26466089229839</c:v>
                </c:pt>
                <c:pt idx="13">
                  <c:v>-324.95310133889973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E4D-863F-52F9ADD72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69160"/>
        <c:axId val="575271784"/>
      </c:lineChart>
      <c:catAx>
        <c:axId val="5752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1784"/>
        <c:crosses val="autoZero"/>
        <c:auto val="1"/>
        <c:lblAlgn val="ctr"/>
        <c:lblOffset val="100"/>
        <c:noMultiLvlLbl val="0"/>
      </c:catAx>
      <c:valAx>
        <c:axId val="5752717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51</xdr:row>
      <xdr:rowOff>171450</xdr:rowOff>
    </xdr:from>
    <xdr:to>
      <xdr:col>21</xdr:col>
      <xdr:colOff>1047751</xdr:colOff>
      <xdr:row>73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ips" refreshedDate="43857.610649884256" createdVersion="6" refreshedVersion="6" minRefreshableVersion="3" recordCount="1663">
  <cacheSource type="worksheet">
    <worksheetSource name="Bets"/>
  </cacheSource>
  <cacheFields count="11">
    <cacheField name="Date" numFmtId="16">
      <sharedItems containsSemiMixedTypes="0" containsNonDate="0" containsDate="1" containsString="0" minDate="2018-12-02T00:00:00" maxDate="2020-01-28T00:00:00" count="202">
        <d v="2018-12-02T00:00:00"/>
        <d v="2018-12-03T00:00:00"/>
        <d v="2018-12-06T00:00:00"/>
        <d v="2018-12-09T00:00:00"/>
        <d v="2018-12-10T00:00:00"/>
        <d v="2018-12-13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0T00:00:00"/>
        <d v="2019-01-21T00:00:00"/>
        <d v="2019-01-22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8T00:00:00"/>
        <d v="2019-02-19T00:00:00"/>
        <d v="2019-02-20T00:00:00"/>
        <d v="2019-02-21T00:00:00"/>
        <d v="2019-02-22T00:00:00"/>
        <d v="2019-02-26T00:00:00"/>
        <d v="2019-02-27T00:00:00"/>
        <d v="2019-02-28T00:00:00"/>
        <d v="2019-03-04T00:00:00"/>
        <d v="2019-03-05T00:00:00"/>
        <d v="2019-03-06T00:00:00"/>
        <d v="2019-03-12T00:00:00"/>
        <d v="2019-03-13T00:00:00"/>
        <d v="2019-03-14T00:00:00"/>
        <d v="2019-03-15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2T00:00:00"/>
        <d v="2019-04-03T00:00:00"/>
        <d v="2019-04-04T00:00:00"/>
        <d v="2019-04-06T00:00:00"/>
        <d v="2019-04-08T00:00:00"/>
        <d v="2019-04-12T00:00:00"/>
        <d v="2019-04-15T00:00:00"/>
        <d v="2019-04-16T00:00:00"/>
        <d v="2019-04-18T00:00:00"/>
        <d v="2019-04-19T00:00:00"/>
        <d v="2019-04-26T00:00:00"/>
        <d v="2019-04-29T00:00:00"/>
        <d v="2019-05-01T00:00:00"/>
        <d v="2019-05-02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1T00:00:00"/>
        <d v="2019-05-23T00:00:00"/>
        <d v="2019-05-28T00:00:00"/>
        <d v="2019-05-29T00:00:00"/>
        <d v="2019-05-31T00:00:00"/>
        <d v="2019-06-03T00:00:00"/>
        <d v="2019-06-27T00:00:00"/>
        <d v="2019-06-28T00:00:00"/>
        <d v="2019-07-01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26T00:00:00"/>
        <d v="2019-08-27T00:00:00"/>
        <d v="2019-08-28T00:00:00"/>
        <d v="2019-08-29T00:00:00"/>
        <d v="2019-09-09T00:00:00"/>
        <d v="2019-09-10T00:00:00"/>
        <d v="2019-09-11T00:00:00"/>
        <d v="2019-09-13T00:00:00"/>
        <d v="2019-09-14T00:00:00"/>
        <d v="2019-09-15T00:00:00"/>
        <d v="2019-09-16T00:00:00"/>
        <d v="2019-09-19T00:00:00"/>
        <d v="2019-09-21T00:00:00"/>
        <d v="2019-09-22T00:00:00"/>
        <d v="2019-09-23T00:00:00"/>
        <d v="2019-09-26T00:00:00"/>
        <d v="2019-09-28T00:00:00"/>
        <d v="2019-09-29T00:00:00"/>
        <d v="2019-09-30T00:00:00"/>
        <d v="2019-10-03T00:00:00"/>
        <d v="2019-10-05T00:00:00"/>
        <d v="2019-10-06T00:00:00"/>
        <d v="2019-10-07T00:00:00"/>
        <d v="2019-10-09T00:00:00"/>
        <d v="2019-10-12T00:00:00"/>
        <d v="2019-10-14T00:00:00"/>
        <d v="2019-10-17T00:00:00"/>
        <d v="2019-10-18T00:00:00"/>
        <d v="2019-10-19T00:00:00"/>
        <d v="2019-10-20T00:00:00"/>
        <d v="2019-10-21T00:00:00"/>
        <d v="2019-10-24T00:00:00"/>
        <d v="2019-10-27T00:00:00"/>
        <d v="2019-10-28T00:00:00"/>
        <d v="2019-10-30T00:00:00"/>
        <d v="2019-10-31T00:00:00"/>
        <d v="2019-11-02T00:00:00"/>
        <d v="2019-11-03T00:00:00"/>
        <d v="2019-11-04T00:00:00"/>
        <d v="2019-11-05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21T00:00:00"/>
        <d v="2019-11-24T00:00:00"/>
        <d v="2019-11-25T00:00:00"/>
        <d v="2019-11-28T00:00:00"/>
        <d v="2019-12-01T00:00:00"/>
        <d v="2019-12-05T00:00:00"/>
        <d v="2019-12-08T00:00:00"/>
        <d v="2019-12-11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7T00:00:00"/>
      </sharedItems>
      <fieldGroup par="10" base="0">
        <rangePr groupBy="months" startDate="2018-12-02T00:00:00" endDate="2020-01-28T00:00:00"/>
        <groupItems count="14">
          <s v="&lt;12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Sport" numFmtId="0">
      <sharedItems containsBlank="1" count="11">
        <s v="NFL"/>
        <s v="NBA"/>
        <s v="NCAAB"/>
        <s v="Golf"/>
        <s v="AAF"/>
        <s v="NHL"/>
        <s v="MLB"/>
        <s v="Soccer"/>
        <s v="NCAAF"/>
        <m u="1"/>
        <s v="NFL " u="1"/>
      </sharedItems>
    </cacheField>
    <cacheField name="Game" numFmtId="0">
      <sharedItems/>
    </cacheField>
    <cacheField name="Bet" numFmtId="0">
      <sharedItems/>
    </cacheField>
    <cacheField name="Risk" numFmtId="165">
      <sharedItems containsSemiMixedTypes="0" containsString="0" containsNumber="1" minValue="0.23" maxValue="60"/>
    </cacheField>
    <cacheField name="Odds" numFmtId="0">
      <sharedItems containsMixedTypes="1" containsNumber="1" minValue="-1900" maxValue="10000"/>
    </cacheField>
    <cacheField name="Result" numFmtId="0">
      <sharedItems containsBlank="1" count="5">
        <s v="L"/>
        <s v="W"/>
        <s v="Push"/>
        <m/>
        <s v="No Action" u="1"/>
      </sharedItems>
    </cacheField>
    <cacheField name="Profit" numFmtId="44">
      <sharedItems containsMixedTypes="1" containsNumber="1" minValue="-50" maxValue="150"/>
    </cacheField>
    <cacheField name="Bet Type" numFmtId="44">
      <sharedItems count="8">
        <s v="F"/>
        <s v="U"/>
        <s v="O"/>
        <s v="D"/>
        <s v="MD"/>
        <s v=""/>
        <s v="MF"/>
        <s v="P"/>
      </sharedItems>
    </cacheField>
    <cacheField name="Quarters" numFmtId="0" databaseField="0">
      <fieldGroup base="0">
        <rangePr groupBy="quarters" startDate="2018-12-02T00:00:00" endDate="2020-01-28T00:00:00"/>
        <groupItems count="6">
          <s v="&lt;12/2/2018"/>
          <s v="Qtr1"/>
          <s v="Qtr2"/>
          <s v="Qtr3"/>
          <s v="Qtr4"/>
          <s v="&gt;1/28/2020"/>
        </groupItems>
      </fieldGroup>
    </cacheField>
    <cacheField name="Years" numFmtId="0" databaseField="0">
      <fieldGroup base="0">
        <rangePr groupBy="years" startDate="2018-12-02T00:00:00" endDate="2020-01-28T00:00:00"/>
        <groupItems count="5">
          <s v="&lt;12/2/2018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hilips" refreshedDate="43857.646967708337" createdVersion="6" refreshedVersion="6" minRefreshableVersion="3" recordCount="1663">
  <cacheSource type="worksheet">
    <worksheetSource name="bets"/>
  </cacheSource>
  <cacheFields count="9">
    <cacheField name="Date" numFmtId="16">
      <sharedItems containsSemiMixedTypes="0" containsNonDate="0" containsDate="1" containsString="0" minDate="2018-12-02T00:00:00" maxDate="2020-01-28T00:00:00" count="202">
        <d v="2018-12-02T00:00:00"/>
        <d v="2018-12-03T00:00:00"/>
        <d v="2018-12-06T00:00:00"/>
        <d v="2018-12-09T00:00:00"/>
        <d v="2018-12-10T00:00:00"/>
        <d v="2018-12-13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0T00:00:00"/>
        <d v="2019-01-21T00:00:00"/>
        <d v="2019-01-22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8T00:00:00"/>
        <d v="2019-02-19T00:00:00"/>
        <d v="2019-02-20T00:00:00"/>
        <d v="2019-02-21T00:00:00"/>
        <d v="2019-02-22T00:00:00"/>
        <d v="2019-02-26T00:00:00"/>
        <d v="2019-02-27T00:00:00"/>
        <d v="2019-02-28T00:00:00"/>
        <d v="2019-03-04T00:00:00"/>
        <d v="2019-03-05T00:00:00"/>
        <d v="2019-03-06T00:00:00"/>
        <d v="2019-03-12T00:00:00"/>
        <d v="2019-03-13T00:00:00"/>
        <d v="2019-03-14T00:00:00"/>
        <d v="2019-03-15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2T00:00:00"/>
        <d v="2019-04-03T00:00:00"/>
        <d v="2019-04-04T00:00:00"/>
        <d v="2019-04-06T00:00:00"/>
        <d v="2019-04-08T00:00:00"/>
        <d v="2019-04-12T00:00:00"/>
        <d v="2019-04-15T00:00:00"/>
        <d v="2019-04-16T00:00:00"/>
        <d v="2019-04-18T00:00:00"/>
        <d v="2019-04-19T00:00:00"/>
        <d v="2019-04-26T00:00:00"/>
        <d v="2019-04-29T00:00:00"/>
        <d v="2019-05-01T00:00:00"/>
        <d v="2019-05-02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1T00:00:00"/>
        <d v="2019-05-23T00:00:00"/>
        <d v="2019-05-28T00:00:00"/>
        <d v="2019-05-29T00:00:00"/>
        <d v="2019-05-31T00:00:00"/>
        <d v="2019-06-03T00:00:00"/>
        <d v="2019-06-27T00:00:00"/>
        <d v="2019-06-28T00:00:00"/>
        <d v="2019-07-01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26T00:00:00"/>
        <d v="2019-08-27T00:00:00"/>
        <d v="2019-08-28T00:00:00"/>
        <d v="2019-08-29T00:00:00"/>
        <d v="2019-09-09T00:00:00"/>
        <d v="2019-09-10T00:00:00"/>
        <d v="2019-09-11T00:00:00"/>
        <d v="2019-09-13T00:00:00"/>
        <d v="2019-09-14T00:00:00"/>
        <d v="2019-09-15T00:00:00"/>
        <d v="2019-09-16T00:00:00"/>
        <d v="2019-09-19T00:00:00"/>
        <d v="2019-09-21T00:00:00"/>
        <d v="2019-09-22T00:00:00"/>
        <d v="2019-09-23T00:00:00"/>
        <d v="2019-09-26T00:00:00"/>
        <d v="2019-09-28T00:00:00"/>
        <d v="2019-09-29T00:00:00"/>
        <d v="2019-09-30T00:00:00"/>
        <d v="2019-10-03T00:00:00"/>
        <d v="2019-10-05T00:00:00"/>
        <d v="2019-10-06T00:00:00"/>
        <d v="2019-10-07T00:00:00"/>
        <d v="2019-10-09T00:00:00"/>
        <d v="2019-10-12T00:00:00"/>
        <d v="2019-10-14T00:00:00"/>
        <d v="2019-10-17T00:00:00"/>
        <d v="2019-10-18T00:00:00"/>
        <d v="2019-10-19T00:00:00"/>
        <d v="2019-10-20T00:00:00"/>
        <d v="2019-10-21T00:00:00"/>
        <d v="2019-10-24T00:00:00"/>
        <d v="2019-10-27T00:00:00"/>
        <d v="2019-10-28T00:00:00"/>
        <d v="2019-10-30T00:00:00"/>
        <d v="2019-10-31T00:00:00"/>
        <d v="2019-11-02T00:00:00"/>
        <d v="2019-11-03T00:00:00"/>
        <d v="2019-11-04T00:00:00"/>
        <d v="2019-11-05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21T00:00:00"/>
        <d v="2019-11-24T00:00:00"/>
        <d v="2019-11-25T00:00:00"/>
        <d v="2019-11-28T00:00:00"/>
        <d v="2019-12-01T00:00:00"/>
        <d v="2019-12-05T00:00:00"/>
        <d v="2019-12-08T00:00:00"/>
        <d v="2019-12-11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7T00:00:00"/>
      </sharedItems>
    </cacheField>
    <cacheField name="Sport" numFmtId="0">
      <sharedItems count="9">
        <s v="NFL"/>
        <s v="NBA"/>
        <s v="NCAAB"/>
        <s v="Golf"/>
        <s v="AAF"/>
        <s v="NHL"/>
        <s v="MLB"/>
        <s v="Soccer"/>
        <s v="NCAAF"/>
      </sharedItems>
    </cacheField>
    <cacheField name="Game" numFmtId="0">
      <sharedItems/>
    </cacheField>
    <cacheField name="Bet" numFmtId="0">
      <sharedItems/>
    </cacheField>
    <cacheField name="Risk" numFmtId="165">
      <sharedItems containsSemiMixedTypes="0" containsString="0" containsNumber="1" minValue="0.23" maxValue="60"/>
    </cacheField>
    <cacheField name="Odds" numFmtId="0">
      <sharedItems containsMixedTypes="1" containsNumber="1" minValue="-1900" maxValue="10000"/>
    </cacheField>
    <cacheField name="Result" numFmtId="0">
      <sharedItems containsBlank="1"/>
    </cacheField>
    <cacheField name="Profit" numFmtId="44">
      <sharedItems containsMixedTypes="1" containsNumber="1" minValue="-50" maxValue="150"/>
    </cacheField>
    <cacheField name="Bet Type" numFmtId="44">
      <sharedItems count="8">
        <s v="F"/>
        <s v="U"/>
        <s v="O"/>
        <s v="D"/>
        <s v="MD"/>
        <s v=""/>
        <s v="MF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3">
  <r>
    <x v="0"/>
    <x v="0"/>
    <s v="Bears @ Giants"/>
    <s v="Bears -4"/>
    <n v="10"/>
    <n v="-115"/>
    <x v="0"/>
    <n v="-10"/>
    <x v="0"/>
  </r>
  <r>
    <x v="0"/>
    <x v="0"/>
    <s v="Colts @ Jaguars"/>
    <s v="Colts -4.5"/>
    <n v="10"/>
    <n v="-115"/>
    <x v="0"/>
    <n v="-10"/>
    <x v="0"/>
  </r>
  <r>
    <x v="0"/>
    <x v="0"/>
    <s v="Panthers @ Buccaneers"/>
    <s v="Under 54.5"/>
    <n v="10"/>
    <n v="-110"/>
    <x v="1"/>
    <n v="9.0909090909090917"/>
    <x v="1"/>
  </r>
  <r>
    <x v="0"/>
    <x v="0"/>
    <s v="Cardinals @ Packers"/>
    <s v="Packers -14"/>
    <n v="10"/>
    <n v="-110"/>
    <x v="0"/>
    <n v="-10"/>
    <x v="0"/>
  </r>
  <r>
    <x v="0"/>
    <x v="0"/>
    <s v="Cardinals @ Packers"/>
    <s v="Under 42.5"/>
    <n v="10"/>
    <n v="-115"/>
    <x v="1"/>
    <n v="8.695652173913043"/>
    <x v="1"/>
  </r>
  <r>
    <x v="0"/>
    <x v="0"/>
    <s v="Browns @ Texans"/>
    <s v="Over 48"/>
    <n v="10"/>
    <n v="-110"/>
    <x v="0"/>
    <n v="-10"/>
    <x v="2"/>
  </r>
  <r>
    <x v="0"/>
    <x v="0"/>
    <s v="Bills @ Dolphins"/>
    <s v="Dolphins -3.5"/>
    <n v="10"/>
    <n v="-110"/>
    <x v="1"/>
    <n v="9.0909090909090917"/>
    <x v="0"/>
  </r>
  <r>
    <x v="0"/>
    <x v="0"/>
    <s v="Bills @ Dolphins"/>
    <s v="Under 40"/>
    <n v="10"/>
    <n v="-115"/>
    <x v="1"/>
    <n v="8.695652173913043"/>
    <x v="1"/>
  </r>
  <r>
    <x v="0"/>
    <x v="0"/>
    <s v="Broncos @ Bengals"/>
    <s v="Over 45"/>
    <n v="10"/>
    <n v="-115"/>
    <x v="0"/>
    <n v="-10"/>
    <x v="2"/>
  </r>
  <r>
    <x v="0"/>
    <x v="0"/>
    <s v="Rams @ Lions"/>
    <s v="Rams -10"/>
    <n v="10"/>
    <n v="-110"/>
    <x v="1"/>
    <n v="9.0909090909090917"/>
    <x v="0"/>
  </r>
  <r>
    <x v="0"/>
    <x v="0"/>
    <s v="Rams @ Lions"/>
    <s v="Over 54.5"/>
    <n v="10"/>
    <n v="-110"/>
    <x v="0"/>
    <n v="-10"/>
    <x v="2"/>
  </r>
  <r>
    <x v="0"/>
    <x v="0"/>
    <s v="Jets @ Titans"/>
    <s v="Over 40.5"/>
    <n v="10"/>
    <n v="-110"/>
    <x v="1"/>
    <n v="9.0909090909090917"/>
    <x v="2"/>
  </r>
  <r>
    <x v="0"/>
    <x v="0"/>
    <s v="Vikings @ Patriots"/>
    <s v="Patriots -5"/>
    <n v="10"/>
    <n v="-110"/>
    <x v="1"/>
    <n v="9.0909090909090917"/>
    <x v="0"/>
  </r>
  <r>
    <x v="0"/>
    <x v="0"/>
    <s v="Vikings @ Patriots"/>
    <s v="Over 49.5"/>
    <n v="10"/>
    <n v="-115"/>
    <x v="0"/>
    <n v="-10"/>
    <x v="2"/>
  </r>
  <r>
    <x v="0"/>
    <x v="0"/>
    <s v="49ers @ Seahawks"/>
    <s v="Over 45.5"/>
    <n v="10"/>
    <n v="-105"/>
    <x v="1"/>
    <n v="9.5238095238095237"/>
    <x v="2"/>
  </r>
  <r>
    <x v="0"/>
    <x v="0"/>
    <s v="Chargers @ Steelers"/>
    <s v="Over 52"/>
    <n v="10"/>
    <n v="-110"/>
    <x v="1"/>
    <n v="9.0909090909090917"/>
    <x v="2"/>
  </r>
  <r>
    <x v="1"/>
    <x v="0"/>
    <s v="Redskins @ Eagles"/>
    <s v="Under 45"/>
    <n v="10"/>
    <n v="-115"/>
    <x v="1"/>
    <n v="8.695652173913043"/>
    <x v="1"/>
  </r>
  <r>
    <x v="2"/>
    <x v="0"/>
    <s v="Titans @ Jaguars"/>
    <s v="Under 37"/>
    <n v="20"/>
    <n v="-110"/>
    <x v="0"/>
    <n v="-20"/>
    <x v="1"/>
  </r>
  <r>
    <x v="3"/>
    <x v="0"/>
    <s v="Patriots @ Dolphins"/>
    <s v="Patriots -8"/>
    <n v="20"/>
    <n v="-110"/>
    <x v="0"/>
    <n v="-20"/>
    <x v="0"/>
  </r>
  <r>
    <x v="3"/>
    <x v="0"/>
    <s v="Colts @ Texans"/>
    <s v="Texans -4.5"/>
    <n v="20"/>
    <n v="-110"/>
    <x v="0"/>
    <n v="-20"/>
    <x v="0"/>
  </r>
  <r>
    <x v="3"/>
    <x v="0"/>
    <s v="Ravens @ Chiefs"/>
    <s v="Over 51"/>
    <n v="20"/>
    <n v="-115"/>
    <x v="2"/>
    <n v="0"/>
    <x v="2"/>
  </r>
  <r>
    <x v="3"/>
    <x v="0"/>
    <s v="Saints @ Buccaneers"/>
    <s v="Over 54.5"/>
    <n v="20"/>
    <n v="-115"/>
    <x v="0"/>
    <n v="-20"/>
    <x v="2"/>
  </r>
  <r>
    <x v="3"/>
    <x v="0"/>
    <s v="Saints @ Buccaneers"/>
    <s v="Saints -9.5"/>
    <n v="20"/>
    <n v="-110"/>
    <x v="1"/>
    <n v="18.181818181818183"/>
    <x v="0"/>
  </r>
  <r>
    <x v="3"/>
    <x v="0"/>
    <s v="Panthers @ Browns"/>
    <s v="Under 47"/>
    <n v="20"/>
    <n v="-110"/>
    <x v="1"/>
    <n v="18.181818181818183"/>
    <x v="1"/>
  </r>
  <r>
    <x v="3"/>
    <x v="0"/>
    <s v="Jets @ Bills"/>
    <s v="Under 38.5"/>
    <n v="20"/>
    <n v="-110"/>
    <x v="0"/>
    <n v="-20"/>
    <x v="1"/>
  </r>
  <r>
    <x v="3"/>
    <x v="0"/>
    <s v="Bengals @ Chargers"/>
    <s v="Over 47.5"/>
    <n v="20"/>
    <n v="-110"/>
    <x v="0"/>
    <n v="-20"/>
    <x v="2"/>
  </r>
  <r>
    <x v="3"/>
    <x v="0"/>
    <s v="Steelers @ Raiders"/>
    <s v="Under 51"/>
    <n v="10"/>
    <n v="-110"/>
    <x v="1"/>
    <n v="9.0909090909090917"/>
    <x v="1"/>
  </r>
  <r>
    <x v="3"/>
    <x v="0"/>
    <s v="Eagles @ Cowboys"/>
    <s v="Cowboys -3.5"/>
    <n v="10"/>
    <n v="-105"/>
    <x v="1"/>
    <n v="9.5238095238095237"/>
    <x v="0"/>
  </r>
  <r>
    <x v="3"/>
    <x v="0"/>
    <s v="Eagles @ Cowboys"/>
    <s v="Under 44"/>
    <n v="10"/>
    <n v="-115"/>
    <x v="0"/>
    <n v="-10"/>
    <x v="1"/>
  </r>
  <r>
    <x v="4"/>
    <x v="0"/>
    <s v="Vikings @ Seahawks"/>
    <s v="Seahawks -3"/>
    <n v="10"/>
    <n v="-115"/>
    <x v="1"/>
    <n v="8.695652173913043"/>
    <x v="0"/>
  </r>
  <r>
    <x v="5"/>
    <x v="0"/>
    <s v="Chargers @ Chiefs"/>
    <s v="Over 53.5"/>
    <n v="10"/>
    <n v="-110"/>
    <x v="1"/>
    <n v="9.0909090909090917"/>
    <x v="2"/>
  </r>
  <r>
    <x v="5"/>
    <x v="0"/>
    <s v="Chargers @ Chiefs"/>
    <s v="Chargers +3.5"/>
    <n v="10"/>
    <n v="-115"/>
    <x v="1"/>
    <n v="8.695652173913043"/>
    <x v="3"/>
  </r>
  <r>
    <x v="6"/>
    <x v="0"/>
    <s v="Texans @ Jets"/>
    <s v="Under 44"/>
    <n v="10"/>
    <n v="-115"/>
    <x v="0"/>
    <n v="-10"/>
    <x v="1"/>
  </r>
  <r>
    <x v="6"/>
    <x v="0"/>
    <s v="Texans @ Jets"/>
    <s v="Texans -7"/>
    <n v="10"/>
    <n v="-115"/>
    <x v="2"/>
    <n v="0"/>
    <x v="0"/>
  </r>
  <r>
    <x v="6"/>
    <x v="0"/>
    <s v="Browns @ Broncos"/>
    <s v="Under 45.5"/>
    <n v="10"/>
    <n v="-110"/>
    <x v="1"/>
    <n v="9.0909090909090917"/>
    <x v="1"/>
  </r>
  <r>
    <x v="7"/>
    <x v="0"/>
    <s v="Cowboys @ Colts"/>
    <s v="Over 47"/>
    <n v="10"/>
    <n v="-115"/>
    <x v="0"/>
    <n v="-10"/>
    <x v="2"/>
  </r>
  <r>
    <x v="7"/>
    <x v="0"/>
    <s v="Cowboys @ Colts"/>
    <s v="Colts -3"/>
    <n v="10"/>
    <n v="-120"/>
    <x v="1"/>
    <n v="8.3333333333333321"/>
    <x v="0"/>
  </r>
  <r>
    <x v="7"/>
    <x v="0"/>
    <s v="Lions @ Bills"/>
    <s v="Under 40"/>
    <n v="10"/>
    <n v="-115"/>
    <x v="1"/>
    <n v="8.695652173913043"/>
    <x v="1"/>
  </r>
  <r>
    <x v="7"/>
    <x v="0"/>
    <s v="Packers @ Bears"/>
    <s v="Bears -5"/>
    <n v="10"/>
    <n v="-120"/>
    <x v="1"/>
    <n v="8.3333333333333321"/>
    <x v="0"/>
  </r>
  <r>
    <x v="7"/>
    <x v="0"/>
    <s v="Dolphins @ Vikings"/>
    <s v="Under 45"/>
    <n v="10"/>
    <n v="-115"/>
    <x v="0"/>
    <n v="-10"/>
    <x v="1"/>
  </r>
  <r>
    <x v="7"/>
    <x v="0"/>
    <s v="Dolphins @ Vikings"/>
    <s v="Vikings -8"/>
    <n v="10"/>
    <n v="-105"/>
    <x v="1"/>
    <n v="9.5238095238095237"/>
    <x v="0"/>
  </r>
  <r>
    <x v="7"/>
    <x v="0"/>
    <s v="Raiders @ Bengals"/>
    <s v="Bengals -3"/>
    <n v="10"/>
    <n v="-120"/>
    <x v="1"/>
    <n v="8.3333333333333321"/>
    <x v="0"/>
  </r>
  <r>
    <x v="7"/>
    <x v="0"/>
    <s v="Buccaneers @ Ravens"/>
    <s v="Over 45"/>
    <n v="10"/>
    <n v="-110"/>
    <x v="0"/>
    <n v="-10"/>
    <x v="2"/>
  </r>
  <r>
    <x v="7"/>
    <x v="0"/>
    <s v="Titans @ Giants"/>
    <s v="Under 42.5"/>
    <n v="10"/>
    <n v="-115"/>
    <x v="1"/>
    <n v="8.695652173913043"/>
    <x v="1"/>
  </r>
  <r>
    <x v="7"/>
    <x v="0"/>
    <s v="Redskins @ Jaguars"/>
    <s v="Under 36.5"/>
    <n v="10"/>
    <n v="-110"/>
    <x v="1"/>
    <n v="9.0909090909090917"/>
    <x v="1"/>
  </r>
  <r>
    <x v="7"/>
    <x v="0"/>
    <s v="Redskins @ Jaguars"/>
    <s v="Redskins +7.5"/>
    <n v="10"/>
    <n v="-115"/>
    <x v="1"/>
    <n v="8.695652173913043"/>
    <x v="3"/>
  </r>
  <r>
    <x v="7"/>
    <x v="0"/>
    <s v="Seahawks @ 49ers"/>
    <s v="Over 44"/>
    <n v="10"/>
    <n v="-110"/>
    <x v="1"/>
    <n v="9.0909090909090917"/>
    <x v="2"/>
  </r>
  <r>
    <x v="7"/>
    <x v="0"/>
    <s v="Seahawks @ 49ers"/>
    <s v="Seahawks -4.5"/>
    <n v="10"/>
    <n v="-110"/>
    <x v="0"/>
    <n v="-10"/>
    <x v="0"/>
  </r>
  <r>
    <x v="7"/>
    <x v="0"/>
    <s v="Patriots @ Steelers"/>
    <s v="Over 56"/>
    <n v="10"/>
    <n v="-115"/>
    <x v="0"/>
    <n v="-10"/>
    <x v="2"/>
  </r>
  <r>
    <x v="7"/>
    <x v="0"/>
    <s v="Patriots @ Steelers"/>
    <s v="Steelers +3"/>
    <n v="10"/>
    <n v="-120"/>
    <x v="1"/>
    <n v="8.3333333333333321"/>
    <x v="3"/>
  </r>
  <r>
    <x v="7"/>
    <x v="0"/>
    <s v="Patriots @ Steelers"/>
    <s v="Steelers Moneyline"/>
    <n v="10"/>
    <n v="130"/>
    <x v="1"/>
    <n v="13"/>
    <x v="4"/>
  </r>
  <r>
    <x v="7"/>
    <x v="0"/>
    <s v="Eagles @ Rams"/>
    <s v="Over 52"/>
    <n v="10"/>
    <n v="-110"/>
    <x v="1"/>
    <n v="9.0909090909090917"/>
    <x v="2"/>
  </r>
  <r>
    <x v="7"/>
    <x v="0"/>
    <s v="Eagles @ Rams"/>
    <s v="Rams -13"/>
    <n v="10"/>
    <n v="-110"/>
    <x v="0"/>
    <n v="-10"/>
    <x v="0"/>
  </r>
  <r>
    <x v="8"/>
    <x v="1"/>
    <s v="Bucks @ Pistons"/>
    <s v="Under 225"/>
    <n v="5"/>
    <n v="-110"/>
    <x v="1"/>
    <n v="4.5454545454545459"/>
    <x v="1"/>
  </r>
  <r>
    <x v="8"/>
    <x v="1"/>
    <s v="Bucks @ Pistons"/>
    <s v="Bucks -4"/>
    <n v="5"/>
    <n v="-110"/>
    <x v="0"/>
    <n v="-5"/>
    <x v="0"/>
  </r>
  <r>
    <x v="8"/>
    <x v="1"/>
    <s v="Suns @ Knicks"/>
    <s v="Under 223"/>
    <n v="5"/>
    <n v="-115"/>
    <x v="0"/>
    <n v="-5"/>
    <x v="1"/>
  </r>
  <r>
    <x v="8"/>
    <x v="1"/>
    <s v="Suns @ Knicks"/>
    <s v="Knicks -1.5"/>
    <n v="5"/>
    <n v="-115"/>
    <x v="0"/>
    <n v="-5"/>
    <x v="0"/>
  </r>
  <r>
    <x v="8"/>
    <x v="1"/>
    <s v="Kings @ Timberwolves"/>
    <s v="Kings +7.5"/>
    <n v="5"/>
    <n v="-110"/>
    <x v="0"/>
    <n v="-5"/>
    <x v="3"/>
  </r>
  <r>
    <x v="8"/>
    <x v="1"/>
    <s v="Jazz @ Rockets"/>
    <s v="Over 212"/>
    <n v="5"/>
    <n v="-105"/>
    <x v="0"/>
    <n v="-5"/>
    <x v="2"/>
  </r>
  <r>
    <x v="8"/>
    <x v="1"/>
    <s v="Grizzlies @ Warriors"/>
    <s v="Over 211"/>
    <n v="5"/>
    <n v="-110"/>
    <x v="0"/>
    <n v="-5"/>
    <x v="2"/>
  </r>
  <r>
    <x v="8"/>
    <x v="1"/>
    <s v="Grizzlies @ Warriors"/>
    <s v="Warriors -11"/>
    <n v="5"/>
    <n v="-110"/>
    <x v="1"/>
    <n v="4.5454545454545459"/>
    <x v="0"/>
  </r>
  <r>
    <x v="8"/>
    <x v="1"/>
    <s v="Trailblazers @ Clippers"/>
    <s v="Trailblazers +2"/>
    <n v="5"/>
    <n v="-115"/>
    <x v="1"/>
    <n v="4.3478260869565215"/>
    <x v="3"/>
  </r>
  <r>
    <x v="8"/>
    <x v="1"/>
    <s v="Trailblazers @ Clippers"/>
    <s v="Trailblazers Moneyline"/>
    <n v="5"/>
    <n v="110"/>
    <x v="1"/>
    <n v="5.5"/>
    <x v="4"/>
  </r>
  <r>
    <x v="8"/>
    <x v="0"/>
    <s v="Saints @ Panthers"/>
    <s v="Over 50.5"/>
    <n v="10"/>
    <n v="-105"/>
    <x v="0"/>
    <n v="-10"/>
    <x v="2"/>
  </r>
  <r>
    <x v="9"/>
    <x v="1"/>
    <s v="Cavaliers @ Pacers"/>
    <s v="Over 207"/>
    <n v="5"/>
    <n v="-110"/>
    <x v="0"/>
    <n v="-5"/>
    <x v="2"/>
  </r>
  <r>
    <x v="9"/>
    <x v="1"/>
    <s v="Wizards @ Hawks"/>
    <s v="Under 236"/>
    <n v="5"/>
    <n v="-115"/>
    <x v="1"/>
    <n v="4.3478260869565215"/>
    <x v="1"/>
  </r>
  <r>
    <x v="9"/>
    <x v="1"/>
    <s v="Wizards @ Hawks"/>
    <s v="Wizards -3.5"/>
    <n v="5"/>
    <n v="-110"/>
    <x v="0"/>
    <n v="-5"/>
    <x v="0"/>
  </r>
  <r>
    <x v="9"/>
    <x v="1"/>
    <s v="Mavericks @ Nuggets"/>
    <s v="Over 208"/>
    <n v="5"/>
    <n v="-115"/>
    <x v="1"/>
    <n v="4.3478260869565215"/>
    <x v="2"/>
  </r>
  <r>
    <x v="9"/>
    <x v="1"/>
    <s v="Mavericks @ Nuggets"/>
    <s v="Nuggets -5"/>
    <n v="5"/>
    <n v="-110"/>
    <x v="1"/>
    <n v="4.5454545454545459"/>
    <x v="0"/>
  </r>
  <r>
    <x v="10"/>
    <x v="1"/>
    <s v="Cavaliers @ Hornets"/>
    <s v="Under 214"/>
    <n v="10"/>
    <n v="-105"/>
    <x v="1"/>
    <n v="9.5238095238095237"/>
    <x v="1"/>
  </r>
  <r>
    <x v="10"/>
    <x v="1"/>
    <s v="Spurs @ Magic"/>
    <s v="Spurs -3.5"/>
    <n v="10"/>
    <n v="-105"/>
    <x v="1"/>
    <n v="9.5238095238095237"/>
    <x v="0"/>
  </r>
  <r>
    <x v="10"/>
    <x v="1"/>
    <s v="Pacers @ Raptors"/>
    <s v="Over 209"/>
    <n v="10"/>
    <n v="-110"/>
    <x v="0"/>
    <n v="-10"/>
    <x v="2"/>
  </r>
  <r>
    <x v="10"/>
    <x v="1"/>
    <s v="Pacers @ Raptors"/>
    <s v="Raptors -5"/>
    <n v="10"/>
    <n v="-110"/>
    <x v="0"/>
    <n v="-10"/>
    <x v="0"/>
  </r>
  <r>
    <x v="10"/>
    <x v="1"/>
    <s v="Suns @ Celtics"/>
    <s v="Under 223"/>
    <n v="10"/>
    <n v="-115"/>
    <x v="1"/>
    <n v="8.695652173913043"/>
    <x v="1"/>
  </r>
  <r>
    <x v="10"/>
    <x v="1"/>
    <s v="Nets @ Bulls"/>
    <s v="Under 213"/>
    <n v="10"/>
    <n v="-105"/>
    <x v="1"/>
    <n v="9.5238095238095237"/>
    <x v="1"/>
  </r>
  <r>
    <x v="10"/>
    <x v="1"/>
    <s v="Nets @ Bulls"/>
    <s v="Nets -2"/>
    <n v="10"/>
    <n v="-110"/>
    <x v="1"/>
    <n v="9.0909090909090917"/>
    <x v="0"/>
  </r>
  <r>
    <x v="10"/>
    <x v="1"/>
    <s v="Pistons @ Timberwolves"/>
    <s v="Timberwolves -5"/>
    <n v="10"/>
    <n v="-110"/>
    <x v="0"/>
    <n v="-10"/>
    <x v="0"/>
  </r>
  <r>
    <x v="10"/>
    <x v="1"/>
    <s v="Wizards @ Rockets"/>
    <s v="Wizards +11"/>
    <n v="10"/>
    <n v="-110"/>
    <x v="0"/>
    <n v="-10"/>
    <x v="3"/>
  </r>
  <r>
    <x v="10"/>
    <x v="1"/>
    <s v="Warriors @ Jazz"/>
    <s v="Warriors -2.5"/>
    <n v="10"/>
    <n v="-105"/>
    <x v="0"/>
    <n v="-10"/>
    <x v="0"/>
  </r>
  <r>
    <x v="10"/>
    <x v="1"/>
    <s v="Thunder @ Kings"/>
    <s v="Kings Moneyline"/>
    <n v="5"/>
    <n v="170"/>
    <x v="0"/>
    <n v="-5"/>
    <x v="4"/>
  </r>
  <r>
    <x v="11"/>
    <x v="1"/>
    <s v="Rockets @ Heat"/>
    <s v="Rockets -3.5"/>
    <n v="10"/>
    <n v="-105"/>
    <x v="0"/>
    <n v="-10"/>
    <x v="0"/>
  </r>
  <r>
    <x v="11"/>
    <x v="1"/>
    <s v="Mavericks @ Clippers"/>
    <s v="Clippers -3"/>
    <n v="10"/>
    <n v="-115"/>
    <x v="1"/>
    <n v="8.695652173913043"/>
    <x v="0"/>
  </r>
  <r>
    <x v="12"/>
    <x v="1"/>
    <s v="Cavaliers @ Raptors"/>
    <s v="Raptors -13"/>
    <n v="5"/>
    <n v="-110"/>
    <x v="1"/>
    <n v="4.5454545454545459"/>
    <x v="0"/>
  </r>
  <r>
    <x v="12"/>
    <x v="1"/>
    <s v="Pistons @ Hornets"/>
    <s v="Over 218"/>
    <n v="5"/>
    <n v="-110"/>
    <x v="0"/>
    <n v="-5"/>
    <x v="2"/>
  </r>
  <r>
    <x v="12"/>
    <x v="1"/>
    <s v="Pistons @ Hornets"/>
    <s v="Hornets -4"/>
    <n v="5"/>
    <n v="-110"/>
    <x v="1"/>
    <n v="4.5454545454545459"/>
    <x v="0"/>
  </r>
  <r>
    <x v="12"/>
    <x v="1"/>
    <s v="Hawks @ Knicks"/>
    <s v="Under 230"/>
    <n v="5"/>
    <n v="-105"/>
    <x v="1"/>
    <n v="4.7619047619047619"/>
    <x v="1"/>
  </r>
  <r>
    <x v="12"/>
    <x v="1"/>
    <s v="Pacers @ Nets"/>
    <s v="Over 211"/>
    <n v="5"/>
    <n v="-110"/>
    <x v="1"/>
    <n v="4.5454545454545459"/>
    <x v="2"/>
  </r>
  <r>
    <x v="12"/>
    <x v="1"/>
    <s v="Pacers @ Nets"/>
    <s v="Nets +2.5"/>
    <n v="5"/>
    <n v="-105"/>
    <x v="0"/>
    <n v="-5"/>
    <x v="3"/>
  </r>
  <r>
    <x v="12"/>
    <x v="1"/>
    <s v="Bucks @ Celtics"/>
    <s v="Celtics -1.5"/>
    <n v="5"/>
    <n v="-105"/>
    <x v="0"/>
    <n v="-5"/>
    <x v="0"/>
  </r>
  <r>
    <x v="12"/>
    <x v="1"/>
    <s v="Magic @ Bulls"/>
    <s v="Magic -3"/>
    <n v="5"/>
    <n v="-110"/>
    <x v="0"/>
    <n v="-5"/>
    <x v="0"/>
  </r>
  <r>
    <x v="12"/>
    <x v="1"/>
    <s v="Timberwolves @ Spurs"/>
    <s v="Over 220"/>
    <n v="5"/>
    <n v="-115"/>
    <x v="1"/>
    <n v="4.3478260869565215"/>
    <x v="2"/>
  </r>
  <r>
    <x v="12"/>
    <x v="1"/>
    <s v="Timberwolves @ Spurs"/>
    <s v="Spurs -4"/>
    <n v="5"/>
    <n v="-110"/>
    <x v="1"/>
    <n v="4.5454545454545459"/>
    <x v="0"/>
  </r>
  <r>
    <x v="12"/>
    <x v="1"/>
    <s v="Grizzlies @ Kings"/>
    <s v="Over 212"/>
    <n v="5"/>
    <n v="-110"/>
    <x v="0"/>
    <n v="-5"/>
    <x v="2"/>
  </r>
  <r>
    <x v="12"/>
    <x v="1"/>
    <s v="Grizzlies @ Kings"/>
    <s v="Kings -1.5"/>
    <n v="5"/>
    <n v="-110"/>
    <x v="1"/>
    <n v="4.5454545454545459"/>
    <x v="0"/>
  </r>
  <r>
    <x v="12"/>
    <x v="1"/>
    <s v="Jazz @ TrailBlazers"/>
    <s v="Under 212"/>
    <n v="5"/>
    <n v="-110"/>
    <x v="1"/>
    <n v="4.5454545454545459"/>
    <x v="1"/>
  </r>
  <r>
    <x v="12"/>
    <x v="1"/>
    <s v="Jazz @ TrailBlazers"/>
    <s v="TrailBlazers -2"/>
    <n v="5"/>
    <n v="-110"/>
    <x v="0"/>
    <n v="-5"/>
    <x v="0"/>
  </r>
  <r>
    <x v="12"/>
    <x v="1"/>
    <s v="Pelicans @ Lakers"/>
    <s v="Under 234"/>
    <n v="5"/>
    <n v="-110"/>
    <x v="1"/>
    <n v="4.5454545454545459"/>
    <x v="1"/>
  </r>
  <r>
    <x v="12"/>
    <x v="1"/>
    <s v="Pelicans @ Lakers"/>
    <s v="Pelicans +5"/>
    <n v="5"/>
    <n v="-110"/>
    <x v="0"/>
    <n v="-5"/>
    <x v="3"/>
  </r>
  <r>
    <x v="12"/>
    <x v="1"/>
    <s v="Pelicans @ Lakers"/>
    <s v="Pelicans Moneyline"/>
    <n v="5"/>
    <n v="175"/>
    <x v="0"/>
    <n v="-5"/>
    <x v="4"/>
  </r>
  <r>
    <x v="13"/>
    <x v="1"/>
    <s v="Nuggets @ Clippers"/>
    <s v="Nuggets +1.5"/>
    <n v="5"/>
    <n v="-110"/>
    <x v="0"/>
    <n v="-5"/>
    <x v="3"/>
  </r>
  <r>
    <x v="13"/>
    <x v="1"/>
    <s v="Nuggets @ Clippers"/>
    <s v="Nuggets Moneyline"/>
    <n v="5"/>
    <n v="100"/>
    <x v="0"/>
    <n v="-5"/>
    <x v="4"/>
  </r>
  <r>
    <x v="13"/>
    <x v="1"/>
    <s v="Suns @ Wizards"/>
    <s v="Under 230"/>
    <n v="5"/>
    <n v="-110"/>
    <x v="0"/>
    <n v="-5"/>
    <x v="1"/>
  </r>
  <r>
    <x v="13"/>
    <x v="1"/>
    <s v="Suns @ Wizards"/>
    <s v="Wizards -6"/>
    <n v="5"/>
    <n v="-110"/>
    <x v="0"/>
    <n v="-5"/>
    <x v="0"/>
  </r>
  <r>
    <x v="13"/>
    <x v="1"/>
    <s v="Raptors @ 76ers"/>
    <s v="Raptors +7.5"/>
    <n v="5"/>
    <n v="-110"/>
    <x v="0"/>
    <n v="-5"/>
    <x v="3"/>
  </r>
  <r>
    <x v="13"/>
    <x v="1"/>
    <s v="Raptors @ 76ers"/>
    <s v="Raptors Moneyline"/>
    <n v="5"/>
    <n v="260"/>
    <x v="0"/>
    <n v="-5"/>
    <x v="4"/>
  </r>
  <r>
    <x v="13"/>
    <x v="1"/>
    <s v="Bucks @ Heat"/>
    <s v="Bucks -3"/>
    <n v="5"/>
    <n v="-110"/>
    <x v="0"/>
    <n v="-5"/>
    <x v="0"/>
  </r>
  <r>
    <x v="13"/>
    <x v="1"/>
    <s v="Spurs @ Rockets"/>
    <s v="Spurs +5.5"/>
    <n v="5"/>
    <n v="-110"/>
    <x v="0"/>
    <n v="-5"/>
    <x v="3"/>
  </r>
  <r>
    <x v="13"/>
    <x v="1"/>
    <s v="Spurs @ Rockets"/>
    <s v="Spurs Moneyline"/>
    <n v="5"/>
    <n v="175"/>
    <x v="0"/>
    <n v="-5"/>
    <x v="4"/>
  </r>
  <r>
    <x v="13"/>
    <x v="1"/>
    <s v="Mavericks @ Warriors"/>
    <s v="Warriors -11.5"/>
    <n v="5"/>
    <n v="-110"/>
    <x v="0"/>
    <n v="-5"/>
    <x v="0"/>
  </r>
  <r>
    <x v="13"/>
    <x v="1"/>
    <s v="Thunder @ Jazz"/>
    <s v="Under 218"/>
    <n v="5"/>
    <n v="-115"/>
    <x v="1"/>
    <n v="4.3478260869565215"/>
    <x v="1"/>
  </r>
  <r>
    <x v="13"/>
    <x v="1"/>
    <s v="Thunder @ Jazz"/>
    <s v="Thunder +1.5"/>
    <n v="5"/>
    <n v="-110"/>
    <x v="0"/>
    <n v="-5"/>
    <x v="3"/>
  </r>
  <r>
    <x v="13"/>
    <x v="0"/>
    <s v="Ravens @ Chargers"/>
    <s v="Over 44"/>
    <n v="10"/>
    <n v="-105"/>
    <x v="0"/>
    <n v="-10"/>
    <x v="2"/>
  </r>
  <r>
    <x v="14"/>
    <x v="0"/>
    <s v="Packers @ Jets"/>
    <s v="Under 47"/>
    <n v="10"/>
    <n v="-110"/>
    <x v="0"/>
    <n v="-10"/>
    <x v="1"/>
  </r>
  <r>
    <x v="15"/>
    <x v="1"/>
    <s v="Hawks @ Wizards"/>
    <s v="Wizards -6.5"/>
    <n v="5"/>
    <n v="-105"/>
    <x v="1"/>
    <n v="4.7619047619047619"/>
    <x v="0"/>
  </r>
  <r>
    <x v="15"/>
    <x v="1"/>
    <s v="Mavericks @ Hornets"/>
    <s v="Over 220"/>
    <n v="5"/>
    <n v="-110"/>
    <x v="0"/>
    <n v="-5"/>
    <x v="2"/>
  </r>
  <r>
    <x v="15"/>
    <x v="1"/>
    <s v="Mavericks @ Hornets"/>
    <s v="Hornets -1.5"/>
    <n v="5"/>
    <n v="-110"/>
    <x v="0"/>
    <n v="-5"/>
    <x v="0"/>
  </r>
  <r>
    <x v="15"/>
    <x v="1"/>
    <s v="Heat @ Cavaliers"/>
    <s v="Over 203"/>
    <n v="5"/>
    <n v="-115"/>
    <x v="1"/>
    <n v="4.3478260869565215"/>
    <x v="2"/>
  </r>
  <r>
    <x v="15"/>
    <x v="1"/>
    <s v="Heat @ Cavaliers"/>
    <s v="Heat -6"/>
    <n v="5"/>
    <n v="-115"/>
    <x v="1"/>
    <n v="4.3478260869565215"/>
    <x v="0"/>
  </r>
  <r>
    <x v="15"/>
    <x v="1"/>
    <s v="Pelicans @ Nets"/>
    <s v="Over 230"/>
    <n v="5"/>
    <n v="-115"/>
    <x v="1"/>
    <n v="4.3478260869565215"/>
    <x v="2"/>
  </r>
  <r>
    <x v="15"/>
    <x v="1"/>
    <s v="Pelicans @ Nets"/>
    <s v="Pelicans -1"/>
    <n v="5"/>
    <n v="-105"/>
    <x v="0"/>
    <n v="-5"/>
    <x v="0"/>
  </r>
  <r>
    <x v="15"/>
    <x v="1"/>
    <s v="Pistons @ Grizzlies"/>
    <s v="Pistons +6.5"/>
    <n v="5"/>
    <n v="-110"/>
    <x v="1"/>
    <n v="4.5454545454545459"/>
    <x v="3"/>
  </r>
  <r>
    <x v="15"/>
    <x v="1"/>
    <s v="76ers @ Suns"/>
    <s v="Under 228"/>
    <n v="5"/>
    <n v="-110"/>
    <x v="0"/>
    <n v="-5"/>
    <x v="1"/>
  </r>
  <r>
    <x v="15"/>
    <x v="1"/>
    <s v="76ers @ Suns"/>
    <s v="76ers -4.5"/>
    <n v="5"/>
    <n v="-110"/>
    <x v="1"/>
    <n v="4.5454545454545459"/>
    <x v="0"/>
  </r>
  <r>
    <x v="15"/>
    <x v="1"/>
    <s v="Thunder @ Lakers"/>
    <s v="Under 229"/>
    <n v="5"/>
    <n v="-110"/>
    <x v="1"/>
    <n v="4.5454545454545459"/>
    <x v="1"/>
  </r>
  <r>
    <x v="15"/>
    <x v="1"/>
    <s v="Thunder @ Lakers"/>
    <s v="Lakers +6"/>
    <n v="5"/>
    <n v="-110"/>
    <x v="0"/>
    <n v="-5"/>
    <x v="3"/>
  </r>
  <r>
    <x v="16"/>
    <x v="1"/>
    <s v="Raptors @ Spurs"/>
    <s v="Over 216"/>
    <n v="5"/>
    <n v="-115"/>
    <x v="1"/>
    <n v="4.3478260869565215"/>
    <x v="2"/>
  </r>
  <r>
    <x v="16"/>
    <x v="1"/>
    <s v="Raptors @ Spurs"/>
    <s v="Raptors +2.5"/>
    <n v="5"/>
    <n v="-110"/>
    <x v="0"/>
    <n v="-5"/>
    <x v="3"/>
  </r>
  <r>
    <x v="16"/>
    <x v="1"/>
    <s v="Nuggets @ Kings"/>
    <s v="Under 227"/>
    <n v="5"/>
    <n v="-110"/>
    <x v="0"/>
    <n v="-5"/>
    <x v="1"/>
  </r>
  <r>
    <x v="16"/>
    <x v="1"/>
    <s v="Nuggets @ Kings"/>
    <s v="Nuggets -3.5"/>
    <n v="5"/>
    <n v="-110"/>
    <x v="1"/>
    <n v="4.5454545454545459"/>
    <x v="0"/>
  </r>
  <r>
    <x v="16"/>
    <x v="1"/>
    <s v="Rockets @ Warriors"/>
    <s v="Over 224"/>
    <n v="5"/>
    <n v="-115"/>
    <x v="1"/>
    <n v="4.3478260869565215"/>
    <x v="2"/>
  </r>
  <r>
    <x v="17"/>
    <x v="1"/>
    <s v="Jazz @ Cavaliers"/>
    <s v="Jazz -9.5"/>
    <n v="2.42"/>
    <n v="-115"/>
    <x v="1"/>
    <n v="2.1043478260869564"/>
    <x v="0"/>
  </r>
  <r>
    <x v="17"/>
    <x v="1"/>
    <s v="Nets @ Grizzlies"/>
    <s v="Under 204"/>
    <n v="2.42"/>
    <n v="-105"/>
    <x v="0"/>
    <n v="-2.42"/>
    <x v="1"/>
  </r>
  <r>
    <x v="17"/>
    <x v="1"/>
    <s v="Nets @ Grizzlies"/>
    <s v="Nets +4"/>
    <n v="2.42"/>
    <n v="-105"/>
    <x v="1"/>
    <n v="2.3047619047619046"/>
    <x v="3"/>
  </r>
  <r>
    <x v="17"/>
    <x v="1"/>
    <s v="Nets @ Grizzlies"/>
    <s v="Nets Moneyline"/>
    <n v="2.42"/>
    <n v="155"/>
    <x v="1"/>
    <n v="3.7509999999999999"/>
    <x v="4"/>
  </r>
  <r>
    <x v="17"/>
    <x v="1"/>
    <s v="Pacers @ Bulls"/>
    <s v="Under 200"/>
    <n v="2.42"/>
    <n v="-105"/>
    <x v="0"/>
    <n v="-2.42"/>
    <x v="1"/>
  </r>
  <r>
    <x v="17"/>
    <x v="1"/>
    <s v="Pacers @ Bulls"/>
    <s v="Pacers -7"/>
    <n v="2.42"/>
    <n v="-105"/>
    <x v="0"/>
    <n v="-2.42"/>
    <x v="0"/>
  </r>
  <r>
    <x v="17"/>
    <x v="1"/>
    <s v="Magic @ Timberwolves"/>
    <s v="Timberwolves -4.5"/>
    <n v="2.42"/>
    <n v="-115"/>
    <x v="1"/>
    <n v="2.1043478260869564"/>
    <x v="0"/>
  </r>
  <r>
    <x v="17"/>
    <x v="1"/>
    <s v="Wizards @ Heat"/>
    <s v="Under 213"/>
    <n v="2.42"/>
    <n v="-110"/>
    <x v="0"/>
    <n v="-2.42"/>
    <x v="1"/>
  </r>
  <r>
    <x v="17"/>
    <x v="1"/>
    <s v="Wizards @ Heat"/>
    <s v="Wizards +7.5"/>
    <n v="2.42"/>
    <n v="-115"/>
    <x v="1"/>
    <n v="2.1043478260869564"/>
    <x v="3"/>
  </r>
  <r>
    <x v="17"/>
    <x v="1"/>
    <s v="Mavericks @ Celtics"/>
    <s v="Over 214"/>
    <n v="2.42"/>
    <n v="-105"/>
    <x v="0"/>
    <n v="-2.42"/>
    <x v="2"/>
  </r>
  <r>
    <x v="17"/>
    <x v="1"/>
    <s v="Mavericks @ Celtics"/>
    <s v="Celtics -5.5"/>
    <n v="2.42"/>
    <n v="-110"/>
    <x v="1"/>
    <n v="2.1999999999999997"/>
    <x v="0"/>
  </r>
  <r>
    <x v="17"/>
    <x v="1"/>
    <s v="Hawks @ Bucks"/>
    <s v="Under 229"/>
    <n v="2.42"/>
    <n v="-105"/>
    <x v="0"/>
    <n v="-2.42"/>
    <x v="1"/>
  </r>
  <r>
    <x v="17"/>
    <x v="1"/>
    <s v="Hawks @ Bucks"/>
    <s v="Bucks -13.5"/>
    <n v="2.42"/>
    <n v="-105"/>
    <x v="1"/>
    <n v="2.3047619047619046"/>
    <x v="0"/>
  </r>
  <r>
    <x v="17"/>
    <x v="1"/>
    <s v="Clippers @ Suns"/>
    <s v="Under 234"/>
    <n v="2.42"/>
    <n v="-115"/>
    <x v="1"/>
    <n v="2.1043478260869564"/>
    <x v="1"/>
  </r>
  <r>
    <x v="17"/>
    <x v="1"/>
    <s v="Clippers @ Suns"/>
    <s v="Clippers -4.5"/>
    <n v="2.42"/>
    <n v="-115"/>
    <x v="1"/>
    <n v="2.1043478260869564"/>
    <x v="0"/>
  </r>
  <r>
    <x v="17"/>
    <x v="1"/>
    <s v="Knicks @ Lakers"/>
    <s v="Under 224"/>
    <n v="2.42"/>
    <n v="-105"/>
    <x v="0"/>
    <n v="-2.42"/>
    <x v="1"/>
  </r>
  <r>
    <x v="17"/>
    <x v="1"/>
    <s v="Knicks @ Lakers"/>
    <s v="Lakers -7.5"/>
    <n v="2.42"/>
    <n v="-110"/>
    <x v="0"/>
    <n v="-2.42"/>
    <x v="0"/>
  </r>
  <r>
    <x v="17"/>
    <x v="1"/>
    <s v="Thunder @ Trailblazers"/>
    <s v="Under 224"/>
    <n v="2.42"/>
    <n v="-110"/>
    <x v="1"/>
    <n v="2.1999999999999997"/>
    <x v="1"/>
  </r>
  <r>
    <x v="17"/>
    <x v="1"/>
    <s v="Thunder @ Trailblazers"/>
    <s v="Trailblazers -1"/>
    <n v="2.42"/>
    <n v="-105"/>
    <x v="0"/>
    <n v="-2.42"/>
    <x v="0"/>
  </r>
  <r>
    <x v="18"/>
    <x v="0"/>
    <s v="Colts @ Texans"/>
    <s v="Over 48.5"/>
    <n v="10"/>
    <n v="-110"/>
    <x v="0"/>
    <n v="-10"/>
    <x v="2"/>
  </r>
  <r>
    <x v="18"/>
    <x v="0"/>
    <s v="Seahawks @ Cowboys"/>
    <s v="Over 43"/>
    <n v="10"/>
    <n v="-110"/>
    <x v="1"/>
    <n v="9.0909090909090917"/>
    <x v="2"/>
  </r>
  <r>
    <x v="18"/>
    <x v="0"/>
    <s v="Seahawks @ Cowboys"/>
    <s v="Seahawks +2"/>
    <n v="10"/>
    <n v="-110"/>
    <x v="2"/>
    <n v="0"/>
    <x v="3"/>
  </r>
  <r>
    <x v="19"/>
    <x v="0"/>
    <s v="Chargers @ Ravens"/>
    <s v="Over 42"/>
    <n v="10"/>
    <n v="-110"/>
    <x v="0"/>
    <n v="-10"/>
    <x v="2"/>
  </r>
  <r>
    <x v="19"/>
    <x v="0"/>
    <s v="Chargers @ Ravens"/>
    <s v="Chargers +2.5"/>
    <n v="10"/>
    <n v="105"/>
    <x v="1"/>
    <n v="10.5"/>
    <x v="3"/>
  </r>
  <r>
    <x v="19"/>
    <x v="0"/>
    <s v="How many Wild Card team win Wild Card Weekend"/>
    <s v="Over 1.5"/>
    <n v="10"/>
    <n v="-190"/>
    <x v="1"/>
    <n v="5.2631578947368416"/>
    <x v="2"/>
  </r>
  <r>
    <x v="19"/>
    <x v="0"/>
    <s v="Bears Suberbowl"/>
    <s v="N/A"/>
    <n v="5"/>
    <n v="675"/>
    <x v="0"/>
    <n v="-5"/>
    <x v="5"/>
  </r>
  <r>
    <x v="19"/>
    <x v="0"/>
    <s v="Most points scored by 1 team wildcard weekend"/>
    <s v="Over 36.5"/>
    <n v="10"/>
    <n v="-110"/>
    <x v="0"/>
    <n v="-10"/>
    <x v="2"/>
  </r>
  <r>
    <x v="19"/>
    <x v="0"/>
    <s v="Anthony Miller Receiving Yards"/>
    <s v="Over 21.5"/>
    <n v="10"/>
    <n v="100"/>
    <x v="1"/>
    <n v="10"/>
    <x v="2"/>
  </r>
  <r>
    <x v="20"/>
    <x v="1"/>
    <s v="Spurs @ Pistons"/>
    <s v="Under 213"/>
    <n v="5"/>
    <n v="-110"/>
    <x v="0"/>
    <n v="-5"/>
    <x v="1"/>
  </r>
  <r>
    <x v="20"/>
    <x v="1"/>
    <s v="Spurs @ Pistons"/>
    <s v="Spurs -3.5"/>
    <n v="5"/>
    <n v="-105"/>
    <x v="1"/>
    <n v="4.7619047619047619"/>
    <x v="0"/>
  </r>
  <r>
    <x v="20"/>
    <x v="1"/>
    <s v="Nets @ Celtics"/>
    <s v="Under 221"/>
    <n v="5"/>
    <n v="-110"/>
    <x v="1"/>
    <n v="4.5454545454545459"/>
    <x v="1"/>
  </r>
  <r>
    <x v="20"/>
    <x v="1"/>
    <s v="Nuggets @ Rockets"/>
    <s v="Over 216"/>
    <n v="5"/>
    <n v="-110"/>
    <x v="1"/>
    <n v="4.5454545454545459"/>
    <x v="2"/>
  </r>
  <r>
    <x v="20"/>
    <x v="1"/>
    <s v="Grizzlies @ Pelicans"/>
    <s v="Over 214"/>
    <n v="5"/>
    <n v="-115"/>
    <x v="0"/>
    <n v="-5"/>
    <x v="2"/>
  </r>
  <r>
    <x v="20"/>
    <x v="1"/>
    <s v="Grizzlies @ Pelicans"/>
    <s v="Pelicans -5.5"/>
    <n v="5"/>
    <n v="-110"/>
    <x v="1"/>
    <n v="4.5454545454545459"/>
    <x v="0"/>
  </r>
  <r>
    <x v="20"/>
    <x v="1"/>
    <s v="Jazz @ Bucks"/>
    <s v="Under 222"/>
    <n v="5"/>
    <n v="-110"/>
    <x v="1"/>
    <n v="4.5454545454545459"/>
    <x v="1"/>
  </r>
  <r>
    <x v="20"/>
    <x v="1"/>
    <s v="Jazz @ Bucks"/>
    <s v="Bucks -5.5"/>
    <n v="5"/>
    <n v="-115"/>
    <x v="1"/>
    <n v="4.3478260869565215"/>
    <x v="0"/>
  </r>
  <r>
    <x v="20"/>
    <x v="1"/>
    <s v="Lakers @ Mavericks"/>
    <s v="Under 223"/>
    <n v="5"/>
    <n v="-115"/>
    <x v="1"/>
    <n v="4.3478260869565215"/>
    <x v="1"/>
  </r>
  <r>
    <x v="20"/>
    <x v="1"/>
    <s v="Lakers @ Mavericks"/>
    <s v="Lakers +8"/>
    <n v="5"/>
    <n v="-110"/>
    <x v="1"/>
    <n v="4.5454545454545459"/>
    <x v="3"/>
  </r>
  <r>
    <x v="20"/>
    <x v="1"/>
    <s v="Lakers @ Mavericks"/>
    <s v="Lakers Moneyline"/>
    <n v="5"/>
    <n v="285"/>
    <x v="1"/>
    <n v="14.25"/>
    <x v="4"/>
  </r>
  <r>
    <x v="20"/>
    <x v="1"/>
    <s v="Knicks @ Trailblazers"/>
    <s v="Trailblazers -12"/>
    <n v="5"/>
    <n v="-110"/>
    <x v="0"/>
    <n v="-5"/>
    <x v="0"/>
  </r>
  <r>
    <x v="20"/>
    <x v="1"/>
    <s v="Magic @ Kings"/>
    <s v="Under 221"/>
    <n v="5"/>
    <n v="-105"/>
    <x v="1"/>
    <n v="4.7619047619047619"/>
    <x v="1"/>
  </r>
  <r>
    <x v="20"/>
    <x v="1"/>
    <s v="Magic @ Kings"/>
    <s v="Kings -5.5"/>
    <n v="5"/>
    <n v="-105"/>
    <x v="1"/>
    <n v="4.7619047619047619"/>
    <x v="0"/>
  </r>
  <r>
    <x v="21"/>
    <x v="1"/>
    <s v="Pacers @ Cavaliers"/>
    <s v="Under 208"/>
    <n v="5"/>
    <n v="-110"/>
    <x v="0"/>
    <n v="-5"/>
    <x v="1"/>
  </r>
  <r>
    <x v="21"/>
    <x v="1"/>
    <s v="Pacers @ Cavaliers"/>
    <s v="Pacers -10"/>
    <n v="5"/>
    <n v="-110"/>
    <x v="0"/>
    <n v="-5"/>
    <x v="0"/>
  </r>
  <r>
    <x v="21"/>
    <x v="1"/>
    <s v="Hawks @ Raptors"/>
    <s v="Under 228"/>
    <n v="5"/>
    <n v="-105"/>
    <x v="1"/>
    <n v="4.7619047619047619"/>
    <x v="1"/>
  </r>
  <r>
    <x v="21"/>
    <x v="1"/>
    <s v="Hawks @ Raptors"/>
    <s v="Raptors -14.5"/>
    <n v="5"/>
    <n v="-110"/>
    <x v="0"/>
    <n v="-5"/>
    <x v="0"/>
  </r>
  <r>
    <x v="21"/>
    <x v="1"/>
    <s v="Nuggets @ Heat"/>
    <s v="Nuggets +1.5"/>
    <n v="5"/>
    <n v="-110"/>
    <x v="1"/>
    <n v="4.5454545454545459"/>
    <x v="3"/>
  </r>
  <r>
    <x v="21"/>
    <x v="1"/>
    <s v="Nuggets @ Heat"/>
    <s v="Nuggets Moneyline"/>
    <n v="5"/>
    <n v="100"/>
    <x v="1"/>
    <n v="5"/>
    <x v="4"/>
  </r>
  <r>
    <x v="21"/>
    <x v="1"/>
    <s v="Timberwolves @ Thunder"/>
    <s v="Under 227"/>
    <n v="5"/>
    <n v="-115"/>
    <x v="0"/>
    <n v="-5"/>
    <x v="1"/>
  </r>
  <r>
    <x v="21"/>
    <x v="1"/>
    <s v="Timberwolves @ Thunder"/>
    <s v="Timberwolves +8"/>
    <n v="5"/>
    <n v="-110"/>
    <x v="1"/>
    <n v="4.5454545454545459"/>
    <x v="3"/>
  </r>
  <r>
    <x v="21"/>
    <x v="1"/>
    <s v="Hornets @ Clippers"/>
    <s v="Over 230"/>
    <n v="5"/>
    <n v="-110"/>
    <x v="1"/>
    <n v="4.5454545454545459"/>
    <x v="2"/>
  </r>
  <r>
    <x v="21"/>
    <x v="1"/>
    <s v="Hornets @ Clippers"/>
    <s v="Hornets +6.5"/>
    <n v="5"/>
    <n v="-110"/>
    <x v="0"/>
    <n v="-5"/>
    <x v="3"/>
  </r>
  <r>
    <x v="21"/>
    <x v="1"/>
    <s v="Knicks @ Warriors"/>
    <s v="Under 230"/>
    <n v="5"/>
    <n v="-105"/>
    <x v="1"/>
    <n v="4.7619047619047619"/>
    <x v="1"/>
  </r>
  <r>
    <x v="21"/>
    <x v="1"/>
    <s v="Knicks @ Warriors"/>
    <s v="Warriors -18"/>
    <n v="5"/>
    <n v="-115"/>
    <x v="1"/>
    <n v="4.3478260869565215"/>
    <x v="0"/>
  </r>
  <r>
    <x v="22"/>
    <x v="1"/>
    <s v="Pacers @ Celtics"/>
    <s v="Under 213"/>
    <n v="5"/>
    <n v="-105"/>
    <x v="0"/>
    <n v="-5"/>
    <x v="1"/>
  </r>
  <r>
    <x v="22"/>
    <x v="1"/>
    <s v="Pacers @ Celtics"/>
    <s v="Pacers +6.5"/>
    <n v="5"/>
    <n v="-110"/>
    <x v="0"/>
    <n v="-5"/>
    <x v="3"/>
  </r>
  <r>
    <x v="22"/>
    <x v="1"/>
    <s v="76ers @ Wizards"/>
    <s v="Over 228"/>
    <n v="5"/>
    <n v="-115"/>
    <x v="1"/>
    <n v="4.3478260869565215"/>
    <x v="2"/>
  </r>
  <r>
    <x v="22"/>
    <x v="1"/>
    <s v="Hawks @ Nets"/>
    <s v="Under 228"/>
    <n v="5"/>
    <n v="-110"/>
    <x v="1"/>
    <n v="4.5454545454545459"/>
    <x v="1"/>
  </r>
  <r>
    <x v="22"/>
    <x v="1"/>
    <s v="Hawks @ Nets"/>
    <s v="Nets -9"/>
    <n v="5"/>
    <n v="-110"/>
    <x v="1"/>
    <n v="4.5454545454545459"/>
    <x v="0"/>
  </r>
  <r>
    <x v="22"/>
    <x v="1"/>
    <s v="Cavaliers @ Pelicans"/>
    <s v="Pelicans -14"/>
    <n v="5"/>
    <n v="-110"/>
    <x v="1"/>
    <n v="4.5454545454545459"/>
    <x v="0"/>
  </r>
  <r>
    <x v="22"/>
    <x v="1"/>
    <s v="Bucks @ Rockets"/>
    <s v="Over 226"/>
    <n v="5"/>
    <n v="-110"/>
    <x v="0"/>
    <n v="-5"/>
    <x v="2"/>
  </r>
  <r>
    <x v="22"/>
    <x v="1"/>
    <s v="Bucks @ Rockets"/>
    <s v="Bucks -1.5"/>
    <n v="5"/>
    <n v="-105"/>
    <x v="1"/>
    <n v="4.7619047619047619"/>
    <x v="0"/>
  </r>
  <r>
    <x v="22"/>
    <x v="1"/>
    <s v="Spurs @ Grizzlies"/>
    <s v="Under 204"/>
    <n v="5"/>
    <n v="-115"/>
    <x v="1"/>
    <n v="4.3478260869565215"/>
    <x v="1"/>
  </r>
  <r>
    <x v="22"/>
    <x v="1"/>
    <s v="Spurs @ Grizzlies"/>
    <s v="Spurs -3"/>
    <n v="5"/>
    <n v="-110"/>
    <x v="0"/>
    <n v="-5"/>
    <x v="0"/>
  </r>
  <r>
    <x v="22"/>
    <x v="1"/>
    <s v="Magic @ Jazz"/>
    <s v="Jazz -9"/>
    <n v="5"/>
    <n v="-110"/>
    <x v="1"/>
    <n v="4.5454545454545459"/>
    <x v="0"/>
  </r>
  <r>
    <x v="22"/>
    <x v="1"/>
    <s v="Bulls @ Trailblazers"/>
    <s v="Trailblazers -9.5"/>
    <n v="5"/>
    <n v="-110"/>
    <x v="1"/>
    <n v="4.5454545454545459"/>
    <x v="0"/>
  </r>
  <r>
    <x v="22"/>
    <x v="1"/>
    <s v="Pistons @ Lakers"/>
    <s v="Under 218"/>
    <n v="5"/>
    <n v="-115"/>
    <x v="1"/>
    <n v="4.3478260869565215"/>
    <x v="1"/>
  </r>
  <r>
    <x v="22"/>
    <x v="1"/>
    <s v="Pistons @ Lakers"/>
    <s v="Lakers -1.5"/>
    <n v="5"/>
    <n v="-110"/>
    <x v="1"/>
    <n v="4.5454545454545459"/>
    <x v="0"/>
  </r>
  <r>
    <x v="23"/>
    <x v="1"/>
    <s v="Celtics @ Heat"/>
    <s v="Under 212"/>
    <n v="10"/>
    <n v="-105"/>
    <x v="0"/>
    <n v="-10"/>
    <x v="1"/>
  </r>
  <r>
    <x v="23"/>
    <x v="1"/>
    <s v="Celtics @ Heat"/>
    <s v="Celtics -3"/>
    <n v="10"/>
    <n v="-105"/>
    <x v="0"/>
    <n v="-10"/>
    <x v="0"/>
  </r>
  <r>
    <x v="23"/>
    <x v="1"/>
    <s v="Clippers @ Nuggets"/>
    <s v="Under 227"/>
    <n v="10"/>
    <n v="-105"/>
    <x v="1"/>
    <n v="9.5238095238095237"/>
    <x v="1"/>
  </r>
  <r>
    <x v="23"/>
    <x v="1"/>
    <s v="Clippers @ Nuggets"/>
    <s v="Clippers +5.5"/>
    <n v="10"/>
    <n v="-105"/>
    <x v="0"/>
    <n v="-10"/>
    <x v="3"/>
  </r>
  <r>
    <x v="23"/>
    <x v="1"/>
    <s v="Thunder @ Spurs"/>
    <s v="Under 225"/>
    <n v="10"/>
    <n v="-105"/>
    <x v="0"/>
    <n v="-10"/>
    <x v="1"/>
  </r>
  <r>
    <x v="23"/>
    <x v="1"/>
    <s v="Thunder @ Spurs"/>
    <s v="Spurs +1.5"/>
    <n v="10"/>
    <n v="-110"/>
    <x v="1"/>
    <n v="9.0909090909090917"/>
    <x v="3"/>
  </r>
  <r>
    <x v="23"/>
    <x v="1"/>
    <s v="Thunder @ Spurs"/>
    <s v="Spurs Moneyline"/>
    <n v="10"/>
    <n v="105"/>
    <x v="1"/>
    <n v="10.5"/>
    <x v="4"/>
  </r>
  <r>
    <x v="23"/>
    <x v="1"/>
    <s v="Pistons @ Kings"/>
    <s v="Under 223"/>
    <n v="10"/>
    <n v="-105"/>
    <x v="1"/>
    <n v="9.5238095238095237"/>
    <x v="1"/>
  </r>
  <r>
    <x v="23"/>
    <x v="1"/>
    <s v="Pistons @ Kings"/>
    <s v="Kings -5"/>
    <n v="10"/>
    <n v="-110"/>
    <x v="1"/>
    <n v="9.0909090909090917"/>
    <x v="0"/>
  </r>
  <r>
    <x v="24"/>
    <x v="1"/>
    <s v="Hawks @ 76ers"/>
    <s v="Under 232"/>
    <n v="10"/>
    <n v="-115"/>
    <x v="0"/>
    <n v="-10"/>
    <x v="1"/>
  </r>
  <r>
    <x v="24"/>
    <x v="1"/>
    <s v="Hawks @ 76ers"/>
    <s v="76ers -12.5"/>
    <n v="10"/>
    <n v="-110"/>
    <x v="0"/>
    <n v="-10"/>
    <x v="0"/>
  </r>
  <r>
    <x v="24"/>
    <x v="1"/>
    <s v="Bucks @ Wizards"/>
    <s v="Under 231"/>
    <n v="10"/>
    <n v="-115"/>
    <x v="1"/>
    <n v="8.695652173913043"/>
    <x v="1"/>
  </r>
  <r>
    <x v="24"/>
    <x v="1"/>
    <s v="Bucks @ Wizards"/>
    <s v="Bucks -5.5"/>
    <n v="10"/>
    <n v="-110"/>
    <x v="0"/>
    <n v="-10"/>
    <x v="0"/>
  </r>
  <r>
    <x v="24"/>
    <x v="1"/>
    <s v="Nets @ Raptors"/>
    <s v="Raptors -9.5"/>
    <n v="10"/>
    <n v="-115"/>
    <x v="1"/>
    <n v="8.695652173913043"/>
    <x v="0"/>
  </r>
  <r>
    <x v="24"/>
    <x v="1"/>
    <s v="Pacers @ Knicks"/>
    <s v="Under 219"/>
    <n v="10"/>
    <n v="-110"/>
    <x v="0"/>
    <n v="-10"/>
    <x v="1"/>
  </r>
  <r>
    <x v="24"/>
    <x v="1"/>
    <s v="Pacers @ Knicks"/>
    <s v="Pacers -8.5"/>
    <n v="10"/>
    <n v="-110"/>
    <x v="1"/>
    <n v="9.0909090909090917"/>
    <x v="0"/>
  </r>
  <r>
    <x v="24"/>
    <x v="1"/>
    <s v="Cavaliers @ Rockets"/>
    <s v="Under 218"/>
    <n v="10"/>
    <n v="-105"/>
    <x v="0"/>
    <n v="-10"/>
    <x v="1"/>
  </r>
  <r>
    <x v="24"/>
    <x v="1"/>
    <s v="Cavaliers @ Rockets"/>
    <s v="Rockets -14"/>
    <n v="10"/>
    <n v="-105"/>
    <x v="1"/>
    <n v="9.5238095238095237"/>
    <x v="0"/>
  </r>
  <r>
    <x v="24"/>
    <x v="1"/>
    <s v="Mavericks @ Timberwolves"/>
    <s v="Timberwolves -5"/>
    <n v="10"/>
    <n v="-105"/>
    <x v="0"/>
    <n v="-10"/>
    <x v="0"/>
  </r>
  <r>
    <x v="24"/>
    <x v="1"/>
    <s v="Lakers @ Jazz"/>
    <s v="Lakers +8"/>
    <n v="10"/>
    <n v="-110"/>
    <x v="0"/>
    <n v="-10"/>
    <x v="3"/>
  </r>
  <r>
    <x v="24"/>
    <x v="1"/>
    <s v="Bulls @ Warriors"/>
    <s v="Under 222"/>
    <n v="10"/>
    <n v="-105"/>
    <x v="0"/>
    <n v="-10"/>
    <x v="1"/>
  </r>
  <r>
    <x v="24"/>
    <x v="1"/>
    <s v="Bulls @ Warriors"/>
    <s v="Warriors -15.5"/>
    <n v="10"/>
    <n v="-105"/>
    <x v="1"/>
    <n v="9.5238095238095237"/>
    <x v="0"/>
  </r>
  <r>
    <x v="25"/>
    <x v="1"/>
    <s v="Celtics @ Nets"/>
    <s v="Over 219"/>
    <n v="10"/>
    <n v="-115"/>
    <x v="0"/>
    <n v="-10"/>
    <x v="2"/>
  </r>
  <r>
    <x v="25"/>
    <x v="1"/>
    <s v="Celtics @ Nets"/>
    <s v="Celtics -3"/>
    <n v="10"/>
    <n v="-110"/>
    <x v="0"/>
    <n v="-10"/>
    <x v="0"/>
  </r>
  <r>
    <x v="25"/>
    <x v="1"/>
    <s v="Grizzlies @ Rockets"/>
    <s v="Over 208"/>
    <n v="10"/>
    <n v="-105"/>
    <x v="0"/>
    <n v="-10"/>
    <x v="2"/>
  </r>
  <r>
    <x v="25"/>
    <x v="1"/>
    <s v="Grizzlies @ Rockets"/>
    <s v="Rockets -5"/>
    <n v="10"/>
    <n v="-105"/>
    <x v="1"/>
    <n v="9.5238095238095237"/>
    <x v="0"/>
  </r>
  <r>
    <x v="25"/>
    <x v="1"/>
    <s v="Hornets @ Spurs"/>
    <s v="Over 222"/>
    <n v="10"/>
    <n v="-105"/>
    <x v="0"/>
    <n v="-10"/>
    <x v="2"/>
  </r>
  <r>
    <x v="25"/>
    <x v="1"/>
    <s v="Hornets @ Spurs"/>
    <s v="Spurs -9"/>
    <n v="10"/>
    <n v="-105"/>
    <x v="0"/>
    <n v="-10"/>
    <x v="0"/>
  </r>
  <r>
    <x v="25"/>
    <x v="1"/>
    <s v="Pistons @ Jazz"/>
    <s v="Jazz -8.5"/>
    <n v="10"/>
    <n v="-110"/>
    <x v="1"/>
    <n v="9.0909090909090917"/>
    <x v="0"/>
  </r>
  <r>
    <x v="25"/>
    <x v="1"/>
    <s v="Trailblazers @ Kings"/>
    <s v="Under 228"/>
    <n v="10"/>
    <n v="-115"/>
    <x v="1"/>
    <n v="8.695652173913043"/>
    <x v="1"/>
  </r>
  <r>
    <x v="25"/>
    <x v="1"/>
    <s v="Trailblazers @ Kings"/>
    <s v="Trailblazers +2.5"/>
    <n v="10"/>
    <n v="-105"/>
    <x v="0"/>
    <n v="-10"/>
    <x v="3"/>
  </r>
  <r>
    <x v="25"/>
    <x v="1"/>
    <s v="Pelicans @ Clippers"/>
    <s v="Under 239"/>
    <n v="10"/>
    <n v="-110"/>
    <x v="1"/>
    <n v="9.0909090909090917"/>
    <x v="1"/>
  </r>
  <r>
    <x v="25"/>
    <x v="1"/>
    <s v="Pelicans @ Clippers"/>
    <s v="Pelicans +2.5"/>
    <n v="10"/>
    <n v="-110"/>
    <x v="1"/>
    <n v="9.0909090909090917"/>
    <x v="3"/>
  </r>
  <r>
    <x v="25"/>
    <x v="1"/>
    <s v="Pelicans @ Clippers"/>
    <s v="Pelicans Moneyline"/>
    <n v="10"/>
    <n v="120"/>
    <x v="1"/>
    <n v="12"/>
    <x v="4"/>
  </r>
  <r>
    <x v="26"/>
    <x v="1"/>
    <s v="Timberwolves @ 76ers"/>
    <s v="Under 232"/>
    <n v="10"/>
    <n v="-110"/>
    <x v="0"/>
    <n v="-10"/>
    <x v="1"/>
  </r>
  <r>
    <x v="26"/>
    <x v="1"/>
    <s v="Timberwolves @ 76ers"/>
    <s v="Timberwolves +6"/>
    <n v="10"/>
    <n v="-110"/>
    <x v="0"/>
    <n v="-10"/>
    <x v="3"/>
  </r>
  <r>
    <x v="26"/>
    <x v="1"/>
    <s v="Suns @ Pacers"/>
    <s v="Under 219"/>
    <n v="10"/>
    <n v="-110"/>
    <x v="0"/>
    <n v="-10"/>
    <x v="1"/>
  </r>
  <r>
    <x v="26"/>
    <x v="1"/>
    <s v="Thunder @ Hawks"/>
    <s v="Under 234"/>
    <n v="10"/>
    <n v="-105"/>
    <x v="0"/>
    <n v="-10"/>
    <x v="1"/>
  </r>
  <r>
    <x v="26"/>
    <x v="1"/>
    <s v="Thunder @ Hawks"/>
    <s v="Thunder -8.5"/>
    <n v="10"/>
    <n v="-105"/>
    <x v="0"/>
    <n v="-10"/>
    <x v="0"/>
  </r>
  <r>
    <x v="26"/>
    <x v="1"/>
    <s v="Heat @ Bucks"/>
    <s v="Bucks -8.5"/>
    <n v="10"/>
    <n v="-110"/>
    <x v="1"/>
    <n v="9.0909090909090917"/>
    <x v="0"/>
  </r>
  <r>
    <x v="26"/>
    <x v="1"/>
    <s v="Warriors @ Nuggets"/>
    <s v="Under 228"/>
    <n v="10"/>
    <n v="-115"/>
    <x v="0"/>
    <n v="-10"/>
    <x v="1"/>
  </r>
  <r>
    <x v="26"/>
    <x v="1"/>
    <s v="Warriors @ Nuggets"/>
    <s v="Warriors -1"/>
    <n v="10"/>
    <n v="-110"/>
    <x v="1"/>
    <n v="9.0909090909090917"/>
    <x v="0"/>
  </r>
  <r>
    <x v="26"/>
    <x v="1"/>
    <s v="Bulls @ Lakers"/>
    <s v="Under 215"/>
    <n v="10"/>
    <n v="-110"/>
    <x v="1"/>
    <n v="9.0909090909090917"/>
    <x v="1"/>
  </r>
  <r>
    <x v="26"/>
    <x v="1"/>
    <s v="Bulls @ Lakers"/>
    <s v="Lakers -7"/>
    <n v="10"/>
    <n v="-110"/>
    <x v="2"/>
    <n v="0"/>
    <x v="0"/>
  </r>
  <r>
    <x v="27"/>
    <x v="1"/>
    <s v="Magic @ Pistons"/>
    <s v="Under 207"/>
    <n v="5"/>
    <n v="-110"/>
    <x v="0"/>
    <n v="-5"/>
    <x v="1"/>
  </r>
  <r>
    <x v="27"/>
    <x v="1"/>
    <s v="Magic @ Pistons"/>
    <s v="Magic +3.5"/>
    <n v="5"/>
    <n v="-110"/>
    <x v="0"/>
    <n v="-5"/>
    <x v="3"/>
  </r>
  <r>
    <x v="27"/>
    <x v="1"/>
    <s v="Nets @ Rockets"/>
    <s v="Under 224"/>
    <n v="5"/>
    <n v="-110"/>
    <x v="0"/>
    <n v="-5"/>
    <x v="1"/>
  </r>
  <r>
    <x v="27"/>
    <x v="1"/>
    <s v="Nets @ Rockets"/>
    <s v="Rockets -5"/>
    <n v="5"/>
    <n v="-110"/>
    <x v="0"/>
    <n v="-5"/>
    <x v="0"/>
  </r>
  <r>
    <x v="27"/>
    <x v="1"/>
    <s v="Bucks @ Grizzlies"/>
    <s v="Under 212"/>
    <n v="5"/>
    <n v="-110"/>
    <x v="2"/>
    <n v="0"/>
    <x v="1"/>
  </r>
  <r>
    <x v="27"/>
    <x v="1"/>
    <s v="Bucks @ Grizzlies"/>
    <s v="Bucks -6"/>
    <n v="5"/>
    <n v="-110"/>
    <x v="1"/>
    <n v="4.5454545454545459"/>
    <x v="0"/>
  </r>
  <r>
    <x v="27"/>
    <x v="1"/>
    <s v="Raptors @ Celtics"/>
    <s v="Under 223"/>
    <n v="5"/>
    <n v="-105"/>
    <x v="0"/>
    <n v="-5"/>
    <x v="1"/>
  </r>
  <r>
    <x v="27"/>
    <x v="1"/>
    <s v="Raptors @ Celtics"/>
    <s v="Raptors +2"/>
    <n v="5"/>
    <n v="-110"/>
    <x v="0"/>
    <n v="-5"/>
    <x v="3"/>
  </r>
  <r>
    <x v="27"/>
    <x v="1"/>
    <s v="Raptors @ Celtics"/>
    <s v="Raptors Moneyline"/>
    <n v="5"/>
    <n v="110"/>
    <x v="0"/>
    <n v="-5"/>
    <x v="4"/>
  </r>
  <r>
    <x v="27"/>
    <x v="1"/>
    <s v="Spurs @ Mavericks"/>
    <s v="Spurs -1"/>
    <n v="5"/>
    <n v="-110"/>
    <x v="1"/>
    <n v="4.5454545454545459"/>
    <x v="0"/>
  </r>
  <r>
    <x v="27"/>
    <x v="1"/>
    <s v="Cavaliers @ Trailblazers"/>
    <s v="Trailblazers -13.5"/>
    <n v="5"/>
    <n v="-110"/>
    <x v="1"/>
    <n v="4.5454545454545459"/>
    <x v="0"/>
  </r>
  <r>
    <x v="27"/>
    <x v="1"/>
    <s v="Pelicans @ Warriors"/>
    <s v="Under 241"/>
    <n v="5"/>
    <n v="-105"/>
    <x v="0"/>
    <n v="-5"/>
    <x v="1"/>
  </r>
  <r>
    <x v="27"/>
    <x v="1"/>
    <s v="Pelicans @ Warriors"/>
    <s v="Warriors -7"/>
    <n v="5"/>
    <n v="-110"/>
    <x v="2"/>
    <n v="0"/>
    <x v="0"/>
  </r>
  <r>
    <x v="27"/>
    <x v="1"/>
    <s v="Jazz @ Clippers"/>
    <s v="Under 223"/>
    <n v="5"/>
    <n v="-110"/>
    <x v="0"/>
    <n v="-5"/>
    <x v="1"/>
  </r>
  <r>
    <x v="27"/>
    <x v="1"/>
    <s v="Jazz @ Clippers"/>
    <s v="Clippers -1.5"/>
    <n v="5"/>
    <n v="-110"/>
    <x v="0"/>
    <n v="-5"/>
    <x v="0"/>
  </r>
  <r>
    <x v="28"/>
    <x v="1"/>
    <s v="Knicks @ Wizards"/>
    <s v="Wizards -7.5"/>
    <n v="5"/>
    <n v="-105"/>
    <x v="0"/>
    <n v="-5"/>
    <x v="0"/>
  </r>
  <r>
    <x v="28"/>
    <x v="1"/>
    <s v="76ers @ Pacers"/>
    <s v="Under 225"/>
    <n v="5"/>
    <n v="-110"/>
    <x v="1"/>
    <n v="4.5454545454545459"/>
    <x v="1"/>
  </r>
  <r>
    <x v="28"/>
    <x v="1"/>
    <s v="76ers @ Pacers"/>
    <s v="76ers +2.5"/>
    <n v="5"/>
    <n v="-110"/>
    <x v="1"/>
    <n v="4.5454545454545459"/>
    <x v="3"/>
  </r>
  <r>
    <x v="28"/>
    <x v="1"/>
    <s v="76ers @ Pacers"/>
    <s v="76ers Moneyline"/>
    <n v="5"/>
    <n v="130"/>
    <x v="1"/>
    <n v="6.5"/>
    <x v="4"/>
  </r>
  <r>
    <x v="28"/>
    <x v="1"/>
    <s v="Kings @ Hornets"/>
    <s v="Under 230"/>
    <n v="5"/>
    <n v="-115"/>
    <x v="1"/>
    <n v="4.3478260869565215"/>
    <x v="1"/>
  </r>
  <r>
    <x v="28"/>
    <x v="1"/>
    <s v="Kings @ Hornets"/>
    <s v="Kings +3"/>
    <n v="5"/>
    <n v="-105"/>
    <x v="0"/>
    <n v="-5"/>
    <x v="3"/>
  </r>
  <r>
    <x v="28"/>
    <x v="1"/>
    <s v="Kings @ Hornets"/>
    <s v="Kings Moneyline"/>
    <n v="5"/>
    <n v="130"/>
    <x v="0"/>
    <n v="-5"/>
    <x v="4"/>
  </r>
  <r>
    <x v="28"/>
    <x v="1"/>
    <s v="Bulls @ Nuggets"/>
    <s v="Under 213"/>
    <n v="5"/>
    <n v="-115"/>
    <x v="0"/>
    <n v="-5"/>
    <x v="1"/>
  </r>
  <r>
    <x v="28"/>
    <x v="1"/>
    <s v="Bulls @ Nuggets"/>
    <s v="Nuggets -13"/>
    <n v="5"/>
    <n v="-110"/>
    <x v="1"/>
    <n v="4.5454545454545459"/>
    <x v="0"/>
  </r>
  <r>
    <x v="28"/>
    <x v="1"/>
    <s v="Lakers @ Thunder"/>
    <s v="Under 226"/>
    <n v="5"/>
    <n v="-110"/>
    <x v="0"/>
    <n v="-5"/>
    <x v="1"/>
  </r>
  <r>
    <x v="28"/>
    <x v="1"/>
    <s v="Lakers @ Thunder"/>
    <s v="Lakers +10.5"/>
    <n v="5"/>
    <n v="-110"/>
    <x v="1"/>
    <n v="4.5454545454545459"/>
    <x v="3"/>
  </r>
  <r>
    <x v="29"/>
    <x v="1"/>
    <s v="Nets @ Magic"/>
    <s v="Under 217"/>
    <n v="5"/>
    <n v="-110"/>
    <x v="0"/>
    <n v="-5"/>
    <x v="1"/>
  </r>
  <r>
    <x v="29"/>
    <x v="1"/>
    <s v="Nets @ Magic"/>
    <s v="Nets +1.5"/>
    <n v="5"/>
    <n v="-110"/>
    <x v="1"/>
    <n v="4.5454545454545459"/>
    <x v="3"/>
  </r>
  <r>
    <x v="29"/>
    <x v="1"/>
    <s v="Nets @ Magic"/>
    <s v="Nets Moneyline"/>
    <n v="5"/>
    <n v="105"/>
    <x v="1"/>
    <n v="5.25"/>
    <x v="4"/>
  </r>
  <r>
    <x v="29"/>
    <x v="1"/>
    <s v="Grizzlies @ Celtics"/>
    <s v="Over 207"/>
    <n v="5"/>
    <n v="-105"/>
    <x v="1"/>
    <n v="4.7619047619047619"/>
    <x v="2"/>
  </r>
  <r>
    <x v="29"/>
    <x v="1"/>
    <s v="Grizzlies @ Celtics"/>
    <s v="Celtics -11"/>
    <n v="5"/>
    <n v="-105"/>
    <x v="0"/>
    <n v="-5"/>
    <x v="0"/>
  </r>
  <r>
    <x v="29"/>
    <x v="1"/>
    <s v="Heat @ Pistons"/>
    <s v="Over 207"/>
    <n v="5"/>
    <n v="-105"/>
    <x v="0"/>
    <n v="-5"/>
    <x v="2"/>
  </r>
  <r>
    <x v="29"/>
    <x v="1"/>
    <s v="Heat @ Pistons"/>
    <s v="Heat +2"/>
    <n v="5"/>
    <n v="-110"/>
    <x v="0"/>
    <n v="-5"/>
    <x v="3"/>
  </r>
  <r>
    <x v="29"/>
    <x v="1"/>
    <s v="Spurs @ Timberwolves"/>
    <s v="Under 226"/>
    <n v="5"/>
    <n v="-110"/>
    <x v="0"/>
    <n v="-5"/>
    <x v="1"/>
  </r>
  <r>
    <x v="29"/>
    <x v="1"/>
    <s v="Spurs @ Timberwolves"/>
    <s v="Spurs +1.5"/>
    <n v="5"/>
    <n v="-110"/>
    <x v="1"/>
    <n v="4.5454545454545459"/>
    <x v="3"/>
  </r>
  <r>
    <x v="29"/>
    <x v="1"/>
    <s v="Cavaliers @ Jazz"/>
    <s v="Jazz -15.5"/>
    <n v="5"/>
    <n v="-110"/>
    <x v="1"/>
    <n v="4.5454545454545459"/>
    <x v="0"/>
  </r>
  <r>
    <x v="29"/>
    <x v="1"/>
    <s v="Warriors @ Clippers"/>
    <s v="Under 242"/>
    <n v="5"/>
    <n v="-110"/>
    <x v="1"/>
    <n v="4.5454545454545459"/>
    <x v="1"/>
  </r>
  <r>
    <x v="29"/>
    <x v="1"/>
    <s v="Warriors @ Clippers"/>
    <s v="Warriors -7"/>
    <n v="5"/>
    <n v="-115"/>
    <x v="1"/>
    <n v="4.3478260869565215"/>
    <x v="0"/>
  </r>
  <r>
    <x v="29"/>
    <x v="1"/>
    <s v="Pelicans @ Trailblazers"/>
    <s v="Pelicans +3"/>
    <n v="5"/>
    <n v="-115"/>
    <x v="0"/>
    <n v="-5"/>
    <x v="3"/>
  </r>
  <r>
    <x v="29"/>
    <x v="1"/>
    <s v="Pelicans @ Trailblazers"/>
    <s v="Pelicans Moneyline"/>
    <n v="5"/>
    <n v="120"/>
    <x v="0"/>
    <n v="-5"/>
    <x v="4"/>
  </r>
  <r>
    <x v="29"/>
    <x v="2"/>
    <s v="Maryland @ Ohio State"/>
    <s v="Maryland +3.5"/>
    <n v="1"/>
    <n v="-115"/>
    <x v="1"/>
    <n v="0.86956521739130432"/>
    <x v="3"/>
  </r>
  <r>
    <x v="29"/>
    <x v="2"/>
    <s v="Maryland @ Ohio State"/>
    <s v="Under 140"/>
    <n v="1"/>
    <n v="-115"/>
    <x v="1"/>
    <n v="0.86956521739130432"/>
    <x v="1"/>
  </r>
  <r>
    <x v="29"/>
    <x v="2"/>
    <s v="Eastern Michigan @ Buffalo"/>
    <s v="Buffalo -15.5"/>
    <n v="1"/>
    <n v="-105"/>
    <x v="0"/>
    <n v="-1"/>
    <x v="0"/>
  </r>
  <r>
    <x v="29"/>
    <x v="2"/>
    <s v="Xavier @ Villanova"/>
    <s v="Villanova -10"/>
    <n v="1"/>
    <n v="-110"/>
    <x v="2"/>
    <n v="0"/>
    <x v="0"/>
  </r>
  <r>
    <x v="29"/>
    <x v="2"/>
    <s v="Northwestern @ Rutgers"/>
    <s v="Northwestern -1.5"/>
    <n v="1"/>
    <n v="-110"/>
    <x v="1"/>
    <n v="0.90909090909090906"/>
    <x v="0"/>
  </r>
  <r>
    <x v="29"/>
    <x v="2"/>
    <s v="Ohio @ Toledo"/>
    <s v="Toledo -8.5"/>
    <n v="1"/>
    <n v="-110"/>
    <x v="1"/>
    <n v="0.90909090909090906"/>
    <x v="0"/>
  </r>
  <r>
    <x v="30"/>
    <x v="0"/>
    <s v="Rams @ Saints"/>
    <s v="Under 56"/>
    <n v="10"/>
    <n v="-110"/>
    <x v="1"/>
    <n v="9.0909090909090917"/>
    <x v="1"/>
  </r>
  <r>
    <x v="31"/>
    <x v="2"/>
    <s v="Maryland @ Michigan State"/>
    <s v="Michigan State -9"/>
    <n v="2"/>
    <n v="-110"/>
    <x v="1"/>
    <n v="1.8181818181818181"/>
    <x v="0"/>
  </r>
  <r>
    <x v="31"/>
    <x v="2"/>
    <s v="Maryland @ Michigan State"/>
    <s v="Under 148"/>
    <n v="2"/>
    <n v="-105"/>
    <x v="1"/>
    <n v="1.9047619047619049"/>
    <x v="1"/>
  </r>
  <r>
    <x v="31"/>
    <x v="2"/>
    <s v="Virginia Tech @ North Carolina"/>
    <s v="Virginia Tech +4"/>
    <n v="2"/>
    <n v="-110"/>
    <x v="0"/>
    <n v="-2"/>
    <x v="3"/>
  </r>
  <r>
    <x v="31"/>
    <x v="2"/>
    <s v="Virginia Tech @ North Carolina"/>
    <s v="Under 155"/>
    <n v="2"/>
    <n v="-110"/>
    <x v="0"/>
    <n v="-2"/>
    <x v="1"/>
  </r>
  <r>
    <x v="31"/>
    <x v="2"/>
    <s v="Iowa State @ Kansas"/>
    <s v="Iowa State +5.5"/>
    <n v="2"/>
    <n v="-110"/>
    <x v="1"/>
    <n v="1.8181818181818181"/>
    <x v="3"/>
  </r>
  <r>
    <x v="31"/>
    <x v="2"/>
    <s v="Iowa State @ Kansas"/>
    <s v="Under 147"/>
    <n v="2"/>
    <n v="-105"/>
    <x v="0"/>
    <n v="-2"/>
    <x v="1"/>
  </r>
  <r>
    <x v="31"/>
    <x v="2"/>
    <s v="Nebraska @ Rutgers"/>
    <s v="Nebraska -9"/>
    <n v="2"/>
    <n v="-110"/>
    <x v="0"/>
    <n v="-2"/>
    <x v="0"/>
  </r>
  <r>
    <x v="31"/>
    <x v="2"/>
    <s v="Nebraska @ Rutgers"/>
    <s v="Under 135"/>
    <n v="2"/>
    <n v="-110"/>
    <x v="0"/>
    <n v="-2"/>
    <x v="1"/>
  </r>
  <r>
    <x v="31"/>
    <x v="2"/>
    <s v="Creighton @ Georgetown"/>
    <s v="Creighton +1.5"/>
    <n v="2"/>
    <n v="-110"/>
    <x v="1"/>
    <n v="1.8181818181818181"/>
    <x v="3"/>
  </r>
  <r>
    <x v="31"/>
    <x v="2"/>
    <s v="Creighton @ Georgetown"/>
    <s v="Under 166"/>
    <n v="2"/>
    <n v="-110"/>
    <x v="0"/>
    <n v="-2"/>
    <x v="1"/>
  </r>
  <r>
    <x v="31"/>
    <x v="2"/>
    <s v="Baylor @ West Virginia"/>
    <s v="Baylor +3"/>
    <n v="2"/>
    <n v="-110"/>
    <x v="1"/>
    <n v="1.8181818181818181"/>
    <x v="3"/>
  </r>
  <r>
    <x v="31"/>
    <x v="2"/>
    <s v="Baylor @ West Virginia"/>
    <s v="Under 143"/>
    <n v="2"/>
    <n v="-105"/>
    <x v="0"/>
    <n v="-2"/>
    <x v="1"/>
  </r>
  <r>
    <x v="32"/>
    <x v="2"/>
    <s v="Auburn @ South Carolina"/>
    <s v="Auburn -8"/>
    <n v="2"/>
    <n v="-110"/>
    <x v="0"/>
    <n v="-2"/>
    <x v="0"/>
  </r>
  <r>
    <x v="32"/>
    <x v="2"/>
    <s v="Auburn @ South Carolina"/>
    <s v="Under 155"/>
    <n v="2"/>
    <n v="-110"/>
    <x v="0"/>
    <n v="-2"/>
    <x v="1"/>
  </r>
  <r>
    <x v="32"/>
    <x v="2"/>
    <s v="Clemson @ Florida State"/>
    <s v="Florida State -6"/>
    <n v="2"/>
    <n v="-110"/>
    <x v="1"/>
    <n v="1.8181818181818181"/>
    <x v="0"/>
  </r>
  <r>
    <x v="32"/>
    <x v="2"/>
    <s v="Minnesota @ Michigan"/>
    <s v="Michigan -12.5"/>
    <n v="2"/>
    <n v="-110"/>
    <x v="0"/>
    <n v="-2"/>
    <x v="0"/>
  </r>
  <r>
    <x v="32"/>
    <x v="2"/>
    <s v="Minnesota @ Michigan"/>
    <s v="Under 138"/>
    <n v="2"/>
    <n v="-115"/>
    <x v="1"/>
    <n v="1.7391304347826086"/>
    <x v="1"/>
  </r>
  <r>
    <x v="32"/>
    <x v="2"/>
    <s v="Mississippi State @ Kentucky"/>
    <s v="Under 145"/>
    <n v="2"/>
    <n v="-115"/>
    <x v="1"/>
    <n v="1.7391304347826086"/>
    <x v="1"/>
  </r>
  <r>
    <x v="32"/>
    <x v="2"/>
    <s v="Notre Dame @ Georgia Tech"/>
    <s v="Georgia Tech +3.5"/>
    <n v="2"/>
    <n v="-110"/>
    <x v="1"/>
    <n v="1.8181818181818181"/>
    <x v="3"/>
  </r>
  <r>
    <x v="32"/>
    <x v="2"/>
    <s v="Notre Dame @ Georgia Tech"/>
    <s v="Over 133"/>
    <n v="2"/>
    <n v="-110"/>
    <x v="0"/>
    <n v="-2"/>
    <x v="2"/>
  </r>
  <r>
    <x v="32"/>
    <x v="2"/>
    <s v="Saint Peter's @ Niagara"/>
    <s v="Over 140"/>
    <n v="2"/>
    <n v="-110"/>
    <x v="1"/>
    <n v="1.8181818181818181"/>
    <x v="2"/>
  </r>
  <r>
    <x v="32"/>
    <x v="2"/>
    <s v="Saint Peter's @ Niagara"/>
    <s v="Niagara -3.5"/>
    <n v="2"/>
    <n v="-110"/>
    <x v="0"/>
    <n v="-2"/>
    <x v="0"/>
  </r>
  <r>
    <x v="32"/>
    <x v="2"/>
    <s v="Texas Tech @ Kansas State"/>
    <s v="Texas Tech +1"/>
    <n v="2"/>
    <n v="-115"/>
    <x v="0"/>
    <n v="-2"/>
    <x v="3"/>
  </r>
  <r>
    <x v="32"/>
    <x v="2"/>
    <s v="Texas Tech @ Kansas State"/>
    <s v="Over 120"/>
    <n v="2"/>
    <n v="-105"/>
    <x v="0"/>
    <n v="-2"/>
    <x v="2"/>
  </r>
  <r>
    <x v="32"/>
    <x v="2"/>
    <s v="Villanova @ Butler"/>
    <s v="Villanova +1.5"/>
    <n v="2"/>
    <n v="-115"/>
    <x v="1"/>
    <n v="1.7391304347826086"/>
    <x v="3"/>
  </r>
  <r>
    <x v="32"/>
    <x v="2"/>
    <s v="Villanova @ Butler"/>
    <s v="Under 142"/>
    <n v="2"/>
    <n v="-115"/>
    <x v="0"/>
    <n v="-2"/>
    <x v="1"/>
  </r>
  <r>
    <x v="32"/>
    <x v="2"/>
    <s v="Buffalo @ Northern Illinois"/>
    <s v="Buffalo -8"/>
    <n v="2"/>
    <n v="-110"/>
    <x v="0"/>
    <n v="-2"/>
    <x v="0"/>
  </r>
  <r>
    <x v="32"/>
    <x v="2"/>
    <s v="Buffalo @ Northern Illinois"/>
    <s v="Under 158"/>
    <n v="2"/>
    <n v="-110"/>
    <x v="1"/>
    <n v="1.8181818181818181"/>
    <x v="1"/>
  </r>
  <r>
    <x v="33"/>
    <x v="1"/>
    <s v="Warriors @ Wizards"/>
    <s v="Over 235"/>
    <n v="4"/>
    <n v="-110"/>
    <x v="1"/>
    <n v="3.6363636363636362"/>
    <x v="2"/>
  </r>
  <r>
    <x v="33"/>
    <x v="1"/>
    <s v="Warriors @ Wizards"/>
    <s v="Warriors -10.5"/>
    <n v="4"/>
    <n v="-105"/>
    <x v="0"/>
    <n v="-4"/>
    <x v="0"/>
  </r>
  <r>
    <x v="33"/>
    <x v="1"/>
    <s v="Pelicans @ Thunder"/>
    <s v="Under 233"/>
    <n v="4"/>
    <n v="-105"/>
    <x v="0"/>
    <n v="-4"/>
    <x v="1"/>
  </r>
  <r>
    <x v="33"/>
    <x v="1"/>
    <s v="Pelicans @ Thunder"/>
    <s v="Pelicans +12"/>
    <n v="4"/>
    <n v="-110"/>
    <x v="1"/>
    <n v="3.6363636363636362"/>
    <x v="3"/>
  </r>
  <r>
    <x v="33"/>
    <x v="1"/>
    <s v="Pelicans @ Thunder"/>
    <s v="Pelicans Moneyline"/>
    <n v="4"/>
    <n v="600"/>
    <x v="0"/>
    <n v="-4"/>
    <x v="4"/>
  </r>
  <r>
    <x v="33"/>
    <x v="1"/>
    <s v="TrailBlazers @ Suns"/>
    <s v="Under 220"/>
    <n v="4"/>
    <n v="-105"/>
    <x v="0"/>
    <n v="-4"/>
    <x v="1"/>
  </r>
  <r>
    <x v="33"/>
    <x v="1"/>
    <s v="TrailBlazers @ Suns"/>
    <s v="TrailBlazers -7.5"/>
    <n v="4"/>
    <n v="-110"/>
    <x v="1"/>
    <n v="3.6363636363636362"/>
    <x v="0"/>
  </r>
  <r>
    <x v="33"/>
    <x v="1"/>
    <s v="Timberwolves @ Lakers"/>
    <s v="Under 230"/>
    <n v="4"/>
    <n v="-110"/>
    <x v="1"/>
    <n v="3.6363636363636362"/>
    <x v="1"/>
  </r>
  <r>
    <x v="33"/>
    <x v="1"/>
    <s v="Timberwolves @ Lakers"/>
    <s v="Timberwolves -1.5"/>
    <n v="4"/>
    <n v="-110"/>
    <x v="1"/>
    <n v="3.6363636363636362"/>
    <x v="0"/>
  </r>
  <r>
    <x v="33"/>
    <x v="2"/>
    <s v="Michigan State @ Iowa"/>
    <s v="Michigan State -5"/>
    <n v="2"/>
    <n v="-110"/>
    <x v="1"/>
    <n v="1.8181818181818181"/>
    <x v="0"/>
  </r>
  <r>
    <x v="33"/>
    <x v="2"/>
    <s v="Michigan State @ Iowa"/>
    <s v="Under 157"/>
    <n v="2"/>
    <n v="-110"/>
    <x v="1"/>
    <n v="1.8181818181818181"/>
    <x v="1"/>
  </r>
  <r>
    <x v="33"/>
    <x v="2"/>
    <s v="Miami (FL) @ Syracuse"/>
    <s v="Syracuse -8"/>
    <n v="2"/>
    <n v="-110"/>
    <x v="1"/>
    <n v="1.8181818181818181"/>
    <x v="0"/>
  </r>
  <r>
    <x v="33"/>
    <x v="2"/>
    <s v="North Carolina State @ Louisville"/>
    <s v="Under 156"/>
    <n v="2"/>
    <n v="-115"/>
    <x v="0"/>
    <n v="-2"/>
    <x v="1"/>
  </r>
  <r>
    <x v="33"/>
    <x v="2"/>
    <s v="Belmont @ Murray State"/>
    <s v="Murray State -5.5"/>
    <n v="2"/>
    <n v="-110"/>
    <x v="0"/>
    <n v="-2"/>
    <x v="0"/>
  </r>
  <r>
    <x v="33"/>
    <x v="2"/>
    <s v="Utah @ Stanford"/>
    <s v="Utah +2.5"/>
    <n v="2"/>
    <n v="-110"/>
    <x v="1"/>
    <n v="1.8181818181818181"/>
    <x v="3"/>
  </r>
  <r>
    <x v="33"/>
    <x v="2"/>
    <s v="Utah @ Stanford"/>
    <s v="Under 148"/>
    <n v="2"/>
    <n v="-110"/>
    <x v="1"/>
    <n v="1.8181818181818181"/>
    <x v="1"/>
  </r>
  <r>
    <x v="33"/>
    <x v="2"/>
    <s v="Washington @ Oregon"/>
    <s v="Washington +2.5"/>
    <n v="2"/>
    <n v="-110"/>
    <x v="1"/>
    <n v="1.8181818181818181"/>
    <x v="3"/>
  </r>
  <r>
    <x v="33"/>
    <x v="2"/>
    <s v="Washington @ Oregon"/>
    <s v="Over 131"/>
    <n v="2"/>
    <n v="-115"/>
    <x v="0"/>
    <n v="-2"/>
    <x v="2"/>
  </r>
  <r>
    <x v="33"/>
    <x v="2"/>
    <s v="Arizona State @ UCLA"/>
    <s v="Arizona State +1"/>
    <n v="2"/>
    <n v="-105"/>
    <x v="1"/>
    <n v="1.9047619047619049"/>
    <x v="3"/>
  </r>
  <r>
    <x v="33"/>
    <x v="2"/>
    <s v="Arizona State @ UCLA"/>
    <s v="Under 156"/>
    <n v="2"/>
    <n v="-110"/>
    <x v="0"/>
    <n v="-2"/>
    <x v="1"/>
  </r>
  <r>
    <x v="34"/>
    <x v="2"/>
    <s v="Buffalo @ Kent State"/>
    <s v="Buffalo -8"/>
    <n v="2"/>
    <n v="-110"/>
    <x v="1"/>
    <n v="1.8181818181818181"/>
    <x v="0"/>
  </r>
  <r>
    <x v="34"/>
    <x v="2"/>
    <s v="Buffalo @ Kent State"/>
    <s v="Under 161"/>
    <n v="2"/>
    <n v="-105"/>
    <x v="0"/>
    <n v="-2"/>
    <x v="1"/>
  </r>
  <r>
    <x v="34"/>
    <x v="2"/>
    <s v="Michigan @ Indiana"/>
    <s v="Michigan -4.5"/>
    <n v="2"/>
    <n v="-110"/>
    <x v="1"/>
    <n v="1.8181818181818181"/>
    <x v="0"/>
  </r>
  <r>
    <x v="34"/>
    <x v="2"/>
    <s v="Michigan @ Indiana"/>
    <s v="Under 134"/>
    <n v="2"/>
    <n v="-115"/>
    <x v="1"/>
    <n v="1.7391304347826086"/>
    <x v="1"/>
  </r>
  <r>
    <x v="34"/>
    <x v="2"/>
    <s v="Brown @ Yale"/>
    <s v="Yale -7.5"/>
    <n v="2"/>
    <n v="-110"/>
    <x v="1"/>
    <n v="1.8181818181818181"/>
    <x v="0"/>
  </r>
  <r>
    <x v="34"/>
    <x v="2"/>
    <s v="Brown @ Yale"/>
    <s v="Under 152"/>
    <n v="2"/>
    <n v="-105"/>
    <x v="1"/>
    <n v="1.9047619047619049"/>
    <x v="1"/>
  </r>
  <r>
    <x v="34"/>
    <x v="2"/>
    <s v="Quinnipiac @ Marist"/>
    <s v="Quinnipiac +2"/>
    <n v="2"/>
    <n v="-110"/>
    <x v="1"/>
    <n v="1.8181818181818181"/>
    <x v="3"/>
  </r>
  <r>
    <x v="34"/>
    <x v="2"/>
    <s v="Quinnipiac @ Marist"/>
    <s v="Over 137"/>
    <n v="2"/>
    <n v="-115"/>
    <x v="1"/>
    <n v="1.7391304347826086"/>
    <x v="2"/>
  </r>
  <r>
    <x v="34"/>
    <x v="2"/>
    <s v="Rider @ Iona"/>
    <s v="Rider -3"/>
    <n v="2"/>
    <n v="-105"/>
    <x v="0"/>
    <n v="-2"/>
    <x v="0"/>
  </r>
  <r>
    <x v="34"/>
    <x v="2"/>
    <s v="Rider @ Iona"/>
    <s v="Under 172"/>
    <n v="2"/>
    <n v="-115"/>
    <x v="1"/>
    <n v="1.7391304347826086"/>
    <x v="1"/>
  </r>
  <r>
    <x v="34"/>
    <x v="2"/>
    <s v="Butler @ Creighton"/>
    <s v="Butler +2.5"/>
    <n v="2"/>
    <n v="-105"/>
    <x v="0"/>
    <n v="-2"/>
    <x v="3"/>
  </r>
  <r>
    <x v="34"/>
    <x v="2"/>
    <s v="Butler @ Creighton"/>
    <s v="Under 153"/>
    <n v="2"/>
    <n v="-105"/>
    <x v="1"/>
    <n v="1.9047619047619049"/>
    <x v="1"/>
  </r>
  <r>
    <x v="34"/>
    <x v="2"/>
    <s v="Butler @ Creighton"/>
    <s v="Butler Moneyline"/>
    <n v="2"/>
    <n v="130"/>
    <x v="0"/>
    <n v="-2"/>
    <x v="4"/>
  </r>
  <r>
    <x v="35"/>
    <x v="2"/>
    <s v="VCU @ Duquesne"/>
    <s v="VCU -3.5"/>
    <n v="5"/>
    <n v="-110"/>
    <x v="1"/>
    <n v="4.5454545454545459"/>
    <x v="0"/>
  </r>
  <r>
    <x v="35"/>
    <x v="2"/>
    <s v="Monmouth @ Niagara"/>
    <s v="Niagara -2.5"/>
    <n v="5"/>
    <n v="-115"/>
    <x v="1"/>
    <n v="4.3478260869565215"/>
    <x v="0"/>
  </r>
  <r>
    <x v="35"/>
    <x v="2"/>
    <s v="Utah Valley @ Chicago State"/>
    <s v="Utah Valley -17.5"/>
    <n v="5"/>
    <n v="-110"/>
    <x v="0"/>
    <n v="-5"/>
    <x v="0"/>
  </r>
  <r>
    <x v="35"/>
    <x v="2"/>
    <s v="Mercer @ NC Greensboro"/>
    <s v="NC Greensboro -9"/>
    <n v="5"/>
    <n v="-115"/>
    <x v="0"/>
    <n v="-5"/>
    <x v="0"/>
  </r>
  <r>
    <x v="35"/>
    <x v="2"/>
    <s v="Mercer @ NC Greensboro"/>
    <s v="Under 138"/>
    <n v="5"/>
    <n v="-105"/>
    <x v="0"/>
    <n v="-5"/>
    <x v="1"/>
  </r>
  <r>
    <x v="35"/>
    <x v="2"/>
    <s v="Evansville @ Northern Iowa"/>
    <s v="Northern Iowa -5"/>
    <n v="5"/>
    <n v="-110"/>
    <x v="1"/>
    <n v="4.5454545454545459"/>
    <x v="0"/>
  </r>
  <r>
    <x v="35"/>
    <x v="2"/>
    <s v="North Dakota State @ Oral Roberts"/>
    <s v="North Dakota State -1.5"/>
    <n v="10"/>
    <n v="-110"/>
    <x v="1"/>
    <n v="9.0909090909090917"/>
    <x v="0"/>
  </r>
  <r>
    <x v="36"/>
    <x v="3"/>
    <s v="Farmers Insurance Open 2019"/>
    <s v="Gooch over Ghim"/>
    <n v="12.5"/>
    <n v="-125"/>
    <x v="1"/>
    <n v="10"/>
    <x v="2"/>
  </r>
  <r>
    <x v="37"/>
    <x v="1"/>
    <s v="Warriors @ Pacers"/>
    <s v="Under 228"/>
    <n v="2"/>
    <n v="-110"/>
    <x v="0"/>
    <n v="-2"/>
    <x v="1"/>
  </r>
  <r>
    <x v="37"/>
    <x v="1"/>
    <s v="Warriors @ Pacers"/>
    <s v="Warriors -7.5"/>
    <n v="2"/>
    <n v="-105"/>
    <x v="1"/>
    <n v="1.9047619047619049"/>
    <x v="0"/>
  </r>
  <r>
    <x v="37"/>
    <x v="1"/>
    <s v="Knicks @ Hornets"/>
    <s v="Hornets -12"/>
    <n v="2"/>
    <n v="-110"/>
    <x v="0"/>
    <n v="-2"/>
    <x v="0"/>
  </r>
  <r>
    <x v="37"/>
    <x v="1"/>
    <s v="Nets @ Celtics"/>
    <s v="Under 220"/>
    <n v="2"/>
    <n v="-110"/>
    <x v="1"/>
    <n v="1.8181818181818181"/>
    <x v="1"/>
  </r>
  <r>
    <x v="37"/>
    <x v="1"/>
    <s v="Nets @ Celtics"/>
    <s v="Celtics -9"/>
    <n v="2"/>
    <n v="-110"/>
    <x v="0"/>
    <n v="-2"/>
    <x v="0"/>
  </r>
  <r>
    <x v="37"/>
    <x v="1"/>
    <s v="Nuggets @ Grizzlies"/>
    <s v="Under 207"/>
    <n v="2"/>
    <n v="-110"/>
    <x v="1"/>
    <n v="1.8181818181818181"/>
    <x v="1"/>
  </r>
  <r>
    <x v="37"/>
    <x v="1"/>
    <s v="Nuggets @ Grizzlies"/>
    <s v="Nuggets -6"/>
    <n v="2"/>
    <n v="-110"/>
    <x v="0"/>
    <n v="-2"/>
    <x v="0"/>
  </r>
  <r>
    <x v="37"/>
    <x v="1"/>
    <s v="Hawks @ Clippers"/>
    <s v="Under 233"/>
    <n v="2"/>
    <n v="-110"/>
    <x v="0"/>
    <n v="-2"/>
    <x v="1"/>
  </r>
  <r>
    <x v="37"/>
    <x v="1"/>
    <s v="Hawks @ Clippers"/>
    <s v="Clippers -6"/>
    <n v="2"/>
    <n v="-115"/>
    <x v="0"/>
    <n v="-2"/>
    <x v="0"/>
  </r>
  <r>
    <x v="37"/>
    <x v="2"/>
    <s v="Duke @ Notre Dame"/>
    <s v="Duke -15"/>
    <n v="5"/>
    <n v="-105"/>
    <x v="1"/>
    <n v="4.7619047619047619"/>
    <x v="0"/>
  </r>
  <r>
    <x v="37"/>
    <x v="2"/>
    <s v="Duke @ Notre Dame"/>
    <s v="Under 152"/>
    <n v="5"/>
    <n v="-105"/>
    <x v="1"/>
    <n v="4.7619047619047619"/>
    <x v="1"/>
  </r>
  <r>
    <x v="37"/>
    <x v="2"/>
    <s v="Florida A&amp;M @ Morgan State"/>
    <s v="Over 131"/>
    <n v="5"/>
    <n v="-110"/>
    <x v="1"/>
    <n v="4.5454545454545459"/>
    <x v="2"/>
  </r>
  <r>
    <x v="37"/>
    <x v="2"/>
    <s v="Florida A&amp;M @ Morgan State"/>
    <s v="Morgan State -4"/>
    <n v="5"/>
    <n v="-110"/>
    <x v="0"/>
    <n v="-5"/>
    <x v="0"/>
  </r>
  <r>
    <x v="37"/>
    <x v="2"/>
    <s v="Baylor @ Oklahoma"/>
    <s v="Oklahoma +5.5"/>
    <n v="5"/>
    <n v="-115"/>
    <x v="0"/>
    <n v="-5"/>
    <x v="3"/>
  </r>
  <r>
    <x v="37"/>
    <x v="2"/>
    <s v="Baylor @ Oklahoma"/>
    <s v="Under 139"/>
    <n v="5"/>
    <n v="-110"/>
    <x v="1"/>
    <n v="4.5454545454545459"/>
    <x v="1"/>
  </r>
  <r>
    <x v="37"/>
    <x v="2"/>
    <s v="Texas Christian @ Texas Tech"/>
    <s v="Over 131"/>
    <n v="5"/>
    <n v="-110"/>
    <x v="1"/>
    <n v="4.5454545454545459"/>
    <x v="2"/>
  </r>
  <r>
    <x v="37"/>
    <x v="2"/>
    <s v="Alcorn State @ Alabama A&amp;M"/>
    <s v="Over 121"/>
    <n v="5"/>
    <n v="-115"/>
    <x v="1"/>
    <n v="4.3478260869565215"/>
    <x v="2"/>
  </r>
  <r>
    <x v="37"/>
    <x v="2"/>
    <s v="Alcorn State @ Alabama A&amp;M"/>
    <s v="Alabama A&amp;M -3"/>
    <n v="5"/>
    <n v="-115"/>
    <x v="1"/>
    <n v="4.3478260869565215"/>
    <x v="0"/>
  </r>
  <r>
    <x v="37"/>
    <x v="2"/>
    <s v="North Carolina Central @ Savannah State"/>
    <s v="North Carolina Central -2.5"/>
    <n v="5"/>
    <n v="-110"/>
    <x v="1"/>
    <n v="4.5454545454545459"/>
    <x v="0"/>
  </r>
  <r>
    <x v="37"/>
    <x v="2"/>
    <s v="North Carolina Central @ Savannah State"/>
    <s v="Over 157"/>
    <n v="5"/>
    <n v="-115"/>
    <x v="0"/>
    <n v="-5"/>
    <x v="2"/>
  </r>
  <r>
    <x v="38"/>
    <x v="2"/>
    <s v="Ohio @ Northern Illinois"/>
    <s v="Over 136"/>
    <n v="5"/>
    <n v="-110"/>
    <x v="0"/>
    <n v="-5"/>
    <x v="2"/>
  </r>
  <r>
    <x v="38"/>
    <x v="2"/>
    <s v="Ohio @ Northern Illinois"/>
    <s v="Northern Illinois -4.5"/>
    <n v="5"/>
    <n v="-110"/>
    <x v="1"/>
    <n v="4.5454545454545459"/>
    <x v="0"/>
  </r>
  <r>
    <x v="38"/>
    <x v="2"/>
    <s v="Tennessee @ South Carolina"/>
    <s v="Tennessee -8.5"/>
    <n v="5"/>
    <n v="-110"/>
    <x v="1"/>
    <n v="4.5454545454545459"/>
    <x v="0"/>
  </r>
  <r>
    <x v="38"/>
    <x v="2"/>
    <s v="Tennessee @ South Carolina"/>
    <s v="Under 154"/>
    <n v="5"/>
    <n v="-105"/>
    <x v="0"/>
    <n v="-5"/>
    <x v="1"/>
  </r>
  <r>
    <x v="38"/>
    <x v="2"/>
    <s v="Ball State @ Buffalo"/>
    <s v="Buffalo -11"/>
    <n v="5"/>
    <n v="-105"/>
    <x v="1"/>
    <n v="4.7619047619047619"/>
    <x v="0"/>
  </r>
  <r>
    <x v="38"/>
    <x v="2"/>
    <s v="Ball State @ Buffalo"/>
    <s v="Under 161"/>
    <n v="5"/>
    <n v="-115"/>
    <x v="1"/>
    <n v="4.3478260869565215"/>
    <x v="1"/>
  </r>
  <r>
    <x v="38"/>
    <x v="2"/>
    <s v="Kansas @ Texas"/>
    <s v="Kansas +1"/>
    <n v="5"/>
    <n v="-110"/>
    <x v="0"/>
    <n v="-5"/>
    <x v="3"/>
  </r>
  <r>
    <x v="38"/>
    <x v="2"/>
    <s v="Kansas @ Texas"/>
    <s v="Under 141"/>
    <n v="5"/>
    <n v="-115"/>
    <x v="1"/>
    <n v="4.3478260869565215"/>
    <x v="1"/>
  </r>
  <r>
    <x v="38"/>
    <x v="2"/>
    <s v="Toledo @ Miami (OH)"/>
    <s v="Toledo -2.5"/>
    <n v="5"/>
    <n v="-115"/>
    <x v="1"/>
    <n v="4.3478260869565215"/>
    <x v="0"/>
  </r>
  <r>
    <x v="38"/>
    <x v="2"/>
    <s v="Toledo @ Miami (OH)"/>
    <s v="Over 142"/>
    <n v="5"/>
    <n v="-105"/>
    <x v="0"/>
    <n v="-5"/>
    <x v="2"/>
  </r>
  <r>
    <x v="38"/>
    <x v="2"/>
    <s v="Boise State @ Colorado State"/>
    <s v="Boise State -2"/>
    <n v="5"/>
    <n v="-110"/>
    <x v="2"/>
    <n v="0"/>
    <x v="0"/>
  </r>
  <r>
    <x v="38"/>
    <x v="2"/>
    <s v="Ohio State @ Michigan"/>
    <s v="Michigan -8.5"/>
    <n v="5"/>
    <n v="-110"/>
    <x v="1"/>
    <n v="4.5454545454545459"/>
    <x v="0"/>
  </r>
  <r>
    <x v="39"/>
    <x v="1"/>
    <s v="Hornets @ Celtics"/>
    <s v="Over 216"/>
    <n v="1"/>
    <n v="-115"/>
    <x v="1"/>
    <n v="0.86956521739130432"/>
    <x v="2"/>
  </r>
  <r>
    <x v="39"/>
    <x v="1"/>
    <s v="Hornets @ Celtics"/>
    <s v="Celtics -7.5"/>
    <n v="1"/>
    <n v="-110"/>
    <x v="1"/>
    <n v="0.90909090909090906"/>
    <x v="0"/>
  </r>
  <r>
    <x v="39"/>
    <x v="1"/>
    <s v="Bulls @ Heat"/>
    <s v="Over 208"/>
    <n v="1"/>
    <n v="-105"/>
    <x v="0"/>
    <n v="-1"/>
    <x v="2"/>
  </r>
  <r>
    <x v="39"/>
    <x v="1"/>
    <s v="Bulls @ Heat"/>
    <s v="Heat -9.5"/>
    <n v="1"/>
    <n v="-110"/>
    <x v="0"/>
    <n v="-1"/>
    <x v="0"/>
  </r>
  <r>
    <x v="39"/>
    <x v="1"/>
    <s v="Mavericks @ Knicks"/>
    <s v="Mavericks -6.5"/>
    <n v="1"/>
    <n v="-110"/>
    <x v="1"/>
    <n v="0.90909090909090906"/>
    <x v="0"/>
  </r>
  <r>
    <x v="39"/>
    <x v="1"/>
    <s v="Mavericks @ Knicks"/>
    <s v="Over 215"/>
    <n v="1"/>
    <n v="-105"/>
    <x v="0"/>
    <n v="-1"/>
    <x v="2"/>
  </r>
  <r>
    <x v="39"/>
    <x v="1"/>
    <s v="Nuggets @ Pelicans"/>
    <s v="Nuggets -8"/>
    <n v="1"/>
    <n v="-110"/>
    <x v="0"/>
    <n v="-1"/>
    <x v="0"/>
  </r>
  <r>
    <x v="39"/>
    <x v="1"/>
    <s v="Nuggets @ Pelicans"/>
    <s v="Under 227"/>
    <n v="1"/>
    <n v="-110"/>
    <x v="1"/>
    <n v="0.90909090909090906"/>
    <x v="1"/>
  </r>
  <r>
    <x v="39"/>
    <x v="1"/>
    <s v="Pacers @ Wizards"/>
    <s v="Pacers Moneyline"/>
    <n v="1"/>
    <n v="-110"/>
    <x v="0"/>
    <n v="-1"/>
    <x v="6"/>
  </r>
  <r>
    <x v="39"/>
    <x v="1"/>
    <s v="Pacers @ Wizards"/>
    <s v="Over 218"/>
    <n v="1"/>
    <n v="-115"/>
    <x v="0"/>
    <n v="-1"/>
    <x v="2"/>
  </r>
  <r>
    <x v="39"/>
    <x v="1"/>
    <s v="Grizzlies @ Timberwolves"/>
    <s v="Over 209"/>
    <n v="1"/>
    <n v="-110"/>
    <x v="0"/>
    <n v="-1"/>
    <x v="2"/>
  </r>
  <r>
    <x v="39"/>
    <x v="1"/>
    <s v="Grizzlies @ Timberwolves"/>
    <s v="Timberwolves -5"/>
    <n v="1"/>
    <n v="-110"/>
    <x v="0"/>
    <n v="-1"/>
    <x v="0"/>
  </r>
  <r>
    <x v="39"/>
    <x v="1"/>
    <s v="Hawks @ Kings"/>
    <s v="Kings -5.5"/>
    <n v="1"/>
    <n v="-105"/>
    <x v="1"/>
    <n v="0.95238095238095244"/>
    <x v="0"/>
  </r>
  <r>
    <x v="39"/>
    <x v="1"/>
    <s v="Hawks @ Kings"/>
    <s v="Under 236"/>
    <n v="1"/>
    <n v="-105"/>
    <x v="0"/>
    <n v="-1"/>
    <x v="1"/>
  </r>
  <r>
    <x v="39"/>
    <x v="1"/>
    <s v="Jazz @ Trailblazers"/>
    <s v="Jazz +1.5"/>
    <n v="1"/>
    <n v="-110"/>
    <x v="0"/>
    <n v="-1"/>
    <x v="3"/>
  </r>
  <r>
    <x v="39"/>
    <x v="2"/>
    <s v="Marquette @ Butler"/>
    <s v="Marquette +2.5"/>
    <n v="5"/>
    <n v="-115"/>
    <x v="1"/>
    <n v="4.3478260869565215"/>
    <x v="3"/>
  </r>
  <r>
    <x v="39"/>
    <x v="2"/>
    <s v="Marquette @ Butler"/>
    <s v="Under 148"/>
    <n v="5"/>
    <n v="-110"/>
    <x v="1"/>
    <n v="4.5454545454545459"/>
    <x v="1"/>
  </r>
  <r>
    <x v="39"/>
    <x v="2"/>
    <s v="Mississippi @ Florida"/>
    <s v="Florida -5.5"/>
    <n v="5"/>
    <n v="-105"/>
    <x v="0"/>
    <n v="-5"/>
    <x v="0"/>
  </r>
  <r>
    <x v="39"/>
    <x v="2"/>
    <s v="American @ Loyola (MD)"/>
    <s v="American -1.5"/>
    <n v="5"/>
    <n v="-110"/>
    <x v="1"/>
    <n v="4.5454545454545459"/>
    <x v="0"/>
  </r>
  <r>
    <x v="39"/>
    <x v="2"/>
    <s v="American @ Loyola (MD)"/>
    <s v="Over 140"/>
    <n v="5"/>
    <n v="-105"/>
    <x v="1"/>
    <n v="4.7619047619047619"/>
    <x v="2"/>
  </r>
  <r>
    <x v="39"/>
    <x v="2"/>
    <s v="Bradley @ Evansville"/>
    <s v="Over 129"/>
    <n v="5"/>
    <n v="-115"/>
    <x v="1"/>
    <n v="4.3478260869565215"/>
    <x v="2"/>
  </r>
  <r>
    <x v="39"/>
    <x v="2"/>
    <s v="Bradley @ Evansville"/>
    <s v="Evansville -3"/>
    <n v="5"/>
    <n v="-115"/>
    <x v="0"/>
    <n v="-5"/>
    <x v="0"/>
  </r>
  <r>
    <x v="39"/>
    <x v="2"/>
    <s v="Canisius @ Niagara"/>
    <s v="Canisius -1"/>
    <n v="5"/>
    <n v="-110"/>
    <x v="0"/>
    <n v="-5"/>
    <x v="0"/>
  </r>
  <r>
    <x v="39"/>
    <x v="2"/>
    <s v="Canisius @ Niagara"/>
    <s v="Under 152"/>
    <n v="5"/>
    <n v="-115"/>
    <x v="1"/>
    <n v="4.3478260869565215"/>
    <x v="1"/>
  </r>
  <r>
    <x v="39"/>
    <x v="2"/>
    <s v="High Point @ Gardner-Webb"/>
    <s v="Over 129"/>
    <n v="5"/>
    <n v="-110"/>
    <x v="1"/>
    <n v="4.5454545454545459"/>
    <x v="2"/>
  </r>
  <r>
    <x v="39"/>
    <x v="2"/>
    <s v="High Point @ Gardner-Webb"/>
    <s v="Gardner-Webb -4.5"/>
    <n v="5"/>
    <n v="-115"/>
    <x v="0"/>
    <n v="-5"/>
    <x v="0"/>
  </r>
  <r>
    <x v="39"/>
    <x v="2"/>
    <s v="Maine @ Massachusetts-Lowell"/>
    <s v="Over 143"/>
    <n v="5"/>
    <n v="-115"/>
    <x v="0"/>
    <n v="-5"/>
    <x v="2"/>
  </r>
  <r>
    <x v="39"/>
    <x v="2"/>
    <s v="Maine @ Massachusetts-Lowell"/>
    <s v="Massachusetts-Lowell -10.5"/>
    <n v="5"/>
    <n v="-110"/>
    <x v="0"/>
    <n v="-5"/>
    <x v="0"/>
  </r>
  <r>
    <x v="39"/>
    <x v="2"/>
    <s v="Providence @ Seton Hall"/>
    <s v="Under 143"/>
    <n v="5"/>
    <n v="-110"/>
    <x v="1"/>
    <n v="4.5454545454545459"/>
    <x v="1"/>
  </r>
  <r>
    <x v="39"/>
    <x v="2"/>
    <s v="South Carolina Upstate @ North Carolina-Asheville"/>
    <s v="South Carolina Upstate -4.5"/>
    <n v="5"/>
    <n v="-110"/>
    <x v="0"/>
    <n v="-5"/>
    <x v="0"/>
  </r>
  <r>
    <x v="39"/>
    <x v="2"/>
    <s v="South Carolina Upstate @ North Carolina-Asheville"/>
    <s v="Over 129"/>
    <n v="5"/>
    <n v="-105"/>
    <x v="1"/>
    <n v="4.7619047619047619"/>
    <x v="2"/>
  </r>
  <r>
    <x v="39"/>
    <x v="2"/>
    <s v="Illinois State @ Drake"/>
    <s v="Drake -5"/>
    <n v="5"/>
    <n v="-110"/>
    <x v="0"/>
    <n v="-5"/>
    <x v="0"/>
  </r>
  <r>
    <x v="40"/>
    <x v="2"/>
    <s v="Austin Peay @ Tennessee Tech"/>
    <s v="Austin Peay -9"/>
    <n v="5"/>
    <n v="-110"/>
    <x v="1"/>
    <n v="4.5454545454545459"/>
    <x v="0"/>
  </r>
  <r>
    <x v="40"/>
    <x v="2"/>
    <s v="Austin Peay @ Tennessee Tech"/>
    <s v="Over 144"/>
    <n v="5"/>
    <n v="-115"/>
    <x v="0"/>
    <n v="-5"/>
    <x v="2"/>
  </r>
  <r>
    <x v="40"/>
    <x v="2"/>
    <s v="Drexel @ William &amp; Mary"/>
    <s v="Drexel +4.5"/>
    <n v="5"/>
    <n v="-110"/>
    <x v="0"/>
    <n v="-5"/>
    <x v="3"/>
  </r>
  <r>
    <x v="40"/>
    <x v="2"/>
    <s v="Furman @ Citadel"/>
    <s v="Furman -7"/>
    <n v="5"/>
    <n v="-110"/>
    <x v="1"/>
    <n v="4.5454545454545459"/>
    <x v="0"/>
  </r>
  <r>
    <x v="40"/>
    <x v="2"/>
    <s v="Furman @ Citadel"/>
    <s v="Under 169"/>
    <n v="5"/>
    <n v="-110"/>
    <x v="1"/>
    <n v="4.5454545454545459"/>
    <x v="1"/>
  </r>
  <r>
    <x v="40"/>
    <x v="2"/>
    <s v="Iona @ Marist"/>
    <s v="Iona -1"/>
    <n v="5"/>
    <n v="-105"/>
    <x v="0"/>
    <n v="-5"/>
    <x v="0"/>
  </r>
  <r>
    <x v="40"/>
    <x v="2"/>
    <s v="Iona @ Marist"/>
    <s v="Under 156"/>
    <n v="5"/>
    <n v="-110"/>
    <x v="1"/>
    <n v="4.5454545454545459"/>
    <x v="1"/>
  </r>
  <r>
    <x v="40"/>
    <x v="2"/>
    <s v="Purdue @ Penn State"/>
    <s v="Purdue -7.5"/>
    <n v="5"/>
    <n v="-110"/>
    <x v="1"/>
    <n v="4.5454545454545459"/>
    <x v="0"/>
  </r>
  <r>
    <x v="40"/>
    <x v="2"/>
    <s v="Purdue @ Penn State"/>
    <s v="Under 137"/>
    <n v="5"/>
    <n v="-105"/>
    <x v="0"/>
    <n v="-5"/>
    <x v="1"/>
  </r>
  <r>
    <x v="40"/>
    <x v="2"/>
    <s v="Wofford @ Mercer"/>
    <s v="Wofford -7"/>
    <n v="5"/>
    <n v="-110"/>
    <x v="1"/>
    <n v="4.5454545454545459"/>
    <x v="0"/>
  </r>
  <r>
    <x v="40"/>
    <x v="2"/>
    <s v="Wofford @ Mercer"/>
    <s v="Over 145"/>
    <n v="5"/>
    <n v="-110"/>
    <x v="0"/>
    <n v="-5"/>
    <x v="2"/>
  </r>
  <r>
    <x v="40"/>
    <x v="2"/>
    <s v="South Dakota State @ Oral Roberts"/>
    <s v="South Dakota State -11"/>
    <n v="5"/>
    <n v="-110"/>
    <x v="0"/>
    <n v="-5"/>
    <x v="0"/>
  </r>
  <r>
    <x v="40"/>
    <x v="2"/>
    <s v="Xavier @ Georgetown"/>
    <s v="Xavier +3"/>
    <n v="5"/>
    <n v="-110"/>
    <x v="0"/>
    <n v="-5"/>
    <x v="3"/>
  </r>
  <r>
    <x v="40"/>
    <x v="2"/>
    <s v="Xavier @ Georgetown"/>
    <s v="Under 153"/>
    <n v="5"/>
    <n v="-110"/>
    <x v="2"/>
    <n v="0"/>
    <x v="1"/>
  </r>
  <r>
    <x v="41"/>
    <x v="2"/>
    <s v="Pennsylvania @ Cornell"/>
    <s v="Pennsylvania -6"/>
    <n v="5"/>
    <n v="-110"/>
    <x v="0"/>
    <n v="-5"/>
    <x v="0"/>
  </r>
  <r>
    <x v="41"/>
    <x v="2"/>
    <s v="Pennsylvania @ Cornell"/>
    <s v="Over 139"/>
    <n v="5"/>
    <n v="-110"/>
    <x v="1"/>
    <n v="4.5454545454545459"/>
    <x v="2"/>
  </r>
  <r>
    <x v="41"/>
    <x v="2"/>
    <s v="Pennsylvania @ Cornell"/>
    <s v="Pennsylvania Moneyline"/>
    <n v="5"/>
    <n v="-260"/>
    <x v="0"/>
    <n v="-5"/>
    <x v="6"/>
  </r>
  <r>
    <x v="41"/>
    <x v="2"/>
    <s v="North Dakota @ Western Illinois"/>
    <s v="Over 141"/>
    <n v="5"/>
    <n v="-105"/>
    <x v="1"/>
    <n v="4.7619047619047619"/>
    <x v="2"/>
  </r>
  <r>
    <x v="41"/>
    <x v="2"/>
    <s v="Davidson @ St. Bonaventure"/>
    <s v="Davidson -1.5"/>
    <n v="5"/>
    <n v="-110"/>
    <x v="1"/>
    <n v="4.5454545454545459"/>
    <x v="0"/>
  </r>
  <r>
    <x v="41"/>
    <x v="2"/>
    <s v="Davidson @ St. Bonaventure"/>
    <s v="Over 131"/>
    <n v="5"/>
    <n v="-105"/>
    <x v="1"/>
    <n v="4.7619047619047619"/>
    <x v="2"/>
  </r>
  <r>
    <x v="41"/>
    <x v="2"/>
    <s v="Davidson @ St. Bonaventure"/>
    <s v="Davidson Moneyline"/>
    <n v="5"/>
    <n v="-125"/>
    <x v="1"/>
    <n v="4"/>
    <x v="6"/>
  </r>
  <r>
    <x v="41"/>
    <x v="2"/>
    <s v="Michigan @ Iowa"/>
    <s v="Michigan -5"/>
    <n v="5"/>
    <n v="-110"/>
    <x v="0"/>
    <n v="-5"/>
    <x v="0"/>
  </r>
  <r>
    <x v="41"/>
    <x v="2"/>
    <s v="Michigan @ Iowa"/>
    <s v="Michigan Moneyline"/>
    <n v="5"/>
    <n v="-210"/>
    <x v="0"/>
    <n v="-5"/>
    <x v="6"/>
  </r>
  <r>
    <x v="41"/>
    <x v="2"/>
    <s v="Michigan @ Iowa"/>
    <s v="Under 142"/>
    <n v="5"/>
    <n v="-110"/>
    <x v="1"/>
    <n v="4.5454545454545459"/>
    <x v="1"/>
  </r>
  <r>
    <x v="41"/>
    <x v="2"/>
    <s v="Quinnipiac @ Canisius"/>
    <s v="Quinnipiac +3.5"/>
    <n v="5"/>
    <n v="-115"/>
    <x v="0"/>
    <n v="-5"/>
    <x v="3"/>
  </r>
  <r>
    <x v="41"/>
    <x v="2"/>
    <s v="Quinnipiac @ Canisius"/>
    <s v="Quinnipiac Moneyline"/>
    <n v="5"/>
    <n v="145"/>
    <x v="0"/>
    <n v="-5"/>
    <x v="4"/>
  </r>
  <r>
    <x v="41"/>
    <x v="2"/>
    <s v="Buffalo @ Bowling Green State"/>
    <s v="Buffalo -8"/>
    <n v="5"/>
    <n v="-110"/>
    <x v="0"/>
    <n v="-5"/>
    <x v="0"/>
  </r>
  <r>
    <x v="41"/>
    <x v="2"/>
    <s v="Buffalo @ Bowling Green State"/>
    <s v="Buffalo Moneyline"/>
    <n v="5"/>
    <n v="-380"/>
    <x v="0"/>
    <n v="-5"/>
    <x v="6"/>
  </r>
  <r>
    <x v="41"/>
    <x v="2"/>
    <s v="Buffalo @ Bowling Green State"/>
    <s v="Under 156"/>
    <n v="5"/>
    <n v="-115"/>
    <x v="0"/>
    <n v="-5"/>
    <x v="1"/>
  </r>
  <r>
    <x v="41"/>
    <x v="2"/>
    <s v="Milwaukee @ Green Bay"/>
    <s v="Green Bay -7"/>
    <n v="5"/>
    <n v="-110"/>
    <x v="1"/>
    <n v="4.5454545454545459"/>
    <x v="0"/>
  </r>
  <r>
    <x v="41"/>
    <x v="2"/>
    <s v="Maryland @ Wisconsin"/>
    <s v="Over 131"/>
    <n v="5"/>
    <n v="-105"/>
    <x v="0"/>
    <n v="-5"/>
    <x v="2"/>
  </r>
  <r>
    <x v="41"/>
    <x v="2"/>
    <s v="Maryland @ Wisconsin"/>
    <s v="Wisconsin -5"/>
    <n v="5"/>
    <n v="-110"/>
    <x v="1"/>
    <n v="4.5454545454545459"/>
    <x v="0"/>
  </r>
  <r>
    <x v="41"/>
    <x v="2"/>
    <s v="Wright State @ Illinois-Chicago"/>
    <s v="Wright State -2"/>
    <n v="5"/>
    <n v="-110"/>
    <x v="0"/>
    <n v="-5"/>
    <x v="0"/>
  </r>
  <r>
    <x v="41"/>
    <x v="2"/>
    <s v="Wright State @ Illinois-Chicago"/>
    <s v="Over 143"/>
    <n v="5"/>
    <n v="-105"/>
    <x v="0"/>
    <n v="-5"/>
    <x v="2"/>
  </r>
  <r>
    <x v="41"/>
    <x v="2"/>
    <s v="Wright State @ Illinois-Chicago"/>
    <s v="Wright State Moneyline"/>
    <n v="5"/>
    <n v="-135"/>
    <x v="0"/>
    <n v="-5"/>
    <x v="6"/>
  </r>
  <r>
    <x v="42"/>
    <x v="0"/>
    <s v="Rams @ Patriots"/>
    <s v="Under 56"/>
    <n v="22"/>
    <n v="-110"/>
    <x v="1"/>
    <n v="20"/>
    <x v="1"/>
  </r>
  <r>
    <x v="42"/>
    <x v="0"/>
    <s v="Rams @ Patriots_x000a_Rams @ Patriots"/>
    <s v="Under 56_x000a_Rams +3"/>
    <n v="12.32"/>
    <n v="244"/>
    <x v="0"/>
    <n v="-12.32"/>
    <x v="7"/>
  </r>
  <r>
    <x v="42"/>
    <x v="0"/>
    <s v="Rams Suberbowl"/>
    <s v="N/A"/>
    <n v="5"/>
    <n v="435"/>
    <x v="0"/>
    <n v="-5"/>
    <x v="5"/>
  </r>
  <r>
    <x v="42"/>
    <x v="0"/>
    <s v="Pick em team Sacks"/>
    <s v="Rams"/>
    <n v="10"/>
    <n v="100"/>
    <x v="0"/>
    <n v="-10"/>
    <x v="5"/>
  </r>
  <r>
    <x v="42"/>
    <x v="0"/>
    <s v="CJ Anderson Rushing Yards"/>
    <s v="Over 43"/>
    <n v="10"/>
    <n v="100"/>
    <x v="0"/>
    <n v="-10"/>
    <x v="2"/>
  </r>
  <r>
    <x v="43"/>
    <x v="2"/>
    <s v="Colgate @ Lehigh"/>
    <s v="Under 157"/>
    <n v="5"/>
    <n v="-110"/>
    <x v="1"/>
    <n v="4.5454545454545459"/>
    <x v="1"/>
  </r>
  <r>
    <x v="43"/>
    <x v="2"/>
    <s v="Louisville @ Virginia Tech"/>
    <s v="Over 136"/>
    <n v="5"/>
    <n v="-105"/>
    <x v="2"/>
    <n v="0"/>
    <x v="2"/>
  </r>
  <r>
    <x v="43"/>
    <x v="2"/>
    <s v="Louisville @ Virginia Tech"/>
    <s v="Virginia Tech -5"/>
    <n v="5"/>
    <n v="-105"/>
    <x v="0"/>
    <n v="-5"/>
    <x v="0"/>
  </r>
  <r>
    <x v="43"/>
    <x v="2"/>
    <s v="Marist @ Canisius"/>
    <s v="Over 142"/>
    <n v="5"/>
    <n v="-115"/>
    <x v="1"/>
    <n v="4.3478260869565215"/>
    <x v="2"/>
  </r>
  <r>
    <x v="43"/>
    <x v="2"/>
    <s v="Marist @ Canisius"/>
    <s v="Canisius -4.5"/>
    <n v="5"/>
    <n v="-110"/>
    <x v="0"/>
    <n v="-5"/>
    <x v="0"/>
  </r>
  <r>
    <x v="43"/>
    <x v="2"/>
    <s v="Penn state @ Northwestern"/>
    <s v="Northwestern -3.5"/>
    <n v="5"/>
    <n v="-110"/>
    <x v="0"/>
    <n v="-5"/>
    <x v="0"/>
  </r>
  <r>
    <x v="43"/>
    <x v="2"/>
    <s v="Penn state @ Northwestern"/>
    <s v="Under 132"/>
    <n v="5"/>
    <n v="-110"/>
    <x v="1"/>
    <n v="4.5454545454545459"/>
    <x v="1"/>
  </r>
  <r>
    <x v="43"/>
    <x v="2"/>
    <s v="Arkansas-Pine Bluff @ Jackson State"/>
    <s v="Over 125"/>
    <n v="5"/>
    <n v="-115"/>
    <x v="0"/>
    <n v="-5"/>
    <x v="2"/>
  </r>
  <r>
    <x v="43"/>
    <x v="2"/>
    <s v="Arkansas-Pine Bluff @ Jackson State"/>
    <s v="Jackson State -4.5"/>
    <n v="5"/>
    <n v="-110"/>
    <x v="1"/>
    <n v="4.5454545454545459"/>
    <x v="0"/>
  </r>
  <r>
    <x v="43"/>
    <x v="2"/>
    <s v="Iowa State @ Oklahoma"/>
    <s v="Iowa State -3"/>
    <n v="5"/>
    <n v="-105"/>
    <x v="0"/>
    <n v="-5"/>
    <x v="0"/>
  </r>
  <r>
    <x v="43"/>
    <x v="2"/>
    <s v="Iowa State @ Oklahoma"/>
    <s v="Iowa State Moneyline"/>
    <n v="5"/>
    <n v="-150"/>
    <x v="1"/>
    <n v="3.3333333333333335"/>
    <x v="6"/>
  </r>
  <r>
    <x v="43"/>
    <x v="2"/>
    <s v="Iowa State @ Oklahoma"/>
    <s v="Under 144"/>
    <n v="5"/>
    <n v="-110"/>
    <x v="0"/>
    <n v="-5"/>
    <x v="1"/>
  </r>
  <r>
    <x v="43"/>
    <x v="2"/>
    <s v="Southern Utah @ Idaho"/>
    <s v="Southern Utah -5"/>
    <n v="5"/>
    <n v="-110"/>
    <x v="1"/>
    <n v="4.5454545454545459"/>
    <x v="0"/>
  </r>
  <r>
    <x v="43"/>
    <x v="2"/>
    <s v="Southern Utah @ Idaho"/>
    <s v="Over 146"/>
    <n v="5"/>
    <n v="-110"/>
    <x v="0"/>
    <n v="-5"/>
    <x v="2"/>
  </r>
  <r>
    <x v="43"/>
    <x v="2"/>
    <s v="Southern Utah @ Idaho"/>
    <s v="Southern Utah Moneyline"/>
    <n v="5"/>
    <n v="-225"/>
    <x v="1"/>
    <n v="2.2222222222222223"/>
    <x v="6"/>
  </r>
  <r>
    <x v="44"/>
    <x v="1"/>
    <s v="Nuggets @ Nets"/>
    <s v="Nuggets -2"/>
    <n v="1"/>
    <n v="-110"/>
    <x v="0"/>
    <n v="-1"/>
    <x v="0"/>
  </r>
  <r>
    <x v="44"/>
    <x v="1"/>
    <s v="Nuggets @ Nets"/>
    <s v="Under 224"/>
    <n v="1"/>
    <n v="-105"/>
    <x v="0"/>
    <n v="-1"/>
    <x v="1"/>
  </r>
  <r>
    <x v="44"/>
    <x v="1"/>
    <s v="Pelicans @ Bulls"/>
    <s v="Pelicans +1"/>
    <n v="1"/>
    <n v="-105"/>
    <x v="1"/>
    <n v="0.95238095238095244"/>
    <x v="3"/>
  </r>
  <r>
    <x v="44"/>
    <x v="1"/>
    <s v="Pelicans @ Bulls"/>
    <s v="PelicansMoneyline"/>
    <n v="1"/>
    <n v="100"/>
    <x v="1"/>
    <n v="1"/>
    <x v="4"/>
  </r>
  <r>
    <x v="44"/>
    <x v="1"/>
    <s v="Pelicans @ Bulls"/>
    <s v="Under 227"/>
    <n v="1"/>
    <n v="-105"/>
    <x v="0"/>
    <n v="-1"/>
    <x v="1"/>
  </r>
  <r>
    <x v="44"/>
    <x v="1"/>
    <s v="Wizards @ Bucks"/>
    <s v="Bucks Moneyline"/>
    <n v="1"/>
    <n v="-900"/>
    <x v="1"/>
    <n v="0.1111111111111111"/>
    <x v="6"/>
  </r>
  <r>
    <x v="44"/>
    <x v="1"/>
    <s v="Wizards @ Bucks"/>
    <s v="Bucks -12"/>
    <n v="1"/>
    <n v="-105"/>
    <x v="1"/>
    <n v="0.95238095238095244"/>
    <x v="0"/>
  </r>
  <r>
    <x v="44"/>
    <x v="1"/>
    <s v="Hornets @ Mavericks"/>
    <s v="Hornets +5.5"/>
    <n v="1"/>
    <n v="-110"/>
    <x v="0"/>
    <n v="-1"/>
    <x v="3"/>
  </r>
  <r>
    <x v="44"/>
    <x v="1"/>
    <s v="Hornets @ Mavericks"/>
    <s v="Over 215"/>
    <n v="1"/>
    <n v="-110"/>
    <x v="0"/>
    <n v="-1"/>
    <x v="2"/>
  </r>
  <r>
    <x v="44"/>
    <x v="1"/>
    <s v="Suns @ Jazz"/>
    <s v="Jazz Moneyline"/>
    <n v="1"/>
    <n v="-1900"/>
    <x v="1"/>
    <n v="5.2631578947368418E-2"/>
    <x v="6"/>
  </r>
  <r>
    <x v="44"/>
    <x v="1"/>
    <s v="Suns @ Jazz"/>
    <s v="Jazz -14.5"/>
    <n v="1"/>
    <n v="-110"/>
    <x v="1"/>
    <n v="0.90909090909090906"/>
    <x v="0"/>
  </r>
  <r>
    <x v="44"/>
    <x v="1"/>
    <s v="Rockets @ Kings"/>
    <s v="Kings +3"/>
    <n v="1"/>
    <n v="-115"/>
    <x v="0"/>
    <n v="-1"/>
    <x v="3"/>
  </r>
  <r>
    <x v="44"/>
    <x v="1"/>
    <s v="Rockets @ Kings"/>
    <s v="Under 236"/>
    <n v="1"/>
    <n v="-110"/>
    <x v="1"/>
    <n v="0.90909090909090906"/>
    <x v="1"/>
  </r>
  <r>
    <x v="44"/>
    <x v="1"/>
    <s v="Spurs @ Warriors"/>
    <s v="Under 231"/>
    <n v="1"/>
    <n v="-115"/>
    <x v="0"/>
    <n v="-1"/>
    <x v="1"/>
  </r>
  <r>
    <x v="44"/>
    <x v="2"/>
    <s v="Connecticut @ Temple"/>
    <s v="Connecticut +4"/>
    <n v="5"/>
    <n v="-115"/>
    <x v="0"/>
    <n v="-5"/>
    <x v="3"/>
  </r>
  <r>
    <x v="44"/>
    <x v="2"/>
    <s v="Connecticut @ Temple"/>
    <s v="Connecticut Moneyline"/>
    <n v="5"/>
    <n v="160"/>
    <x v="0"/>
    <n v="-5"/>
    <x v="4"/>
  </r>
  <r>
    <x v="44"/>
    <x v="2"/>
    <s v="Connecticut @ Temple"/>
    <s v="Under 149"/>
    <n v="5"/>
    <n v="-115"/>
    <x v="1"/>
    <n v="4.3478260869565215"/>
    <x v="1"/>
  </r>
  <r>
    <x v="44"/>
    <x v="2"/>
    <s v="Bucknell @ Loyola (MD)"/>
    <s v="Bucknell -5"/>
    <n v="5"/>
    <n v="-110"/>
    <x v="1"/>
    <n v="4.5454545454545459"/>
    <x v="0"/>
  </r>
  <r>
    <x v="44"/>
    <x v="2"/>
    <s v="Clemson @ Georgia Tech"/>
    <s v="Clemson -3.5"/>
    <n v="5"/>
    <n v="-115"/>
    <x v="1"/>
    <n v="4.3478260869565215"/>
    <x v="0"/>
  </r>
  <r>
    <x v="44"/>
    <x v="2"/>
    <s v="Clemson @ Georgia Tech"/>
    <s v="Over 127"/>
    <n v="5"/>
    <n v="-115"/>
    <x v="0"/>
    <n v="-5"/>
    <x v="2"/>
  </r>
  <r>
    <x v="44"/>
    <x v="2"/>
    <s v="George Mason @ Richmond"/>
    <s v="George Mason -1.5"/>
    <n v="5"/>
    <n v="-110"/>
    <x v="0"/>
    <n v="-5"/>
    <x v="0"/>
  </r>
  <r>
    <x v="44"/>
    <x v="2"/>
    <s v="George Mason @ Richmond"/>
    <s v="George Mason Moneyline"/>
    <n v="5"/>
    <n v="-125"/>
    <x v="0"/>
    <n v="-5"/>
    <x v="6"/>
  </r>
  <r>
    <x v="44"/>
    <x v="2"/>
    <s v="Maryland @ Nebraska"/>
    <s v="Nebraska -1.5"/>
    <n v="5"/>
    <n v="-110"/>
    <x v="0"/>
    <n v="-5"/>
    <x v="0"/>
  </r>
  <r>
    <x v="44"/>
    <x v="2"/>
    <s v="Notre Dame @ Miami (FL)"/>
    <s v="Notre Dame +3.5"/>
    <n v="5"/>
    <n v="-105"/>
    <x v="0"/>
    <n v="-5"/>
    <x v="3"/>
  </r>
  <r>
    <x v="44"/>
    <x v="2"/>
    <s v="Notre Dame @ Miami (FL)"/>
    <s v="Under 144"/>
    <n v="5"/>
    <n v="-115"/>
    <x v="1"/>
    <n v="4.3478260869565215"/>
    <x v="1"/>
  </r>
  <r>
    <x v="44"/>
    <x v="2"/>
    <s v="Rhode Island @ Davidson"/>
    <s v="Davidson Moneyline"/>
    <n v="5"/>
    <n v="-225"/>
    <x v="1"/>
    <n v="2.2222222222222223"/>
    <x v="6"/>
  </r>
  <r>
    <x v="44"/>
    <x v="2"/>
    <s v="Rhode Island @ Davidson"/>
    <s v="Davidson -5"/>
    <n v="5"/>
    <n v="-110"/>
    <x v="1"/>
    <n v="4.5454545454545459"/>
    <x v="0"/>
  </r>
  <r>
    <x v="44"/>
    <x v="2"/>
    <s v="St. Bonaventure @ Duquesne"/>
    <s v="Duquesne -2"/>
    <n v="5"/>
    <n v="-110"/>
    <x v="0"/>
    <n v="-5"/>
    <x v="0"/>
  </r>
  <r>
    <x v="44"/>
    <x v="2"/>
    <s v="Wisconsin @ Minnesota"/>
    <s v="Wisconsin -3"/>
    <n v="5"/>
    <n v="-105"/>
    <x v="1"/>
    <n v="4.7619047619047619"/>
    <x v="0"/>
  </r>
  <r>
    <x v="44"/>
    <x v="2"/>
    <s v="Wisconsin @ Minnesota"/>
    <s v="Wisconsin Moneyline"/>
    <n v="5"/>
    <n v="-150"/>
    <x v="1"/>
    <n v="3.3333333333333335"/>
    <x v="6"/>
  </r>
  <r>
    <x v="45"/>
    <x v="1"/>
    <s v="Clippers @ Pacers"/>
    <s v="Under 216"/>
    <n v="2"/>
    <n v="-105"/>
    <x v="1"/>
    <n v="1.9047619047619049"/>
    <x v="1"/>
  </r>
  <r>
    <x v="45"/>
    <x v="1"/>
    <s v="Clippers @ Pacers"/>
    <s v="Clippers +6.5"/>
    <n v="2"/>
    <n v="-110"/>
    <x v="0"/>
    <n v="-2"/>
    <x v="3"/>
  </r>
  <r>
    <x v="45"/>
    <x v="1"/>
    <s v="Timberwolves @ Magic"/>
    <s v="Under 216"/>
    <n v="2"/>
    <n v="-115"/>
    <x v="0"/>
    <n v="-2"/>
    <x v="1"/>
  </r>
  <r>
    <x v="45"/>
    <x v="1"/>
    <s v="Timberwolves @ Magic"/>
    <s v="Timberwolves +2"/>
    <n v="2"/>
    <n v="-110"/>
    <x v="0"/>
    <n v="-2"/>
    <x v="3"/>
  </r>
  <r>
    <x v="45"/>
    <x v="1"/>
    <s v="Timberwolves @ Magic"/>
    <s v="Timberwolves Moneyline"/>
    <n v="2"/>
    <n v="110"/>
    <x v="0"/>
    <n v="-2"/>
    <x v="4"/>
  </r>
  <r>
    <x v="45"/>
    <x v="1"/>
    <s v="Raptors @ Hawks"/>
    <s v="Under 232"/>
    <n v="2"/>
    <n v="-105"/>
    <x v="1"/>
    <n v="1.9047619047619049"/>
    <x v="1"/>
  </r>
  <r>
    <x v="45"/>
    <x v="1"/>
    <s v="Raptors @ Hawks"/>
    <s v="Raptors -8.5"/>
    <n v="2"/>
    <n v="-110"/>
    <x v="1"/>
    <n v="1.8181818181818181"/>
    <x v="0"/>
  </r>
  <r>
    <x v="45"/>
    <x v="1"/>
    <s v="Lakers @ Celtics"/>
    <s v="Under 227"/>
    <n v="2"/>
    <n v="-110"/>
    <x v="0"/>
    <n v="-2"/>
    <x v="1"/>
  </r>
  <r>
    <x v="45"/>
    <x v="1"/>
    <s v="Lakers @ Celtics"/>
    <s v="Celtics -8.5"/>
    <n v="2"/>
    <n v="-110"/>
    <x v="0"/>
    <n v="-2"/>
    <x v="0"/>
  </r>
  <r>
    <x v="45"/>
    <x v="1"/>
    <s v="Grizzlies @ Thunder"/>
    <s v="Under 212"/>
    <n v="2"/>
    <n v="-110"/>
    <x v="2"/>
    <n v="0"/>
    <x v="1"/>
  </r>
  <r>
    <x v="45"/>
    <x v="1"/>
    <s v="Grizzlies @ Thunder"/>
    <s v="Thunder -14"/>
    <n v="2"/>
    <n v="-110"/>
    <x v="1"/>
    <n v="1.8181818181818181"/>
    <x v="0"/>
  </r>
  <r>
    <x v="45"/>
    <x v="1"/>
    <s v="Spurs @ Trailblazers"/>
    <s v="Spurs +6"/>
    <n v="2"/>
    <n v="-110"/>
    <x v="0"/>
    <n v="-2"/>
    <x v="3"/>
  </r>
  <r>
    <x v="46"/>
    <x v="1"/>
    <s v="Cavaliers @ Wizards"/>
    <s v="Over 220"/>
    <n v="2"/>
    <n v="-115"/>
    <x v="1"/>
    <n v="1.7391304347826086"/>
    <x v="2"/>
  </r>
  <r>
    <x v="46"/>
    <x v="1"/>
    <s v="Cavaliers @ Wizards"/>
    <s v="Wizards -9.5"/>
    <n v="2"/>
    <n v="-105"/>
    <x v="1"/>
    <n v="1.9047619047619049"/>
    <x v="0"/>
  </r>
  <r>
    <x v="46"/>
    <x v="1"/>
    <s v="Nuggets @ 76ers"/>
    <s v="Under 229"/>
    <n v="2"/>
    <n v="-105"/>
    <x v="1"/>
    <n v="1.9047619047619049"/>
    <x v="1"/>
  </r>
  <r>
    <x v="46"/>
    <x v="1"/>
    <s v="Nuggets @ 76ers"/>
    <s v="Nuggets +4"/>
    <n v="2"/>
    <n v="-105"/>
    <x v="0"/>
    <n v="-2"/>
    <x v="3"/>
  </r>
  <r>
    <x v="46"/>
    <x v="1"/>
    <s v="Knicks @ Pistons"/>
    <s v="Over 206"/>
    <n v="2"/>
    <n v="-110"/>
    <x v="1"/>
    <n v="1.8181818181818181"/>
    <x v="2"/>
  </r>
  <r>
    <x v="46"/>
    <x v="1"/>
    <s v="Bulls @ Nets"/>
    <s v="Under 224"/>
    <n v="2"/>
    <n v="-105"/>
    <x v="0"/>
    <n v="-2"/>
    <x v="1"/>
  </r>
  <r>
    <x v="46"/>
    <x v="1"/>
    <s v="Bucks @ Mavericks"/>
    <s v="Under 222"/>
    <n v="2"/>
    <n v="-105"/>
    <x v="0"/>
    <n v="-2"/>
    <x v="1"/>
  </r>
  <r>
    <x v="46"/>
    <x v="1"/>
    <s v="Bucks @ Mavericks"/>
    <s v="Bucks -7.5"/>
    <n v="2"/>
    <n v="-110"/>
    <x v="1"/>
    <n v="1.8181818181818181"/>
    <x v="0"/>
  </r>
  <r>
    <x v="46"/>
    <x v="1"/>
    <s v="Warriors @ Suns"/>
    <s v="Under 232"/>
    <n v="2"/>
    <n v="-110"/>
    <x v="1"/>
    <n v="1.8181818181818181"/>
    <x v="1"/>
  </r>
  <r>
    <x v="46"/>
    <x v="1"/>
    <s v="Warriors @ Suns"/>
    <s v="Warriors -15.5"/>
    <n v="2"/>
    <n v="-115"/>
    <x v="0"/>
    <n v="-2"/>
    <x v="0"/>
  </r>
  <r>
    <x v="46"/>
    <x v="1"/>
    <s v="Timberwolves @ Pelicans"/>
    <s v="Under 231"/>
    <n v="2"/>
    <n v="-105"/>
    <x v="0"/>
    <n v="-2"/>
    <x v="1"/>
  </r>
  <r>
    <x v="46"/>
    <x v="1"/>
    <s v="Heat @ Kings"/>
    <s v="Kings -3"/>
    <n v="2"/>
    <n v="-110"/>
    <x v="1"/>
    <n v="1.8181818181818181"/>
    <x v="0"/>
  </r>
  <r>
    <x v="46"/>
    <x v="2"/>
    <s v="Columbia @ Harvard"/>
    <s v="Over 130"/>
    <n v="2"/>
    <n v="-115"/>
    <x v="1"/>
    <n v="1.7391304347826086"/>
    <x v="2"/>
  </r>
  <r>
    <x v="46"/>
    <x v="2"/>
    <s v="Columbia @ Harvard"/>
    <s v="Harvard -10.5"/>
    <n v="2"/>
    <n v="-105"/>
    <x v="0"/>
    <n v="-2"/>
    <x v="0"/>
  </r>
  <r>
    <x v="46"/>
    <x v="2"/>
    <s v="Cornell @ Dartmouth"/>
    <s v="Over 138"/>
    <n v="2"/>
    <n v="-115"/>
    <x v="1"/>
    <n v="1.7391304347826086"/>
    <x v="2"/>
  </r>
  <r>
    <x v="46"/>
    <x v="2"/>
    <s v="Cornell @ Dartmouth"/>
    <s v="Dartmouth -3.5"/>
    <n v="2"/>
    <n v="-115"/>
    <x v="0"/>
    <n v="-2"/>
    <x v="0"/>
  </r>
  <r>
    <x v="46"/>
    <x v="2"/>
    <s v="Pennsylvania @ Brown"/>
    <s v="Pennsylvania -1"/>
    <n v="2"/>
    <n v="-105"/>
    <x v="1"/>
    <n v="1.9047619047619049"/>
    <x v="0"/>
  </r>
  <r>
    <x v="46"/>
    <x v="2"/>
    <s v="Princeton @ Yale"/>
    <s v="Over 137"/>
    <n v="2"/>
    <n v="-105"/>
    <x v="0"/>
    <n v="-2"/>
    <x v="2"/>
  </r>
  <r>
    <x v="46"/>
    <x v="2"/>
    <s v="Princeton @ Yale"/>
    <s v="Yale Moneyline"/>
    <n v="2"/>
    <n v="-370"/>
    <x v="1"/>
    <n v="0.54054054054054057"/>
    <x v="6"/>
  </r>
  <r>
    <x v="46"/>
    <x v="2"/>
    <s v="Princeton @ Yale"/>
    <s v="Yale -8"/>
    <n v="2"/>
    <n v="-110"/>
    <x v="1"/>
    <n v="1.8181818181818181"/>
    <x v="0"/>
  </r>
  <r>
    <x v="46"/>
    <x v="2"/>
    <s v="Quinnipiac @ Iona"/>
    <s v="Quinnipiac +4"/>
    <n v="2"/>
    <n v="-110"/>
    <x v="1"/>
    <n v="1.8181818181818181"/>
    <x v="3"/>
  </r>
  <r>
    <x v="46"/>
    <x v="2"/>
    <s v="Saint Louis @ Saint Joseph's"/>
    <s v="Saint Louis -2.5"/>
    <n v="2"/>
    <n v="-115"/>
    <x v="0"/>
    <n v="-2"/>
    <x v="0"/>
  </r>
  <r>
    <x v="46"/>
    <x v="2"/>
    <s v="Saint Louis @ Saint Joseph's"/>
    <s v="Saint Louis Moneyline"/>
    <n v="2"/>
    <n v="-140"/>
    <x v="0"/>
    <n v="-2"/>
    <x v="6"/>
  </r>
  <r>
    <x v="46"/>
    <x v="2"/>
    <s v="Siena @ Manhattan"/>
    <s v="Siena -2.5"/>
    <n v="2"/>
    <n v="-110"/>
    <x v="0"/>
    <n v="-2"/>
    <x v="0"/>
  </r>
  <r>
    <x v="46"/>
    <x v="2"/>
    <s v="Siena @ Manhattan"/>
    <s v="Over 112"/>
    <n v="2"/>
    <n v="-105"/>
    <x v="0"/>
    <n v="-2"/>
    <x v="2"/>
  </r>
  <r>
    <x v="46"/>
    <x v="2"/>
    <s v="Georgia Southern @ Louisiana-Monroe"/>
    <s v="Georgia Southern Moneyline"/>
    <n v="2"/>
    <n v="-105"/>
    <x v="0"/>
    <n v="-2"/>
    <x v="6"/>
  </r>
  <r>
    <x v="46"/>
    <x v="2"/>
    <s v="Georgia Southern @ Louisiana-Monroe"/>
    <s v="Under 162"/>
    <n v="2"/>
    <n v="-110"/>
    <x v="0"/>
    <n v="-2"/>
    <x v="1"/>
  </r>
  <r>
    <x v="46"/>
    <x v="2"/>
    <s v="Georgia State @ Louisiana"/>
    <s v="Georgia State +1"/>
    <n v="2"/>
    <n v="-115"/>
    <x v="0"/>
    <n v="-2"/>
    <x v="3"/>
  </r>
  <r>
    <x v="46"/>
    <x v="2"/>
    <s v="Georgia State @ Louisiana"/>
    <s v="Georgia State Moneyline"/>
    <n v="2"/>
    <n v="-105"/>
    <x v="0"/>
    <n v="-2"/>
    <x v="6"/>
  </r>
  <r>
    <x v="46"/>
    <x v="2"/>
    <s v="Georgia State @ Louisiana"/>
    <s v="Under 165"/>
    <n v="2"/>
    <n v="-115"/>
    <x v="1"/>
    <n v="1.7391304347826086"/>
    <x v="1"/>
  </r>
  <r>
    <x v="46"/>
    <x v="2"/>
    <s v="Kent State @ Akron"/>
    <s v="Over 135"/>
    <n v="2"/>
    <n v="-115"/>
    <x v="0"/>
    <n v="-2"/>
    <x v="2"/>
  </r>
  <r>
    <x v="46"/>
    <x v="2"/>
    <s v="Kent State @ Akron"/>
    <s v="Akron -4"/>
    <n v="2"/>
    <n v="-105"/>
    <x v="1"/>
    <n v="1.9047619047619049"/>
    <x v="0"/>
  </r>
  <r>
    <x v="47"/>
    <x v="4"/>
    <s v="San Diego Fleet @ San Antonio Commanders"/>
    <s v="Over 50"/>
    <n v="2"/>
    <n v="-110"/>
    <x v="0"/>
    <n v="-2"/>
    <x v="2"/>
  </r>
  <r>
    <x v="47"/>
    <x v="4"/>
    <s v="Atlanta Legends @ Orlando Appolos"/>
    <s v="Over 50"/>
    <n v="2"/>
    <n v="-110"/>
    <x v="0"/>
    <n v="-2"/>
    <x v="2"/>
  </r>
  <r>
    <x v="48"/>
    <x v="4"/>
    <s v="Memphis Express @ Birmingham Iron"/>
    <s v="Over 49.5"/>
    <n v="2"/>
    <n v="-110"/>
    <x v="0"/>
    <n v="-2"/>
    <x v="2"/>
  </r>
  <r>
    <x v="48"/>
    <x v="4"/>
    <s v="Salt Lake Stallions @ Arizona Hotshots"/>
    <s v="Over 51.5"/>
    <n v="2"/>
    <n v="-110"/>
    <x v="1"/>
    <n v="1.8181818181818181"/>
    <x v="2"/>
  </r>
  <r>
    <x v="49"/>
    <x v="1"/>
    <s v="Hornets @ Pacers"/>
    <s v="Pacers -5.5"/>
    <n v="5"/>
    <n v="-110"/>
    <x v="1"/>
    <n v="4.5454545454545459"/>
    <x v="0"/>
  </r>
  <r>
    <x v="49"/>
    <x v="1"/>
    <s v="Knicks @ Cavaliers"/>
    <s v="Over 209"/>
    <n v="5"/>
    <n v="-110"/>
    <x v="1"/>
    <n v="4.5454545454545459"/>
    <x v="2"/>
  </r>
  <r>
    <x v="49"/>
    <x v="1"/>
    <s v="Wizards @ Pistons"/>
    <s v="Under 223"/>
    <n v="5"/>
    <n v="-115"/>
    <x v="0"/>
    <n v="-5"/>
    <x v="1"/>
  </r>
  <r>
    <x v="49"/>
    <x v="1"/>
    <s v="Nets @ Raptors"/>
    <s v="Under 227"/>
    <n v="5"/>
    <n v="-115"/>
    <x v="0"/>
    <n v="-5"/>
    <x v="1"/>
  </r>
  <r>
    <x v="49"/>
    <x v="1"/>
    <s v="Mavericks @ Rockets"/>
    <s v="Rockets -10"/>
    <n v="5"/>
    <n v="-115"/>
    <x v="1"/>
    <n v="4.3478260869565215"/>
    <x v="0"/>
  </r>
  <r>
    <x v="49"/>
    <x v="1"/>
    <s v="Mavericks @ Rockets"/>
    <s v="Over 221"/>
    <n v="5"/>
    <n v="-105"/>
    <x v="1"/>
    <n v="4.7619047619047619"/>
    <x v="2"/>
  </r>
  <r>
    <x v="49"/>
    <x v="1"/>
    <s v="Hornets @ Pacers_x000a_Knicks @ Cavaliers_x000a_Nets @ Raptors_x000a_Mavericks @ Rockets"/>
    <s v="Pacers Moneyline_x000a_Over 209_x000a_Under 227_x000a_Rockets Moneyline"/>
    <n v="5"/>
    <n v="502"/>
    <x v="0"/>
    <n v="-5"/>
    <x v="7"/>
  </r>
  <r>
    <x v="49"/>
    <x v="2"/>
    <s v="Lehigh @ Bucknell"/>
    <s v="Lehigh +4.5"/>
    <n v="2"/>
    <n v="-115"/>
    <x v="0"/>
    <n v="-2"/>
    <x v="3"/>
  </r>
  <r>
    <x v="49"/>
    <x v="2"/>
    <s v="Lehigh @ Bucknell"/>
    <s v="Over 160"/>
    <n v="2"/>
    <n v="-110"/>
    <x v="1"/>
    <n v="1.8181818181818181"/>
    <x v="2"/>
  </r>
  <r>
    <x v="49"/>
    <x v="2"/>
    <s v="Virginia @ North Carolina"/>
    <s v="Over 140"/>
    <n v="2"/>
    <n v="-105"/>
    <x v="0"/>
    <n v="-2"/>
    <x v="2"/>
  </r>
  <r>
    <x v="49"/>
    <x v="2"/>
    <s v="Virginia @ North Carolina"/>
    <s v="North Carolina Moneyline"/>
    <n v="2"/>
    <n v="100"/>
    <x v="0"/>
    <n v="-2"/>
    <x v="4"/>
  </r>
  <r>
    <x v="49"/>
    <x v="2"/>
    <s v="Virginia @ North Carolina"/>
    <s v="North Carolina +1"/>
    <n v="2"/>
    <n v="-110"/>
    <x v="0"/>
    <n v="-2"/>
    <x v="3"/>
  </r>
  <r>
    <x v="49"/>
    <x v="2"/>
    <s v="Howard @ Bethune-Cookman"/>
    <s v="Howard +4.5"/>
    <n v="2"/>
    <n v="-110"/>
    <x v="1"/>
    <n v="1.8181818181818181"/>
    <x v="3"/>
  </r>
  <r>
    <x v="49"/>
    <x v="2"/>
    <s v="Grambling @ Alcorn State"/>
    <s v="Over 129"/>
    <n v="2"/>
    <n v="-115"/>
    <x v="0"/>
    <n v="-2"/>
    <x v="2"/>
  </r>
  <r>
    <x v="49"/>
    <x v="2"/>
    <s v="Kansas @ Texas Christian"/>
    <s v="Kansas +2"/>
    <n v="2"/>
    <n v="-105"/>
    <x v="1"/>
    <n v="1.9047619047619049"/>
    <x v="3"/>
  </r>
  <r>
    <x v="49"/>
    <x v="2"/>
    <s v="Kansas @ Texas Christian"/>
    <s v="Over 149"/>
    <n v="2"/>
    <n v="-105"/>
    <x v="1"/>
    <n v="1.9047619047619049"/>
    <x v="2"/>
  </r>
  <r>
    <x v="49"/>
    <x v="2"/>
    <s v="Portland State @ Sacramento State"/>
    <s v="Portland State +4"/>
    <n v="2"/>
    <n v="-105"/>
    <x v="0"/>
    <n v="-2"/>
    <x v="3"/>
  </r>
  <r>
    <x v="49"/>
    <x v="2"/>
    <s v="Portland State @ Sacramento State"/>
    <s v="Over 139"/>
    <n v="2"/>
    <n v="-105"/>
    <x v="1"/>
    <n v="1.9047619047619049"/>
    <x v="2"/>
  </r>
  <r>
    <x v="50"/>
    <x v="1"/>
    <s v="Nets @ Cavaliers"/>
    <s v="Under 221"/>
    <n v="5"/>
    <n v="-110"/>
    <x v="0"/>
    <n v="-5"/>
    <x v="1"/>
  </r>
  <r>
    <x v="50"/>
    <x v="1"/>
    <s v="Bucks @ Pacers"/>
    <s v="Over 220"/>
    <n v="5"/>
    <n v="-115"/>
    <x v="0"/>
    <n v="-5"/>
    <x v="2"/>
  </r>
  <r>
    <x v="50"/>
    <x v="1"/>
    <s v="Bucks @ Pacers"/>
    <s v="Bucks -3.5"/>
    <n v="5"/>
    <n v="-115"/>
    <x v="1"/>
    <n v="4.3478260869565215"/>
    <x v="0"/>
  </r>
  <r>
    <x v="50"/>
    <x v="1"/>
    <s v="Pistons @ Celtics"/>
    <s v="Over 211"/>
    <n v="5"/>
    <n v="-105"/>
    <x v="1"/>
    <n v="4.7619047619047619"/>
    <x v="2"/>
  </r>
  <r>
    <x v="50"/>
    <x v="1"/>
    <s v="Pistons @ Celtics"/>
    <s v="Celtics -5"/>
    <n v="5"/>
    <n v="-110"/>
    <x v="1"/>
    <n v="4.5454545454545459"/>
    <x v="0"/>
  </r>
  <r>
    <x v="50"/>
    <x v="1"/>
    <s v="76ers @ Knicks"/>
    <s v="Under 223"/>
    <n v="5"/>
    <n v="-115"/>
    <x v="0"/>
    <n v="-5"/>
    <x v="1"/>
  </r>
  <r>
    <x v="50"/>
    <x v="1"/>
    <s v="Wizards @ Raptors"/>
    <s v="Under 233"/>
    <n v="5"/>
    <n v="-115"/>
    <x v="0"/>
    <n v="-5"/>
    <x v="1"/>
  </r>
  <r>
    <x v="50"/>
    <x v="1"/>
    <s v="Wizards @ Raptors"/>
    <s v="Raptors -11"/>
    <n v="5"/>
    <n v="-110"/>
    <x v="0"/>
    <n v="-5"/>
    <x v="0"/>
  </r>
  <r>
    <x v="50"/>
    <x v="1"/>
    <s v="Grizzlies @ Bulls"/>
    <s v="Grizzlies +2.5"/>
    <n v="5"/>
    <n v="-110"/>
    <x v="0"/>
    <n v="-5"/>
    <x v="3"/>
  </r>
  <r>
    <x v="50"/>
    <x v="1"/>
    <s v="Grizzlies @ Bulls"/>
    <s v="Grizzlies Moneyline"/>
    <n v="5"/>
    <n v="120"/>
    <x v="0"/>
    <n v="-5"/>
    <x v="4"/>
  </r>
  <r>
    <x v="50"/>
    <x v="1"/>
    <s v="Rockets @ Timberwolves"/>
    <s v="Under 231"/>
    <n v="5"/>
    <n v="-115"/>
    <x v="0"/>
    <n v="-5"/>
    <x v="1"/>
  </r>
  <r>
    <x v="50"/>
    <x v="1"/>
    <s v="Rockets @ Timberwolves"/>
    <s v="Rockets -3"/>
    <n v="5"/>
    <n v="-110"/>
    <x v="0"/>
    <n v="-5"/>
    <x v="0"/>
  </r>
  <r>
    <x v="50"/>
    <x v="1"/>
    <s v="Heat @ Mavericks"/>
    <s v="Over 208"/>
    <n v="5"/>
    <n v="-110"/>
    <x v="1"/>
    <n v="4.5454545454545459"/>
    <x v="2"/>
  </r>
  <r>
    <x v="50"/>
    <x v="1"/>
    <s v="Heat @ Mavericks"/>
    <s v="Mavericks -3"/>
    <n v="5"/>
    <n v="-105"/>
    <x v="0"/>
    <n v="-5"/>
    <x v="0"/>
  </r>
  <r>
    <x v="50"/>
    <x v="1"/>
    <s v="Kings @ Nuggets"/>
    <s v="Under 231"/>
    <n v="5"/>
    <n v="-115"/>
    <x v="0"/>
    <n v="-5"/>
    <x v="1"/>
  </r>
  <r>
    <x v="50"/>
    <x v="1"/>
    <s v="Warriors @ Trailblazers"/>
    <s v="Under 234"/>
    <n v="5"/>
    <n v="-110"/>
    <x v="0"/>
    <n v="-5"/>
    <x v="1"/>
  </r>
  <r>
    <x v="50"/>
    <x v="1"/>
    <s v="Pistons @ Celtics_x000a_Wizards @ Raptors_x000a_Wizards @ Raptors_x000a_Kings @ Nuggets_x000a_Suns @ Clippers"/>
    <s v="Celtics -5_x000a_Raptors Moneyline_x000a_Under 233_x000a_Under 231_x000a_Clippers Moneyline"/>
    <n v="4.28"/>
    <n v="852"/>
    <x v="0"/>
    <n v="-4.28"/>
    <x v="7"/>
  </r>
  <r>
    <x v="51"/>
    <x v="2"/>
    <s v="Kent State @ Western Michigan"/>
    <s v="Under 150"/>
    <n v="2"/>
    <n v="-105"/>
    <x v="1"/>
    <n v="1.9047619047619049"/>
    <x v="1"/>
  </r>
  <r>
    <x v="51"/>
    <x v="2"/>
    <s v="Drexel @ James Madison"/>
    <s v="Drexel +1"/>
    <n v="2"/>
    <n v="-110"/>
    <x v="0"/>
    <n v="-2"/>
    <x v="3"/>
  </r>
  <r>
    <x v="51"/>
    <x v="2"/>
    <s v="Drexel @ James Madison"/>
    <s v="Over 147"/>
    <n v="2"/>
    <n v="-110"/>
    <x v="0"/>
    <n v="-2"/>
    <x v="2"/>
  </r>
  <r>
    <x v="51"/>
    <x v="2"/>
    <s v="Drexel @ James Madison"/>
    <s v="Drexel Moneyline"/>
    <n v="2"/>
    <n v="100"/>
    <x v="0"/>
    <n v="-2"/>
    <x v="4"/>
  </r>
  <r>
    <x v="51"/>
    <x v="2"/>
    <s v="Illinois-Chicago @ Cleveland State"/>
    <s v="Over 147"/>
    <n v="2"/>
    <n v="-115"/>
    <x v="1"/>
    <n v="1.7391304347826086"/>
    <x v="2"/>
  </r>
  <r>
    <x v="51"/>
    <x v="2"/>
    <s v="Robert Morris @ Mount St. Mary's"/>
    <s v="Over 134"/>
    <n v="2"/>
    <n v="-110"/>
    <x v="1"/>
    <n v="1.8181818181818181"/>
    <x v="2"/>
  </r>
  <r>
    <x v="51"/>
    <x v="2"/>
    <s v="South Dakota State @ Omaha"/>
    <s v="South Dakota State -3.5"/>
    <n v="2"/>
    <n v="-110"/>
    <x v="0"/>
    <n v="-2"/>
    <x v="0"/>
  </r>
  <r>
    <x v="51"/>
    <x v="2"/>
    <s v="South Dakota State @ Omaha"/>
    <s v="Over 165"/>
    <n v="2"/>
    <n v="-115"/>
    <x v="1"/>
    <n v="1.7391304347826086"/>
    <x v="2"/>
  </r>
  <r>
    <x v="51"/>
    <x v="2"/>
    <s v="Murray State @ Austin Peay"/>
    <s v="Over 156"/>
    <n v="2"/>
    <n v="-105"/>
    <x v="0"/>
    <n v="-2"/>
    <x v="2"/>
  </r>
  <r>
    <x v="52"/>
    <x v="2"/>
    <s v="Virginia @ Virginia Tech"/>
    <s v="Over 120"/>
    <n v="1"/>
    <n v="-110"/>
    <x v="1"/>
    <n v="0.90909090909090906"/>
    <x v="2"/>
  </r>
  <r>
    <x v="52"/>
    <x v="2"/>
    <s v="North Carolina Central @ Howard"/>
    <s v="Over 145"/>
    <n v="1"/>
    <n v="-110"/>
    <x v="1"/>
    <n v="0.90909090909090906"/>
    <x v="2"/>
  </r>
  <r>
    <x v="52"/>
    <x v="2"/>
    <s v="Illinois @ Wisconsin"/>
    <s v="Illinois +9.5"/>
    <n v="1"/>
    <n v="-110"/>
    <x v="1"/>
    <n v="0.90909090909090906"/>
    <x v="3"/>
  </r>
  <r>
    <x v="52"/>
    <x v="2"/>
    <s v="Texas Southern @ Jackson State"/>
    <s v="Texas Southern -4.5"/>
    <n v="1"/>
    <n v="-115"/>
    <x v="1"/>
    <n v="0.86956521739130432"/>
    <x v="0"/>
  </r>
  <r>
    <x v="52"/>
    <x v="2"/>
    <s v="Texas Southern @ Jackson State"/>
    <s v="Texas Southern Moneyline"/>
    <n v="1"/>
    <n v="-200"/>
    <x v="1"/>
    <n v="0.5"/>
    <x v="6"/>
  </r>
  <r>
    <x v="52"/>
    <x v="2"/>
    <s v="Texas Christian @ Oklahoma State"/>
    <s v="Texas Christian -3"/>
    <n v="1"/>
    <n v="-115"/>
    <x v="0"/>
    <n v="-1"/>
    <x v="0"/>
  </r>
  <r>
    <x v="52"/>
    <x v="2"/>
    <s v="Texas Christian @ Oklahoma State"/>
    <s v="Over 140"/>
    <n v="1"/>
    <n v="-105"/>
    <x v="0"/>
    <n v="-1"/>
    <x v="2"/>
  </r>
  <r>
    <x v="53"/>
    <x v="2"/>
    <s v="Dayton @ Davidson"/>
    <s v="Dayton +3.5"/>
    <n v="2"/>
    <n v="-110"/>
    <x v="1"/>
    <n v="1.8181818181818181"/>
    <x v="3"/>
  </r>
  <r>
    <x v="53"/>
    <x v="2"/>
    <s v="Dayton @ Davidson"/>
    <s v="Over 133"/>
    <n v="2"/>
    <n v="-110"/>
    <x v="1"/>
    <n v="1.8181818181818181"/>
    <x v="2"/>
  </r>
  <r>
    <x v="53"/>
    <x v="2"/>
    <s v="Akron @ Bowling Green State"/>
    <s v="Over 135"/>
    <n v="2"/>
    <n v="-110"/>
    <x v="1"/>
    <n v="1.8181818181818181"/>
    <x v="2"/>
  </r>
  <r>
    <x v="53"/>
    <x v="2"/>
    <s v="Mississippi @ South Carolina"/>
    <s v="Mississippi -2.5"/>
    <n v="2"/>
    <n v="-115"/>
    <x v="0"/>
    <n v="-2"/>
    <x v="0"/>
  </r>
  <r>
    <x v="53"/>
    <x v="2"/>
    <s v="Mississippi @ South Carolina"/>
    <s v="Over 149"/>
    <n v="2"/>
    <n v="-105"/>
    <x v="0"/>
    <n v="-2"/>
    <x v="2"/>
  </r>
  <r>
    <x v="53"/>
    <x v="2"/>
    <s v="Bradley @ Drake"/>
    <s v="Over 143"/>
    <n v="2"/>
    <n v="-105"/>
    <x v="1"/>
    <n v="1.9047619047619049"/>
    <x v="2"/>
  </r>
  <r>
    <x v="53"/>
    <x v="2"/>
    <s v="Bradley @ Drake"/>
    <s v="Drake Moneyline"/>
    <n v="2"/>
    <n v="-180"/>
    <x v="1"/>
    <n v="1.1111111111111112"/>
    <x v="6"/>
  </r>
  <r>
    <x v="53"/>
    <x v="2"/>
    <s v="Bradley @ Drake"/>
    <s v="Drake -4"/>
    <n v="2"/>
    <n v="-110"/>
    <x v="1"/>
    <n v="1.8181818181818181"/>
    <x v="0"/>
  </r>
  <r>
    <x v="53"/>
    <x v="2"/>
    <s v="Maryland @ Iowa"/>
    <s v="Over 147"/>
    <n v="2"/>
    <n v="-110"/>
    <x v="0"/>
    <n v="-2"/>
    <x v="2"/>
  </r>
  <r>
    <x v="53"/>
    <x v="2"/>
    <s v="Maryland @ Iowa"/>
    <s v="Iowa -2"/>
    <n v="2"/>
    <n v="-110"/>
    <x v="0"/>
    <n v="-2"/>
    <x v="0"/>
  </r>
  <r>
    <x v="53"/>
    <x v="2"/>
    <s v="Nevada-Las Vegas @ Wyoming"/>
    <s v="Under 143"/>
    <n v="2"/>
    <n v="-110"/>
    <x v="1"/>
    <n v="1.8181818181818181"/>
    <x v="1"/>
  </r>
  <r>
    <x v="53"/>
    <x v="2"/>
    <s v="Dayton @ Davidson_x000a_Dayton @ Davidson_x000a_Akron @ Bowling Green State_x000a_Bradley @ Drake_x000a_Bradley @ Drake"/>
    <s v="Dayton +3.5_x000a_Over 133_x000a_Over 135_x000a_Over 143_x000a_Drake -4"/>
    <n v="1"/>
    <n v="2493"/>
    <x v="1"/>
    <n v="24.93"/>
    <x v="7"/>
  </r>
  <r>
    <x v="54"/>
    <x v="2"/>
    <s v="Villanova @ Georgetown"/>
    <s v="Over 149"/>
    <n v="2"/>
    <n v="-115"/>
    <x v="1"/>
    <n v="1.7391304347826086"/>
    <x v="2"/>
  </r>
  <r>
    <x v="54"/>
    <x v="2"/>
    <s v="Villanova @ Georgetown"/>
    <s v="Georgetown +5.5"/>
    <n v="2"/>
    <n v="-105"/>
    <x v="1"/>
    <n v="1.9047619047619049"/>
    <x v="3"/>
  </r>
  <r>
    <x v="54"/>
    <x v="2"/>
    <s v="American @ Lafayette"/>
    <s v="Over 144"/>
    <n v="2"/>
    <n v="-115"/>
    <x v="0"/>
    <n v="-2"/>
    <x v="2"/>
  </r>
  <r>
    <x v="54"/>
    <x v="2"/>
    <s v="Fordham @ Richmond"/>
    <s v="Over 136"/>
    <n v="2"/>
    <n v="-110"/>
    <x v="1"/>
    <n v="1.8181818181818181"/>
    <x v="2"/>
  </r>
  <r>
    <x v="54"/>
    <x v="2"/>
    <s v="Xavier @ Seton Hall"/>
    <s v="Over 141"/>
    <n v="2"/>
    <n v="-115"/>
    <x v="0"/>
    <n v="-2"/>
    <x v="2"/>
  </r>
  <r>
    <x v="54"/>
    <x v="2"/>
    <s v="Butler @ Marquette"/>
    <s v="Over 145"/>
    <n v="2"/>
    <n v="-110"/>
    <x v="1"/>
    <n v="1.8181818181818181"/>
    <x v="2"/>
  </r>
  <r>
    <x v="54"/>
    <x v="2"/>
    <s v="Pittsburgh @ Georgia Tech"/>
    <s v="Pittsburgh +2"/>
    <n v="2"/>
    <n v="-110"/>
    <x v="0"/>
    <n v="-2"/>
    <x v="3"/>
  </r>
  <r>
    <x v="54"/>
    <x v="2"/>
    <s v="Pittsburgh @ Georgia Tech"/>
    <s v="Over 128"/>
    <n v="2"/>
    <n v="-115"/>
    <x v="1"/>
    <n v="1.7391304347826086"/>
    <x v="2"/>
  </r>
  <r>
    <x v="54"/>
    <x v="2"/>
    <s v="Colorado @ Washington State"/>
    <s v="Over 146"/>
    <n v="2"/>
    <n v="-105"/>
    <x v="1"/>
    <n v="1.9047619047619049"/>
    <x v="2"/>
  </r>
  <r>
    <x v="54"/>
    <x v="2"/>
    <s v="Colorado @ Washington State"/>
    <s v="Washington State +4"/>
    <n v="2"/>
    <n v="-110"/>
    <x v="1"/>
    <n v="1.8181818181818181"/>
    <x v="3"/>
  </r>
  <r>
    <x v="54"/>
    <x v="2"/>
    <s v="Villanova @ Georgetown_x000a_Fordham @ Richmond_x000a_Xavier @ Seton Hall_x000a_Butler @ Marquette_x000a_Pittsburgh @ Georgia Tech_x000a_Colorado @ Washington State"/>
    <s v="Georgetown +5.5_x000a_Over 136_x000a_Over 141_x000a_Over 145_x000a_Over 128_x000a_Over 146"/>
    <n v="2"/>
    <n v="4756"/>
    <x v="0"/>
    <n v="-2"/>
    <x v="7"/>
  </r>
  <r>
    <x v="55"/>
    <x v="1"/>
    <s v="Suns @ Cavaliers"/>
    <s v="Cavaliers +0"/>
    <n v="2"/>
    <n v="-110"/>
    <x v="1"/>
    <n v="1.8181818181818181"/>
    <x v="3"/>
  </r>
  <r>
    <x v="55"/>
    <x v="1"/>
    <s v="Celtics @ Bucks"/>
    <s v="Under 229"/>
    <n v="2"/>
    <n v="-115"/>
    <x v="1"/>
    <n v="1.7391304347826086"/>
    <x v="1"/>
  </r>
  <r>
    <x v="55"/>
    <x v="1"/>
    <s v="Rockets @ Lakers"/>
    <s v="Under 233"/>
    <n v="2"/>
    <n v="-115"/>
    <x v="1"/>
    <n v="1.7391304347826086"/>
    <x v="1"/>
  </r>
  <r>
    <x v="55"/>
    <x v="1"/>
    <s v="Rockets @ Lakers"/>
    <s v="Lakers +3"/>
    <n v="2"/>
    <n v="-110"/>
    <x v="1"/>
    <n v="1.8181818181818181"/>
    <x v="3"/>
  </r>
  <r>
    <x v="55"/>
    <x v="1"/>
    <s v="Kings @ Warriors"/>
    <s v="Over 239"/>
    <n v="2"/>
    <n v="-110"/>
    <x v="1"/>
    <n v="1.8181818181818181"/>
    <x v="2"/>
  </r>
  <r>
    <x v="55"/>
    <x v="1"/>
    <s v="Kings @ Warriors"/>
    <s v="Kings +12.5"/>
    <n v="2"/>
    <n v="-110"/>
    <x v="1"/>
    <n v="1.8181818181818181"/>
    <x v="3"/>
  </r>
  <r>
    <x v="55"/>
    <x v="1"/>
    <s v="Trailblazers @ Nets"/>
    <s v="Under 231"/>
    <n v="2"/>
    <n v="-110"/>
    <x v="1"/>
    <n v="1.8181818181818181"/>
    <x v="1"/>
  </r>
  <r>
    <x v="55"/>
    <x v="2"/>
    <s v="Michigan @ Minnesota"/>
    <s v="Over 132"/>
    <n v="2"/>
    <n v="-115"/>
    <x v="0"/>
    <n v="-2"/>
    <x v="2"/>
  </r>
  <r>
    <x v="55"/>
    <x v="2"/>
    <s v="Louisiana-Monroe @ Texas State"/>
    <s v="Louisiana-Monroe +5"/>
    <n v="2"/>
    <n v="-110"/>
    <x v="1"/>
    <n v="1.8181818181818181"/>
    <x v="3"/>
  </r>
  <r>
    <x v="55"/>
    <x v="2"/>
    <s v="Louisiana-Monroe @ Texas State"/>
    <s v="Over 142"/>
    <n v="2"/>
    <n v="-105"/>
    <x v="0"/>
    <n v="-2"/>
    <x v="2"/>
  </r>
  <r>
    <x v="55"/>
    <x v="2"/>
    <s v="Eastern Washington @ Southern Utah"/>
    <s v="Over 147"/>
    <n v="2"/>
    <n v="-105"/>
    <x v="0"/>
    <n v="-2"/>
    <x v="2"/>
  </r>
  <r>
    <x v="55"/>
    <x v="2"/>
    <s v="Eastern Washington @ Southern Utah"/>
    <s v="Southern Utah -2.5"/>
    <n v="2"/>
    <n v="-110"/>
    <x v="1"/>
    <n v="1.8181818181818181"/>
    <x v="0"/>
  </r>
  <r>
    <x v="55"/>
    <x v="2"/>
    <s v="Connecticut @ Southern Methodist"/>
    <s v="Connecticut +6.5"/>
    <n v="2"/>
    <n v="-110"/>
    <x v="0"/>
    <n v="-2"/>
    <x v="3"/>
  </r>
  <r>
    <x v="55"/>
    <x v="2"/>
    <s v="Connecticut @ Southern Methodist"/>
    <s v="Over 143"/>
    <n v="2"/>
    <n v="-110"/>
    <x v="0"/>
    <n v="-2"/>
    <x v="2"/>
  </r>
  <r>
    <x v="55"/>
    <x v="2"/>
    <s v="San Francisco @ Brigham Young"/>
    <s v="Over 148"/>
    <n v="2"/>
    <n v="-110"/>
    <x v="2"/>
    <n v="0"/>
    <x v="2"/>
  </r>
  <r>
    <x v="55"/>
    <x v="2"/>
    <s v="Idaho State @ Portland State"/>
    <s v="Idaho State +6"/>
    <n v="2"/>
    <n v="-110"/>
    <x v="2"/>
    <n v="0"/>
    <x v="3"/>
  </r>
  <r>
    <x v="55"/>
    <x v="2"/>
    <s v="Weber State @ Sacramento State"/>
    <s v="Weber State -2"/>
    <n v="2"/>
    <n v="-110"/>
    <x v="0"/>
    <n v="-2"/>
    <x v="0"/>
  </r>
  <r>
    <x v="55"/>
    <x v="2"/>
    <s v="Weber State @ Sacramento State"/>
    <s v="Over 145"/>
    <n v="2"/>
    <n v="-110"/>
    <x v="1"/>
    <n v="1.8181818181818181"/>
    <x v="2"/>
  </r>
  <r>
    <x v="55"/>
    <x v="2"/>
    <s v="Hawaii @ UC-Santa Barbara"/>
    <s v="Hawaii +3.5"/>
    <n v="2"/>
    <n v="-110"/>
    <x v="0"/>
    <n v="-2"/>
    <x v="3"/>
  </r>
  <r>
    <x v="55"/>
    <x v="2"/>
    <s v="Hawaii @ UC-Santa Barbara"/>
    <s v="Over 134"/>
    <n v="2"/>
    <n v="-110"/>
    <x v="1"/>
    <n v="1.8181818181818181"/>
    <x v="2"/>
  </r>
  <r>
    <x v="55"/>
    <x v="2"/>
    <s v="Oregon State @ UCLA"/>
    <s v="Over 153"/>
    <n v="2"/>
    <n v="-105"/>
    <x v="0"/>
    <n v="-2"/>
    <x v="2"/>
  </r>
  <r>
    <x v="55"/>
    <x v="2"/>
    <s v="Louisiana-Monroe @ Texas State_x000a_Connecticut @ Southern Methodist_x000a_Weber State @ Sacramento State_x000a_Weber State @ Sacramento State_x000a_Hawaii @ UC-Santa Barbara"/>
    <s v="Over 142_x000a_Connecticut +6.5_x000a_Weber State -2_x000a_Over 145_x000a_Over 134"/>
    <n v="2"/>
    <n v="2493.5"/>
    <x v="0"/>
    <n v="-2"/>
    <x v="7"/>
  </r>
  <r>
    <x v="56"/>
    <x v="1"/>
    <s v="Bulls @ Magic"/>
    <s v="Bulls +8"/>
    <n v="2"/>
    <n v="-110"/>
    <x v="1"/>
    <n v="1.8181818181818181"/>
    <x v="3"/>
  </r>
  <r>
    <x v="56"/>
    <x v="1"/>
    <s v="Pelicans @ Pacers"/>
    <s v="Pacers -6.5"/>
    <n v="2"/>
    <n v="-110"/>
    <x v="1"/>
    <n v="1.8181818181818181"/>
    <x v="0"/>
  </r>
  <r>
    <x v="56"/>
    <x v="1"/>
    <s v="Spurs @ Raptors"/>
    <s v="Under 227"/>
    <n v="2"/>
    <n v="-115"/>
    <x v="0"/>
    <n v="-2"/>
    <x v="1"/>
  </r>
  <r>
    <x v="56"/>
    <x v="1"/>
    <s v="Wizards @ Hornets"/>
    <s v="Under 232"/>
    <n v="2"/>
    <n v="-110"/>
    <x v="0"/>
    <n v="-2"/>
    <x v="1"/>
  </r>
  <r>
    <x v="56"/>
    <x v="1"/>
    <s v="Wizards @ Hornets"/>
    <s v="Hornets -5"/>
    <n v="2"/>
    <n v="-110"/>
    <x v="1"/>
    <n v="1.8181818181818181"/>
    <x v="0"/>
  </r>
  <r>
    <x v="56"/>
    <x v="1"/>
    <s v="Timberwolves @ Knicks"/>
    <s v="Over 221"/>
    <n v="2"/>
    <n v="-105"/>
    <x v="0"/>
    <n v="-2"/>
    <x v="2"/>
  </r>
  <r>
    <x v="56"/>
    <x v="1"/>
    <s v="Clippers @ Grizzlies"/>
    <s v="Grizzlies +2.5"/>
    <n v="2"/>
    <n v="-105"/>
    <x v="0"/>
    <n v="-2"/>
    <x v="3"/>
  </r>
  <r>
    <x v="56"/>
    <x v="1"/>
    <s v="Jazz @ Thunder"/>
    <s v="Under 226"/>
    <n v="2"/>
    <n v="-105"/>
    <x v="0"/>
    <n v="-2"/>
    <x v="1"/>
  </r>
  <r>
    <x v="56"/>
    <x v="1"/>
    <s v="Jazz @ Thunder"/>
    <s v="Jazz +4.5"/>
    <n v="2"/>
    <n v="-110"/>
    <x v="1"/>
    <n v="1.8181818181818181"/>
    <x v="3"/>
  </r>
  <r>
    <x v="56"/>
    <x v="1"/>
    <s v="Bulls @ Magic_x000a_Spurs @ Raptors_x000a_Timberwolves @ Knicks_x000a_Jazz @ Thunder"/>
    <s v="Bulls +8_x000a_Under 227_x000a_Over 221_x000a_Jazz +4.5"/>
    <n v="2"/>
    <n v="1260.5"/>
    <x v="0"/>
    <n v="-2"/>
    <x v="7"/>
  </r>
  <r>
    <x v="56"/>
    <x v="2"/>
    <s v="Bowling Green State @ Ohio"/>
    <s v="Bowling Green State -4.5"/>
    <n v="2"/>
    <n v="-105"/>
    <x v="0"/>
    <n v="-2"/>
    <x v="0"/>
  </r>
  <r>
    <x v="56"/>
    <x v="2"/>
    <s v="Harvard @ Brown"/>
    <s v="Over 133"/>
    <n v="2"/>
    <n v="-115"/>
    <x v="1"/>
    <n v="1.7391304347826086"/>
    <x v="2"/>
  </r>
  <r>
    <x v="56"/>
    <x v="2"/>
    <s v="Iona @ Manhattan"/>
    <s v="Over 133"/>
    <n v="2"/>
    <n v="-105"/>
    <x v="0"/>
    <n v="-2"/>
    <x v="2"/>
  </r>
  <r>
    <x v="56"/>
    <x v="2"/>
    <s v="Saint Peter's @ Marist"/>
    <s v="Over 125"/>
    <n v="2"/>
    <n v="-105"/>
    <x v="0"/>
    <n v="-2"/>
    <x v="2"/>
  </r>
  <r>
    <x v="56"/>
    <x v="2"/>
    <s v="Cornell @ Princeton"/>
    <s v="Cornell +7"/>
    <n v="2"/>
    <n v="-115"/>
    <x v="0"/>
    <n v="-2"/>
    <x v="3"/>
  </r>
  <r>
    <x v="56"/>
    <x v="2"/>
    <s v="Cornell @ Princeton"/>
    <s v="Over 137"/>
    <n v="2"/>
    <n v="-105"/>
    <x v="0"/>
    <n v="-2"/>
    <x v="2"/>
  </r>
  <r>
    <x v="56"/>
    <x v="2"/>
    <s v="Green Bay @ Illinois-Chicago"/>
    <s v="Green Bay +4.5"/>
    <n v="2"/>
    <n v="-110"/>
    <x v="1"/>
    <n v="1.8181818181818181"/>
    <x v="3"/>
  </r>
  <r>
    <x v="56"/>
    <x v="2"/>
    <s v="Green Bay @ Illinois-Chicago"/>
    <s v="Under 159"/>
    <n v="2"/>
    <n v="-110"/>
    <x v="1"/>
    <n v="1.8181818181818181"/>
    <x v="1"/>
  </r>
  <r>
    <x v="56"/>
    <x v="2"/>
    <s v="Indiana @ Iowa"/>
    <s v="Indiana +7.5"/>
    <n v="2"/>
    <n v="-110"/>
    <x v="1"/>
    <n v="1.8181818181818181"/>
    <x v="3"/>
  </r>
  <r>
    <x v="56"/>
    <x v="2"/>
    <s v="Indiana @ Iowa"/>
    <s v="Under 144"/>
    <n v="2"/>
    <n v="-115"/>
    <x v="0"/>
    <n v="-2"/>
    <x v="1"/>
  </r>
  <r>
    <x v="57"/>
    <x v="1"/>
    <s v="Magic @ Knicks"/>
    <s v="Under 215"/>
    <n v="2"/>
    <n v="-110"/>
    <x v="1"/>
    <n v="1.8181818181818181"/>
    <x v="1"/>
  </r>
  <r>
    <x v="57"/>
    <x v="1"/>
    <s v="Magic @ Knicks"/>
    <s v="Knicks +7.5"/>
    <n v="2"/>
    <n v="-110"/>
    <x v="1"/>
    <n v="1.8181818181818181"/>
    <x v="3"/>
  </r>
  <r>
    <x v="57"/>
    <x v="1"/>
    <s v="Celtics @ Raptors"/>
    <s v="Under 227"/>
    <n v="2"/>
    <n v="-115"/>
    <x v="1"/>
    <n v="1.7391304347826086"/>
    <x v="1"/>
  </r>
  <r>
    <x v="57"/>
    <x v="1"/>
    <s v="Thunder @ Nuggets"/>
    <s v="Under 238"/>
    <n v="2"/>
    <n v="-115"/>
    <x v="1"/>
    <n v="1.7391304347826086"/>
    <x v="1"/>
  </r>
  <r>
    <x v="57"/>
    <x v="1"/>
    <s v="Thunder @ Nuggets"/>
    <s v="Nuggets -3"/>
    <n v="2"/>
    <n v="-110"/>
    <x v="1"/>
    <n v="1.8181818181818181"/>
    <x v="0"/>
  </r>
  <r>
    <x v="57"/>
    <x v="2"/>
    <s v="Duke @ Virginia Tech"/>
    <s v="Duke -4"/>
    <n v="2"/>
    <n v="-105"/>
    <x v="0"/>
    <n v="-2"/>
    <x v="0"/>
  </r>
  <r>
    <x v="57"/>
    <x v="2"/>
    <s v="Duke @ Virginia Tech"/>
    <s v="Under 145"/>
    <n v="2"/>
    <n v="-105"/>
    <x v="0"/>
    <n v="-2"/>
    <x v="1"/>
  </r>
  <r>
    <x v="57"/>
    <x v="2"/>
    <s v="Iowa @ Ohio State"/>
    <s v="Iowa +3"/>
    <n v="2"/>
    <n v="-115"/>
    <x v="0"/>
    <n v="-2"/>
    <x v="3"/>
  </r>
  <r>
    <x v="57"/>
    <x v="2"/>
    <s v="Syracuse @ North Carolina"/>
    <s v="Under 147"/>
    <n v="2"/>
    <n v="-110"/>
    <x v="0"/>
    <n v="-2"/>
    <x v="1"/>
  </r>
  <r>
    <x v="57"/>
    <x v="2"/>
    <s v="Texas A&amp;M @ Louisiana State"/>
    <s v="Under 148"/>
    <n v="2"/>
    <n v="-105"/>
    <x v="1"/>
    <n v="1.9047619047619049"/>
    <x v="1"/>
  </r>
  <r>
    <x v="57"/>
    <x v="2"/>
    <s v="Wisconsin @ Indiana"/>
    <s v="Wisconsin -1.5"/>
    <n v="2"/>
    <n v="-110"/>
    <x v="0"/>
    <n v="-2"/>
    <x v="0"/>
  </r>
  <r>
    <x v="57"/>
    <x v="2"/>
    <s v="Wisconsin @ Indiana"/>
    <s v="Over 124"/>
    <n v="2"/>
    <n v="-115"/>
    <x v="0"/>
    <n v="-2"/>
    <x v="2"/>
  </r>
  <r>
    <x v="58"/>
    <x v="1"/>
    <s v="Rockets @ Hornets"/>
    <s v="Under 228"/>
    <n v="2"/>
    <n v="-115"/>
    <x v="0"/>
    <n v="-2"/>
    <x v="1"/>
  </r>
  <r>
    <x v="58"/>
    <x v="1"/>
    <s v="Rockets @ Hornets"/>
    <s v="Hornets +5"/>
    <n v="2"/>
    <n v="-115"/>
    <x v="2"/>
    <n v="0"/>
    <x v="3"/>
  </r>
  <r>
    <x v="58"/>
    <x v="1"/>
    <s v="Warriors @ Heat"/>
    <s v="Under 223"/>
    <n v="2"/>
    <n v="-105"/>
    <x v="0"/>
    <n v="-2"/>
    <x v="1"/>
  </r>
  <r>
    <x v="58"/>
    <x v="1"/>
    <s v="Warriors @ Heat"/>
    <s v="Heat +9"/>
    <n v="2"/>
    <n v="-110"/>
    <x v="1"/>
    <n v="1.8181818181818181"/>
    <x v="3"/>
  </r>
  <r>
    <x v="58"/>
    <x v="1"/>
    <s v="Timberwolves @ Hawks"/>
    <s v="Under 237"/>
    <n v="2"/>
    <n v="-115"/>
    <x v="0"/>
    <n v="-2"/>
    <x v="1"/>
  </r>
  <r>
    <x v="58"/>
    <x v="1"/>
    <s v="Trailblazers @ Celtics"/>
    <s v="Under 226"/>
    <n v="2"/>
    <n v="-105"/>
    <x v="1"/>
    <n v="1.9047619047619049"/>
    <x v="1"/>
  </r>
  <r>
    <x v="58"/>
    <x v="1"/>
    <s v="Wizards @ Nets"/>
    <s v="Under 238"/>
    <n v="2"/>
    <n v="-115"/>
    <x v="0"/>
    <n v="-2"/>
    <x v="1"/>
  </r>
  <r>
    <x v="58"/>
    <x v="1"/>
    <s v="Wizards @ Nets"/>
    <s v="Nets -5.5"/>
    <n v="2"/>
    <n v="-110"/>
    <x v="0"/>
    <n v="-2"/>
    <x v="0"/>
  </r>
  <r>
    <x v="58"/>
    <x v="1"/>
    <s v="Bulls @ Grizzlies"/>
    <s v="Under 217"/>
    <n v="2"/>
    <n v="-105"/>
    <x v="1"/>
    <n v="1.9047619047619049"/>
    <x v="1"/>
  </r>
  <r>
    <x v="58"/>
    <x v="1"/>
    <s v="Bulls @ Grizzlies"/>
    <s v="Grizzlies -3"/>
    <n v="2"/>
    <n v="-110"/>
    <x v="0"/>
    <n v="-2"/>
    <x v="0"/>
  </r>
  <r>
    <x v="58"/>
    <x v="1"/>
    <s v="Pistons @ Spurs"/>
    <s v="Spurs -4"/>
    <n v="2"/>
    <n v="-110"/>
    <x v="1"/>
    <n v="1.8181818181818181"/>
    <x v="0"/>
  </r>
  <r>
    <x v="58"/>
    <x v="1"/>
    <s v="Pacers @ Mavericks"/>
    <s v="Mavericks +1"/>
    <n v="2"/>
    <n v="-110"/>
    <x v="1"/>
    <n v="1.8181818181818181"/>
    <x v="3"/>
  </r>
  <r>
    <x v="58"/>
    <x v="1"/>
    <s v="Clippers @ Jazz"/>
    <s v="Under 227"/>
    <n v="2"/>
    <n v="-105"/>
    <x v="1"/>
    <n v="1.9047619047619049"/>
    <x v="1"/>
  </r>
  <r>
    <x v="58"/>
    <x v="1"/>
    <s v="Clippers @ Jazz"/>
    <s v="Jazz -9.5"/>
    <n v="2"/>
    <n v="-110"/>
    <x v="0"/>
    <n v="-2"/>
    <x v="0"/>
  </r>
  <r>
    <x v="58"/>
    <x v="1"/>
    <s v="Bucks @ Kings"/>
    <s v="Under 235"/>
    <n v="2"/>
    <n v="-110"/>
    <x v="0"/>
    <n v="-2"/>
    <x v="1"/>
  </r>
  <r>
    <x v="58"/>
    <x v="1"/>
    <s v="Pelicans @ Lakers"/>
    <s v="Under 239"/>
    <n v="2"/>
    <n v="-105"/>
    <x v="0"/>
    <n v="-2"/>
    <x v="1"/>
  </r>
  <r>
    <x v="59"/>
    <x v="1"/>
    <s v="Timberwolves @ Pacers"/>
    <s v="Under 222"/>
    <n v="2"/>
    <n v="-115"/>
    <x v="0"/>
    <n v="-2"/>
    <x v="1"/>
  </r>
  <r>
    <x v="59"/>
    <x v="1"/>
    <s v="Timberwolves @ Pacers"/>
    <s v="Pacers -3.5"/>
    <n v="2"/>
    <n v="-105"/>
    <x v="1"/>
    <n v="1.9047619047619049"/>
    <x v="0"/>
  </r>
  <r>
    <x v="59"/>
    <x v="1"/>
    <s v="Cavaliers @ Knicks"/>
    <s v="Knicks -3"/>
    <n v="2"/>
    <n v="-110"/>
    <x v="0"/>
    <n v="-2"/>
    <x v="0"/>
  </r>
  <r>
    <x v="59"/>
    <x v="1"/>
    <s v="Heat @ Rockets"/>
    <s v="Under 221"/>
    <n v="2"/>
    <n v="-115"/>
    <x v="0"/>
    <n v="-2"/>
    <x v="1"/>
  </r>
  <r>
    <x v="59"/>
    <x v="1"/>
    <s v="Heat @ Rockets"/>
    <s v="Heat +9.5"/>
    <n v="2"/>
    <n v="-115"/>
    <x v="1"/>
    <n v="1.7391304347826086"/>
    <x v="3"/>
  </r>
  <r>
    <x v="59"/>
    <x v="1"/>
    <s v="Jazz @ Nuggets"/>
    <s v="Under 225"/>
    <n v="2"/>
    <n v="-110"/>
    <x v="1"/>
    <n v="1.8181818181818181"/>
    <x v="1"/>
  </r>
  <r>
    <x v="59"/>
    <x v="1"/>
    <s v="Jazz @ Nuggets"/>
    <s v="Jazz +7"/>
    <n v="2"/>
    <n v="-110"/>
    <x v="1"/>
    <n v="1.8181818181818181"/>
    <x v="3"/>
  </r>
  <r>
    <x v="59"/>
    <x v="1"/>
    <s v="76ers @ Thunder"/>
    <s v="Under 238"/>
    <n v="2"/>
    <n v="-105"/>
    <x v="1"/>
    <n v="1.9047619047619049"/>
    <x v="1"/>
  </r>
  <r>
    <x v="59"/>
    <x v="2"/>
    <s v="Robert Morris @ Sacred Heart"/>
    <s v="Over 144"/>
    <n v="2"/>
    <n v="-110"/>
    <x v="1"/>
    <n v="1.8181818181818181"/>
    <x v="2"/>
  </r>
  <r>
    <x v="59"/>
    <x v="2"/>
    <s v="Connecticut @ Wichita State"/>
    <s v="Connecticut +4.5"/>
    <n v="2"/>
    <n v="-105"/>
    <x v="1"/>
    <n v="1.9047619047619049"/>
    <x v="3"/>
  </r>
  <r>
    <x v="59"/>
    <x v="2"/>
    <s v="Hofstra @ Drexel"/>
    <s v="Hofstra -7"/>
    <n v="2"/>
    <n v="-115"/>
    <x v="0"/>
    <n v="-2"/>
    <x v="0"/>
  </r>
  <r>
    <x v="59"/>
    <x v="2"/>
    <s v="Mercer @ VMI"/>
    <s v="Mercer -5"/>
    <n v="2"/>
    <n v="-110"/>
    <x v="0"/>
    <n v="-2"/>
    <x v="0"/>
  </r>
  <r>
    <x v="59"/>
    <x v="2"/>
    <s v="Northeastern @ Delaware"/>
    <s v="Northeastern -4.5"/>
    <n v="2"/>
    <n v="-115"/>
    <x v="1"/>
    <n v="1.7391304347826086"/>
    <x v="0"/>
  </r>
  <r>
    <x v="59"/>
    <x v="2"/>
    <s v="Northeastern @ Delaware"/>
    <s v="Over 136"/>
    <n v="2"/>
    <n v="-110"/>
    <x v="1"/>
    <n v="1.8181818181818181"/>
    <x v="2"/>
  </r>
  <r>
    <x v="59"/>
    <x v="2"/>
    <s v="Wofford @ Chattanooga"/>
    <s v="Wofford -13"/>
    <n v="2"/>
    <n v="-115"/>
    <x v="1"/>
    <n v="1.7391304347826086"/>
    <x v="0"/>
  </r>
  <r>
    <x v="59"/>
    <x v="2"/>
    <s v="Wofford @ Chattanooga"/>
    <s v="Over 140"/>
    <n v="2"/>
    <n v="-110"/>
    <x v="0"/>
    <n v="-2"/>
    <x v="2"/>
  </r>
  <r>
    <x v="59"/>
    <x v="2"/>
    <s v="Coastal Carolina @ Louisiana"/>
    <s v="Coastal Carolina +4.5"/>
    <n v="2"/>
    <n v="-115"/>
    <x v="0"/>
    <n v="-2"/>
    <x v="3"/>
  </r>
  <r>
    <x v="59"/>
    <x v="2"/>
    <s v="Arizona State @ Oregon"/>
    <s v="Arizona State +3"/>
    <n v="2"/>
    <n v="-110"/>
    <x v="0"/>
    <n v="-2"/>
    <x v="3"/>
  </r>
  <r>
    <x v="59"/>
    <x v="2"/>
    <s v="Western Illinois @ Denver"/>
    <s v="Western Illinois +3"/>
    <n v="2"/>
    <n v="-110"/>
    <x v="0"/>
    <n v="-2"/>
    <x v="3"/>
  </r>
  <r>
    <x v="60"/>
    <x v="1"/>
    <s v="Mavericks @ Nets"/>
    <s v="Mavericks +5"/>
    <n v="5"/>
    <n v="-115"/>
    <x v="0"/>
    <n v="-5"/>
    <x v="3"/>
  </r>
  <r>
    <x v="60"/>
    <x v="1"/>
    <s v="Nuggets @ Spurs"/>
    <s v="Under 227"/>
    <n v="5"/>
    <n v="-105"/>
    <x v="1"/>
    <n v="4.7619047619047619"/>
    <x v="1"/>
  </r>
  <r>
    <x v="60"/>
    <x v="1"/>
    <s v="Pelicans @ Jazz"/>
    <s v="Under 230"/>
    <n v="5"/>
    <n v="-110"/>
    <x v="1"/>
    <n v="4.5454545454545459"/>
    <x v="1"/>
  </r>
  <r>
    <x v="60"/>
    <x v="1"/>
    <s v="Knicks @ Kings"/>
    <s v="Under 231"/>
    <n v="5"/>
    <n v="-110"/>
    <x v="1"/>
    <n v="4.5454545454545459"/>
    <x v="1"/>
  </r>
  <r>
    <x v="60"/>
    <x v="1"/>
    <s v="Knicks @ Kings"/>
    <s v="Knicks +11.5"/>
    <n v="5"/>
    <n v="-110"/>
    <x v="1"/>
    <n v="4.5454545454545459"/>
    <x v="3"/>
  </r>
  <r>
    <x v="60"/>
    <x v="1"/>
    <s v="Clippers @ Lakers"/>
    <s v="Under 237"/>
    <n v="5"/>
    <n v="-110"/>
    <x v="1"/>
    <n v="4.5454545454545459"/>
    <x v="1"/>
  </r>
  <r>
    <x v="61"/>
    <x v="1"/>
    <s v="Bulls @ Pacers"/>
    <s v="Pacers -6.5"/>
    <n v="5"/>
    <n v="-110"/>
    <x v="1"/>
    <n v="4.5454545454545459"/>
    <x v="0"/>
  </r>
  <r>
    <x v="61"/>
    <x v="1"/>
    <s v="Magic @ 76ers"/>
    <s v="Under 223"/>
    <n v="5"/>
    <n v="-105"/>
    <x v="1"/>
    <n v="4.7619047619047619"/>
    <x v="1"/>
  </r>
  <r>
    <x v="61"/>
    <x v="1"/>
    <s v="Magic @ 76ers"/>
    <s v="76ers -3.5"/>
    <n v="5"/>
    <n v="-110"/>
    <x v="1"/>
    <n v="4.5454545454545459"/>
    <x v="0"/>
  </r>
  <r>
    <x v="61"/>
    <x v="1"/>
    <s v="Rockets @ Raptors"/>
    <s v="Under 228"/>
    <n v="5"/>
    <n v="-110"/>
    <x v="1"/>
    <n v="4.5454545454545459"/>
    <x v="1"/>
  </r>
  <r>
    <x v="61"/>
    <x v="1"/>
    <s v="Rockets @ Raptors"/>
    <s v="Raptors -3"/>
    <n v="5"/>
    <n v="-105"/>
    <x v="0"/>
    <n v="-5"/>
    <x v="0"/>
  </r>
  <r>
    <x v="61"/>
    <x v="1"/>
    <s v="Thunder @ Timberwolves"/>
    <s v="Under 237"/>
    <n v="5"/>
    <n v="-105"/>
    <x v="0"/>
    <n v="-5"/>
    <x v="1"/>
  </r>
  <r>
    <x v="61"/>
    <x v="1"/>
    <s v="Thunder @ Timberwolves"/>
    <s v="Thunder +1"/>
    <n v="5"/>
    <n v="-110"/>
    <x v="0"/>
    <n v="-5"/>
    <x v="3"/>
  </r>
  <r>
    <x v="61"/>
    <x v="1"/>
    <s v="Trailblazers @ Grizzlies"/>
    <s v="Under 216"/>
    <n v="5"/>
    <n v="-110"/>
    <x v="0"/>
    <n v="-5"/>
    <x v="1"/>
  </r>
  <r>
    <x v="61"/>
    <x v="1"/>
    <s v="Trailblazers @ Grizzlies"/>
    <s v="Grizzlies +6"/>
    <n v="5"/>
    <n v="-115"/>
    <x v="1"/>
    <n v="4.3478260869565215"/>
    <x v="3"/>
  </r>
  <r>
    <x v="61"/>
    <x v="1"/>
    <s v="Celtics @ Warriors"/>
    <s v="Under 230"/>
    <n v="5"/>
    <n v="-115"/>
    <x v="1"/>
    <n v="4.3478260869565215"/>
    <x v="1"/>
  </r>
  <r>
    <x v="61"/>
    <x v="1"/>
    <s v="Celtics @ Warriors"/>
    <s v="Celtics +8"/>
    <n v="5"/>
    <n v="-115"/>
    <x v="1"/>
    <n v="4.3478260869565215"/>
    <x v="3"/>
  </r>
  <r>
    <x v="61"/>
    <x v="2"/>
    <s v="Xavier @ Butler"/>
    <s v="Xavier +4"/>
    <n v="1"/>
    <n v="-110"/>
    <x v="0"/>
    <n v="-1"/>
    <x v="3"/>
  </r>
  <r>
    <x v="61"/>
    <x v="2"/>
    <s v="Bowling Green State @ Akron"/>
    <s v="Over 135"/>
    <n v="1"/>
    <n v="-115"/>
    <x v="1"/>
    <n v="0.86956521739130432"/>
    <x v="2"/>
  </r>
  <r>
    <x v="61"/>
    <x v="2"/>
    <s v="Virginia Tech @ Florida State"/>
    <s v="Virginia Tech +4"/>
    <n v="1"/>
    <n v="-110"/>
    <x v="0"/>
    <n v="-1"/>
    <x v="3"/>
  </r>
  <r>
    <x v="61"/>
    <x v="2"/>
    <s v="Miami (FL) @ Pittsburgh"/>
    <s v="Pittsburgh +6"/>
    <n v="1"/>
    <n v="-110"/>
    <x v="0"/>
    <n v="-1"/>
    <x v="3"/>
  </r>
  <r>
    <x v="61"/>
    <x v="2"/>
    <s v="Auburn @ Alabama"/>
    <s v="Auburn -2.5"/>
    <n v="1"/>
    <n v="-110"/>
    <x v="1"/>
    <n v="0.90909090909090906"/>
    <x v="0"/>
  </r>
  <r>
    <x v="61"/>
    <x v="2"/>
    <s v="Auburn @ Alabama"/>
    <s v="Under 145"/>
    <n v="1"/>
    <n v="-105"/>
    <x v="1"/>
    <n v="0.95238095238095244"/>
    <x v="1"/>
  </r>
  <r>
    <x v="61"/>
    <x v="2"/>
    <s v="Kentucky @ Mississippi"/>
    <s v="Kentucky -5"/>
    <n v="1"/>
    <n v="-115"/>
    <x v="0"/>
    <n v="-1"/>
    <x v="0"/>
  </r>
  <r>
    <x v="61"/>
    <x v="2"/>
    <s v="Utah State @ Colorado State"/>
    <s v="Utah State -7.5"/>
    <n v="1"/>
    <n v="-110"/>
    <x v="0"/>
    <n v="-1"/>
    <x v="0"/>
  </r>
  <r>
    <x v="62"/>
    <x v="1"/>
    <s v="Mavericks @ Wizards"/>
    <s v="Under 233"/>
    <n v="5"/>
    <n v="-110"/>
    <x v="0"/>
    <n v="-5"/>
    <x v="1"/>
  </r>
  <r>
    <x v="62"/>
    <x v="1"/>
    <s v="Mavericks @ Wizards"/>
    <s v="Mavericks +6.5"/>
    <n v="5"/>
    <n v="-110"/>
    <x v="0"/>
    <n v="-5"/>
    <x v="3"/>
  </r>
  <r>
    <x v="62"/>
    <x v="1"/>
    <s v="Heat @ Hornets"/>
    <s v="Heat +3.5"/>
    <n v="5"/>
    <n v="-110"/>
    <x v="1"/>
    <n v="4.5454545454545459"/>
    <x v="3"/>
  </r>
  <r>
    <x v="62"/>
    <x v="1"/>
    <s v="Timberwolves @ Pistons"/>
    <s v="Under 224"/>
    <n v="5"/>
    <n v="-115"/>
    <x v="0"/>
    <n v="-5"/>
    <x v="1"/>
  </r>
  <r>
    <x v="62"/>
    <x v="1"/>
    <s v="Timberwolves @ Pistons"/>
    <s v="Pistons -5.5"/>
    <n v="5"/>
    <n v="-110"/>
    <x v="1"/>
    <n v="4.5454545454545459"/>
    <x v="0"/>
  </r>
  <r>
    <x v="62"/>
    <x v="1"/>
    <s v="76ers @ Bulls"/>
    <s v="Under 228"/>
    <n v="5"/>
    <n v="-105"/>
    <x v="1"/>
    <n v="4.7619047619047619"/>
    <x v="1"/>
  </r>
  <r>
    <x v="62"/>
    <x v="1"/>
    <s v="Jazz @ Pelicans"/>
    <s v="Under 230"/>
    <n v="5"/>
    <n v="-105"/>
    <x v="1"/>
    <n v="4.7619047619047619"/>
    <x v="1"/>
  </r>
  <r>
    <x v="62"/>
    <x v="1"/>
    <s v="Knicks @ Suns"/>
    <s v="Under 225"/>
    <n v="5"/>
    <n v="-115"/>
    <x v="1"/>
    <n v="4.3478260869565215"/>
    <x v="1"/>
  </r>
  <r>
    <x v="62"/>
    <x v="1"/>
    <s v="Knicks @ Suns"/>
    <s v="Knicks +4"/>
    <n v="5"/>
    <n v="-105"/>
    <x v="0"/>
    <n v="-5"/>
    <x v="3"/>
  </r>
  <r>
    <x v="62"/>
    <x v="1"/>
    <s v="Celtics @ Kings"/>
    <s v="Under 228"/>
    <n v="5"/>
    <n v="-105"/>
    <x v="1"/>
    <n v="4.7619047619047619"/>
    <x v="1"/>
  </r>
  <r>
    <x v="62"/>
    <x v="1"/>
    <s v="Celtics @ Kings"/>
    <s v="Celtics -2"/>
    <n v="5"/>
    <n v="-110"/>
    <x v="2"/>
    <n v="0"/>
    <x v="0"/>
  </r>
  <r>
    <x v="62"/>
    <x v="1"/>
    <s v="Nuggets @ Lakers"/>
    <s v="Under 229"/>
    <n v="5"/>
    <n v="-105"/>
    <x v="1"/>
    <n v="4.7619047619047619"/>
    <x v="1"/>
  </r>
  <r>
    <x v="62"/>
    <x v="1"/>
    <s v="Nuggets @ Lakers"/>
    <s v="Lakers +6"/>
    <n v="5"/>
    <n v="-110"/>
    <x v="0"/>
    <n v="-5"/>
    <x v="3"/>
  </r>
  <r>
    <x v="62"/>
    <x v="1"/>
    <s v="Mavericks @ Wizards_x000a_Knicks @ Suns_x000a_Celtics @ Kings_x000a_Nuggets @ Lakers"/>
    <s v="Mavericks +6.5_x000a_Knicks +4_x000a_Under 228_x000a_Under 229"/>
    <n v="2"/>
    <n v="1321"/>
    <x v="0"/>
    <n v="-2"/>
    <x v="7"/>
  </r>
  <r>
    <x v="62"/>
    <x v="2"/>
    <s v="Long Island University @ Sacred Heart"/>
    <s v="Long Island University +4.5"/>
    <n v="1"/>
    <n v="-110"/>
    <x v="1"/>
    <n v="0.90909090909090906"/>
    <x v="3"/>
  </r>
  <r>
    <x v="62"/>
    <x v="2"/>
    <s v="Marquette @ Seton Hall"/>
    <s v="Marquette -3"/>
    <n v="1"/>
    <n v="-105"/>
    <x v="0"/>
    <n v="-1"/>
    <x v="0"/>
  </r>
  <r>
    <x v="62"/>
    <x v="2"/>
    <s v="Marquette @ Seton Hall"/>
    <s v="Under 145"/>
    <n v="1"/>
    <n v="-105"/>
    <x v="1"/>
    <n v="0.95238095238095244"/>
    <x v="1"/>
  </r>
  <r>
    <x v="62"/>
    <x v="2"/>
    <s v="Missouri @ Georgia"/>
    <s v="Missouri +4"/>
    <n v="1"/>
    <n v="-105"/>
    <x v="1"/>
    <n v="0.95238095238095244"/>
    <x v="3"/>
  </r>
  <r>
    <x v="62"/>
    <x v="2"/>
    <s v="Missouri @ Georgia"/>
    <s v="Over 135"/>
    <n v="1"/>
    <n v="-115"/>
    <x v="0"/>
    <n v="-1"/>
    <x v="2"/>
  </r>
  <r>
    <x v="62"/>
    <x v="2"/>
    <s v="Bryant @ Saint Francis (PA)"/>
    <s v="Bryant +8.5"/>
    <n v="1"/>
    <n v="-115"/>
    <x v="1"/>
    <n v="0.86956521739130432"/>
    <x v="3"/>
  </r>
  <r>
    <x v="62"/>
    <x v="2"/>
    <s v="Bryant @ Saint Francis (PA)"/>
    <s v="Over 152"/>
    <n v="1"/>
    <n v="-110"/>
    <x v="0"/>
    <n v="-1"/>
    <x v="2"/>
  </r>
  <r>
    <x v="62"/>
    <x v="2"/>
    <s v="George Washington @ Fordham"/>
    <s v="George Washington +4.5"/>
    <n v="1"/>
    <n v="-110"/>
    <x v="0"/>
    <n v="-1"/>
    <x v="3"/>
  </r>
  <r>
    <x v="62"/>
    <x v="2"/>
    <s v="George Washington @ Fordham"/>
    <s v="Over 131"/>
    <n v="1"/>
    <n v="-110"/>
    <x v="0"/>
    <n v="-1"/>
    <x v="2"/>
  </r>
  <r>
    <x v="62"/>
    <x v="2"/>
    <s v="Iowa State @ West Virginia"/>
    <s v="Iowa State -5.5"/>
    <n v="1"/>
    <n v="-110"/>
    <x v="0"/>
    <n v="-1"/>
    <x v="0"/>
  </r>
  <r>
    <x v="62"/>
    <x v="2"/>
    <s v="Iowa State @ West Virginia"/>
    <s v="Iowa State Moneyline"/>
    <n v="1"/>
    <n v="-250"/>
    <x v="0"/>
    <n v="-1"/>
    <x v="6"/>
  </r>
  <r>
    <x v="62"/>
    <x v="2"/>
    <s v="Iowa State @ West Virginia"/>
    <s v="Under 146"/>
    <n v="1"/>
    <n v="-110"/>
    <x v="0"/>
    <n v="-1"/>
    <x v="1"/>
  </r>
  <r>
    <x v="62"/>
    <x v="2"/>
    <s v="Southern Mississippi @ Old Dominion"/>
    <s v="Southern Mississippi +6"/>
    <n v="1"/>
    <n v="-115"/>
    <x v="1"/>
    <n v="0.86956521739130432"/>
    <x v="3"/>
  </r>
  <r>
    <x v="62"/>
    <x v="2"/>
    <s v="Southern Mississippi @ Old Dominion"/>
    <s v="Over 127"/>
    <n v="1"/>
    <n v="-110"/>
    <x v="0"/>
    <n v="-1"/>
    <x v="2"/>
  </r>
  <r>
    <x v="62"/>
    <x v="2"/>
    <s v="St. Bonaventure @ Davidson"/>
    <s v="Over 130"/>
    <n v="1"/>
    <n v="-115"/>
    <x v="0"/>
    <n v="-1"/>
    <x v="2"/>
  </r>
  <r>
    <x v="62"/>
    <x v="2"/>
    <s v="Oregon @ Washington State"/>
    <s v="Oregon -6.5"/>
    <n v="1"/>
    <n v="-110"/>
    <x v="1"/>
    <n v="0.90909090909090906"/>
    <x v="0"/>
  </r>
  <r>
    <x v="62"/>
    <x v="2"/>
    <s v="Oregon @ Washington State"/>
    <s v="Oregon Moneyline"/>
    <n v="1"/>
    <n v="-300"/>
    <x v="1"/>
    <n v="0.33333333333333337"/>
    <x v="6"/>
  </r>
  <r>
    <x v="62"/>
    <x v="2"/>
    <s v="Marquette @ Seton Hall_x000a_Bryant @ Saint Francis (PA)_x000a_Iowa State @ West Virginia_x000a_St. Bonaventure @ Davidson_x000a_Providence @ Creighton_x000a_Oregon @ Washington State"/>
    <s v="Marquette -3_x000a_Saint Francis (PA) Moneyline_x000a_Iowa State -5.5_x000a_Davidson Moneyline_x000a_Creighton Moneyline_x000a_Oregon -6.5"/>
    <n v="2"/>
    <n v="1804"/>
    <x v="0"/>
    <n v="-2"/>
    <x v="7"/>
  </r>
  <r>
    <x v="63"/>
    <x v="1"/>
    <s v="Cavaliers @ 76ers"/>
    <s v="Cavaliers +15"/>
    <n v="10"/>
    <n v="-110"/>
    <x v="1"/>
    <n v="9.0909090909090917"/>
    <x v="3"/>
  </r>
  <r>
    <x v="63"/>
    <x v="1"/>
    <s v="Knicks @ Pacers"/>
    <s v="Over 208"/>
    <n v="10"/>
    <n v="-115"/>
    <x v="0"/>
    <n v="-10"/>
    <x v="2"/>
  </r>
  <r>
    <x v="63"/>
    <x v="1"/>
    <s v="Bucks @ Pelicans"/>
    <s v="Under 236"/>
    <n v="10"/>
    <n v="-110"/>
    <x v="0"/>
    <n v="-10"/>
    <x v="1"/>
  </r>
  <r>
    <x v="63"/>
    <x v="1"/>
    <s v="Bucks @ Pelicans"/>
    <s v="Pelicans +11"/>
    <n v="10"/>
    <n v="-115"/>
    <x v="0"/>
    <n v="-10"/>
    <x v="3"/>
  </r>
  <r>
    <x v="63"/>
    <x v="1"/>
    <s v="Spurs @ Mavericks"/>
    <s v="Mavericks +4.5"/>
    <n v="10"/>
    <n v="-105"/>
    <x v="0"/>
    <n v="-10"/>
    <x v="3"/>
  </r>
  <r>
    <x v="63"/>
    <x v="1"/>
    <s v="Timberwolves @ Nuggets"/>
    <s v="Under 229"/>
    <n v="10"/>
    <n v="-115"/>
    <x v="0"/>
    <n v="-10"/>
    <x v="1"/>
  </r>
  <r>
    <x v="63"/>
    <x v="1"/>
    <s v="Timberwolves @ Nuggets"/>
    <s v="Nuggets -9"/>
    <n v="10"/>
    <n v="-110"/>
    <x v="1"/>
    <n v="9.0909090909090917"/>
    <x v="0"/>
  </r>
  <r>
    <x v="63"/>
    <x v="1"/>
    <s v="Trailblazers @ Clippers"/>
    <s v="Under 233"/>
    <n v="10"/>
    <n v="-115"/>
    <x v="1"/>
    <n v="8.695652173913043"/>
    <x v="1"/>
  </r>
  <r>
    <x v="63"/>
    <x v="1"/>
    <s v="Bucks @ Pelicans_x000a_Bucks @ Pelicans_x000a_Spurs @ Mavericks_x000a_Timberwolves @ Nuggets_x000a_Timberwolves @ Nuggets"/>
    <s v="Pelicans +11_x000a_Under 236_x000a_Mavericks +4.5_x000a_Nuggets -9_x000a_Under 229"/>
    <n v="2.08"/>
    <n v="2387"/>
    <x v="0"/>
    <n v="-2.08"/>
    <x v="7"/>
  </r>
  <r>
    <x v="64"/>
    <x v="1"/>
    <s v="Magic @ Wizards"/>
    <s v="Under 227"/>
    <n v="5"/>
    <n v="-115"/>
    <x v="1"/>
    <n v="4.3478260869565215"/>
    <x v="1"/>
  </r>
  <r>
    <x v="64"/>
    <x v="1"/>
    <s v="Magic @ Wizards"/>
    <s v="Magic +2"/>
    <n v="5"/>
    <n v="-110"/>
    <x v="0"/>
    <n v="-5"/>
    <x v="3"/>
  </r>
  <r>
    <x v="64"/>
    <x v="1"/>
    <s v="Nets @ Thunder"/>
    <s v="Under 232"/>
    <n v="5"/>
    <n v="-105"/>
    <x v="1"/>
    <n v="4.7619047619047619"/>
    <x v="1"/>
  </r>
  <r>
    <x v="64"/>
    <x v="1"/>
    <s v="Nets @ Thunder"/>
    <s v="Nets +7"/>
    <n v="5"/>
    <n v="-105"/>
    <x v="0"/>
    <n v="-5"/>
    <x v="3"/>
  </r>
  <r>
    <x v="64"/>
    <x v="1"/>
    <s v="Pistons @ Heat"/>
    <s v="Over 208"/>
    <n v="5"/>
    <n v="-115"/>
    <x v="0"/>
    <n v="-5"/>
    <x v="2"/>
  </r>
  <r>
    <x v="64"/>
    <x v="1"/>
    <s v="Pistons @ Heat"/>
    <s v="Heat -1.5"/>
    <n v="5"/>
    <n v="-110"/>
    <x v="1"/>
    <n v="4.5454545454545459"/>
    <x v="0"/>
  </r>
  <r>
    <x v="64"/>
    <x v="1"/>
    <s v="Warriors @ Rockets"/>
    <s v="Under 230"/>
    <n v="5"/>
    <n v="-110"/>
    <x v="1"/>
    <n v="4.5454545454545459"/>
    <x v="1"/>
  </r>
  <r>
    <x v="64"/>
    <x v="1"/>
    <s v="Warriors @ Rockets"/>
    <s v="Warriors +3.5"/>
    <n v="5"/>
    <n v="-110"/>
    <x v="1"/>
    <n v="4.5454545454545459"/>
    <x v="3"/>
  </r>
  <r>
    <x v="64"/>
    <x v="1"/>
    <s v="Jazz @ Suns"/>
    <s v="Suns +8.5"/>
    <n v="5"/>
    <n v="-110"/>
    <x v="0"/>
    <n v="-5"/>
    <x v="3"/>
  </r>
  <r>
    <x v="64"/>
    <x v="1"/>
    <s v="Jazz @ Suns_x000a_Warriors @ Rockets_x000a_Magic @ Wizards_x000a_Nets @ Thunder_x000a_Nets @ Thunder"/>
    <s v="Jazz Moneyline_x000a_Warriors +3.5_x000a_Under 227_x000a_Under 232_x000a_Nets +7"/>
    <n v="1.88"/>
    <n v="1601"/>
    <x v="0"/>
    <n v="-1.88"/>
    <x v="7"/>
  </r>
  <r>
    <x v="65"/>
    <x v="1"/>
    <s v="Cavaliers @ Magic"/>
    <s v="Over 211"/>
    <n v="5"/>
    <n v="-115"/>
    <x v="2"/>
    <n v="0"/>
    <x v="2"/>
  </r>
  <r>
    <x v="65"/>
    <x v="1"/>
    <s v="Cavaliers @ Magic"/>
    <s v="Magic Moneyline"/>
    <n v="5"/>
    <n v="-350"/>
    <x v="1"/>
    <n v="1.4285714285714286"/>
    <x v="6"/>
  </r>
  <r>
    <x v="65"/>
    <x v="1"/>
    <s v="Thunder @ Pacers"/>
    <s v="Pacers -1"/>
    <n v="5"/>
    <n v="-105"/>
    <x v="1"/>
    <n v="4.7619047619047619"/>
    <x v="0"/>
  </r>
  <r>
    <x v="65"/>
    <x v="1"/>
    <s v="Kings @ Celtics"/>
    <s v="Under 228"/>
    <n v="5"/>
    <n v="-115"/>
    <x v="0"/>
    <n v="-5"/>
    <x v="1"/>
  </r>
  <r>
    <x v="65"/>
    <x v="1"/>
    <s v="Kings @ Celtics"/>
    <s v="Celtics Moneyline"/>
    <n v="5"/>
    <n v="-320"/>
    <x v="1"/>
    <n v="1.5625"/>
    <x v="6"/>
  </r>
  <r>
    <x v="65"/>
    <x v="1"/>
    <s v="Lakers @ Raptors"/>
    <s v="Under 232"/>
    <n v="5"/>
    <n v="-115"/>
    <x v="1"/>
    <n v="4.3478260869565215"/>
    <x v="1"/>
  </r>
  <r>
    <x v="65"/>
    <x v="1"/>
    <s v="Lakers @ Raptors"/>
    <s v="Raptors Moneyline"/>
    <n v="5"/>
    <n v="-470"/>
    <x v="1"/>
    <n v="1.0638297872340425"/>
    <x v="6"/>
  </r>
  <r>
    <x v="65"/>
    <x v="1"/>
    <s v="Timberwolves @ Jazz"/>
    <s v="Under 222"/>
    <n v="5"/>
    <n v="-110"/>
    <x v="1"/>
    <n v="4.5454545454545459"/>
    <x v="1"/>
  </r>
  <r>
    <x v="65"/>
    <x v="1"/>
    <s v="Timberwolves @ Jazz"/>
    <s v="Jazz -8"/>
    <n v="5"/>
    <n v="-110"/>
    <x v="1"/>
    <n v="4.5454545454545459"/>
    <x v="0"/>
  </r>
  <r>
    <x v="65"/>
    <x v="1"/>
    <s v="Timberwolves @ Jazz"/>
    <s v="Jazz Moneyline"/>
    <n v="5"/>
    <n v="-350"/>
    <x v="1"/>
    <n v="1.4285714285714286"/>
    <x v="6"/>
  </r>
  <r>
    <x v="65"/>
    <x v="1"/>
    <s v="Mavericks @ Nuggets"/>
    <s v="Under 221"/>
    <n v="5"/>
    <n v="-115"/>
    <x v="1"/>
    <n v="4.3478260869565215"/>
    <x v="1"/>
  </r>
  <r>
    <x v="65"/>
    <x v="1"/>
    <s v="Mavericks @ Nuggets"/>
    <s v="Nuggets Moneyline"/>
    <n v="5"/>
    <n v="-800"/>
    <x v="1"/>
    <n v="0.625"/>
    <x v="6"/>
  </r>
  <r>
    <x v="66"/>
    <x v="1"/>
    <s v="Hornets @ Wizards"/>
    <s v="Under 232"/>
    <n v="5"/>
    <n v="-110"/>
    <x v="1"/>
    <n v="4.5454545454545459"/>
    <x v="1"/>
  </r>
  <r>
    <x v="66"/>
    <x v="1"/>
    <s v="Lakers @ Pistons"/>
    <s v="Lakers +11"/>
    <n v="5"/>
    <n v="-110"/>
    <x v="0"/>
    <n v="-5"/>
    <x v="3"/>
  </r>
  <r>
    <x v="66"/>
    <x v="1"/>
    <s v="Bucks @ Heat"/>
    <s v="Under 220"/>
    <n v="5"/>
    <n v="-115"/>
    <x v="1"/>
    <n v="4.3478260869565215"/>
    <x v="1"/>
  </r>
  <r>
    <x v="66"/>
    <x v="1"/>
    <s v="Bucks @ Heat"/>
    <s v="Heat +5"/>
    <n v="5"/>
    <n v="-105"/>
    <x v="0"/>
    <n v="-5"/>
    <x v="3"/>
  </r>
  <r>
    <x v="66"/>
    <x v="1"/>
    <s v="Trailblazers @ Pelicans"/>
    <s v="Under 235"/>
    <n v="5"/>
    <n v="-115"/>
    <x v="1"/>
    <n v="4.3478260869565215"/>
    <x v="1"/>
  </r>
  <r>
    <x v="66"/>
    <x v="1"/>
    <s v="Trailblazers @ Pelicans"/>
    <s v="Pelicans +7.5"/>
    <n v="5"/>
    <n v="-105"/>
    <x v="0"/>
    <n v="-5"/>
    <x v="3"/>
  </r>
  <r>
    <x v="66"/>
    <x v="1"/>
    <s v="Knicks @ Spurs"/>
    <s v="Over 216"/>
    <n v="5"/>
    <n v="-105"/>
    <x v="0"/>
    <n v="-5"/>
    <x v="2"/>
  </r>
  <r>
    <x v="66"/>
    <x v="1"/>
    <s v="Knicks @ Spurs"/>
    <s v="Knicks +13.5"/>
    <n v="5"/>
    <n v="-110"/>
    <x v="0"/>
    <n v="-5"/>
    <x v="3"/>
  </r>
  <r>
    <x v="66"/>
    <x v="1"/>
    <s v="Knicks @ Spurs"/>
    <s v="Spurs Moneyline"/>
    <n v="5"/>
    <n v="-1600"/>
    <x v="1"/>
    <n v="0.3125"/>
    <x v="6"/>
  </r>
  <r>
    <x v="66"/>
    <x v="1"/>
    <s v="Bulls @ Clippers"/>
    <s v="Under 229"/>
    <n v="5"/>
    <n v="-115"/>
    <x v="0"/>
    <n v="-5"/>
    <x v="1"/>
  </r>
  <r>
    <x v="66"/>
    <x v="1"/>
    <s v="Bulls @ Clippers"/>
    <s v="Bulls +9"/>
    <n v="5"/>
    <n v="-110"/>
    <x v="1"/>
    <n v="4.5454545454545459"/>
    <x v="3"/>
  </r>
  <r>
    <x v="67"/>
    <x v="2"/>
    <s v="Maryland @ LSU"/>
    <s v="Maryland +3.5"/>
    <n v="11.5"/>
    <n v="-115"/>
    <x v="1"/>
    <n v="10"/>
    <x v="3"/>
  </r>
  <r>
    <x v="67"/>
    <x v="2"/>
    <s v="Wofford @ Kentucky"/>
    <s v="Wofford Moneyline"/>
    <n v="10"/>
    <n v="200"/>
    <x v="0"/>
    <n v="-10"/>
    <x v="4"/>
  </r>
  <r>
    <x v="67"/>
    <x v="2"/>
    <s v="Florida @ Michigan"/>
    <s v="Michigan -6"/>
    <n v="11"/>
    <n v="-110"/>
    <x v="1"/>
    <n v="10"/>
    <x v="0"/>
  </r>
  <r>
    <x v="67"/>
    <x v="2"/>
    <s v="Murray State @ Florida State"/>
    <s v="Florida State -4.5"/>
    <n v="10.5"/>
    <n v="-105"/>
    <x v="1"/>
    <n v="10"/>
    <x v="0"/>
  </r>
  <r>
    <x v="67"/>
    <x v="2"/>
    <s v="Villanova @ Purdue"/>
    <s v="Purdue -3.5"/>
    <n v="11.5"/>
    <n v="-105"/>
    <x v="1"/>
    <n v="10.952380952380953"/>
    <x v="0"/>
  </r>
  <r>
    <x v="67"/>
    <x v="2"/>
    <s v="Minnesota @ Michigan State"/>
    <s v="Minnesota +10.5"/>
    <n v="10.5"/>
    <n v="-115"/>
    <x v="0"/>
    <n v="-10.5"/>
    <x v="3"/>
  </r>
  <r>
    <x v="68"/>
    <x v="2"/>
    <s v="Iowa @ Tennessee"/>
    <s v="Iowa +8"/>
    <n v="11"/>
    <n v="-110"/>
    <x v="1"/>
    <n v="10"/>
    <x v="3"/>
  </r>
  <r>
    <x v="68"/>
    <x v="2"/>
    <s v="Washington @ North Carolina"/>
    <s v="Washington +12"/>
    <n v="11"/>
    <n v="-110"/>
    <x v="0"/>
    <n v="-11"/>
    <x v="3"/>
  </r>
  <r>
    <x v="68"/>
    <x v="2"/>
    <s v="Buffaloa @ Texas Tech"/>
    <s v="Texas Tech -3.5"/>
    <n v="11.5"/>
    <n v="-115"/>
    <x v="1"/>
    <n v="10"/>
    <x v="0"/>
  </r>
  <r>
    <x v="68"/>
    <x v="2"/>
    <s v="Liberty @ Virginia Tech"/>
    <s v="Virginia Tech -8.5"/>
    <n v="11.5"/>
    <n v="-115"/>
    <x v="1"/>
    <n v="10"/>
    <x v="0"/>
  </r>
  <r>
    <x v="68"/>
    <x v="2"/>
    <s v="Central Florida @ Duke"/>
    <s v="Duke -13.5"/>
    <n v="10.5"/>
    <n v="-105"/>
    <x v="0"/>
    <n v="-10.5"/>
    <x v="0"/>
  </r>
  <r>
    <x v="68"/>
    <x v="2"/>
    <s v="Oklahoma @ Virginia"/>
    <s v="Oklahoma +10.5"/>
    <n v="11"/>
    <n v="-110"/>
    <x v="0"/>
    <n v="-11"/>
    <x v="3"/>
  </r>
  <r>
    <x v="68"/>
    <x v="2"/>
    <s v="Cal Irvine @ Oregon"/>
    <s v="Cal Irvine +5"/>
    <n v="11.5"/>
    <n v="-115"/>
    <x v="0"/>
    <n v="-11.5"/>
    <x v="3"/>
  </r>
  <r>
    <x v="68"/>
    <x v="2"/>
    <s v="Cal Irvine @ Oregon"/>
    <s v="Under 127"/>
    <n v="11"/>
    <n v="-110"/>
    <x v="2"/>
    <n v="0"/>
    <x v="1"/>
  </r>
  <r>
    <x v="69"/>
    <x v="1"/>
    <s v="76ers @ Magic"/>
    <s v="Over 219"/>
    <n v="5.5"/>
    <n v="-110"/>
    <x v="0"/>
    <n v="-5.5"/>
    <x v="2"/>
  </r>
  <r>
    <x v="69"/>
    <x v="1"/>
    <s v="Thunder @ Grizzlies"/>
    <s v="Over 216"/>
    <n v="5.75"/>
    <n v="-115"/>
    <x v="1"/>
    <n v="5"/>
    <x v="2"/>
  </r>
  <r>
    <x v="69"/>
    <x v="1"/>
    <s v="Thunder @ Grizzlies"/>
    <s v="Grizzlies +7"/>
    <n v="5.5"/>
    <n v="-110"/>
    <x v="1"/>
    <n v="5"/>
    <x v="3"/>
  </r>
  <r>
    <x v="69"/>
    <x v="1"/>
    <s v="Suns @ Jazz"/>
    <s v="Over 216"/>
    <n v="5.75"/>
    <n v="-115"/>
    <x v="1"/>
    <n v="5"/>
    <x v="2"/>
  </r>
  <r>
    <x v="69"/>
    <x v="1"/>
    <s v="Suns @ Jazz"/>
    <s v="Suns +15"/>
    <n v="5.5"/>
    <n v="-110"/>
    <x v="0"/>
    <n v="-5.5"/>
    <x v="3"/>
  </r>
  <r>
    <x v="69"/>
    <x v="1"/>
    <s v="Nets @ Trailblazers"/>
    <s v="Nets +6.5"/>
    <n v="5.5"/>
    <n v="-110"/>
    <x v="1"/>
    <n v="5"/>
    <x v="3"/>
  </r>
  <r>
    <x v="69"/>
    <x v="1"/>
    <s v="Nets @ Trailblazers"/>
    <s v="Under 223"/>
    <n v="5.75"/>
    <n v="-115"/>
    <x v="0"/>
    <n v="-5.75"/>
    <x v="1"/>
  </r>
  <r>
    <x v="70"/>
    <x v="1"/>
    <s v="Celtics @ Cavaliers"/>
    <s v="Over 216"/>
    <n v="5.25"/>
    <n v="-105"/>
    <x v="1"/>
    <n v="5"/>
    <x v="2"/>
  </r>
  <r>
    <x v="70"/>
    <x v="1"/>
    <s v="Spurs @ Hornets"/>
    <s v="Hornets +4"/>
    <n v="5.5"/>
    <n v="-110"/>
    <x v="1"/>
    <n v="5"/>
    <x v="3"/>
  </r>
  <r>
    <x v="70"/>
    <x v="1"/>
    <s v="Magic @ Heat"/>
    <s v="Over 205"/>
    <n v="5.5"/>
    <n v="-110"/>
    <x v="0"/>
    <n v="-5.5"/>
    <x v="2"/>
  </r>
  <r>
    <x v="70"/>
    <x v="1"/>
    <s v="Magic @ Heat"/>
    <s v="Heat -4.5"/>
    <n v="5.25"/>
    <n v="-105"/>
    <x v="0"/>
    <n v="-5.25"/>
    <x v="0"/>
  </r>
  <r>
    <x v="70"/>
    <x v="1"/>
    <s v="Rockets @ Bucks"/>
    <s v="Over 224"/>
    <n v="5.5"/>
    <n v="-110"/>
    <x v="0"/>
    <n v="-5.5"/>
    <x v="2"/>
  </r>
  <r>
    <x v="70"/>
    <x v="1"/>
    <s v="Clippers @ Timberwolves"/>
    <s v="Under 231"/>
    <n v="5.5"/>
    <n v="-110"/>
    <x v="0"/>
    <n v="-5.5"/>
    <x v="1"/>
  </r>
  <r>
    <x v="70"/>
    <x v="1"/>
    <s v="Kings @ Mavericks"/>
    <s v="Under 226"/>
    <n v="5.5"/>
    <n v="-110"/>
    <x v="0"/>
    <n v="-5.5"/>
    <x v="1"/>
  </r>
  <r>
    <x v="70"/>
    <x v="1"/>
    <s v="Kings @ Mavericks"/>
    <s v="Mavericks +1.5"/>
    <n v="5.5"/>
    <n v="-110"/>
    <x v="0"/>
    <n v="-5.5"/>
    <x v="3"/>
  </r>
  <r>
    <x v="70"/>
    <x v="1"/>
    <s v="Wizards @ Lakers"/>
    <s v="Under 236"/>
    <n v="5.25"/>
    <n v="-105"/>
    <x v="1"/>
    <n v="5"/>
    <x v="1"/>
  </r>
  <r>
    <x v="70"/>
    <x v="1"/>
    <s v="Wizards @ Lakers"/>
    <s v="Lakers -2"/>
    <n v="5.5"/>
    <n v="-110"/>
    <x v="1"/>
    <n v="5"/>
    <x v="0"/>
  </r>
  <r>
    <x v="71"/>
    <x v="1"/>
    <s v="Warriors @ Grizzlies"/>
    <s v="Grizzlies +10.5"/>
    <n v="4"/>
    <n v="-110"/>
    <x v="0"/>
    <n v="-4"/>
    <x v="3"/>
  </r>
  <r>
    <x v="71"/>
    <x v="1"/>
    <s v="Pacers @ Thunder"/>
    <s v="Over 217"/>
    <n v="4"/>
    <n v="-110"/>
    <x v="0"/>
    <n v="-4"/>
    <x v="2"/>
  </r>
  <r>
    <x v="71"/>
    <x v="1"/>
    <s v="Pacers @ Thunder"/>
    <s v="Pacers +6.5"/>
    <n v="4"/>
    <n v="-110"/>
    <x v="0"/>
    <n v="-4"/>
    <x v="3"/>
  </r>
  <r>
    <x v="71"/>
    <x v="1"/>
    <s v="Trailblazers @ Bulls"/>
    <s v="Over 214"/>
    <n v="4"/>
    <n v="-115"/>
    <x v="1"/>
    <n v="3.4782608695652173"/>
    <x v="2"/>
  </r>
  <r>
    <x v="71"/>
    <x v="1"/>
    <s v="Trailblazers @ Bulls"/>
    <s v="Bulls +9"/>
    <n v="4"/>
    <n v="-115"/>
    <x v="0"/>
    <n v="-4"/>
    <x v="3"/>
  </r>
  <r>
    <x v="72"/>
    <x v="1"/>
    <s v="Magic @ Pistons"/>
    <s v="Over 206"/>
    <n v="4"/>
    <n v="-115"/>
    <x v="1"/>
    <n v="3.4782608695652173"/>
    <x v="2"/>
  </r>
  <r>
    <x v="72"/>
    <x v="1"/>
    <s v="Magic @ Pistons"/>
    <s v="Magic +3.5"/>
    <n v="4"/>
    <n v="-110"/>
    <x v="0"/>
    <n v="-4"/>
    <x v="3"/>
  </r>
  <r>
    <x v="72"/>
    <x v="1"/>
    <s v="Mavericks @ Heat"/>
    <s v="Over 209"/>
    <n v="4"/>
    <n v="-105"/>
    <x v="0"/>
    <n v="-4"/>
    <x v="2"/>
  </r>
  <r>
    <x v="72"/>
    <x v="1"/>
    <s v="Raptors @ Knicks"/>
    <s v="Over 217"/>
    <n v="4"/>
    <n v="-110"/>
    <x v="0"/>
    <n v="-4"/>
    <x v="2"/>
  </r>
  <r>
    <x v="72"/>
    <x v="1"/>
    <s v="Clippers @ Bucks"/>
    <s v="Under 232"/>
    <n v="4"/>
    <n v="-105"/>
    <x v="0"/>
    <n v="-4"/>
    <x v="1"/>
  </r>
  <r>
    <x v="72"/>
    <x v="2"/>
    <s v="Florida State @ Gonzaga"/>
    <s v="Gonzaga -7"/>
    <n v="11"/>
    <n v="-110"/>
    <x v="1"/>
    <n v="10"/>
    <x v="0"/>
  </r>
  <r>
    <x v="72"/>
    <x v="2"/>
    <s v="Texas Tech @ Michigan"/>
    <s v="Michigan -2"/>
    <n v="5.5"/>
    <n v="-110"/>
    <x v="0"/>
    <n v="-5.5"/>
    <x v="0"/>
  </r>
  <r>
    <x v="73"/>
    <x v="2"/>
    <s v="Lousiana State @ Michigan State"/>
    <s v="Michigan State -6.5"/>
    <n v="21"/>
    <n v="-105"/>
    <x v="1"/>
    <n v="20"/>
    <x v="0"/>
  </r>
  <r>
    <x v="73"/>
    <x v="2"/>
    <s v="Auburn @ North Carolina"/>
    <s v="North Carolina +9.5 (LB)"/>
    <n v="5.75"/>
    <n v="-115"/>
    <x v="0"/>
    <n v="-5.75"/>
    <x v="3"/>
  </r>
  <r>
    <x v="73"/>
    <x v="2"/>
    <s v="Houston @ Kentucky"/>
    <s v="Houston +2"/>
    <n v="11"/>
    <n v="-110"/>
    <x v="0"/>
    <n v="-11"/>
    <x v="3"/>
  </r>
  <r>
    <x v="74"/>
    <x v="2"/>
    <s v="Texas Tech @ Gonzaga"/>
    <s v="Texas Tech +4.5"/>
    <n v="10.5"/>
    <n v="-105"/>
    <x v="1"/>
    <n v="10"/>
    <x v="3"/>
  </r>
  <r>
    <x v="74"/>
    <x v="2"/>
    <s v="Purdue @ Virginia"/>
    <s v="Virginia -4.5"/>
    <n v="11"/>
    <n v="-110"/>
    <x v="1"/>
    <n v="10"/>
    <x v="0"/>
  </r>
  <r>
    <x v="75"/>
    <x v="2"/>
    <s v="Auburn @ Kentucky"/>
    <s v="Auburn +4.5"/>
    <n v="11"/>
    <n v="-110"/>
    <x v="1"/>
    <n v="10"/>
    <x v="3"/>
  </r>
  <r>
    <x v="75"/>
    <x v="2"/>
    <s v="Auburn @ Kentucky_x000a_Auburn @ Kentucky"/>
    <s v="Auburn +4.5_x000a_Over 143"/>
    <n v="7.56"/>
    <n v="264.39999999999998"/>
    <x v="1"/>
    <n v="19.988639999999997"/>
    <x v="7"/>
  </r>
  <r>
    <x v="75"/>
    <x v="2"/>
    <s v="Michigan State @ Duke"/>
    <s v="Under 149"/>
    <n v="10.5"/>
    <n v="-105"/>
    <x v="1"/>
    <n v="10"/>
    <x v="1"/>
  </r>
  <r>
    <x v="75"/>
    <x v="2"/>
    <s v="Michigan State @ Duke"/>
    <s v="Duke -2.5"/>
    <n v="11"/>
    <n v="-110"/>
    <x v="0"/>
    <n v="-11"/>
    <x v="0"/>
  </r>
  <r>
    <x v="76"/>
    <x v="1"/>
    <s v="Lakers @ Thunder"/>
    <s v="Lakers +12.5"/>
    <n v="5.5"/>
    <n v="-110"/>
    <x v="0"/>
    <n v="-5.5"/>
    <x v="3"/>
  </r>
  <r>
    <x v="76"/>
    <x v="1"/>
    <s v="Rockets @ Kings"/>
    <s v="Under 227"/>
    <n v="11.5"/>
    <n v="-115"/>
    <x v="0"/>
    <n v="-11.5"/>
    <x v="1"/>
  </r>
  <r>
    <x v="76"/>
    <x v="1"/>
    <s v="Nuggets @ Warriors"/>
    <s v="Over 220"/>
    <n v="5.25"/>
    <n v="-105"/>
    <x v="0"/>
    <n v="-5.25"/>
    <x v="2"/>
  </r>
  <r>
    <x v="76"/>
    <x v="1"/>
    <s v="Nuggets @ Warriors"/>
    <s v="Nuggets +8"/>
    <n v="10.5"/>
    <n v="-105"/>
    <x v="0"/>
    <n v="-10.5"/>
    <x v="3"/>
  </r>
  <r>
    <x v="77"/>
    <x v="1"/>
    <s v="Bulls @ Wizards"/>
    <s v=" Bulls +10"/>
    <n v="1.1000000000000001"/>
    <n v="-110"/>
    <x v="1"/>
    <n v="1"/>
    <x v="3"/>
  </r>
  <r>
    <x v="77"/>
    <x v="1"/>
    <s v="Pacers @ Pistons"/>
    <s v="Over 206"/>
    <n v="1.05"/>
    <n v="-105"/>
    <x v="0"/>
    <n v="-1.05"/>
    <x v="2"/>
  </r>
  <r>
    <x v="77"/>
    <x v="1"/>
    <s v="Knicks @ Magic"/>
    <s v="Knicks +12.5"/>
    <n v="1.1000000000000001"/>
    <n v="-110"/>
    <x v="0"/>
    <n v="-1.1000000000000001"/>
    <x v="3"/>
  </r>
  <r>
    <x v="77"/>
    <x v="1"/>
    <s v="76ers @ Hawks"/>
    <s v="76ers -3.5"/>
    <n v="1.1000000000000001"/>
    <n v="-110"/>
    <x v="0"/>
    <n v="-1.1000000000000001"/>
    <x v="0"/>
  </r>
  <r>
    <x v="77"/>
    <x v="1"/>
    <s v="76ers @ Hawks"/>
    <s v="Under 238"/>
    <n v="1.1000000000000001"/>
    <n v="-110"/>
    <x v="0"/>
    <n v="-1.1000000000000001"/>
    <x v="1"/>
  </r>
  <r>
    <x v="77"/>
    <x v="1"/>
    <s v="Timberwolves @ Mavericks"/>
    <s v="Mavericks -2.5"/>
    <n v="1.1000000000000001"/>
    <n v="-110"/>
    <x v="0"/>
    <n v="-1.1000000000000001"/>
    <x v="0"/>
  </r>
  <r>
    <x v="77"/>
    <x v="1"/>
    <s v="Timberwolves @ Mavericks"/>
    <s v="Under 224"/>
    <n v="1.05"/>
    <n v="-105"/>
    <x v="1"/>
    <n v="1"/>
    <x v="1"/>
  </r>
  <r>
    <x v="78"/>
    <x v="1"/>
    <s v="Jazz @ Suns"/>
    <s v="Suns +10.5"/>
    <n v="1.1000000000000001"/>
    <n v="-110"/>
    <x v="0"/>
    <n v="-1.1000000000000001"/>
    <x v="3"/>
  </r>
  <r>
    <x v="78"/>
    <x v="1"/>
    <s v="Rockets @ Clippers"/>
    <s v="Rockets -1.5"/>
    <n v="1.1000000000000001"/>
    <n v="-110"/>
    <x v="1"/>
    <n v="1"/>
    <x v="0"/>
  </r>
  <r>
    <x v="79"/>
    <x v="2"/>
    <s v="Auburn @ Virginia"/>
    <s v="Virginia -6"/>
    <n v="21.29"/>
    <n v="-110"/>
    <x v="0"/>
    <n v="-21.29"/>
    <x v="0"/>
  </r>
  <r>
    <x v="79"/>
    <x v="2"/>
    <s v="Auburn @ Virginia"/>
    <s v="Under 133"/>
    <n v="22"/>
    <n v="-110"/>
    <x v="1"/>
    <n v="20"/>
    <x v="1"/>
  </r>
  <r>
    <x v="79"/>
    <x v="2"/>
    <s v="Texas Tech @ Michigan State"/>
    <s v="Texas Tech +2.5"/>
    <n v="22"/>
    <n v="-110"/>
    <x v="1"/>
    <n v="20"/>
    <x v="3"/>
  </r>
  <r>
    <x v="79"/>
    <x v="2"/>
    <s v="Texas Tech @ Michigan State"/>
    <s v="Under 132"/>
    <n v="10.5"/>
    <n v="-105"/>
    <x v="1"/>
    <n v="10"/>
    <x v="1"/>
  </r>
  <r>
    <x v="80"/>
    <x v="2"/>
    <s v="Texas Tech @ Virginia"/>
    <s v="Virginia -1"/>
    <n v="22"/>
    <n v="-110"/>
    <x v="1"/>
    <n v="20"/>
    <x v="0"/>
  </r>
  <r>
    <x v="80"/>
    <x v="2"/>
    <s v="Texas Tech @ Virginia"/>
    <s v="Over 120"/>
    <n v="23"/>
    <n v="-115"/>
    <x v="1"/>
    <n v="20"/>
    <x v="2"/>
  </r>
  <r>
    <x v="81"/>
    <x v="5"/>
    <s v="Penguins @ Islanders"/>
    <s v="Over 5.5"/>
    <n v="20"/>
    <n v="105"/>
    <x v="0"/>
    <n v="-20"/>
    <x v="2"/>
  </r>
  <r>
    <x v="81"/>
    <x v="5"/>
    <s v="Penguins @ Islanders"/>
    <s v="Penguins Moneyline (LB)"/>
    <n v="10"/>
    <n v="295"/>
    <x v="0"/>
    <n v="-10"/>
    <x v="4"/>
  </r>
  <r>
    <x v="81"/>
    <x v="5"/>
    <s v="Penguins @ Islanders"/>
    <s v="Penguins +2 (LB)"/>
    <n v="8.5"/>
    <n v="120"/>
    <x v="2"/>
    <n v="0"/>
    <x v="3"/>
  </r>
  <r>
    <x v="82"/>
    <x v="1"/>
    <s v="Nets @ 76ers"/>
    <s v="Over 225.5"/>
    <n v="11"/>
    <n v="-110"/>
    <x v="1"/>
    <n v="10"/>
    <x v="2"/>
  </r>
  <r>
    <x v="82"/>
    <x v="1"/>
    <s v="Clippers @ Warriors"/>
    <s v="Clippers +13.5"/>
    <n v="11"/>
    <n v="-110"/>
    <x v="1"/>
    <n v="10"/>
    <x v="3"/>
  </r>
  <r>
    <x v="82"/>
    <x v="1"/>
    <s v="Clippers @ Warriors"/>
    <s v="Over 234"/>
    <n v="11.5"/>
    <n v="-115"/>
    <x v="1"/>
    <n v="10"/>
    <x v="2"/>
  </r>
  <r>
    <x v="83"/>
    <x v="1"/>
    <s v="Spurs @ Nuggets"/>
    <s v="Over 208.5"/>
    <n v="20"/>
    <n v="-110"/>
    <x v="1"/>
    <n v="18.181818181818183"/>
    <x v="2"/>
  </r>
  <r>
    <x v="83"/>
    <x v="1"/>
    <s v="Thunder @ Trailblazers"/>
    <s v="Over 223"/>
    <n v="22"/>
    <n v="-110"/>
    <x v="0"/>
    <n v="-22"/>
    <x v="2"/>
  </r>
  <r>
    <x v="83"/>
    <x v="1"/>
    <s v="Thunder @ Trailblazers"/>
    <s v="Thunder +1.5"/>
    <n v="23"/>
    <n v="-115"/>
    <x v="0"/>
    <n v="-23"/>
    <x v="3"/>
  </r>
  <r>
    <x v="84"/>
    <x v="1"/>
    <s v="76ers @ Nets"/>
    <s v="Under 229.5"/>
    <n v="11"/>
    <n v="-110"/>
    <x v="0"/>
    <n v="-11"/>
    <x v="1"/>
  </r>
  <r>
    <x v="84"/>
    <x v="1"/>
    <s v="Warriors @ Clippers"/>
    <s v="Under 233.5"/>
    <n v="11"/>
    <n v="-110"/>
    <x v="0"/>
    <n v="-11"/>
    <x v="1"/>
  </r>
  <r>
    <x v="84"/>
    <x v="1"/>
    <s v="Warriors @ Clippers"/>
    <s v="Warriors -9"/>
    <n v="11.5"/>
    <n v="-115"/>
    <x v="1"/>
    <n v="10"/>
    <x v="0"/>
  </r>
  <r>
    <x v="85"/>
    <x v="1"/>
    <s v="Raptors @ Magic"/>
    <s v="Over 210.5"/>
    <n v="5.5"/>
    <n v="-110"/>
    <x v="0"/>
    <n v="-5.5"/>
    <x v="2"/>
  </r>
  <r>
    <x v="85"/>
    <x v="1"/>
    <s v="Raptors @ Magic"/>
    <s v="Magic +5.5"/>
    <n v="5.75"/>
    <n v="-115"/>
    <x v="1"/>
    <n v="5"/>
    <x v="3"/>
  </r>
  <r>
    <x v="85"/>
    <x v="1"/>
    <s v="Celtics @ Pacers"/>
    <s v="Over 204"/>
    <n v="5.5"/>
    <n v="-110"/>
    <x v="0"/>
    <n v="-5.5"/>
    <x v="2"/>
  </r>
  <r>
    <x v="85"/>
    <x v="1"/>
    <s v="Trailblazers @ Thunder"/>
    <s v="Trailblazers +7.5"/>
    <n v="5.75"/>
    <n v="-115"/>
    <x v="0"/>
    <n v="-5.75"/>
    <x v="3"/>
  </r>
  <r>
    <x v="86"/>
    <x v="6"/>
    <s v="Marlins @ Phillies"/>
    <s v="Phillies Moneyline"/>
    <n v="1"/>
    <n v="-172"/>
    <x v="1"/>
    <n v="0.58139534883720934"/>
    <x v="6"/>
  </r>
  <r>
    <x v="86"/>
    <x v="6"/>
    <s v="Rockies @ Braves"/>
    <s v="Braves Moneyline"/>
    <n v="1"/>
    <n v="-172"/>
    <x v="0"/>
    <n v="-1"/>
    <x v="6"/>
  </r>
  <r>
    <x v="86"/>
    <x v="6"/>
    <s v="Indians @ Astros"/>
    <s v="Astros Moneyline"/>
    <n v="1"/>
    <n v="-124"/>
    <x v="0"/>
    <n v="-1"/>
    <x v="6"/>
  </r>
  <r>
    <x v="86"/>
    <x v="6"/>
    <s v="Reds @ Cardinals"/>
    <s v="Cardinals Moneyline"/>
    <n v="1"/>
    <n v="-152"/>
    <x v="0"/>
    <n v="-1"/>
    <x v="6"/>
  </r>
  <r>
    <x v="86"/>
    <x v="6"/>
    <s v="Rangers @ Mariners"/>
    <s v="Mariners Moneyline"/>
    <n v="1"/>
    <n v="-157"/>
    <x v="1"/>
    <n v="0.63694267515923575"/>
    <x v="6"/>
  </r>
  <r>
    <x v="86"/>
    <x v="6"/>
    <s v="Yankees @ Giants"/>
    <s v="Yankees Moneyline"/>
    <n v="1"/>
    <n v="-130"/>
    <x v="1"/>
    <n v="0.76923076923076927"/>
    <x v="6"/>
  </r>
  <r>
    <x v="86"/>
    <x v="6"/>
    <s v="Padres @ Nationals"/>
    <s v="Over 7"/>
    <n v="1"/>
    <n v="-115"/>
    <x v="2"/>
    <n v="0"/>
    <x v="2"/>
  </r>
  <r>
    <x v="86"/>
    <x v="6"/>
    <s v="Brewers @ Mets"/>
    <s v="Over 7.5"/>
    <n v="1"/>
    <n v="105"/>
    <x v="1"/>
    <n v="1.05"/>
    <x v="2"/>
  </r>
  <r>
    <x v="86"/>
    <x v="6"/>
    <s v="Orioles @ Twins"/>
    <s v="Over 9"/>
    <n v="1"/>
    <n v="-125"/>
    <x v="0"/>
    <n v="-1"/>
    <x v="2"/>
  </r>
  <r>
    <x v="86"/>
    <x v="6"/>
    <s v="Rangers @ Mariners"/>
    <s v="Over 9"/>
    <n v="1"/>
    <n v="-115"/>
    <x v="2"/>
    <n v="0"/>
    <x v="2"/>
  </r>
  <r>
    <x v="87"/>
    <x v="6"/>
    <s v="Cardinals @ Nationals"/>
    <s v="Nationals Moneyline"/>
    <n v="1"/>
    <s v="+140"/>
    <x v="0"/>
    <n v="-1"/>
    <x v="4"/>
  </r>
  <r>
    <x v="87"/>
    <x v="6"/>
    <s v="Athletics @ Red Sox"/>
    <s v="Athletics Moneyline"/>
    <n v="1"/>
    <n v="-155"/>
    <x v="0"/>
    <n v="-1"/>
    <x v="6"/>
  </r>
  <r>
    <x v="87"/>
    <x v="6"/>
    <s v="Padres @ Braves"/>
    <s v="Braves Moneyline"/>
    <n v="1"/>
    <s v="+120"/>
    <x v="1"/>
    <n v="1.2"/>
    <x v="4"/>
  </r>
  <r>
    <x v="87"/>
    <x v="6"/>
    <s v="Rockies @ Brewers"/>
    <s v="Brewers Moneyline"/>
    <n v="1"/>
    <s v="+165"/>
    <x v="1"/>
    <n v="1.65"/>
    <x v="4"/>
  </r>
  <r>
    <x v="87"/>
    <x v="6"/>
    <s v="Rays @ Royals"/>
    <s v="Rays Moneyline"/>
    <n v="1"/>
    <s v="+115"/>
    <x v="1"/>
    <n v="1.1499999999999999"/>
    <x v="4"/>
  </r>
  <r>
    <x v="87"/>
    <x v="6"/>
    <s v="Dodgers @ Giants"/>
    <s v="Dodgers Moneyline"/>
    <n v="1"/>
    <s v="+110"/>
    <x v="0"/>
    <n v="-1"/>
    <x v="4"/>
  </r>
  <r>
    <x v="87"/>
    <x v="6"/>
    <s v="Cardinals @ Nationals"/>
    <s v="Over 8.5"/>
    <n v="1"/>
    <n v="100"/>
    <x v="1"/>
    <n v="1"/>
    <x v="2"/>
  </r>
  <r>
    <x v="87"/>
    <x v="6"/>
    <s v="Reds @ Mets"/>
    <s v="Over 8"/>
    <n v="1"/>
    <n v="-105"/>
    <x v="1"/>
    <n v="0.95238095238095244"/>
    <x v="2"/>
  </r>
  <r>
    <x v="87"/>
    <x v="6"/>
    <s v="Padres @ Braves"/>
    <s v="Under 9"/>
    <n v="1"/>
    <n v="100"/>
    <x v="1"/>
    <n v="1"/>
    <x v="1"/>
  </r>
  <r>
    <x v="88"/>
    <x v="6"/>
    <s v="Reds @ Mets"/>
    <s v="Reds Moneyline"/>
    <n v="1"/>
    <s v="+165"/>
    <x v="1"/>
    <n v="1.65"/>
    <x v="4"/>
  </r>
  <r>
    <x v="88"/>
    <x v="6"/>
    <s v="Cardinals @ Nationals"/>
    <s v="Cardinals Moneyline"/>
    <n v="1"/>
    <s v="+130"/>
    <x v="1"/>
    <n v="1.3"/>
    <x v="4"/>
  </r>
  <r>
    <x v="88"/>
    <x v="6"/>
    <s v="Indians @ Marlins"/>
    <s v="Marlins Moneyline"/>
    <n v="1"/>
    <s v="+115"/>
    <x v="1"/>
    <n v="1.1499999999999999"/>
    <x v="4"/>
  </r>
  <r>
    <x v="88"/>
    <x v="6"/>
    <s v="Padres @ Braves"/>
    <s v="Braves Moneyline"/>
    <n v="1"/>
    <n v="-156"/>
    <x v="1"/>
    <n v="0.64102564102564097"/>
    <x v="6"/>
  </r>
  <r>
    <x v="88"/>
    <x v="6"/>
    <s v="Astros @ Twins"/>
    <s v="Astros Moneyline"/>
    <n v="1"/>
    <n v="-142"/>
    <x v="0"/>
    <n v="-1"/>
    <x v="6"/>
  </r>
  <r>
    <x v="88"/>
    <x v="6"/>
    <s v="Dodgers @ Giants"/>
    <s v="Dodgers Moneyline"/>
    <n v="1"/>
    <n v="-149"/>
    <x v="0"/>
    <n v="-1"/>
    <x v="6"/>
  </r>
  <r>
    <x v="88"/>
    <x v="6"/>
    <s v="Yankees @ Diamondbacks"/>
    <s v="Over 8"/>
    <n v="1"/>
    <n v="-115"/>
    <x v="0"/>
    <n v="-1"/>
    <x v="2"/>
  </r>
  <r>
    <x v="88"/>
    <x v="6"/>
    <s v="Orioles @ White Sox"/>
    <s v="Over 9"/>
    <n v="1"/>
    <n v="-105"/>
    <x v="2"/>
    <n v="0"/>
    <x v="2"/>
  </r>
  <r>
    <x v="88"/>
    <x v="6"/>
    <s v="Cubs @ Mariners"/>
    <s v="Over 8.5"/>
    <n v="1"/>
    <n v="-120"/>
    <x v="1"/>
    <n v="0.83333333333333337"/>
    <x v="2"/>
  </r>
  <r>
    <x v="88"/>
    <x v="6"/>
    <s v="Reds @ Mets"/>
    <s v="Over 6.5"/>
    <n v="1"/>
    <n v="-115"/>
    <x v="0"/>
    <n v="-1"/>
    <x v="2"/>
  </r>
  <r>
    <x v="88"/>
    <x v="6"/>
    <s v="Tigers @ Phillies"/>
    <s v="Over 8"/>
    <n v="1"/>
    <n v="-105"/>
    <x v="1"/>
    <n v="0.95238095238095244"/>
    <x v="2"/>
  </r>
  <r>
    <x v="88"/>
    <x v="6"/>
    <s v="Cardinals @ Nationals"/>
    <s v="Over 8"/>
    <n v="1"/>
    <n v="-105"/>
    <x v="0"/>
    <n v="-1"/>
    <x v="2"/>
  </r>
  <r>
    <x v="88"/>
    <x v="6"/>
    <s v="Padres @ Braves"/>
    <s v="Under 9"/>
    <n v="1"/>
    <n v="100"/>
    <x v="1"/>
    <n v="1"/>
    <x v="1"/>
  </r>
  <r>
    <x v="88"/>
    <x v="6"/>
    <s v="Astros @ Twins"/>
    <s v="Over 9"/>
    <n v="1"/>
    <n v="-105"/>
    <x v="0"/>
    <n v="-1"/>
    <x v="2"/>
  </r>
  <r>
    <x v="88"/>
    <x v="6"/>
    <s v="Blue Jays @ Angels"/>
    <s v="Under 8.5"/>
    <n v="1"/>
    <n v="-110"/>
    <x v="2"/>
    <n v="0"/>
    <x v="1"/>
  </r>
  <r>
    <x v="89"/>
    <x v="6"/>
    <s v="Rays @ Royals"/>
    <s v="Rays Moneyline"/>
    <n v="2"/>
    <n v="-172"/>
    <x v="1"/>
    <n v="1.1627906976744187"/>
    <x v="6"/>
  </r>
  <r>
    <x v="89"/>
    <x v="6"/>
    <s v="Rays @ Royals"/>
    <s v="Over 8"/>
    <n v="2"/>
    <n v="-115"/>
    <x v="0"/>
    <n v="-2"/>
    <x v="2"/>
  </r>
  <r>
    <x v="89"/>
    <x v="6"/>
    <s v="Cardinals @ Nationals"/>
    <s v="Over 9"/>
    <n v="2"/>
    <n v="-105"/>
    <x v="0"/>
    <n v="-2"/>
    <x v="2"/>
  </r>
  <r>
    <x v="89"/>
    <x v="6"/>
    <s v="Blue Jays @ Angels"/>
    <s v="Under 9"/>
    <n v="2"/>
    <n v="-120"/>
    <x v="1"/>
    <n v="1.6666666666666667"/>
    <x v="1"/>
  </r>
  <r>
    <x v="89"/>
    <x v="6"/>
    <s v="Rays @ Royals_x000a_Rays @ Royals_x000a_Cardinals @ Nationals_x000a_Blue Jays @ Angels"/>
    <s v="Rays Moneyline_x000a_Over 8_x000a_Over 9_x000a_Under 9"/>
    <n v="0.5"/>
    <n v="958"/>
    <x v="0"/>
    <n v="-0.5"/>
    <x v="7"/>
  </r>
  <r>
    <x v="90"/>
    <x v="6"/>
    <s v="White Sox @ Indians"/>
    <s v="Indians Moneyline"/>
    <n v="1"/>
    <n v="-145"/>
    <x v="0"/>
    <n v="-1"/>
    <x v="6"/>
  </r>
  <r>
    <x v="90"/>
    <x v="6"/>
    <s v="Rangers @ Pirates"/>
    <s v="Rangers Moneyline"/>
    <n v="1"/>
    <s v="+117"/>
    <x v="0"/>
    <n v="-1"/>
    <x v="4"/>
  </r>
  <r>
    <x v="90"/>
    <x v="6"/>
    <s v="Twins @ Blue Jays"/>
    <s v="Twins Moneyline"/>
    <n v="1"/>
    <n v="-135"/>
    <x v="1"/>
    <n v="0.74074074074074081"/>
    <x v="6"/>
  </r>
  <r>
    <x v="90"/>
    <x v="6"/>
    <s v="Diamondbacks @ Rays"/>
    <s v="Diamondbacks Moneyline"/>
    <n v="1"/>
    <s v="+140"/>
    <x v="0"/>
    <n v="-1"/>
    <x v="4"/>
  </r>
  <r>
    <x v="90"/>
    <x v="6"/>
    <s v="Nationals @ Brewers"/>
    <s v="Nationals Moneyline"/>
    <n v="1"/>
    <n v="-120"/>
    <x v="0"/>
    <n v="-1"/>
    <x v="6"/>
  </r>
  <r>
    <x v="90"/>
    <x v="6"/>
    <s v="Marlins @ Cubs"/>
    <s v="Cubs Moneyline"/>
    <n v="1"/>
    <n v="-166"/>
    <x v="1"/>
    <n v="0.60240963855421692"/>
    <x v="6"/>
  </r>
  <r>
    <x v="90"/>
    <x v="6"/>
    <s v="Reds @ Athletics"/>
    <s v="Reds Moneyline"/>
    <n v="1"/>
    <n v="-102"/>
    <x v="0"/>
    <n v="-1"/>
    <x v="6"/>
  </r>
  <r>
    <x v="90"/>
    <x v="6"/>
    <s v="Mets @ Padres"/>
    <s v="Padres Moneyline"/>
    <n v="1"/>
    <s v="+135"/>
    <x v="0"/>
    <n v="-1"/>
    <x v="4"/>
  </r>
  <r>
    <x v="90"/>
    <x v="6"/>
    <s v="Rangers @ Pirates"/>
    <s v="Over 8.5"/>
    <n v="1"/>
    <n v="-105"/>
    <x v="1"/>
    <n v="0.95238095238095244"/>
    <x v="2"/>
  </r>
  <r>
    <x v="90"/>
    <x v="6"/>
    <s v="Twins @ Blue Jays"/>
    <s v="Under 8.5"/>
    <n v="1"/>
    <n v="105"/>
    <x v="1"/>
    <n v="1.05"/>
    <x v="1"/>
  </r>
  <r>
    <x v="90"/>
    <x v="6"/>
    <s v="Diamondbacks @ Rays"/>
    <s v="Under 8.5"/>
    <n v="1"/>
    <n v="-105"/>
    <x v="0"/>
    <n v="-1"/>
    <x v="1"/>
  </r>
  <r>
    <x v="90"/>
    <x v="6"/>
    <s v="Nationals @ Brewers"/>
    <s v="Over 8"/>
    <n v="1"/>
    <n v="-115"/>
    <x v="0"/>
    <n v="-1"/>
    <x v="2"/>
  </r>
  <r>
    <x v="90"/>
    <x v="6"/>
    <s v="Phillies @ Cardinals"/>
    <s v="Over 8.5"/>
    <n v="1"/>
    <n v="-120"/>
    <x v="1"/>
    <n v="0.83333333333333337"/>
    <x v="2"/>
  </r>
  <r>
    <x v="90"/>
    <x v="6"/>
    <s v="Royals @ Astros"/>
    <s v="Over 9"/>
    <n v="1"/>
    <n v="-120"/>
    <x v="1"/>
    <n v="0.83333333333333337"/>
    <x v="2"/>
  </r>
  <r>
    <x v="90"/>
    <x v="6"/>
    <s v="Giants @ Rockies"/>
    <s v="Under 10.5"/>
    <n v="1"/>
    <n v="-115"/>
    <x v="0"/>
    <n v="-1"/>
    <x v="1"/>
  </r>
  <r>
    <x v="90"/>
    <x v="6"/>
    <s v="Mets @ Padres"/>
    <s v="Over 7.5"/>
    <n v="1"/>
    <n v="100"/>
    <x v="1"/>
    <n v="1"/>
    <x v="2"/>
  </r>
  <r>
    <x v="91"/>
    <x v="6"/>
    <s v="Phillies @ Cardinals"/>
    <s v="Phillies Moneyline"/>
    <n v="1"/>
    <s v="+136"/>
    <x v="1"/>
    <n v="1.36"/>
    <x v="4"/>
  </r>
  <r>
    <x v="91"/>
    <x v="6"/>
    <s v="White Sox @ Indians"/>
    <s v="Indians Moneyline"/>
    <n v="1"/>
    <n v="-200"/>
    <x v="1"/>
    <n v="0.5"/>
    <x v="6"/>
  </r>
  <r>
    <x v="91"/>
    <x v="6"/>
    <s v="Red Sox @ Orioles"/>
    <s v="Red Sox Moneyline"/>
    <n v="1"/>
    <n v="-300"/>
    <x v="1"/>
    <n v="0.33333333333333337"/>
    <x v="6"/>
  </r>
  <r>
    <x v="91"/>
    <x v="6"/>
    <s v="Twins @ Blue Jays"/>
    <s v="Twins Moneyline"/>
    <n v="1"/>
    <n v="-115"/>
    <x v="1"/>
    <n v="0.86956521739130432"/>
    <x v="6"/>
  </r>
  <r>
    <x v="91"/>
    <x v="6"/>
    <s v="Marlins @ Cubs"/>
    <s v="Cubs Moneyline"/>
    <n v="1"/>
    <n v="-260"/>
    <x v="1"/>
    <n v="0.38461538461538464"/>
    <x v="6"/>
  </r>
  <r>
    <x v="91"/>
    <x v="6"/>
    <s v="Reds @ Athletics"/>
    <s v="Reds Moneyline"/>
    <n v="1"/>
    <n v="-102"/>
    <x v="0"/>
    <n v="-1"/>
    <x v="6"/>
  </r>
  <r>
    <x v="91"/>
    <x v="6"/>
    <s v="Braves @ Dodgers"/>
    <s v="Dodgers Moneyline"/>
    <n v="1"/>
    <n v="-190"/>
    <x v="1"/>
    <n v="0.52631578947368418"/>
    <x v="6"/>
  </r>
  <r>
    <x v="91"/>
    <x v="6"/>
    <s v="Nationals @ Brewers"/>
    <s v="Over 9"/>
    <n v="1"/>
    <n v="100"/>
    <x v="1"/>
    <n v="1"/>
    <x v="2"/>
  </r>
  <r>
    <x v="91"/>
    <x v="6"/>
    <s v="Diamondbacks @ Rays"/>
    <s v="Over 7"/>
    <n v="1"/>
    <n v="-115"/>
    <x v="0"/>
    <n v="-1"/>
    <x v="2"/>
  </r>
  <r>
    <x v="91"/>
    <x v="6"/>
    <s v="Red Sox @ Orioles"/>
    <s v="Over 8.5"/>
    <n v="1"/>
    <n v="-105"/>
    <x v="0"/>
    <n v="-1"/>
    <x v="2"/>
  </r>
  <r>
    <x v="91"/>
    <x v="6"/>
    <s v="Twins @ Blue Jays"/>
    <s v="Under 9"/>
    <n v="1"/>
    <n v="-115"/>
    <x v="0"/>
    <n v="-1"/>
    <x v="1"/>
  </r>
  <r>
    <x v="91"/>
    <x v="6"/>
    <s v="Royals @ Astros"/>
    <s v="Over 9"/>
    <n v="1"/>
    <n v="-115"/>
    <x v="2"/>
    <n v="0"/>
    <x v="2"/>
  </r>
  <r>
    <x v="91"/>
    <x v="6"/>
    <s v="Giants @ Rockies"/>
    <s v="Under 10"/>
    <n v="1"/>
    <n v="-115"/>
    <x v="2"/>
    <n v="0"/>
    <x v="1"/>
  </r>
  <r>
    <x v="91"/>
    <x v="6"/>
    <s v="Braves @ Dodgers"/>
    <s v="Over 8"/>
    <n v="1"/>
    <n v="-105"/>
    <x v="1"/>
    <n v="0.95238095238095244"/>
    <x v="2"/>
  </r>
  <r>
    <x v="92"/>
    <x v="6"/>
    <s v="Marlins @ Cubs"/>
    <s v="Cubs Moneyline"/>
    <n v="2"/>
    <n v="-210"/>
    <x v="1"/>
    <n v="0.95238095238095244"/>
    <x v="6"/>
  </r>
  <r>
    <x v="92"/>
    <x v="6"/>
    <s v="Pirates @ Cardinals"/>
    <s v="Pirates Moneyline"/>
    <n v="2"/>
    <s v="+125"/>
    <x v="0"/>
    <n v="-2"/>
    <x v="4"/>
  </r>
  <r>
    <x v="92"/>
    <x v="6"/>
    <s v="Braves @ Diamondbacks"/>
    <s v="Braves Moneyline"/>
    <n v="2"/>
    <n v="-110"/>
    <x v="0"/>
    <n v="-2"/>
    <x v="6"/>
  </r>
  <r>
    <x v="92"/>
    <x v="6"/>
    <s v="Nationals @ Dodgers"/>
    <s v="Dodgers Moneyline"/>
    <n v="2"/>
    <n v="-147"/>
    <x v="0"/>
    <n v="-2"/>
    <x v="6"/>
  </r>
  <r>
    <x v="92"/>
    <x v="6"/>
    <s v="Marlins @ Cubs"/>
    <s v="Under 10"/>
    <n v="2"/>
    <n v="-120"/>
    <x v="1"/>
    <n v="1.6666666666666667"/>
    <x v="1"/>
  </r>
  <r>
    <x v="92"/>
    <x v="6"/>
    <s v="Reds @ Athletics"/>
    <s v="Under 8.5"/>
    <n v="2"/>
    <n v="-105"/>
    <x v="1"/>
    <n v="1.9047619047619049"/>
    <x v="1"/>
  </r>
  <r>
    <x v="92"/>
    <x v="6"/>
    <s v="Mariners @ Yankees"/>
    <s v="Over 9.5"/>
    <n v="2"/>
    <n v="-105"/>
    <x v="0"/>
    <n v="-2"/>
    <x v="2"/>
  </r>
  <r>
    <x v="92"/>
    <x v="6"/>
    <s v="Nationals @ Dodgers"/>
    <s v="Over 7"/>
    <n v="2"/>
    <n v="-120"/>
    <x v="0"/>
    <n v="-2"/>
    <x v="2"/>
  </r>
  <r>
    <x v="93"/>
    <x v="6"/>
    <s v="Mariners @ Red Sox"/>
    <s v="Mariners Moneyline"/>
    <n v="1"/>
    <s v="+165"/>
    <x v="0"/>
    <n v="-1"/>
    <x v="4"/>
  </r>
  <r>
    <x v="93"/>
    <x v="6"/>
    <s v="Tigers @ Twins"/>
    <s v="Twins Moneyline"/>
    <n v="1"/>
    <n v="-230"/>
    <x v="1"/>
    <n v="0.43478260869565216"/>
    <x v="6"/>
  </r>
  <r>
    <x v="93"/>
    <x v="6"/>
    <s v="Phillies @ Royals"/>
    <s v="Phillies Moneyline"/>
    <n v="1"/>
    <n v="-145"/>
    <x v="0"/>
    <n v="-1"/>
    <x v="6"/>
  </r>
  <r>
    <x v="93"/>
    <x v="6"/>
    <s v="Indians @ Athletics"/>
    <s v="Athletics Moneyline"/>
    <n v="1"/>
    <n v="-160"/>
    <x v="1"/>
    <n v="0.625"/>
    <x v="6"/>
  </r>
  <r>
    <x v="93"/>
    <x v="6"/>
    <s v="Reds @ Giants"/>
    <s v="Reds Moneyline"/>
    <n v="1"/>
    <n v="-140"/>
    <x v="1"/>
    <n v="0.7142857142857143"/>
    <x v="6"/>
  </r>
  <r>
    <x v="93"/>
    <x v="6"/>
    <s v="Brewers @ Cubs"/>
    <s v="Over 8"/>
    <n v="1"/>
    <n v="-105"/>
    <x v="0"/>
    <n v="-1"/>
    <x v="2"/>
  </r>
  <r>
    <x v="93"/>
    <x v="6"/>
    <s v="Rangers @ Astros"/>
    <s v="Over 8.5"/>
    <n v="1"/>
    <n v="-105"/>
    <x v="0"/>
    <n v="-1"/>
    <x v="2"/>
  </r>
  <r>
    <x v="93"/>
    <x v="6"/>
    <s v="Padres @ Rockies"/>
    <s v="Under 10"/>
    <n v="1"/>
    <n v="-115"/>
    <x v="0"/>
    <n v="-1"/>
    <x v="1"/>
  </r>
  <r>
    <x v="93"/>
    <x v="6"/>
    <s v="Braves @ Diamondbacks"/>
    <s v="Over 8.5"/>
    <n v="1"/>
    <n v="100"/>
    <x v="0"/>
    <n v="-1"/>
    <x v="2"/>
  </r>
  <r>
    <x v="93"/>
    <x v="6"/>
    <s v="Nationals @ Dodgers"/>
    <s v="Over 8"/>
    <n v="1"/>
    <n v="-120"/>
    <x v="0"/>
    <n v="-1"/>
    <x v="2"/>
  </r>
  <r>
    <x v="94"/>
    <x v="6"/>
    <s v="Brewers @ Phillies"/>
    <s v="Over 8.5"/>
    <n v="1"/>
    <n v="100"/>
    <x v="1"/>
    <n v="1"/>
    <x v="2"/>
  </r>
  <r>
    <x v="94"/>
    <x v="6"/>
    <s v="Astros @ Tigers"/>
    <s v="Astros Moneyline"/>
    <n v="1"/>
    <n v="-157"/>
    <x v="1"/>
    <n v="0.63694267515923575"/>
    <x v="6"/>
  </r>
  <r>
    <x v="94"/>
    <x v="6"/>
    <s v="Astros @ Tigers"/>
    <s v="Under 8.5"/>
    <n v="1"/>
    <n v="-105"/>
    <x v="0"/>
    <n v="-1"/>
    <x v="1"/>
  </r>
  <r>
    <x v="94"/>
    <x v="6"/>
    <s v="Angels @ Twins"/>
    <s v="Twins Moneyline"/>
    <n v="1"/>
    <n v="-139"/>
    <x v="0"/>
    <n v="-1"/>
    <x v="6"/>
  </r>
  <r>
    <x v="94"/>
    <x v="6"/>
    <s v="Indians @ White Sox"/>
    <s v="Indians Moneyline"/>
    <n v="1"/>
    <n v="-155"/>
    <x v="0"/>
    <n v="-1"/>
    <x v="6"/>
  </r>
  <r>
    <x v="94"/>
    <x v="6"/>
    <s v="Pirates @ Diamondbacks"/>
    <s v="Over 9"/>
    <n v="1"/>
    <n v="-105"/>
    <x v="1"/>
    <n v="0.95238095238095244"/>
    <x v="2"/>
  </r>
  <r>
    <x v="94"/>
    <x v="6"/>
    <s v="Pirates @ Diamondbacks"/>
    <s v="Diamondbacks Moneyline"/>
    <n v="1"/>
    <n v="-170"/>
    <x v="1"/>
    <n v="0.58823529411764708"/>
    <x v="6"/>
  </r>
  <r>
    <x v="94"/>
    <x v="6"/>
    <s v="Athletics @ Mariners"/>
    <s v="Mariners Moneyline"/>
    <n v="1"/>
    <n v="-122"/>
    <x v="1"/>
    <n v="0.81967213114754101"/>
    <x v="6"/>
  </r>
  <r>
    <x v="95"/>
    <x v="6"/>
    <s v="Indians @ White Sox"/>
    <s v="Indians Moneyline"/>
    <n v="1"/>
    <n v="-180"/>
    <x v="1"/>
    <n v="0.55555555555555558"/>
    <x v="6"/>
  </r>
  <r>
    <x v="95"/>
    <x v="6"/>
    <s v="Cubs @ Reds"/>
    <s v="Cubs Moneyline"/>
    <n v="1"/>
    <n v="-130"/>
    <x v="1"/>
    <n v="0.76923076923076927"/>
    <x v="6"/>
  </r>
  <r>
    <x v="95"/>
    <x v="6"/>
    <s v="Brewers @ Phillies"/>
    <s v="Phillies Moneyline"/>
    <n v="1"/>
    <s v="+110"/>
    <x v="0"/>
    <n v="-1"/>
    <x v="4"/>
  </r>
  <r>
    <x v="95"/>
    <x v="6"/>
    <s v="Mets @ Nationals"/>
    <s v="Over 8.5"/>
    <n v="1"/>
    <n v="-105"/>
    <x v="0"/>
    <n v="-1"/>
    <x v="2"/>
  </r>
  <r>
    <x v="95"/>
    <x v="6"/>
    <s v="Rockies @ Red Sox"/>
    <s v="Over 8"/>
    <n v="1"/>
    <n v="-115"/>
    <x v="1"/>
    <n v="0.86956521739130432"/>
    <x v="2"/>
  </r>
  <r>
    <x v="95"/>
    <x v="6"/>
    <s v="Astros @ Tigers"/>
    <s v="Astros Moneyline"/>
    <n v="1"/>
    <n v="-196"/>
    <x v="1"/>
    <n v="0.51020408163265307"/>
    <x v="6"/>
  </r>
  <r>
    <x v="95"/>
    <x v="6"/>
    <s v="Rays @ Marlins"/>
    <s v="Rays Moneyline"/>
    <n v="1"/>
    <n v="-134"/>
    <x v="1"/>
    <n v="0.74626865671641784"/>
    <x v="6"/>
  </r>
  <r>
    <x v="95"/>
    <x v="6"/>
    <s v="Cardinals @ Braves"/>
    <s v="Over 8.5"/>
    <n v="1"/>
    <n v="-115"/>
    <x v="1"/>
    <n v="0.86956521739130432"/>
    <x v="2"/>
  </r>
  <r>
    <x v="95"/>
    <x v="6"/>
    <s v="Pirates @ Diamondbacks"/>
    <s v="Diamondbacks Moneyline"/>
    <n v="1"/>
    <n v="-140"/>
    <x v="0"/>
    <n v="-1"/>
    <x v="6"/>
  </r>
  <r>
    <x v="96"/>
    <x v="6"/>
    <s v="Angels @ Twins"/>
    <s v="Twins Moneyline"/>
    <n v="1.4"/>
    <n v="-140"/>
    <x v="1"/>
    <n v="1"/>
    <x v="6"/>
  </r>
  <r>
    <x v="96"/>
    <x v="6"/>
    <s v="Brewers @ Phillies"/>
    <s v="Brewers Moneyline"/>
    <n v="1.05"/>
    <n v="-105"/>
    <x v="1"/>
    <n v="1"/>
    <x v="6"/>
  </r>
  <r>
    <x v="96"/>
    <x v="6"/>
    <s v="Rockies @ Red Sox"/>
    <s v="Rockies Moneyline"/>
    <n v="1"/>
    <s v="+133"/>
    <x v="0"/>
    <n v="-1"/>
    <x v="4"/>
  </r>
  <r>
    <x v="96"/>
    <x v="6"/>
    <s v="Cardinals @ Braves"/>
    <s v="Braves Moneyline"/>
    <n v="1.4"/>
    <n v="-140"/>
    <x v="1"/>
    <n v="1"/>
    <x v="6"/>
  </r>
  <r>
    <x v="96"/>
    <x v="6"/>
    <s v="Rangers @ Royals"/>
    <s v="Rangers Moneyline"/>
    <n v="1.3"/>
    <n v="-130"/>
    <x v="1"/>
    <n v="1"/>
    <x v="6"/>
  </r>
  <r>
    <x v="96"/>
    <x v="6"/>
    <s v="Astros @ Tigers"/>
    <s v="Astros Moneyline"/>
    <n v="3.6"/>
    <n v="-360"/>
    <x v="1"/>
    <n v="1"/>
    <x v="6"/>
  </r>
  <r>
    <x v="96"/>
    <x v="6"/>
    <s v="Rays @ Marlins"/>
    <s v="Rays Moneyline"/>
    <n v="1.85"/>
    <n v="-185"/>
    <x v="1"/>
    <n v="1"/>
    <x v="6"/>
  </r>
  <r>
    <x v="97"/>
    <x v="6"/>
    <s v="Brewers @ Phillies"/>
    <s v="Under 9"/>
    <n v="2.1"/>
    <n v="-105"/>
    <x v="0"/>
    <n v="-2.1"/>
    <x v="1"/>
  </r>
  <r>
    <x v="97"/>
    <x v="6"/>
    <s v="Athletics @ Tigers"/>
    <s v="Under 8.5"/>
    <n v="2.1"/>
    <n v="-105"/>
    <x v="0"/>
    <n v="-2.1"/>
    <x v="1"/>
  </r>
  <r>
    <x v="97"/>
    <x v="6"/>
    <s v="Cubs @ Reds"/>
    <s v="Under 8.5"/>
    <n v="2"/>
    <n v="100"/>
    <x v="1"/>
    <n v="2"/>
    <x v="1"/>
  </r>
  <r>
    <x v="97"/>
    <x v="6"/>
    <s v="Cardinals @ Braves"/>
    <s v="Under 10"/>
    <n v="2.2999999999999998"/>
    <n v="-115"/>
    <x v="0"/>
    <n v="-2.2999999999999998"/>
    <x v="1"/>
  </r>
  <r>
    <x v="97"/>
    <x v="6"/>
    <s v="Twins @ Mariners"/>
    <s v="Over 9.5"/>
    <n v="2.2999999999999998"/>
    <n v="-115"/>
    <x v="1"/>
    <n v="1.9999999999999998"/>
    <x v="2"/>
  </r>
  <r>
    <x v="97"/>
    <x v="6"/>
    <s v="Pirates @ Padres"/>
    <s v="Pirates Moneyline"/>
    <n v="2"/>
    <s v="+110"/>
    <x v="0"/>
    <n v="-2"/>
    <x v="4"/>
  </r>
  <r>
    <x v="98"/>
    <x v="6"/>
    <s v="Rockies @ Phillies"/>
    <s v="Phillies Moneyline"/>
    <n v="1.22"/>
    <n v="-122"/>
    <x v="1"/>
    <n v="1"/>
    <x v="6"/>
  </r>
  <r>
    <x v="98"/>
    <x v="6"/>
    <s v="Cubs @ Nationals"/>
    <s v="Cubs Moneyline"/>
    <n v="1"/>
    <s v="+125"/>
    <x v="1"/>
    <n v="1.25"/>
    <x v="4"/>
  </r>
  <r>
    <x v="98"/>
    <x v="6"/>
    <s v="Astros @ Red Sox"/>
    <s v="Astros Moneyline"/>
    <n v="1.38"/>
    <n v="-138"/>
    <x v="1"/>
    <n v="0.99999999999999989"/>
    <x v="6"/>
  </r>
  <r>
    <x v="98"/>
    <x v="6"/>
    <s v="Dodgers @ Reds"/>
    <s v="Under 9.5"/>
    <n v="1.05"/>
    <n v="-105"/>
    <x v="1"/>
    <n v="1"/>
    <x v="1"/>
  </r>
  <r>
    <x v="98"/>
    <x v="6"/>
    <s v="Orioles @ Indians"/>
    <s v="Indians Moneyline"/>
    <n v="1.62"/>
    <n v="-162"/>
    <x v="0"/>
    <n v="-1.62"/>
    <x v="6"/>
  </r>
  <r>
    <x v="98"/>
    <x v="6"/>
    <s v="Athletics @ Tigers"/>
    <s v="Under 9"/>
    <n v="1.2"/>
    <n v="-120"/>
    <x v="2"/>
    <n v="0"/>
    <x v="1"/>
  </r>
  <r>
    <x v="98"/>
    <x v="6"/>
    <s v="Pirates @ Padres"/>
    <s v="Pirates Moneyline"/>
    <n v="1"/>
    <s v="+138"/>
    <x v="1"/>
    <n v="1.38"/>
    <x v="4"/>
  </r>
  <r>
    <x v="99"/>
    <x v="6"/>
    <s v="Athletics @ Indians"/>
    <s v="Athletics Moneyline"/>
    <n v="1"/>
    <s v="+108"/>
    <x v="1"/>
    <n v="1.08"/>
    <x v="4"/>
  </r>
  <r>
    <x v="99"/>
    <x v="6"/>
    <s v="Athletics @ Indians"/>
    <s v="Under 8.5"/>
    <n v="1.1499999999999999"/>
    <n v="-115"/>
    <x v="1"/>
    <n v="0.99999999999999989"/>
    <x v="1"/>
  </r>
  <r>
    <x v="99"/>
    <x v="6"/>
    <s v="Rockies @ Pirates"/>
    <s v="Rockies Moneyline"/>
    <n v="1.25"/>
    <n v="-125"/>
    <x v="1"/>
    <n v="1"/>
    <x v="6"/>
  </r>
  <r>
    <x v="99"/>
    <x v="6"/>
    <s v="Yankees @ Orioles"/>
    <s v="Under 9.5"/>
    <n v="1.2"/>
    <n v="-120"/>
    <x v="0"/>
    <n v="-1.2"/>
    <x v="1"/>
  </r>
  <r>
    <x v="99"/>
    <x v="6"/>
    <s v="Marlins @ Tigers"/>
    <s v="Under 7.5"/>
    <n v="1.25"/>
    <n v="-125"/>
    <x v="0"/>
    <n v="-1.25"/>
    <x v="1"/>
  </r>
  <r>
    <x v="99"/>
    <x v="6"/>
    <s v="Nationals @ Mets"/>
    <s v="Nationals Moneyline"/>
    <n v="1"/>
    <s v="+125"/>
    <x v="0"/>
    <n v="-1"/>
    <x v="4"/>
  </r>
  <r>
    <x v="99"/>
    <x v="6"/>
    <s v="Dodgers @ Rays"/>
    <s v="Rays Moneyline"/>
    <n v="1"/>
    <s v="+127"/>
    <x v="0"/>
    <n v="-1"/>
    <x v="4"/>
  </r>
  <r>
    <x v="99"/>
    <x v="6"/>
    <s v="Reds @ Brewers"/>
    <s v="Under 9"/>
    <n v="1.2"/>
    <n v="-120"/>
    <x v="1"/>
    <n v="1"/>
    <x v="1"/>
  </r>
  <r>
    <x v="99"/>
    <x v="6"/>
    <s v="Braves @ Giants"/>
    <s v="Braves Moneyline"/>
    <n v="1.1200000000000001"/>
    <n v="-112"/>
    <x v="0"/>
    <n v="-1.1200000000000001"/>
    <x v="6"/>
  </r>
  <r>
    <x v="99"/>
    <x v="6"/>
    <s v="Twins @ Angels"/>
    <s v="Twins Moneyline"/>
    <n v="1.05"/>
    <n v="-105"/>
    <x v="1"/>
    <n v="1"/>
    <x v="6"/>
  </r>
  <r>
    <x v="99"/>
    <x v="6"/>
    <s v="Diamondbacks @ Padres"/>
    <s v="Diamondbacks Moneyline"/>
    <n v="1.1000000000000001"/>
    <n v="-110"/>
    <x v="0"/>
    <n v="-1.1000000000000001"/>
    <x v="6"/>
  </r>
  <r>
    <x v="100"/>
    <x v="6"/>
    <s v="Yankees @ Orioles"/>
    <s v="Under 9.5"/>
    <n v="1.1499999999999999"/>
    <n v="-115"/>
    <x v="0"/>
    <n v="-1.1499999999999999"/>
    <x v="1"/>
  </r>
  <r>
    <x v="100"/>
    <x v="6"/>
    <s v="Rockies @ Pirates"/>
    <s v="Over 9"/>
    <n v="1.05"/>
    <n v="-105"/>
    <x v="1"/>
    <n v="1"/>
    <x v="2"/>
  </r>
  <r>
    <x v="100"/>
    <x v="6"/>
    <s v="Red Sox @ Blue Jays"/>
    <s v="Red Sox Moneyline"/>
    <n v="1.3"/>
    <n v="-130"/>
    <x v="1"/>
    <n v="1"/>
    <x v="6"/>
  </r>
  <r>
    <x v="100"/>
    <x v="6"/>
    <s v="Red Sox @ Blue Jays"/>
    <s v="Under 10"/>
    <n v="1.05"/>
    <n v="-105"/>
    <x v="2"/>
    <n v="0"/>
    <x v="1"/>
  </r>
  <r>
    <x v="100"/>
    <x v="6"/>
    <s v="Marlins @ Tigers"/>
    <s v="Under 9"/>
    <n v="1.1499999999999999"/>
    <n v="-115"/>
    <x v="1"/>
    <n v="0.99999999999999989"/>
    <x v="1"/>
  </r>
  <r>
    <x v="100"/>
    <x v="6"/>
    <s v="Phillies @ Cubs"/>
    <s v="Cubs Moneyline"/>
    <n v="1.25"/>
    <n v="-125"/>
    <x v="0"/>
    <n v="-1.25"/>
    <x v="6"/>
  </r>
  <r>
    <x v="100"/>
    <x v="6"/>
    <s v="Braves @ Giants"/>
    <s v="Braves Moneyline"/>
    <n v="1.3"/>
    <n v="-130"/>
    <x v="1"/>
    <n v="1"/>
    <x v="6"/>
  </r>
  <r>
    <x v="100"/>
    <x v="6"/>
    <s v="Rays @ Indians"/>
    <s v="Indians Moneyline"/>
    <n v="1"/>
    <s v="+105"/>
    <x v="0"/>
    <n v="-1"/>
    <x v="4"/>
  </r>
  <r>
    <x v="101"/>
    <x v="6"/>
    <s v="Padres @ Yankees"/>
    <s v="Under 9.5"/>
    <n v="1.1499999999999999"/>
    <n v="-115"/>
    <x v="1"/>
    <n v="0.99999999999999989"/>
    <x v="1"/>
  </r>
  <r>
    <x v="101"/>
    <x v="6"/>
    <s v="Pirates @ Reds"/>
    <s v="Under 10"/>
    <n v="1.1000000000000001"/>
    <n v="-110"/>
    <x v="0"/>
    <n v="-1.1000000000000001"/>
    <x v="1"/>
  </r>
  <r>
    <x v="101"/>
    <x v="6"/>
    <s v="Tigers @ Orioles"/>
    <s v="Under 9"/>
    <n v="1.2"/>
    <n v="-120"/>
    <x v="1"/>
    <n v="1"/>
    <x v="1"/>
  </r>
  <r>
    <x v="101"/>
    <x v="6"/>
    <s v="Cardinals @ Phillies"/>
    <s v="Cardinals Moneyline"/>
    <n v="1"/>
    <s v="+105"/>
    <x v="0"/>
    <n v="-1"/>
    <x v="4"/>
  </r>
  <r>
    <x v="101"/>
    <x v="6"/>
    <s v="Giants @ Marlins"/>
    <s v="Giants Moneyline"/>
    <n v="1.1000000000000001"/>
    <n v="-110"/>
    <x v="0"/>
    <n v="-1.1000000000000001"/>
    <x v="6"/>
  </r>
  <r>
    <x v="101"/>
    <x v="6"/>
    <s v="Blue Jays @ Rays"/>
    <s v="Under 8.5"/>
    <n v="1.2"/>
    <n v="-120"/>
    <x v="1"/>
    <n v="1"/>
    <x v="1"/>
  </r>
  <r>
    <x v="101"/>
    <x v="6"/>
    <s v="Diamondbacks @ Rockies"/>
    <s v="Diamondbacks Moneyline"/>
    <n v="1"/>
    <s v="+118"/>
    <x v="0"/>
    <n v="-1"/>
    <x v="4"/>
  </r>
  <r>
    <x v="101"/>
    <x v="6"/>
    <s v="Diamondbacks @ Rockies"/>
    <s v="Under 11.5"/>
    <n v="1"/>
    <n v="100"/>
    <x v="1"/>
    <n v="1"/>
    <x v="1"/>
  </r>
  <r>
    <x v="102"/>
    <x v="6"/>
    <s v="Angels @ Athletics"/>
    <s v="Athletics Moneyline"/>
    <n v="1.36"/>
    <n v="-136"/>
    <x v="0"/>
    <n v="-1.36"/>
    <x v="6"/>
  </r>
  <r>
    <x v="102"/>
    <x v="6"/>
    <s v="Rangers @ Mariners"/>
    <s v="Over 9.5"/>
    <n v="1.05"/>
    <n v="-105"/>
    <x v="1"/>
    <n v="1"/>
    <x v="2"/>
  </r>
  <r>
    <x v="102"/>
    <x v="6"/>
    <s v="Rangers @ Mariners"/>
    <s v="Mariners Moneyline"/>
    <n v="1.35"/>
    <n v="-135"/>
    <x v="0"/>
    <n v="-1.35"/>
    <x v="6"/>
  </r>
  <r>
    <x v="102"/>
    <x v="6"/>
    <s v="Indians @ Red Sox"/>
    <s v="Red Sox Moneyline"/>
    <n v="1.1200000000000001"/>
    <n v="-112"/>
    <x v="0"/>
    <n v="-1.1200000000000001"/>
    <x v="6"/>
  </r>
  <r>
    <x v="102"/>
    <x v="6"/>
    <s v="Tigers @ Orioles"/>
    <s v="Orioles Moneyline"/>
    <n v="1.2"/>
    <n v="-120"/>
    <x v="0"/>
    <n v="-1.2"/>
    <x v="6"/>
  </r>
  <r>
    <x v="102"/>
    <x v="6"/>
    <s v="Diamondbacks @ Rockies"/>
    <s v="Diamondbacks Moneyline"/>
    <n v="1.1200000000000001"/>
    <n v="-112"/>
    <x v="0"/>
    <n v="-1.1200000000000001"/>
    <x v="6"/>
  </r>
  <r>
    <x v="102"/>
    <x v="6"/>
    <s v="Mets @ Dodgers"/>
    <s v="Over 7.5"/>
    <n v="1.1499999999999999"/>
    <n v="-115"/>
    <x v="1"/>
    <n v="0.99999999999999989"/>
    <x v="2"/>
  </r>
  <r>
    <x v="103"/>
    <x v="6"/>
    <s v="Red Sox @ Yankees"/>
    <s v="Yankees Moneyline"/>
    <n v="1"/>
    <n v="120"/>
    <x v="1"/>
    <n v="1.2"/>
    <x v="4"/>
  </r>
  <r>
    <x v="103"/>
    <x v="6"/>
    <s v="Brewers @ Pirates"/>
    <s v="Brewers Moneyline"/>
    <n v="1.2"/>
    <n v="-120"/>
    <x v="0"/>
    <n v="-1.2"/>
    <x v="6"/>
  </r>
  <r>
    <x v="103"/>
    <x v="6"/>
    <s v="Tigers @ Braves"/>
    <s v="Braves Moneyline"/>
    <n v="1.64"/>
    <n v="-164"/>
    <x v="0"/>
    <n v="-1.64"/>
    <x v="6"/>
  </r>
  <r>
    <x v="103"/>
    <x v="6"/>
    <s v="Indians @ White Sox"/>
    <s v="Indians Moneyline"/>
    <n v="1.72"/>
    <n v="-172"/>
    <x v="0"/>
    <n v="-1.72"/>
    <x v="6"/>
  </r>
  <r>
    <x v="103"/>
    <x v="6"/>
    <s v="Astros @ Athletics"/>
    <s v="Astros Moneyline"/>
    <n v="1.24"/>
    <n v="-124"/>
    <x v="1"/>
    <n v="1"/>
    <x v="6"/>
  </r>
  <r>
    <x v="103"/>
    <x v="6"/>
    <s v="Phillies @ Dodgers"/>
    <s v="Dodgers Moneyline"/>
    <n v="1.6"/>
    <n v="-160"/>
    <x v="1"/>
    <n v="1"/>
    <x v="6"/>
  </r>
  <r>
    <x v="103"/>
    <x v="6"/>
    <s v="Marlins @ Padres"/>
    <s v="Marlins Moneyline"/>
    <n v="1"/>
    <n v="143"/>
    <x v="0"/>
    <n v="-1"/>
    <x v="4"/>
  </r>
  <r>
    <x v="104"/>
    <x v="6"/>
    <s v="Angels @ Cubs"/>
    <s v="Angels Moneyline"/>
    <n v="5"/>
    <n v="151"/>
    <x v="0"/>
    <n v="-5"/>
    <x v="4"/>
  </r>
  <r>
    <x v="104"/>
    <x v="6"/>
    <s v="Dodgers @ Arizona"/>
    <s v="Dodgers Moneyline"/>
    <n v="3.48"/>
    <n v="-145"/>
    <x v="1"/>
    <n v="2.4"/>
    <x v="6"/>
  </r>
  <r>
    <x v="105"/>
    <x v="6"/>
    <s v="Dodgers @ Rockies"/>
    <s v="Dodgers Moneyline"/>
    <n v="2"/>
    <n v="-200"/>
    <x v="1"/>
    <n v="1"/>
    <x v="6"/>
  </r>
  <r>
    <x v="105"/>
    <x v="6"/>
    <s v="Diamondbacks @ Giants"/>
    <s v="Diamondbacks Moneyline"/>
    <n v="1.1000000000000001"/>
    <n v="-110"/>
    <x v="1"/>
    <n v="1"/>
    <x v="6"/>
  </r>
  <r>
    <x v="105"/>
    <x v="6"/>
    <s v="Athletics @ Angels"/>
    <s v="Athletics Moneyline"/>
    <n v="1"/>
    <s v="+141"/>
    <x v="0"/>
    <n v="-1"/>
    <x v="4"/>
  </r>
  <r>
    <x v="105"/>
    <x v="7"/>
    <s v="Brazil vs Paraguay"/>
    <s v="Brazil -1.5"/>
    <n v="1.78"/>
    <n v="-145"/>
    <x v="0"/>
    <n v="-1.78"/>
    <x v="0"/>
  </r>
  <r>
    <x v="106"/>
    <x v="6"/>
    <s v="Nationals @ Tigers"/>
    <s v="Nationals Moneyline"/>
    <n v="1"/>
    <n v="-153"/>
    <x v="1"/>
    <n v="0.65359477124183007"/>
    <x v="6"/>
  </r>
  <r>
    <x v="106"/>
    <x v="6"/>
    <s v="Braves @ Mets"/>
    <s v="Braves Moneyline"/>
    <n v="1"/>
    <s v="+116"/>
    <x v="1"/>
    <n v="1.1599999999999999"/>
    <x v="4"/>
  </r>
  <r>
    <x v="106"/>
    <x v="6"/>
    <s v="Rangers @ Rays"/>
    <s v="Rays Moneyline"/>
    <n v="1"/>
    <n v="-135"/>
    <x v="0"/>
    <n v="-1"/>
    <x v="6"/>
  </r>
  <r>
    <x v="106"/>
    <x v="6"/>
    <s v="Dodgers @ Rockies"/>
    <s v="Dodgers Moneyline"/>
    <n v="1"/>
    <n v="-200"/>
    <x v="0"/>
    <n v="-1"/>
    <x v="6"/>
  </r>
  <r>
    <x v="106"/>
    <x v="6"/>
    <s v="Diamondbacks @ Giants"/>
    <s v="Diamondbacks Moneyline"/>
    <n v="1"/>
    <n v="-110"/>
    <x v="0"/>
    <n v="-1"/>
    <x v="6"/>
  </r>
  <r>
    <x v="107"/>
    <x v="6"/>
    <s v="Giants @ Padres"/>
    <s v="Padres -1.5"/>
    <n v="3.91"/>
    <n v="120"/>
    <x v="0"/>
    <n v="-3.91"/>
    <x v="0"/>
  </r>
  <r>
    <x v="108"/>
    <x v="6"/>
    <s v="Braves @ Nationals"/>
    <s v="Nationals Moneyline"/>
    <n v="12.65"/>
    <s v="+118"/>
    <x v="0"/>
    <n v="-12.65"/>
    <x v="4"/>
  </r>
  <r>
    <x v="108"/>
    <x v="6"/>
    <s v="Pirates @ Reds"/>
    <s v="Pirates Moneyline"/>
    <n v="12.15"/>
    <s v="+188"/>
    <x v="0"/>
    <n v="-12.15"/>
    <x v="4"/>
  </r>
  <r>
    <x v="108"/>
    <x v="6"/>
    <s v="Diamondbacks @ Yankees"/>
    <s v="Diamondbacks Moneyline"/>
    <n v="19.72"/>
    <s v="+118"/>
    <x v="0"/>
    <n v="-19.72"/>
    <x v="4"/>
  </r>
  <r>
    <x v="108"/>
    <x v="6"/>
    <s v="Blue Jays @ Royals"/>
    <s v="Blue Jays Moneyline"/>
    <n v="13.43"/>
    <s v="+114"/>
    <x v="1"/>
    <n v="15.310199999999998"/>
    <x v="4"/>
  </r>
  <r>
    <x v="108"/>
    <x v="6"/>
    <s v="Dodgers @ Rockies"/>
    <s v="Dodgers Moneyline"/>
    <n v="16.809999999999999"/>
    <n v="-134"/>
    <x v="1"/>
    <n v="12.544776119402984"/>
    <x v="6"/>
  </r>
  <r>
    <x v="108"/>
    <x v="6"/>
    <s v="Rays @ Red Sox"/>
    <s v="Rays Moneyline"/>
    <n v="12.97"/>
    <s v="+128"/>
    <x v="1"/>
    <n v="16.601600000000001"/>
    <x v="4"/>
  </r>
  <r>
    <x v="108"/>
    <x v="6"/>
    <s v="Astros @ Indians"/>
    <s v="Indians Moneyline"/>
    <n v="12.27"/>
    <s v="+128"/>
    <x v="1"/>
    <n v="15.7056"/>
    <x v="4"/>
  </r>
  <r>
    <x v="108"/>
    <x v="6"/>
    <s v="Diamondbacks @ Yankees"/>
    <s v="Under 9"/>
    <n v="32.9"/>
    <n v="-105"/>
    <x v="0"/>
    <n v="-32.9"/>
    <x v="1"/>
  </r>
  <r>
    <x v="108"/>
    <x v="6"/>
    <s v="Blue Jays @ Royals"/>
    <s v="Over 9.5"/>
    <n v="21.58"/>
    <n v="-112"/>
    <x v="0"/>
    <n v="-21.58"/>
    <x v="2"/>
  </r>
  <r>
    <x v="108"/>
    <x v="6"/>
    <s v="Giants @ Phillies"/>
    <s v="Under 9.5"/>
    <n v="20.57"/>
    <n v="-115"/>
    <x v="1"/>
    <n v="17.88695652173913"/>
    <x v="1"/>
  </r>
  <r>
    <x v="108"/>
    <x v="6"/>
    <s v="Astros @ Indians"/>
    <s v="Under 10"/>
    <n v="24.95"/>
    <n v="-117"/>
    <x v="0"/>
    <n v="-24.95"/>
    <x v="1"/>
  </r>
  <r>
    <x v="109"/>
    <x v="6"/>
    <s v="Twins @ Marlins"/>
    <s v="Twins Moneyline"/>
    <n v="20.5"/>
    <n v="-180"/>
    <x v="0"/>
    <n v="-20.5"/>
    <x v="6"/>
  </r>
  <r>
    <x v="109"/>
    <x v="6"/>
    <s v="Giants @ Phillies"/>
    <s v="Giants Moneyline"/>
    <n v="16.440000000000001"/>
    <s v="+133"/>
    <x v="0"/>
    <n v="-16.440000000000001"/>
    <x v="4"/>
  </r>
  <r>
    <x v="109"/>
    <x v="6"/>
    <s v="Mets @ White Sox"/>
    <s v="Mets Moneyline"/>
    <n v="21.21"/>
    <n v="-195"/>
    <x v="1"/>
    <n v="10.876923076923077"/>
    <x v="6"/>
  </r>
  <r>
    <x v="109"/>
    <x v="6"/>
    <s v="Padres @ Dodgers"/>
    <s v="Dodgers Moneyline"/>
    <n v="21.85"/>
    <n v="-225"/>
    <x v="1"/>
    <n v="9.7111111111111121"/>
    <x v="6"/>
  </r>
  <r>
    <x v="109"/>
    <x v="6"/>
    <s v="Blue Jays @ Orioles"/>
    <s v="Under 10.5"/>
    <n v="19.97"/>
    <n v="-109"/>
    <x v="0"/>
    <n v="-19.97"/>
    <x v="1"/>
  </r>
  <r>
    <x v="109"/>
    <x v="6"/>
    <s v="Rays @ Red Sox"/>
    <s v="Under 10.5"/>
    <n v="20.03"/>
    <n v="102"/>
    <x v="0"/>
    <n v="-20.03"/>
    <x v="1"/>
  </r>
  <r>
    <x v="109"/>
    <x v="0"/>
    <s v="Broncos @ Falcons"/>
    <s v="Under 34.5"/>
    <n v="20"/>
    <n v="-118"/>
    <x v="1"/>
    <n v="16.949152542372879"/>
    <x v="1"/>
  </r>
  <r>
    <x v="110"/>
    <x v="6"/>
    <s v="Reds @ Braves"/>
    <s v="Reds Moneyline"/>
    <n v="15.8"/>
    <s v="+148"/>
    <x v="1"/>
    <n v="23.384"/>
    <x v="4"/>
  </r>
  <r>
    <x v="110"/>
    <x v="6"/>
    <s v="Tigers @ Rangers"/>
    <s v="Rangers Moneyline"/>
    <n v="21.16"/>
    <n v="-250"/>
    <x v="1"/>
    <n v="8.4640000000000004"/>
    <x v="6"/>
  </r>
  <r>
    <x v="110"/>
    <x v="6"/>
    <s v="Mariners @ Astros"/>
    <s v="Astros Moneyline"/>
    <n v="21.74"/>
    <n v="-286"/>
    <x v="1"/>
    <n v="7.6013986013986017"/>
    <x v="6"/>
  </r>
  <r>
    <x v="110"/>
    <x v="6"/>
    <s v="Royals @ Twins"/>
    <s v="Twins Moneyline"/>
    <n v="21.3"/>
    <n v="-235"/>
    <x v="1"/>
    <n v="9.0638297872340434"/>
    <x v="6"/>
  </r>
  <r>
    <x v="110"/>
    <x v="6"/>
    <s v="Red Sox @ Yankees"/>
    <s v="Over 10.5"/>
    <n v="19.3"/>
    <n v="-106"/>
    <x v="0"/>
    <n v="-19.3"/>
    <x v="2"/>
  </r>
  <r>
    <x v="110"/>
    <x v="6"/>
    <s v="Tigers @ Rangers"/>
    <s v="Under 10"/>
    <n v="20.7"/>
    <n v="-106"/>
    <x v="1"/>
    <n v="19.528301886792452"/>
    <x v="1"/>
  </r>
  <r>
    <x v="111"/>
    <x v="6"/>
    <s v="White Sox @ Phillies"/>
    <s v="Phillies Moneyline"/>
    <n v="20"/>
    <n v="-265"/>
    <x v="1"/>
    <n v="7.5471698113207548"/>
    <x v="6"/>
  </r>
  <r>
    <x v="111"/>
    <x v="6"/>
    <s v="Royals @ Twins"/>
    <s v="Twins Moneyline"/>
    <n v="20"/>
    <n v="-225"/>
    <x v="1"/>
    <n v="8.8888888888888893"/>
    <x v="6"/>
  </r>
  <r>
    <x v="111"/>
    <x v="6"/>
    <s v="Tigers @ Rangers"/>
    <s v="Rangers Moneyline"/>
    <n v="20"/>
    <n v="-107"/>
    <x v="1"/>
    <n v="18.691588785046729"/>
    <x v="6"/>
  </r>
  <r>
    <x v="111"/>
    <x v="6"/>
    <s v="Tigers @ Rangers"/>
    <s v="Under 9.5"/>
    <n v="20"/>
    <n v="-110"/>
    <x v="1"/>
    <n v="18.181818181818183"/>
    <x v="1"/>
  </r>
  <r>
    <x v="111"/>
    <x v="6"/>
    <s v="Cardinals @ Athletics"/>
    <s v="Over 9"/>
    <n v="20"/>
    <n v="-118"/>
    <x v="1"/>
    <n v="16.949152542372879"/>
    <x v="2"/>
  </r>
  <r>
    <x v="111"/>
    <x v="6"/>
    <s v="Mets @ Pirates"/>
    <s v="Mets Moneyline"/>
    <n v="20"/>
    <n v="-137"/>
    <x v="1"/>
    <n v="14.5985401459854"/>
    <x v="6"/>
  </r>
  <r>
    <x v="112"/>
    <x v="6"/>
    <s v="Tigers @ Rangers"/>
    <s v="Rangers Moneyline"/>
    <n v="25.13"/>
    <n v="-200"/>
    <x v="1"/>
    <n v="12.564999999999998"/>
    <x v="6"/>
  </r>
  <r>
    <x v="112"/>
    <x v="6"/>
    <s v="Cardinals @ Athletics"/>
    <s v="Athletics Moneyline"/>
    <n v="19.54"/>
    <n v="-136"/>
    <x v="1"/>
    <n v="14.367647058823529"/>
    <x v="6"/>
  </r>
  <r>
    <x v="112"/>
    <x v="6"/>
    <s v="Nationals @ Diamondbacks"/>
    <s v="Diamondbacks Moneyline"/>
    <n v="15.32"/>
    <s v="+140"/>
    <x v="1"/>
    <n v="21.448"/>
    <x v="4"/>
  </r>
  <r>
    <x v="112"/>
    <x v="6"/>
    <s v="Tigers @ Rangers"/>
    <s v="Under 11"/>
    <n v="17.23"/>
    <n v="-117"/>
    <x v="0"/>
    <n v="-17.23"/>
    <x v="1"/>
  </r>
  <r>
    <x v="112"/>
    <x v="6"/>
    <s v="Giants @ Rockies"/>
    <s v="Under 13.5"/>
    <n v="22.78"/>
    <n v="-114"/>
    <x v="1"/>
    <n v="19.98245614035088"/>
    <x v="1"/>
  </r>
  <r>
    <x v="113"/>
    <x v="6"/>
    <s v="Marlins @ Mets"/>
    <s v="Mets Moneyline"/>
    <n v="22.34"/>
    <n v="-305"/>
    <x v="1"/>
    <n v="7.3245901639344257"/>
    <x v="6"/>
  </r>
  <r>
    <x v="113"/>
    <x v="6"/>
    <s v="Brewers @ Pirates"/>
    <s v="Pirates Moneyline"/>
    <n v="17.670000000000002"/>
    <s v="+123"/>
    <x v="0"/>
    <n v="-17.670000000000002"/>
    <x v="4"/>
  </r>
  <r>
    <x v="113"/>
    <x v="6"/>
    <s v="Royals @ Red Sox"/>
    <s v="Red Sox Moneyline"/>
    <n v="21.84"/>
    <n v="-265"/>
    <x v="1"/>
    <n v="8.2415094339622641"/>
    <x v="6"/>
  </r>
  <r>
    <x v="113"/>
    <x v="6"/>
    <s v="Marlins @ Mets"/>
    <s v="Mets Moneyline"/>
    <n v="21.43"/>
    <n v="-180"/>
    <x v="1"/>
    <n v="11.905555555555555"/>
    <x v="6"/>
  </r>
  <r>
    <x v="113"/>
    <x v="6"/>
    <s v="Blue Jays @ Rays"/>
    <s v="Rays Moneyline"/>
    <n v="22.98"/>
    <n v="-240"/>
    <x v="0"/>
    <n v="-22.98"/>
    <x v="6"/>
  </r>
  <r>
    <x v="113"/>
    <x v="6"/>
    <s v="Athletics @ Cubs"/>
    <s v="Athletics Moneyline"/>
    <n v="17.02"/>
    <s v="+130"/>
    <x v="0"/>
    <n v="-17.02"/>
    <x v="4"/>
  </r>
  <r>
    <x v="113"/>
    <x v="6"/>
    <s v="Cardinals @ Dodgers"/>
    <s v="Cardinals Moneyline"/>
    <n v="16.72"/>
    <s v="+140"/>
    <x v="0"/>
    <n v="-16.72"/>
    <x v="4"/>
  </r>
  <r>
    <x v="113"/>
    <x v="6"/>
    <s v="Rangers @ Indians"/>
    <s v="Under 10.5"/>
    <n v="20"/>
    <n v="-115"/>
    <x v="1"/>
    <n v="17.391304347826086"/>
    <x v="1"/>
  </r>
  <r>
    <x v="114"/>
    <x v="6"/>
    <s v="Yankees @ Orioles"/>
    <s v="Yankees Moneyline"/>
    <n v="22.54"/>
    <n v="-220"/>
    <x v="1"/>
    <n v="10.245454545454544"/>
    <x v="6"/>
  </r>
  <r>
    <x v="114"/>
    <x v="6"/>
    <s v="Royals @ Red Sox"/>
    <s v="Red Sox Moneyline"/>
    <n v="25.29"/>
    <n v="-190"/>
    <x v="0"/>
    <n v="-25.29"/>
    <x v="6"/>
  </r>
  <r>
    <x v="114"/>
    <x v="6"/>
    <s v="Angels @ Reds"/>
    <s v="Angels Moneyline"/>
    <n v="15.76"/>
    <s v="+138"/>
    <x v="0"/>
    <n v="-15.76"/>
    <x v="4"/>
  </r>
  <r>
    <x v="114"/>
    <x v="6"/>
    <s v="Rangers @ Indians"/>
    <s v="Indians Moneyline"/>
    <n v="20.07"/>
    <n v="-190"/>
    <x v="2"/>
    <n v="0"/>
    <x v="6"/>
  </r>
  <r>
    <x v="114"/>
    <x v="6"/>
    <s v="White Sox @ Tigers"/>
    <s v="White Sox Moneyline"/>
    <n v="21.58"/>
    <n v="-109"/>
    <x v="0"/>
    <n v="-21.58"/>
    <x v="6"/>
  </r>
  <r>
    <x v="114"/>
    <x v="6"/>
    <s v="Marlins @ Mets"/>
    <s v="Marlins Moneyline"/>
    <n v="13.92"/>
    <s v="+220"/>
    <x v="0"/>
    <n v="-13.92"/>
    <x v="4"/>
  </r>
  <r>
    <x v="114"/>
    <x v="6"/>
    <s v="Blue Jays @ Rays"/>
    <s v="Rays Moneyline"/>
    <n v="20.16"/>
    <n v="-195"/>
    <x v="1"/>
    <n v="10.338461538461537"/>
    <x v="6"/>
  </r>
  <r>
    <x v="114"/>
    <x v="6"/>
    <s v="Rockies @ Astros"/>
    <s v="Astros Moneyline"/>
    <n v="20.69"/>
    <n v="-205"/>
    <x v="1"/>
    <n v="10.092682926829269"/>
    <x v="6"/>
  </r>
  <r>
    <x v="114"/>
    <x v="6"/>
    <s v="Braves @ Twins"/>
    <s v="Twins Moneyline"/>
    <n v="20"/>
    <n v="-155"/>
    <x v="0"/>
    <n v="-20"/>
    <x v="6"/>
  </r>
  <r>
    <x v="114"/>
    <x v="6"/>
    <s v="Angels @ Reds"/>
    <s v="Under 10.5"/>
    <n v="22.8"/>
    <n v="-115"/>
    <x v="0"/>
    <n v="-22.8"/>
    <x v="1"/>
  </r>
  <r>
    <x v="114"/>
    <x v="6"/>
    <s v="White Sox @ Tigers"/>
    <s v="Over 10.5"/>
    <n v="19.14"/>
    <n v="-110"/>
    <x v="1"/>
    <n v="17.400000000000002"/>
    <x v="2"/>
  </r>
  <r>
    <x v="114"/>
    <x v="6"/>
    <s v="Rockies @ Astros"/>
    <s v="Over 8.5"/>
    <n v="18.059999999999999"/>
    <n v="-104"/>
    <x v="1"/>
    <n v="17.365384615384613"/>
    <x v="2"/>
  </r>
  <r>
    <x v="115"/>
    <x v="6"/>
    <s v="Marlins @ Mets"/>
    <s v="Marlins Moneyline"/>
    <n v="14.19"/>
    <s v="+175"/>
    <x v="0"/>
    <n v="-14.19"/>
    <x v="4"/>
  </r>
  <r>
    <x v="115"/>
    <x v="6"/>
    <s v="Blue Jays @ Rays"/>
    <s v="Rays Moneyline"/>
    <n v="20.100000000000001"/>
    <n v="-230"/>
    <x v="0"/>
    <n v="-20.100000000000001"/>
    <x v="6"/>
  </r>
  <r>
    <x v="115"/>
    <x v="6"/>
    <s v="Rockies @ Astros"/>
    <s v="Astros Moneyline"/>
    <n v="22.81"/>
    <n v="-360"/>
    <x v="1"/>
    <n v="6.3361111111111104"/>
    <x v="6"/>
  </r>
  <r>
    <x v="115"/>
    <x v="6"/>
    <s v="Athletics @ Cubs"/>
    <s v="Athletics Moneyline"/>
    <n v="17.55"/>
    <s v="+125"/>
    <x v="0"/>
    <n v="-17.55"/>
    <x v="4"/>
  </r>
  <r>
    <x v="115"/>
    <x v="6"/>
    <s v="Nationals @ Giants"/>
    <s v="Giants Moneyline"/>
    <n v="21"/>
    <n v="-103"/>
    <x v="0"/>
    <n v="-21"/>
    <x v="6"/>
  </r>
  <r>
    <x v="115"/>
    <x v="6"/>
    <s v="Padres @ Mariners"/>
    <s v="Padres Moneyline"/>
    <n v="20.010000000000002"/>
    <n v="-159"/>
    <x v="0"/>
    <n v="-20.010000000000002"/>
    <x v="6"/>
  </r>
  <r>
    <x v="115"/>
    <x v="6"/>
    <s v="Yankees @ Orioles"/>
    <s v="Yankees Moneyline"/>
    <n v="21.51"/>
    <n v="-250"/>
    <x v="1"/>
    <n v="8.604000000000001"/>
    <x v="6"/>
  </r>
  <r>
    <x v="115"/>
    <x v="6"/>
    <s v="Royals @ Red Sox"/>
    <s v="Red Sox Moneyline"/>
    <n v="22.83"/>
    <n v="-315"/>
    <x v="2"/>
    <n v="0"/>
    <x v="6"/>
  </r>
  <r>
    <x v="115"/>
    <x v="6"/>
    <s v="Rockies @ Astros"/>
    <s v="Over 8.5"/>
    <n v="19"/>
    <n v="-115"/>
    <x v="1"/>
    <n v="16.521739130434781"/>
    <x v="2"/>
  </r>
  <r>
    <x v="115"/>
    <x v="6"/>
    <s v="Nationals @ Giants"/>
    <s v="Over 9"/>
    <n v="23.92"/>
    <n v="-115"/>
    <x v="0"/>
    <n v="-23.92"/>
    <x v="2"/>
  </r>
  <r>
    <x v="115"/>
    <x v="6"/>
    <s v="Yankees @ Orioles"/>
    <s v="Over 9.5"/>
    <n v="17.09"/>
    <n v="-115"/>
    <x v="1"/>
    <n v="14.86086956521739"/>
    <x v="2"/>
  </r>
  <r>
    <x v="116"/>
    <x v="6"/>
    <s v="Yankees @ Blue Jays"/>
    <s v="Yankees Moneyline"/>
    <n v="23.32"/>
    <n v="-200"/>
    <x v="1"/>
    <n v="11.66"/>
    <x v="6"/>
  </r>
  <r>
    <x v="116"/>
    <x v="6"/>
    <s v="Angels @ Red Sox"/>
    <s v="Angels Moneyline"/>
    <n v="14.62"/>
    <s v="+210"/>
    <x v="0"/>
    <n v="-14.62"/>
    <x v="4"/>
  </r>
  <r>
    <x v="116"/>
    <x v="6"/>
    <s v="Braves @ Marlins"/>
    <s v="Braves Moneyline"/>
    <n v="23"/>
    <n v="-200"/>
    <x v="0"/>
    <n v="-23"/>
    <x v="6"/>
  </r>
  <r>
    <x v="116"/>
    <x v="6"/>
    <s v="Rockies @ Padres"/>
    <s v="Rockies Moneyline"/>
    <n v="19.059999999999999"/>
    <s v="+100"/>
    <x v="0"/>
    <n v="-19.059999999999999"/>
    <x v="4"/>
  </r>
  <r>
    <x v="116"/>
    <x v="6"/>
    <s v="Yankees @ Blue Jays"/>
    <s v="Over 10.5"/>
    <n v="19.559999999999999"/>
    <n v="-112"/>
    <x v="1"/>
    <n v="17.464285714285712"/>
    <x v="2"/>
  </r>
  <r>
    <x v="116"/>
    <x v="6"/>
    <s v="Cubs @ Reds"/>
    <s v="Under 9.5"/>
    <n v="19.72"/>
    <n v="-117"/>
    <x v="0"/>
    <n v="-19.72"/>
    <x v="1"/>
  </r>
  <r>
    <x v="116"/>
    <x v="6"/>
    <s v="Phillies @ Giants"/>
    <s v="Over 7.5"/>
    <n v="19.2"/>
    <n v="-103"/>
    <x v="0"/>
    <n v="-19.2"/>
    <x v="2"/>
  </r>
  <r>
    <x v="116"/>
    <x v="6"/>
    <s v="Rockies @ Padres"/>
    <s v="Over 8"/>
    <n v="21.52"/>
    <n v="-115"/>
    <x v="1"/>
    <n v="18.713043478260868"/>
    <x v="2"/>
  </r>
  <r>
    <x v="117"/>
    <x v="6"/>
    <s v="Braves @ Rockies"/>
    <s v="Rockies Moneyline"/>
    <n v="17.21"/>
    <s v="+138"/>
    <x v="1"/>
    <n v="23.7498"/>
    <x v="4"/>
  </r>
  <r>
    <x v="117"/>
    <x v="6"/>
    <s v="Reds @ Marlins"/>
    <s v="Reds Moneyline"/>
    <n v="22.13"/>
    <n v="-165"/>
    <x v="1"/>
    <n v="13.412121212121212"/>
    <x v="6"/>
  </r>
  <r>
    <x v="117"/>
    <x v="6"/>
    <s v="Dodgers @ Padres"/>
    <s v="Dodgers Moneyline"/>
    <n v="20.66"/>
    <n v="-148"/>
    <x v="0"/>
    <n v="-20.66"/>
    <x v="6"/>
  </r>
  <r>
    <x v="117"/>
    <x v="6"/>
    <s v="Braves @ Rockies"/>
    <s v="Under 13"/>
    <n v="20"/>
    <n v="100"/>
    <x v="1"/>
    <n v="20"/>
    <x v="1"/>
  </r>
  <r>
    <x v="118"/>
    <x v="6"/>
    <s v="Pirates @ Phillies"/>
    <s v="Pirates Moneyline"/>
    <n v="18.260000000000002"/>
    <s v="+123"/>
    <x v="1"/>
    <n v="22.459800000000001"/>
    <x v="4"/>
  </r>
  <r>
    <x v="118"/>
    <x v="6"/>
    <s v="Orioles @ Nationals"/>
    <s v="Nationals Moneyline"/>
    <n v="23.17"/>
    <n v="-335"/>
    <x v="0"/>
    <n v="-23.17"/>
    <x v="6"/>
  </r>
  <r>
    <x v="118"/>
    <x v="6"/>
    <s v="Indians @ Tigers"/>
    <s v="Indians Moneyline"/>
    <n v="21.42"/>
    <n v="-143"/>
    <x v="1"/>
    <n v="14.97902097902098"/>
    <x v="6"/>
  </r>
  <r>
    <x v="118"/>
    <x v="6"/>
    <s v="Reds @ Marlins"/>
    <s v="Reds Moneyline"/>
    <n v="21.39"/>
    <n v="-155"/>
    <x v="1"/>
    <n v="13.8"/>
    <x v="6"/>
  </r>
  <r>
    <x v="118"/>
    <x v="6"/>
    <s v="Cardinals @ Brewers"/>
    <s v="Cardinals Moneyline"/>
    <n v="18"/>
    <s v="+130"/>
    <x v="1"/>
    <n v="23.400000000000002"/>
    <x v="4"/>
  </r>
  <r>
    <x v="118"/>
    <x v="6"/>
    <s v="Twins @ White Sox"/>
    <s v="Twins Moneyline"/>
    <n v="19.16"/>
    <n v="-115"/>
    <x v="1"/>
    <n v="16.660869565217393"/>
    <x v="6"/>
  </r>
  <r>
    <x v="118"/>
    <x v="6"/>
    <s v="Rays @ Astros"/>
    <s v="Rays Moneyline"/>
    <n v="14.38"/>
    <s v="+175"/>
    <x v="0"/>
    <n v="-14.38"/>
    <x v="4"/>
  </r>
  <r>
    <x v="118"/>
    <x v="6"/>
    <s v="Athletics @ Royals"/>
    <s v="Athletics Moneyline"/>
    <n v="25.87"/>
    <n v="-182"/>
    <x v="1"/>
    <n v="14.214285714285715"/>
    <x v="6"/>
  </r>
  <r>
    <x v="118"/>
    <x v="6"/>
    <s v="Rangers @ Angels"/>
    <s v="Rangers Moneyline"/>
    <n v="16.87"/>
    <s v="+135"/>
    <x v="0"/>
    <n v="-16.87"/>
    <x v="4"/>
  </r>
  <r>
    <x v="118"/>
    <x v="6"/>
    <s v="Dodgers @ Padres"/>
    <s v="Dodgers Moneyline"/>
    <n v="20.63"/>
    <n v="-186"/>
    <x v="1"/>
    <n v="11.091397849462364"/>
    <x v="6"/>
  </r>
  <r>
    <x v="118"/>
    <x v="6"/>
    <s v="Yankees @ Mariners"/>
    <s v="Yankees Moneyline"/>
    <n v="20.85"/>
    <n v="-190"/>
    <x v="1"/>
    <n v="10.973684210526317"/>
    <x v="6"/>
  </r>
  <r>
    <x v="118"/>
    <x v="6"/>
    <s v="Athletics @ Royals"/>
    <s v="Over 10"/>
    <n v="20"/>
    <n v="-106"/>
    <x v="0"/>
    <n v="-20"/>
    <x v="2"/>
  </r>
  <r>
    <x v="119"/>
    <x v="6"/>
    <s v="Cardinals @ Brewers"/>
    <s v="Cardinals Moneyline"/>
    <n v="18.66"/>
    <n v="-129"/>
    <x v="0"/>
    <n v="-18.66"/>
    <x v="6"/>
  </r>
  <r>
    <x v="119"/>
    <x v="6"/>
    <s v="Yankees @ Mariners"/>
    <s v="Yankees Moneyline"/>
    <n v="21.42"/>
    <n v="-245"/>
    <x v="1"/>
    <n v="8.7428571428571438"/>
    <x v="6"/>
  </r>
  <r>
    <x v="119"/>
    <x v="6"/>
    <s v="Indians @ Tigers"/>
    <s v="Indians Moneyline"/>
    <n v="22.49"/>
    <n v="-195"/>
    <x v="1"/>
    <n v="11.533333333333333"/>
    <x v="6"/>
  </r>
  <r>
    <x v="119"/>
    <x v="6"/>
    <s v="Reds @ Marlins"/>
    <s v="Reds Moneyline"/>
    <n v="19.38"/>
    <n v="-157"/>
    <x v="1"/>
    <n v="12.343949044585987"/>
    <x v="6"/>
  </r>
  <r>
    <x v="119"/>
    <x v="6"/>
    <s v="Cubs @ Mets"/>
    <s v="Cubs Moneyline"/>
    <n v="16.75"/>
    <s v="+102"/>
    <x v="1"/>
    <n v="17.085000000000001"/>
    <x v="4"/>
  </r>
  <r>
    <x v="119"/>
    <x v="6"/>
    <s v="Twins @ White Sox"/>
    <s v="Twins Moneyline"/>
    <n v="20.04"/>
    <n v="-195"/>
    <x v="1"/>
    <n v="10.276923076923076"/>
    <x v="6"/>
  </r>
  <r>
    <x v="119"/>
    <x v="6"/>
    <s v="Rays @ Astros"/>
    <s v="Astros Moneyline"/>
    <n v="20.68"/>
    <n v="-235"/>
    <x v="1"/>
    <n v="8.7999999999999989"/>
    <x v="6"/>
  </r>
  <r>
    <x v="119"/>
    <x v="6"/>
    <s v="Athletics @ Royals"/>
    <s v="Athletics Moneyline"/>
    <n v="21.96"/>
    <n v="-165"/>
    <x v="0"/>
    <n v="-21.96"/>
    <x v="6"/>
  </r>
  <r>
    <x v="119"/>
    <x v="6"/>
    <s v="Red Sox @ Rockies"/>
    <s v="Red Sox Moneyline"/>
    <n v="22.88"/>
    <n v="-177"/>
    <x v="1"/>
    <n v="12.926553672316384"/>
    <x v="6"/>
  </r>
  <r>
    <x v="119"/>
    <x v="6"/>
    <s v="Dodgers @ Padres"/>
    <s v="Dodgers Moneyline"/>
    <n v="19.03"/>
    <n v="-182"/>
    <x v="1"/>
    <n v="10.456043956043956"/>
    <x v="6"/>
  </r>
  <r>
    <x v="119"/>
    <x v="6"/>
    <s v="Rangers @ Angels"/>
    <s v="Rangers Moneyline"/>
    <n v="16.72"/>
    <s v="+155"/>
    <x v="1"/>
    <n v="25.916"/>
    <x v="4"/>
  </r>
  <r>
    <x v="119"/>
    <x v="6"/>
    <s v="Yankees @ Mariners"/>
    <s v="Over 9"/>
    <n v="18.87"/>
    <n v="-117"/>
    <x v="0"/>
    <n v="-18.87"/>
    <x v="2"/>
  </r>
  <r>
    <x v="119"/>
    <x v="6"/>
    <s v="Cubs @ Mets"/>
    <s v="Over 7.5"/>
    <n v="18.23"/>
    <n v="-117"/>
    <x v="1"/>
    <n v="15.581196581196583"/>
    <x v="2"/>
  </r>
  <r>
    <x v="119"/>
    <x v="6"/>
    <s v="Rays @ Astros"/>
    <s v="Under 8"/>
    <n v="18.579999999999998"/>
    <n v="-108"/>
    <x v="0"/>
    <n v="-18.579999999999998"/>
    <x v="1"/>
  </r>
  <r>
    <x v="119"/>
    <x v="6"/>
    <s v="Red Sox @ Rockies"/>
    <s v="Under 13.5"/>
    <n v="24.32"/>
    <n v="-109"/>
    <x v="1"/>
    <n v="22.311926605504588"/>
    <x v="1"/>
  </r>
  <r>
    <x v="120"/>
    <x v="6"/>
    <s v="Indians @ Tigers"/>
    <s v="Indians Moneyline"/>
    <n v="20.43"/>
    <n v="-240"/>
    <x v="1"/>
    <n v="8.5124999999999993"/>
    <x v="6"/>
  </r>
  <r>
    <x v="120"/>
    <x v="6"/>
    <s v="Athletics @ Royals"/>
    <s v="Athletics Moneyline"/>
    <n v="21.42"/>
    <n v="-195"/>
    <x v="1"/>
    <n v="10.984615384615386"/>
    <x v="6"/>
  </r>
  <r>
    <x v="120"/>
    <x v="6"/>
    <s v="Twins @ White Sox"/>
    <s v="Twins Moneyline"/>
    <n v="18.489999999999998"/>
    <n v="-190"/>
    <x v="1"/>
    <n v="9.7315789473684209"/>
    <x v="6"/>
  </r>
  <r>
    <x v="120"/>
    <x v="6"/>
    <s v="Rays @ Astros"/>
    <s v="Astros Moneyline"/>
    <n v="21.74"/>
    <n v="-250"/>
    <x v="0"/>
    <n v="-21.74"/>
    <x v="6"/>
  </r>
  <r>
    <x v="120"/>
    <x v="6"/>
    <s v="Reds @ Marlins"/>
    <s v="Reds Moneyline"/>
    <n v="19.46"/>
    <n v="-186"/>
    <x v="0"/>
    <n v="-19.46"/>
    <x v="6"/>
  </r>
  <r>
    <x v="120"/>
    <x v="6"/>
    <s v="Dodgers @ Diamondbacks"/>
    <s v="Dodgers Moneyline"/>
    <n v="18.45"/>
    <n v="-190"/>
    <x v="0"/>
    <n v="-18.45"/>
    <x v="6"/>
  </r>
  <r>
    <x v="120"/>
    <x v="6"/>
    <s v="Reds @ Marlins"/>
    <s v="Over 8.5"/>
    <n v="20.010000000000002"/>
    <n v="-106"/>
    <x v="0"/>
    <n v="-20.010000000000002"/>
    <x v="2"/>
  </r>
  <r>
    <x v="120"/>
    <x v="6"/>
    <s v="Cubs @ Mets"/>
    <s v="Over 7.5"/>
    <n v="19.29"/>
    <n v="102"/>
    <x v="0"/>
    <n v="-19.29"/>
    <x v="2"/>
  </r>
  <r>
    <x v="120"/>
    <x v="6"/>
    <s v="Pirates @ Rockies"/>
    <s v="Under 14.5"/>
    <n v="20.7"/>
    <n v="-106"/>
    <x v="0"/>
    <n v="-20.7"/>
    <x v="1"/>
  </r>
  <r>
    <x v="121"/>
    <x v="6"/>
    <s v="Brewers @ Marlins"/>
    <s v="Marlins Moneyline"/>
    <n v="19.13"/>
    <s v="+175"/>
    <x v="0"/>
    <n v="-19.13"/>
    <x v="4"/>
  </r>
  <r>
    <x v="121"/>
    <x v="6"/>
    <s v="Diamondbacks @ Mets"/>
    <s v="Diamondbacks Moneyline"/>
    <n v="17.170000000000002"/>
    <s v="+205"/>
    <x v="0"/>
    <n v="-17.170000000000002"/>
    <x v="4"/>
  </r>
  <r>
    <x v="121"/>
    <x v="6"/>
    <s v="Indians @ Angels"/>
    <s v="Indians Moneyline"/>
    <n v="23.7"/>
    <n v="-165"/>
    <x v="1"/>
    <n v="14.363636363636365"/>
    <x v="6"/>
  </r>
  <r>
    <x v="121"/>
    <x v="6"/>
    <s v="Braves @ Phillies"/>
    <s v="Over 8.5"/>
    <n v="20"/>
    <n v="-117"/>
    <x v="1"/>
    <n v="17.094017094017094"/>
    <x v="2"/>
  </r>
  <r>
    <x v="122"/>
    <x v="6"/>
    <s v="Dodgers @ Orioles"/>
    <s v="Dodgers Moneyline"/>
    <n v="21.54"/>
    <n v="-315"/>
    <x v="1"/>
    <n v="6.8380952380952378"/>
    <x v="6"/>
  </r>
  <r>
    <x v="122"/>
    <x v="6"/>
    <s v="Diamondbacks @ Mets"/>
    <s v="Diamondbacks Moneyline"/>
    <n v="16.510000000000002"/>
    <s v="+116"/>
    <x v="0"/>
    <n v="-16.510000000000002"/>
    <x v="4"/>
  </r>
  <r>
    <x v="122"/>
    <x v="6"/>
    <s v="Cardinals @ Rockies"/>
    <s v="Cardinals Moneyline"/>
    <n v="18.239999999999998"/>
    <n v="-150"/>
    <x v="0"/>
    <n v="-18.239999999999998"/>
    <x v="6"/>
  </r>
  <r>
    <x v="122"/>
    <x v="6"/>
    <s v="Indians @ Angels"/>
    <s v="Indians Moneyline"/>
    <n v="23.71"/>
    <n v="-148"/>
    <x v="1"/>
    <n v="16.02027027027027"/>
    <x v="6"/>
  </r>
  <r>
    <x v="122"/>
    <x v="6"/>
    <s v="Cardinals @ Rockies"/>
    <s v="Under 13.5"/>
    <n v="18.170000000000002"/>
    <n v="-117"/>
    <x v="1"/>
    <n v="15.529914529914532"/>
    <x v="1"/>
  </r>
  <r>
    <x v="122"/>
    <x v="6"/>
    <s v="Pirates @ Giants"/>
    <s v="Over 8.5"/>
    <n v="22.32"/>
    <n v="-112"/>
    <x v="1"/>
    <n v="19.928571428571431"/>
    <x v="2"/>
  </r>
  <r>
    <x v="122"/>
    <x v="6"/>
    <s v="Indians @ Angels"/>
    <s v="Over 9.5"/>
    <n v="19.510000000000002"/>
    <n v="-115"/>
    <x v="0"/>
    <n v="-19.510000000000002"/>
    <x v="2"/>
  </r>
  <r>
    <x v="123"/>
    <x v="6"/>
    <s v="Yankees @ Tigers"/>
    <s v="Yankees Moneyline"/>
    <n v="21.05"/>
    <n v="-220"/>
    <x v="2"/>
    <n v="0"/>
    <x v="6"/>
  </r>
  <r>
    <x v="123"/>
    <x v="6"/>
    <s v="Dodgers @ Orioles"/>
    <s v="Dodgers Moneyline"/>
    <n v="20.89"/>
    <n v="-182"/>
    <x v="0"/>
    <n v="-20.89"/>
    <x v="6"/>
  </r>
  <r>
    <x v="123"/>
    <x v="6"/>
    <s v="Nationals @ Twins"/>
    <s v="Twins Moneyline"/>
    <n v="15.85"/>
    <s v="+130"/>
    <x v="0"/>
    <n v="-15.85"/>
    <x v="4"/>
  </r>
  <r>
    <x v="123"/>
    <x v="6"/>
    <s v="Rays @ Rangers"/>
    <s v="Rays Moneyline"/>
    <n v="18.79"/>
    <n v="-155"/>
    <x v="0"/>
    <n v="-18.79"/>
    <x v="6"/>
  </r>
  <r>
    <x v="123"/>
    <x v="6"/>
    <s v="Indians @ Angels"/>
    <s v="Indians Moneyline"/>
    <n v="22.2"/>
    <n v="-125"/>
    <x v="1"/>
    <n v="17.760000000000002"/>
    <x v="6"/>
  </r>
  <r>
    <x v="123"/>
    <x v="6"/>
    <s v="Cardinals @ Rockies"/>
    <s v="Cardinals Moneyline"/>
    <n v="21.21"/>
    <n v="-150"/>
    <x v="0"/>
    <n v="-21.21"/>
    <x v="6"/>
  </r>
  <r>
    <x v="123"/>
    <x v="6"/>
    <s v="Rays @ Rangers"/>
    <s v="Under 10.5"/>
    <n v="17.68"/>
    <n v="-115"/>
    <x v="0"/>
    <n v="-17.68"/>
    <x v="1"/>
  </r>
  <r>
    <x v="123"/>
    <x v="6"/>
    <s v="Cardinals @ Rockies"/>
    <s v="Under 13.5"/>
    <n v="22.32"/>
    <n v="-114"/>
    <x v="1"/>
    <n v="19.578947368421055"/>
    <x v="1"/>
  </r>
  <r>
    <x v="124"/>
    <x v="8"/>
    <s v="Washington State @ Houston"/>
    <s v="Washington State - 8"/>
    <n v="10"/>
    <s v="-110"/>
    <x v="0"/>
    <n v="-10"/>
    <x v="0"/>
  </r>
  <r>
    <x v="125"/>
    <x v="8"/>
    <s v="Pittsburgh @ Penn State"/>
    <s v="Pittsburgh +21.5"/>
    <n v="60"/>
    <n v="-118"/>
    <x v="1"/>
    <n v="50.847457627118644"/>
    <x v="3"/>
  </r>
  <r>
    <x v="125"/>
    <x v="8"/>
    <s v="Pittsburgh @ Penn State"/>
    <s v="2nd Half Under 26.5"/>
    <n v="20"/>
    <n v="-109"/>
    <x v="1"/>
    <n v="18.348623853211009"/>
    <x v="1"/>
  </r>
  <r>
    <x v="125"/>
    <x v="8"/>
    <s v="Florida Atlantic @ Ball State"/>
    <s v="Florida Atlantic -3"/>
    <n v="60"/>
    <n v="-110"/>
    <x v="1"/>
    <n v="54.54545454545454"/>
    <x v="0"/>
  </r>
  <r>
    <x v="126"/>
    <x v="0"/>
    <s v="Bears @ Broncos"/>
    <s v="Under 41"/>
    <n v="20"/>
    <n v="-118"/>
    <x v="1"/>
    <n v="16.949152542372879"/>
    <x v="1"/>
  </r>
  <r>
    <x v="126"/>
    <x v="0"/>
    <s v="Eagles @ Falcons"/>
    <s v="Under 50.5"/>
    <n v="20"/>
    <n v="-105"/>
    <x v="1"/>
    <n v="19.047619047619047"/>
    <x v="1"/>
  </r>
  <r>
    <x v="127"/>
    <x v="6"/>
    <s v="White Sox @ Twins"/>
    <s v="Twins Moneyline"/>
    <n v="22.86"/>
    <n v="-250"/>
    <x v="1"/>
    <n v="9.1440000000000001"/>
    <x v="6"/>
  </r>
  <r>
    <x v="127"/>
    <x v="6"/>
    <s v="Nationals @ Cardinals"/>
    <s v="Cardinals Moneyline"/>
    <n v="17.11"/>
    <s v="+125"/>
    <x v="1"/>
    <n v="21.387499999999999"/>
    <x v="4"/>
  </r>
  <r>
    <x v="127"/>
    <x v="6"/>
    <s v="Reds @ Cubs"/>
    <s v="Reds Moneyline"/>
    <n v="15.14"/>
    <s v="+163"/>
    <x v="0"/>
    <n v="-15.14"/>
    <x v="4"/>
  </r>
  <r>
    <x v="127"/>
    <x v="6"/>
    <s v="Mets @ Rockies"/>
    <s v="Mets Moneyline"/>
    <n v="20.95"/>
    <n v="-155"/>
    <x v="0"/>
    <n v="-20.95"/>
    <x v="6"/>
  </r>
  <r>
    <x v="127"/>
    <x v="6"/>
    <s v="Royals @ Athletics"/>
    <s v="Athletics Moneyline"/>
    <n v="23.94"/>
    <n v="-286"/>
    <x v="0"/>
    <n v="-23.94"/>
    <x v="6"/>
  </r>
  <r>
    <x v="127"/>
    <x v="0"/>
    <s v="Browns @ Jets"/>
    <s v="Under 46"/>
    <n v="20"/>
    <n v="-110"/>
    <x v="1"/>
    <n v="18.181818181818183"/>
    <x v="1"/>
  </r>
  <r>
    <x v="127"/>
    <x v="0"/>
    <s v="Browns @ Jets"/>
    <s v="Jets +6.5"/>
    <n v="20"/>
    <n v="-103"/>
    <x v="0"/>
    <n v="-20"/>
    <x v="3"/>
  </r>
  <r>
    <x v="127"/>
    <x v="0"/>
    <s v="Browns @ Jets"/>
    <s v="Jets Moneyline"/>
    <n v="10"/>
    <s v="+235"/>
    <x v="0"/>
    <n v="-10"/>
    <x v="4"/>
  </r>
  <r>
    <x v="128"/>
    <x v="0"/>
    <s v="Titans @ Jaguars"/>
    <s v="Titans -1.5"/>
    <n v="20.41"/>
    <n v="-110"/>
    <x v="0"/>
    <n v="-20.41"/>
    <x v="0"/>
  </r>
  <r>
    <x v="128"/>
    <x v="0"/>
    <s v="Titans @ Jaguars"/>
    <s v="Over 39"/>
    <n v="18.84"/>
    <n v="-110"/>
    <x v="0"/>
    <n v="-18.84"/>
    <x v="2"/>
  </r>
  <r>
    <x v="128"/>
    <x v="0"/>
    <s v="Titans @ Jaguars"/>
    <s v="Jaguars Moneyline_x000a_Minshew 2+ TDs"/>
    <n v="25"/>
    <n v="275"/>
    <x v="1"/>
    <n v="68.75"/>
    <x v="7"/>
  </r>
  <r>
    <x v="129"/>
    <x v="8"/>
    <s v="Pittsburgh @ UCF"/>
    <s v="UCF -10.5"/>
    <n v="20"/>
    <n v="-110"/>
    <x v="0"/>
    <n v="-20"/>
    <x v="0"/>
  </r>
  <r>
    <x v="129"/>
    <x v="8"/>
    <s v="Washington @ BYU"/>
    <s v="Washington -6.5"/>
    <n v="20"/>
    <n v="-118"/>
    <x v="1"/>
    <n v="16.949152542372879"/>
    <x v="0"/>
  </r>
  <r>
    <x v="129"/>
    <x v="8"/>
    <s v="Nebraska @ Illinois"/>
    <s v="Nebraska -12"/>
    <n v="20"/>
    <n v="-110"/>
    <x v="0"/>
    <n v="-20"/>
    <x v="0"/>
  </r>
  <r>
    <x v="130"/>
    <x v="0"/>
    <s v="Rams @ Browns"/>
    <s v="Under 32.5"/>
    <n v="20"/>
    <n v="-105"/>
    <x v="0"/>
    <n v="-20"/>
    <x v="1"/>
  </r>
  <r>
    <x v="131"/>
    <x v="0"/>
    <s v="Bears @ Redskins"/>
    <s v="Redskins -5.5"/>
    <n v="20"/>
    <n v="-110"/>
    <x v="0"/>
    <n v="-20"/>
    <x v="0"/>
  </r>
  <r>
    <x v="132"/>
    <x v="0"/>
    <s v="Eagles @ Packers"/>
    <s v="Eagles -4"/>
    <n v="20"/>
    <n v="-110"/>
    <x v="1"/>
    <n v="18.181818181818183"/>
    <x v="0"/>
  </r>
  <r>
    <x v="132"/>
    <x v="0"/>
    <s v="Eagles @ Packers"/>
    <s v="Eagles Moneyline_x000a_Nelson Agholor 1+ TD"/>
    <n v="20"/>
    <n v="550"/>
    <x v="0"/>
    <n v="-20"/>
    <x v="7"/>
  </r>
  <r>
    <x v="133"/>
    <x v="8"/>
    <s v="Ohio State @ Nebrasksa"/>
    <s v="Ohio State -17"/>
    <n v="25"/>
    <n v="-110"/>
    <x v="1"/>
    <n v="22.727272727272727"/>
    <x v="0"/>
  </r>
  <r>
    <x v="133"/>
    <x v="8"/>
    <s v="Virginia @ Notre Dame"/>
    <s v="Virginia +10.5"/>
    <n v="20"/>
    <n v="-110"/>
    <x v="0"/>
    <n v="-20"/>
    <x v="3"/>
  </r>
  <r>
    <x v="134"/>
    <x v="0"/>
    <s v="Chiefs @ Lions"/>
    <s v="Lions +7"/>
    <n v="10"/>
    <n v="100"/>
    <x v="1"/>
    <n v="10"/>
    <x v="3"/>
  </r>
  <r>
    <x v="134"/>
    <x v="0"/>
    <s v="Cowboys @ Saints"/>
    <s v="Cowobys -2.5"/>
    <n v="20"/>
    <n v="-118"/>
    <x v="0"/>
    <n v="-20"/>
    <x v="0"/>
  </r>
  <r>
    <x v="134"/>
    <x v="0"/>
    <s v="3 Team Parlay"/>
    <s v="Bears Moneyline_x000a_Jaguars Moneyline_x000a_Rams Moneyline"/>
    <n v="20"/>
    <n v="450"/>
    <x v="0"/>
    <n v="-20"/>
    <x v="7"/>
  </r>
  <r>
    <x v="135"/>
    <x v="0"/>
    <s v="Bengals @ Steelers"/>
    <s v="Over 44.5"/>
    <n v="20"/>
    <n v="-110"/>
    <x v="0"/>
    <n v="-20"/>
    <x v="2"/>
  </r>
  <r>
    <x v="135"/>
    <x v="0"/>
    <s v="Bengals @ Steelers"/>
    <s v="Steelers -3.5"/>
    <n v="20"/>
    <n v="100"/>
    <x v="1"/>
    <n v="20"/>
    <x v="0"/>
  </r>
  <r>
    <x v="136"/>
    <x v="0"/>
    <s v="Rams @ Seahawks"/>
    <s v="Under 49"/>
    <n v="19.98"/>
    <n v="-110"/>
    <x v="0"/>
    <n v="-19.98"/>
    <x v="1"/>
  </r>
  <r>
    <x v="137"/>
    <x v="8"/>
    <s v="Michigan State @ Ohio State"/>
    <s v="Ohio State -19.5"/>
    <n v="20"/>
    <n v="-113"/>
    <x v="1"/>
    <n v="17.699115044247787"/>
    <x v="0"/>
  </r>
  <r>
    <x v="138"/>
    <x v="0"/>
    <s v="Cardinals @ Bengals"/>
    <s v="Cardinals +3"/>
    <n v="18.940000000000001"/>
    <n v="-115"/>
    <x v="1"/>
    <n v="16.469565217391306"/>
    <x v="3"/>
  </r>
  <r>
    <x v="138"/>
    <x v="0"/>
    <s v="Cardinals @ Bengals"/>
    <s v="Under 46.5"/>
    <n v="20.010000000000002"/>
    <n v="-110"/>
    <x v="0"/>
    <n v="-20.010000000000002"/>
    <x v="1"/>
  </r>
  <r>
    <x v="138"/>
    <x v="0"/>
    <s v="Falcons @ Texans"/>
    <s v="Under 49"/>
    <n v="19.5"/>
    <n v="-110"/>
    <x v="0"/>
    <n v="-19.5"/>
    <x v="1"/>
  </r>
  <r>
    <x v="138"/>
    <x v="0"/>
    <s v="Ravens @ Steelers"/>
    <s v="Ravens -3"/>
    <n v="18.97"/>
    <n v="-120"/>
    <x v="2"/>
    <n v="0"/>
    <x v="0"/>
  </r>
  <r>
    <x v="138"/>
    <x v="0"/>
    <s v="Ravens @ Steelers"/>
    <s v="Over 43.5"/>
    <n v="19.53"/>
    <n v="-110"/>
    <x v="1"/>
    <n v="17.754545454545458"/>
    <x v="2"/>
  </r>
  <r>
    <x v="138"/>
    <x v="0"/>
    <s v="Bills @ Titans"/>
    <s v="Bills +3.5"/>
    <n v="19.25"/>
    <n v="-114"/>
    <x v="1"/>
    <n v="16.885964912280702"/>
    <x v="3"/>
  </r>
  <r>
    <x v="138"/>
    <x v="0"/>
    <s v="Jaguars @ Panthers"/>
    <s v="Jaguars +3.5"/>
    <n v="18.64"/>
    <n v="-110"/>
    <x v="0"/>
    <n v="-18.64"/>
    <x v="3"/>
  </r>
  <r>
    <x v="138"/>
    <x v="0"/>
    <s v="Vikings @ Giants"/>
    <s v="Giants +5.5"/>
    <n v="18.66"/>
    <n v="-110"/>
    <x v="0"/>
    <n v="-18.66"/>
    <x v="3"/>
  </r>
  <r>
    <x v="138"/>
    <x v="0"/>
    <s v="Vikings @ Giants"/>
    <s v="Over 43.5"/>
    <n v="19.73"/>
    <n v="-110"/>
    <x v="0"/>
    <n v="-19.73"/>
    <x v="2"/>
  </r>
  <r>
    <x v="138"/>
    <x v="0"/>
    <s v="Buccaneers @ Saints"/>
    <s v="Buccaneers +3"/>
    <n v="19.25"/>
    <n v="-110"/>
    <x v="0"/>
    <n v="-19.25"/>
    <x v="3"/>
  </r>
  <r>
    <x v="138"/>
    <x v="0"/>
    <s v="Colts @ Chiefs"/>
    <s v="Colts +10.5"/>
    <n v="16.63"/>
    <n v="-110"/>
    <x v="1"/>
    <n v="15.118181818181817"/>
    <x v="3"/>
  </r>
  <r>
    <x v="138"/>
    <x v="0"/>
    <s v="Colts @ Chiefs"/>
    <s v="Under 55.5"/>
    <n v="21.25"/>
    <n v="-110"/>
    <x v="1"/>
    <n v="19.318181818181817"/>
    <x v="1"/>
  </r>
  <r>
    <x v="139"/>
    <x v="0"/>
    <s v="Browns @ 49ers"/>
    <s v="Browns +4.5"/>
    <n v="20"/>
    <n v="100"/>
    <x v="0"/>
    <n v="-20"/>
    <x v="3"/>
  </r>
  <r>
    <x v="140"/>
    <x v="0"/>
    <s v="Giants @ Patriots"/>
    <s v="Giants Under 14.5_x000a_Patriots Defensive TD"/>
    <n v="25"/>
    <n v="600"/>
    <x v="1"/>
    <n v="150"/>
    <x v="7"/>
  </r>
  <r>
    <x v="141"/>
    <x v="8"/>
    <s v="Washington State @ Arizona"/>
    <s v="Washington St -1.5"/>
    <n v="20"/>
    <n v="100"/>
    <x v="0"/>
    <n v="-20"/>
    <x v="0"/>
  </r>
  <r>
    <x v="141"/>
    <x v="8"/>
    <s v="Middle Tenn. @ Florida Atlantic"/>
    <s v="Florida Atlantic -11"/>
    <n v="20"/>
    <n v="100"/>
    <x v="1"/>
    <n v="20"/>
    <x v="0"/>
  </r>
  <r>
    <x v="141"/>
    <x v="8"/>
    <s v="Penn State @ Iowa"/>
    <s v="Penn State -3.5"/>
    <n v="20"/>
    <n v="100"/>
    <x v="1"/>
    <n v="20"/>
    <x v="0"/>
  </r>
  <r>
    <x v="142"/>
    <x v="0"/>
    <s v="Lions @ Packers"/>
    <s v="Lions +3.5"/>
    <n v="25"/>
    <n v="-114"/>
    <x v="1"/>
    <n v="21.929824561403507"/>
    <x v="3"/>
  </r>
  <r>
    <x v="143"/>
    <x v="8"/>
    <s v="UCLA @ Stanford"/>
    <s v="Over 50.5"/>
    <n v="20"/>
    <n v="-110"/>
    <x v="0"/>
    <n v="-20"/>
    <x v="2"/>
  </r>
  <r>
    <x v="143"/>
    <x v="8"/>
    <s v="UCLA @ Stanford"/>
    <s v="UCLA +4"/>
    <n v="20"/>
    <n v="-110"/>
    <x v="1"/>
    <n v="18.181818181818183"/>
    <x v="3"/>
  </r>
  <r>
    <x v="143"/>
    <x v="0"/>
    <s v="Chiefs @ Broncos"/>
    <s v="Broncos +3"/>
    <n v="20"/>
    <n v="-110"/>
    <x v="0"/>
    <n v="-20"/>
    <x v="3"/>
  </r>
  <r>
    <x v="143"/>
    <x v="0"/>
    <s v="Chiefs @ Broncos"/>
    <s v="Under 48.5"/>
    <n v="20"/>
    <n v="-110"/>
    <x v="1"/>
    <n v="18.181818181818183"/>
    <x v="1"/>
  </r>
  <r>
    <x v="144"/>
    <x v="8"/>
    <s v="Pittsburgh @ Syracuse"/>
    <s v="Syracuse +3.5"/>
    <n v="20"/>
    <n v="-108"/>
    <x v="0"/>
    <n v="-20"/>
    <x v="3"/>
  </r>
  <r>
    <x v="144"/>
    <x v="8"/>
    <s v="Marshall @ Florida Atlantic"/>
    <s v="Marshall +4.5"/>
    <n v="20"/>
    <n v="-110"/>
    <x v="1"/>
    <n v="18.181818181818183"/>
    <x v="3"/>
  </r>
  <r>
    <x v="145"/>
    <x v="8"/>
    <s v="Florida @ South Carolina"/>
    <s v="Florida -4"/>
    <n v="20"/>
    <n v="-110"/>
    <x v="1"/>
    <n v="18.181818181818183"/>
    <x v="0"/>
  </r>
  <r>
    <x v="145"/>
    <x v="8"/>
    <s v="Oregon @ Washington"/>
    <s v="Oregon -2.5"/>
    <n v="20"/>
    <n v="-117"/>
    <x v="1"/>
    <n v="17.094017094017094"/>
    <x v="0"/>
  </r>
  <r>
    <x v="145"/>
    <x v="8"/>
    <s v="Duke @ Virginia"/>
    <s v="Duke +3.5"/>
    <n v="20"/>
    <n v="-108"/>
    <x v="0"/>
    <n v="-20"/>
    <x v="3"/>
  </r>
  <r>
    <x v="145"/>
    <x v="8"/>
    <s v="Michigan @ Penn State"/>
    <s v="Michigan +7.5"/>
    <n v="20"/>
    <n v="-110"/>
    <x v="1"/>
    <n v="18.181818181818183"/>
    <x v="3"/>
  </r>
  <r>
    <x v="146"/>
    <x v="0"/>
    <s v="Cardinals @ Giants"/>
    <s v="Cardinals +4"/>
    <n v="20"/>
    <n v="-118"/>
    <x v="1"/>
    <n v="16.949152542372879"/>
    <x v="3"/>
  </r>
  <r>
    <x v="146"/>
    <x v="0"/>
    <s v="Chargers @ Titans"/>
    <s v="Chargers +3"/>
    <n v="20"/>
    <n v="-114"/>
    <x v="2"/>
    <n v="0"/>
    <x v="3"/>
  </r>
  <r>
    <x v="146"/>
    <x v="0"/>
    <s v="Ravens @ Seahawks"/>
    <s v="Ravens +3.5_x000a_Under 49.5"/>
    <n v="20"/>
    <n v="235"/>
    <x v="1"/>
    <n v="47"/>
    <x v="7"/>
  </r>
  <r>
    <x v="146"/>
    <x v="0"/>
    <s v="Saints @ Bears"/>
    <s v="Saints Moneyline"/>
    <n v="20"/>
    <n v="180"/>
    <x v="1"/>
    <n v="36"/>
    <x v="4"/>
  </r>
  <r>
    <x v="146"/>
    <x v="0"/>
    <s v="Eagles @ Cowboys"/>
    <s v="Eagles +7"/>
    <n v="20"/>
    <n v="100"/>
    <x v="0"/>
    <n v="-20"/>
    <x v="3"/>
  </r>
  <r>
    <x v="147"/>
    <x v="0"/>
    <s v="Patriots @ Jets"/>
    <s v="Patriots -9.5"/>
    <n v="20"/>
    <n v="-121"/>
    <x v="1"/>
    <n v="16.528925619834713"/>
    <x v="0"/>
  </r>
  <r>
    <x v="148"/>
    <x v="0"/>
    <s v="Redskins @ Vikings"/>
    <s v="Redskins 2+ Turnovers_x000a_Vikings Moneyline"/>
    <n v="20"/>
    <n v="-120"/>
    <x v="1"/>
    <n v="16.666666666666664"/>
    <x v="7"/>
  </r>
  <r>
    <x v="148"/>
    <x v="0"/>
    <s v="Redskins @ Vikings"/>
    <s v="Redskins +16.5"/>
    <n v="20"/>
    <n v="-110"/>
    <x v="1"/>
    <n v="18.181818181818183"/>
    <x v="3"/>
  </r>
  <r>
    <x v="149"/>
    <x v="0"/>
    <s v="Packers @ Chiefs"/>
    <s v="Packers -5.5"/>
    <n v="20"/>
    <n v="-110"/>
    <x v="1"/>
    <n v="18.181818181818183"/>
    <x v="0"/>
  </r>
  <r>
    <x v="150"/>
    <x v="0"/>
    <s v="Dolphins @ Steelers"/>
    <s v="JuJu 100+ Receiving Yards_x000a_JuJu 1+ TD"/>
    <n v="10"/>
    <n v="400"/>
    <x v="1"/>
    <n v="40"/>
    <x v="7"/>
  </r>
  <r>
    <x v="151"/>
    <x v="6"/>
    <s v="Nationals @ Astros"/>
    <s v="Astros -1.5"/>
    <n v="20"/>
    <n v="155"/>
    <x v="0"/>
    <n v="-20"/>
    <x v="0"/>
  </r>
  <r>
    <x v="152"/>
    <x v="8"/>
    <s v="Georgia Southern @ Appalachian State"/>
    <s v="Appalachian State -15"/>
    <n v="20"/>
    <n v="-110"/>
    <x v="0"/>
    <n v="-20"/>
    <x v="0"/>
  </r>
  <r>
    <x v="152"/>
    <x v="8"/>
    <s v="Georgia Southern @ Appalachian State"/>
    <s v="Over 44.5"/>
    <n v="20"/>
    <n v="-110"/>
    <x v="1"/>
    <n v="18.181818181818183"/>
    <x v="2"/>
  </r>
  <r>
    <x v="152"/>
    <x v="8"/>
    <s v="West Virginia @ Baylor"/>
    <s v="Baylor -19"/>
    <n v="20"/>
    <n v="-110"/>
    <x v="0"/>
    <n v="-20"/>
    <x v="0"/>
  </r>
  <r>
    <x v="152"/>
    <x v="0"/>
    <s v="49ers @ Cardinals"/>
    <s v="Over 49.5_x000a_Kittle over 49.5 Receiving Yards"/>
    <n v="25"/>
    <n v="250"/>
    <x v="1"/>
    <n v="62.5"/>
    <x v="7"/>
  </r>
  <r>
    <x v="152"/>
    <x v="0"/>
    <s v="49ers @ Cardinals"/>
    <s v="49ers -10"/>
    <n v="20"/>
    <n v="-118"/>
    <x v="0"/>
    <n v="-20"/>
    <x v="0"/>
  </r>
  <r>
    <x v="153"/>
    <x v="8"/>
    <s v="SMU @ Memphis"/>
    <s v="SMU +5.5"/>
    <n v="20"/>
    <n v="-110"/>
    <x v="0"/>
    <n v="-20"/>
    <x v="3"/>
  </r>
  <r>
    <x v="153"/>
    <x v="8"/>
    <s v="Oregon @ USC"/>
    <s v="Oregon -3.5"/>
    <n v="20"/>
    <n v="-110"/>
    <x v="1"/>
    <n v="18.181818181818183"/>
    <x v="0"/>
  </r>
  <r>
    <x v="154"/>
    <x v="0"/>
    <s v="Bears @ Eagles_x000a_Colts @ Steelers_x000a_Jets @ Dolphins_x000a_Vikings @ Chiefs_x000a_Titans @ Panthers_x000a_Redskins @ Bills"/>
    <s v="Bears Moneyline_x000a_Steelers Moneyline_x000a_Jets Moneyline_x000a_Vikings Moneyline_x000a_Titans Moneyline_x000a_Bills Moneyline"/>
    <n v="20"/>
    <n v="3430"/>
    <x v="0"/>
    <n v="-20"/>
    <x v="7"/>
  </r>
  <r>
    <x v="154"/>
    <x v="0"/>
    <s v="Lions @ Raiders_x000a_Buccaneers @ Seahawks_x000a_Packers @ Chargers"/>
    <s v="Lions Moneyline_x000a_Seahawks Moneyline_x000a_Packers Moneyline"/>
    <n v="20"/>
    <n v="372"/>
    <x v="0"/>
    <n v="-20"/>
    <x v="7"/>
  </r>
  <r>
    <x v="154"/>
    <x v="0"/>
    <s v="Patriots @ Ravens"/>
    <s v="Patriots -3"/>
    <n v="50"/>
    <n v="-115"/>
    <x v="0"/>
    <n v="-50"/>
    <x v="0"/>
  </r>
  <r>
    <x v="154"/>
    <x v="0"/>
    <s v="Colts @ Steelers"/>
    <s v="Colts +1.5"/>
    <n v="20"/>
    <n v="-110"/>
    <x v="0"/>
    <n v="-20"/>
    <x v="3"/>
  </r>
  <r>
    <x v="154"/>
    <x v="0"/>
    <s v="Colts @ Steelers"/>
    <s v="Over 40.5"/>
    <n v="20"/>
    <n v="-110"/>
    <x v="1"/>
    <n v="18.181818181818183"/>
    <x v="2"/>
  </r>
  <r>
    <x v="154"/>
    <x v="0"/>
    <s v="Titans @ Panthers"/>
    <s v="Titans +3.5"/>
    <n v="20"/>
    <n v="-118"/>
    <x v="0"/>
    <n v="-20"/>
    <x v="3"/>
  </r>
  <r>
    <x v="154"/>
    <x v="0"/>
    <s v="Vikings @ Chiefs"/>
    <s v="Chiefs +6"/>
    <n v="20"/>
    <n v="-118"/>
    <x v="1"/>
    <n v="16.949152542372879"/>
    <x v="3"/>
  </r>
  <r>
    <x v="154"/>
    <x v="0"/>
    <s v="Titans @ Panthers"/>
    <s v="Over 43"/>
    <n v="20"/>
    <n v="100"/>
    <x v="1"/>
    <n v="20"/>
    <x v="2"/>
  </r>
  <r>
    <x v="154"/>
    <x v="0"/>
    <s v="Redskins @ Bills"/>
    <s v="Redskins +10.5"/>
    <n v="20"/>
    <n v="-110"/>
    <x v="0"/>
    <n v="-20"/>
    <x v="3"/>
  </r>
  <r>
    <x v="154"/>
    <x v="0"/>
    <s v="Bears @ Eagles"/>
    <s v="Bears +5.5"/>
    <n v="20"/>
    <n v="-105"/>
    <x v="0"/>
    <n v="-20"/>
    <x v="3"/>
  </r>
  <r>
    <x v="154"/>
    <x v="0"/>
    <s v="_x000a_Colts @ Steelers_x000a_Lions @ Raiders_x000a_Browns @ Broncos_x000a_Packers @ Chargers_x000a_Patriots @ Ravens"/>
    <s v="At least 3 of 5 to cover_x000a_Colts -1.5_x000a_Raiders -2.5_x000a_Browns -3.5_x000a_Packers -3.5_x000a_Patriots -3"/>
    <n v="20"/>
    <n v="100"/>
    <x v="0"/>
    <n v="-20"/>
    <x v="7"/>
  </r>
  <r>
    <x v="154"/>
    <x v="0"/>
    <s v="Lions @ Raiders"/>
    <s v="Lions +2.5"/>
    <n v="20"/>
    <n v="100"/>
    <x v="0"/>
    <n v="-20"/>
    <x v="3"/>
  </r>
  <r>
    <x v="154"/>
    <x v="0"/>
    <s v="Buccaneers @ Seahawks"/>
    <s v="Buccaneers +4"/>
    <n v="20"/>
    <n v="-118"/>
    <x v="0"/>
    <n v="-20"/>
    <x v="3"/>
  </r>
  <r>
    <x v="154"/>
    <x v="0"/>
    <s v="Browns @ Broncos"/>
    <s v="Broncos +3.5"/>
    <n v="20"/>
    <n v="-110"/>
    <x v="1"/>
    <n v="18.181818181818183"/>
    <x v="3"/>
  </r>
  <r>
    <x v="154"/>
    <x v="0"/>
    <s v="Packers @ Chargers"/>
    <s v="Packers -4"/>
    <n v="20"/>
    <n v="-110"/>
    <x v="0"/>
    <n v="-20"/>
    <x v="0"/>
  </r>
  <r>
    <x v="154"/>
    <x v="0"/>
    <s v="Patriots @ Ravens"/>
    <s v="Patriots -3"/>
    <n v="50"/>
    <n v="-110"/>
    <x v="0"/>
    <n v="-50"/>
    <x v="0"/>
  </r>
  <r>
    <x v="155"/>
    <x v="1"/>
    <s v="Pistons @ Wizards"/>
    <s v="Over 225"/>
    <n v="21.28"/>
    <n v="-112"/>
    <x v="0"/>
    <n v="-21.28"/>
    <x v="2"/>
  </r>
  <r>
    <x v="155"/>
    <x v="1"/>
    <s v="Pelicans @ Nets"/>
    <s v="Pelicans +3.5"/>
    <n v="20.803757607963668"/>
    <n v="-109"/>
    <x v="0"/>
    <n v="-20.803757607963668"/>
    <x v="3"/>
  </r>
  <r>
    <x v="155"/>
    <x v="1"/>
    <s v="Pelicans @ Nets"/>
    <s v="Under 237"/>
    <n v="19.282428078307824"/>
    <n v="-113"/>
    <x v="0"/>
    <n v="-19.282428078307824"/>
    <x v="1"/>
  </r>
  <r>
    <x v="155"/>
    <x v="1"/>
    <s v="Bucks @ Timberwolves"/>
    <s v="Timberwolves +6"/>
    <n v="19.196242392036332"/>
    <n v="-109"/>
    <x v="0"/>
    <n v="-19.196242392036332"/>
    <x v="3"/>
  </r>
  <r>
    <x v="155"/>
    <x v="1"/>
    <s v="76ers @ Suns"/>
    <s v="Under 224"/>
    <n v="19.341687590238344"/>
    <n v="-109"/>
    <x v="1"/>
    <n v="17.744667513980129"/>
    <x v="1"/>
  </r>
  <r>
    <x v="156"/>
    <x v="1"/>
    <s v="Celtics @ Cavaliers"/>
    <s v="Celtics -6"/>
    <n v="19.193997834288691"/>
    <n v="-110"/>
    <x v="2"/>
    <n v="0"/>
    <x v="0"/>
  </r>
  <r>
    <x v="156"/>
    <x v="1"/>
    <s v="Spurs @ Hawks"/>
    <s v="Hawks +4.5"/>
    <n v="17.463975967530157"/>
    <n v="-113"/>
    <x v="1"/>
    <n v="15.454845988964742"/>
    <x v="3"/>
  </r>
  <r>
    <x v="156"/>
    <x v="1"/>
    <s v="Lakers @ Bulls"/>
    <s v="Lakers -7"/>
    <n v="19.498391548361479"/>
    <n v="-110"/>
    <x v="0"/>
    <n v="-19.498391548361479"/>
    <x v="0"/>
  </r>
  <r>
    <x v="156"/>
    <x v="1"/>
    <s v="Lakers @ Bulls"/>
    <s v="Under 214.5"/>
    <n v="20.008327059165168"/>
    <n v="-109"/>
    <x v="0"/>
    <n v="-20.008327059165168"/>
    <x v="1"/>
  </r>
  <r>
    <x v="156"/>
    <x v="1"/>
    <s v="Magic @ Thunder"/>
    <s v="Thunder -3"/>
    <n v="16.318370686039696"/>
    <n v="-112"/>
    <x v="1"/>
    <n v="14.569973826821156"/>
    <x v="0"/>
  </r>
  <r>
    <x v="156"/>
    <x v="1"/>
    <s v="Magic @ Thunder"/>
    <s v="Over 201.5"/>
    <n v="19.991672940834832"/>
    <n v="-112"/>
    <x v="0"/>
    <n v="-19.991672940834832"/>
    <x v="2"/>
  </r>
  <r>
    <x v="156"/>
    <x v="1"/>
    <s v="Heat @ Nuggets"/>
    <s v="Heat +4.5"/>
    <n v="27.525263963779985"/>
    <n v="-109"/>
    <x v="0"/>
    <n v="-27.525263963779985"/>
    <x v="3"/>
  </r>
  <r>
    <x v="156"/>
    <x v="1"/>
    <s v="Celtics @ Cavaliers_x000a_Lakers @ Bulls_x000a_Magic @ Thunder_x000a_Heat @ Nuggets"/>
    <s v="Celtics Moneyline_x000a_Lakers Moneyline_x000a_Thunder Moneyline_x000a_Heat Moneyline"/>
    <n v="10"/>
    <n v="709"/>
    <x v="0"/>
    <n v="-10"/>
    <x v="7"/>
  </r>
  <r>
    <x v="156"/>
    <x v="2"/>
    <s v="Kansas @ Duke"/>
    <s v="Kansas -1.5"/>
    <n v="20"/>
    <n v="-118"/>
    <x v="0"/>
    <n v="-20"/>
    <x v="0"/>
  </r>
  <r>
    <x v="156"/>
    <x v="8"/>
    <s v="Ball State @ Western Michigan"/>
    <s v="Ball State +6.5"/>
    <n v="20"/>
    <n v="-110"/>
    <x v="1"/>
    <n v="18.181818181818183"/>
    <x v="3"/>
  </r>
  <r>
    <x v="157"/>
    <x v="0"/>
    <s v="Bills @ Browns"/>
    <s v="Bills +3"/>
    <n v="20"/>
    <n v="-110"/>
    <x v="2"/>
    <n v="0"/>
    <x v="3"/>
  </r>
  <r>
    <x v="158"/>
    <x v="2"/>
    <s v="Southern @ Wright State"/>
    <s v="Over 143.5"/>
    <n v="20"/>
    <n v="-110"/>
    <x v="1"/>
    <n v="18.181818181818183"/>
    <x v="2"/>
  </r>
  <r>
    <x v="158"/>
    <x v="2"/>
    <s v="Austin Peay @ West Virginia"/>
    <s v="Austin Peay +15.5"/>
    <n v="20"/>
    <n v="-109"/>
    <x v="0"/>
    <n v="-20"/>
    <x v="3"/>
  </r>
  <r>
    <x v="158"/>
    <x v="2"/>
    <s v="Iowa @ Iowa State"/>
    <s v="Iowa +4"/>
    <n v="20"/>
    <n v="-112"/>
    <x v="1"/>
    <n v="17.857142857142858"/>
    <x v="3"/>
  </r>
  <r>
    <x v="158"/>
    <x v="2"/>
    <s v="Iowa @ Iowa State"/>
    <s v="Under 157.5"/>
    <n v="20"/>
    <n v="-109"/>
    <x v="1"/>
    <n v="18.348623853211009"/>
    <x v="1"/>
  </r>
  <r>
    <x v="158"/>
    <x v="2"/>
    <s v="Northern Iowa @ Grand Canyon"/>
    <s v="Northern Iowa -7"/>
    <n v="20"/>
    <n v="-110"/>
    <x v="1"/>
    <n v="18.181818181818183"/>
    <x v="0"/>
  </r>
  <r>
    <x v="158"/>
    <x v="0"/>
    <s v="Jets @ Ravens"/>
    <s v="Ravens -17"/>
    <n v="21.2"/>
    <n v="-106"/>
    <x v="1"/>
    <n v="20"/>
    <x v="0"/>
  </r>
  <r>
    <x v="159"/>
    <x v="1"/>
    <s v="76ers @ Magic_x000a_Wizards @ Celtics_x000a_Warriors @ Lakers_x000a_Raptors @ Trail Blazers"/>
    <s v="76ers Moneyline (120) L_x000a_Celtics Moneyline (-400) W_x000a_Lakers Moneyline (-450) W_x000a_Raptors Moneyline (115) W"/>
    <n v="10"/>
    <s v="623"/>
    <x v="0"/>
    <n v="-10"/>
    <x v="7"/>
  </r>
  <r>
    <x v="160"/>
    <x v="1"/>
    <s v="Clippers @ Pelicans"/>
    <s v="Clippers -4.5"/>
    <n v="19.59249486735839"/>
    <n v="-112"/>
    <x v="0"/>
    <n v="-19.59249486735839"/>
    <x v="0"/>
  </r>
  <r>
    <x v="160"/>
    <x v="1"/>
    <s v="Bulls @ Bucks"/>
    <s v="Over 229.5"/>
    <n v="19.205978240580794"/>
    <n v="-109"/>
    <x v="1"/>
    <n v="17.620163523468619"/>
    <x v="2"/>
  </r>
  <r>
    <x v="160"/>
    <x v="1"/>
    <s v="Mavericks @ Knicks"/>
    <s v="Mavericks -7.5"/>
    <n v="19.660350133837273"/>
    <n v="-110"/>
    <x v="0"/>
    <n v="-19.660350133837273"/>
    <x v="0"/>
  </r>
  <r>
    <x v="160"/>
    <x v="1"/>
    <s v="Mavericks @ Knicks"/>
    <s v="Over 215.5"/>
    <n v="22.228097637606808"/>
    <n v="-112"/>
    <x v="0"/>
    <n v="-22.228097637606808"/>
    <x v="2"/>
  </r>
  <r>
    <x v="160"/>
    <x v="1"/>
    <s v="Nets @ Nuggets"/>
    <s v="Over 222.5"/>
    <n v="20.615886518713555"/>
    <n v="-108"/>
    <x v="0"/>
    <n v="-20.615886518713555"/>
    <x v="2"/>
  </r>
  <r>
    <x v="160"/>
    <x v="1"/>
    <s v="Heat @ Cavaliers"/>
    <s v="Heat -4.5"/>
    <n v="20.747154998804334"/>
    <n v="-112"/>
    <x v="1"/>
    <n v="18.524245534646727"/>
    <x v="0"/>
  </r>
  <r>
    <x v="160"/>
    <x v="1"/>
    <s v="Heat @ Cavaliers"/>
    <s v="Over 215"/>
    <n v="17.950037603098835"/>
    <n v="-108"/>
    <x v="0"/>
    <n v="-17.950037603098835"/>
    <x v="2"/>
  </r>
  <r>
    <x v="160"/>
    <x v="8"/>
    <s v="Buffalo @ Kent State"/>
    <s v="Buffalo -5"/>
    <n v="19.71"/>
    <n v="-110"/>
    <x v="0"/>
    <n v="-19.71"/>
    <x v="0"/>
  </r>
  <r>
    <x v="160"/>
    <x v="8"/>
    <s v="North Carolina @ Pitt"/>
    <s v="North Carolina +4"/>
    <n v="20.29"/>
    <n v="-118"/>
    <x v="0"/>
    <n v="-20.29"/>
    <x v="3"/>
  </r>
  <r>
    <x v="160"/>
    <x v="8"/>
    <s v="North Carolina @ Pitt"/>
    <s v="Under 49.5"/>
    <n v="20"/>
    <n v="-110"/>
    <x v="0"/>
    <n v="-20"/>
    <x v="1"/>
  </r>
  <r>
    <x v="160"/>
    <x v="0"/>
    <s v="Steelers @ Browns"/>
    <s v="Steelers +3"/>
    <n v="20"/>
    <n v="-110"/>
    <x v="0"/>
    <n v="-20"/>
    <x v="3"/>
  </r>
  <r>
    <x v="161"/>
    <x v="1"/>
    <s v="Jazz @ Grizzlies_x000a_Celtics @ Warriors_x000a_Kings @ Lakers"/>
    <s v="Jazz Moneyline (-315)_x000a_Celtics Moneyline (-305)_x000a_Lakers Moneyline (-625)"/>
    <n v="20"/>
    <n v="104"/>
    <x v="0"/>
    <n v="-20"/>
    <x v="7"/>
  </r>
  <r>
    <x v="162"/>
    <x v="8"/>
    <s v="Indiana @ Penn state"/>
    <s v="Penn State -15"/>
    <n v="20"/>
    <n v="-110"/>
    <x v="0"/>
    <n v="-20"/>
    <x v="0"/>
  </r>
  <r>
    <x v="162"/>
    <x v="8"/>
    <s v="Wisconsin @ Nebraska"/>
    <s v="Nebraska +14"/>
    <n v="20"/>
    <n v="-110"/>
    <x v="0"/>
    <n v="-20"/>
    <x v="3"/>
  </r>
  <r>
    <x v="162"/>
    <x v="8"/>
    <s v="Kansas @ Oklahoma State"/>
    <s v="Kansas +17.5"/>
    <n v="20"/>
    <n v="-110"/>
    <x v="0"/>
    <n v="-20"/>
    <x v="3"/>
  </r>
  <r>
    <x v="162"/>
    <x v="8"/>
    <s v="Michigan State @ Michigan"/>
    <s v="Michigan State +13.5"/>
    <n v="20"/>
    <n v="-110"/>
    <x v="0"/>
    <n v="-20"/>
    <x v="3"/>
  </r>
  <r>
    <x v="162"/>
    <x v="8"/>
    <s v="Florida @ Missouri"/>
    <s v="Florida -6.5"/>
    <n v="20"/>
    <n v="-110"/>
    <x v="1"/>
    <n v="18.181818181818183"/>
    <x v="0"/>
  </r>
  <r>
    <x v="162"/>
    <x v="8"/>
    <s v="Tulane @ Temple"/>
    <s v="Tulane -6.5"/>
    <n v="20"/>
    <n v="-110"/>
    <x v="0"/>
    <n v="-20"/>
    <x v="0"/>
  </r>
  <r>
    <x v="162"/>
    <x v="8"/>
    <s v="Alabama @ Mississippi State"/>
    <s v="Mississippi State +20"/>
    <n v="20"/>
    <n v="-110"/>
    <x v="0"/>
    <n v="-20"/>
    <x v="3"/>
  </r>
  <r>
    <x v="162"/>
    <x v="8"/>
    <s v="Georgia @ Auburn"/>
    <s v="Georgia -2.5"/>
    <n v="20"/>
    <n v="-125"/>
    <x v="1"/>
    <n v="16"/>
    <x v="0"/>
  </r>
  <r>
    <x v="162"/>
    <x v="8"/>
    <s v="Kentucky @ Vanderbilt"/>
    <s v="Kentucky -9.5"/>
    <n v="20"/>
    <n v="-110"/>
    <x v="1"/>
    <n v="18.181818181818183"/>
    <x v="0"/>
  </r>
  <r>
    <x v="162"/>
    <x v="8"/>
    <s v="Memphis @ Houston"/>
    <s v="Memphis -9.5"/>
    <n v="20"/>
    <n v="-112"/>
    <x v="1"/>
    <n v="17.857142857142858"/>
    <x v="0"/>
  </r>
  <r>
    <x v="162"/>
    <x v="8"/>
    <s v="Texas @ Iowa State"/>
    <s v="Iowa State -6.5"/>
    <n v="20"/>
    <n v="-121"/>
    <x v="0"/>
    <n v="-20"/>
    <x v="0"/>
  </r>
  <r>
    <x v="162"/>
    <x v="8"/>
    <s v="Virginia Tech @ Georgia Tech"/>
    <s v="Virginia Tech -6"/>
    <n v="20"/>
    <n v="-110"/>
    <x v="1"/>
    <n v="18.181818181818183"/>
    <x v="0"/>
  </r>
  <r>
    <x v="162"/>
    <x v="8"/>
    <s v="West Virginia @ Kansas State"/>
    <s v="West Virginia +14"/>
    <n v="20"/>
    <n v="-110"/>
    <x v="1"/>
    <n v="18.181818181818183"/>
    <x v="3"/>
  </r>
  <r>
    <x v="162"/>
    <x v="8"/>
    <s v="Minnesota @ Iowa"/>
    <s v="Iowa -3.5"/>
    <n v="20"/>
    <n v="-107"/>
    <x v="1"/>
    <n v="18.691588785046729"/>
    <x v="0"/>
  </r>
  <r>
    <x v="162"/>
    <x v="8"/>
    <s v="Wake Forest @ Clemson"/>
    <s v="Waker Forest +34.5"/>
    <n v="20"/>
    <n v="-112"/>
    <x v="0"/>
    <n v="-20"/>
    <x v="3"/>
  </r>
  <r>
    <x v="162"/>
    <x v="8"/>
    <s v="Arizona State @ Oregon State"/>
    <s v="Arizona State -1"/>
    <n v="20"/>
    <n v="-121"/>
    <x v="0"/>
    <n v="-20"/>
    <x v="0"/>
  </r>
  <r>
    <x v="162"/>
    <x v="8"/>
    <s v="Oklahoma @ Baylor"/>
    <s v="Oklahoma -10.5"/>
    <n v="20"/>
    <n v="-110"/>
    <x v="0"/>
    <n v="-20"/>
    <x v="0"/>
  </r>
  <r>
    <x v="162"/>
    <x v="8"/>
    <s v="South Carolina @ Texas A&amp;M"/>
    <s v="Texas A&amp;M -10.5"/>
    <n v="20"/>
    <n v="-110"/>
    <x v="1"/>
    <n v="18.181818181818183"/>
    <x v="0"/>
  </r>
  <r>
    <x v="162"/>
    <x v="8"/>
    <s v="UCLA @ Utah_x000a_USC @ California"/>
    <s v="UCLA +27.5 (L)_x000a_USC +2 (W)"/>
    <n v="40"/>
    <n v="-103"/>
    <x v="0"/>
    <n v="-40"/>
    <x v="7"/>
  </r>
  <r>
    <x v="163"/>
    <x v="0"/>
    <s v="Patriots @ Eagles"/>
    <s v="Brady &amp; Wentz 1 Passing TD Each"/>
    <n v="20"/>
    <n v="100"/>
    <x v="0"/>
    <n v="-20"/>
    <x v="5"/>
  </r>
  <r>
    <x v="163"/>
    <x v="0"/>
    <s v="Bears @ Rams"/>
    <s v="Bears Moneyline"/>
    <n v="20"/>
    <n v="210"/>
    <x v="0"/>
    <n v="-20"/>
    <x v="4"/>
  </r>
  <r>
    <x v="163"/>
    <x v="0"/>
    <s v="Bears @ Rams"/>
    <s v="Bears 17_x000a_Rams 28"/>
    <n v="2.59"/>
    <n v="10000"/>
    <x v="0"/>
    <n v="-2.59"/>
    <x v="7"/>
  </r>
  <r>
    <x v="164"/>
    <x v="1"/>
    <s v="Trail Blazers @ Bucks_x000a_Pelicans @ Suns"/>
    <s v="Bucks Moneyline (W)_x000a_Suns Moneyline (L)"/>
    <n v="20"/>
    <n v="-130"/>
    <x v="0"/>
    <n v="-20"/>
    <x v="7"/>
  </r>
  <r>
    <x v="164"/>
    <x v="0"/>
    <s v="Patriots @ Cowboys"/>
    <s v="Patriots -6"/>
    <n v="15"/>
    <n v="-110"/>
    <x v="0"/>
    <n v="-15"/>
    <x v="0"/>
  </r>
  <r>
    <x v="165"/>
    <x v="0"/>
    <s v="Panthers @ Saints"/>
    <s v="Panthers +9.5"/>
    <n v="20"/>
    <n v="-103"/>
    <x v="1"/>
    <n v="19.417475728155338"/>
    <x v="3"/>
  </r>
  <r>
    <x v="165"/>
    <x v="0"/>
    <s v="Lions @ Redskins"/>
    <s v="Lions -4"/>
    <n v="20"/>
    <n v="-110"/>
    <x v="0"/>
    <n v="-20"/>
    <x v="0"/>
  </r>
  <r>
    <x v="165"/>
    <x v="0"/>
    <s v="Lions @ Redskins"/>
    <s v="Over 39.5"/>
    <n v="20"/>
    <n v="-110"/>
    <x v="0"/>
    <n v="-20"/>
    <x v="2"/>
  </r>
  <r>
    <x v="165"/>
    <x v="0"/>
    <s v="Gaints @ Bears"/>
    <s v="Bears -6"/>
    <n v="20"/>
    <n v="-110"/>
    <x v="0"/>
    <n v="-20"/>
    <x v="0"/>
  </r>
  <r>
    <x v="165"/>
    <x v="0"/>
    <s v="Raiders @ Jets"/>
    <s v="Raiders -3.5"/>
    <n v="20"/>
    <n v="-105"/>
    <x v="0"/>
    <n v="-20"/>
    <x v="0"/>
  </r>
  <r>
    <x v="165"/>
    <x v="0"/>
    <s v="Steelers @ Bengals"/>
    <s v="Under 37"/>
    <n v="20"/>
    <n v="-110"/>
    <x v="1"/>
    <n v="18.181818181818183"/>
    <x v="1"/>
  </r>
  <r>
    <x v="165"/>
    <x v="0"/>
    <s v="Seahawks @ Eagles"/>
    <s v="Seahawks -2"/>
    <n v="20"/>
    <n v="-110"/>
    <x v="1"/>
    <n v="18.181818181818183"/>
    <x v="0"/>
  </r>
  <r>
    <x v="165"/>
    <x v="0"/>
    <s v="Buccaneers @ Falcons"/>
    <s v="Buccaneers +3.5"/>
    <n v="20"/>
    <n v="-110"/>
    <x v="1"/>
    <n v="18.181818181818183"/>
    <x v="3"/>
  </r>
  <r>
    <x v="166"/>
    <x v="0"/>
    <s v="Ravens @ Rams"/>
    <s v="Ravens -3.5"/>
    <n v="20"/>
    <n v="-103"/>
    <x v="1"/>
    <n v="19.417475728155338"/>
    <x v="0"/>
  </r>
  <r>
    <x v="166"/>
    <x v="0"/>
    <s v="Ravens @ Rams"/>
    <s v="Over 46.5"/>
    <n v="20"/>
    <n v="-110"/>
    <x v="1"/>
    <n v="18.181818181818183"/>
    <x v="2"/>
  </r>
  <r>
    <x v="167"/>
    <x v="0"/>
    <s v="Bears @ Lions"/>
    <s v="Bears -4.5"/>
    <n v="50"/>
    <n v="-110"/>
    <x v="0"/>
    <n v="-50"/>
    <x v="0"/>
  </r>
  <r>
    <x v="167"/>
    <x v="0"/>
    <s v="Bears @ Lions"/>
    <s v="Bears -5.5_x000a_Under 37"/>
    <n v="20"/>
    <n v="300"/>
    <x v="0"/>
    <n v="-20"/>
    <x v="7"/>
  </r>
  <r>
    <x v="167"/>
    <x v="0"/>
    <s v="Bills @ Cowboys"/>
    <s v="Bills +6.5_x000a_Under 47.5"/>
    <n v="20"/>
    <n v="225"/>
    <x v="1"/>
    <n v="45"/>
    <x v="7"/>
  </r>
  <r>
    <x v="168"/>
    <x v="0"/>
    <s v="Patriots @ Texans"/>
    <s v="Patriots -3"/>
    <n v="20"/>
    <n v="-118"/>
    <x v="0"/>
    <n v="-20"/>
    <x v="0"/>
  </r>
  <r>
    <x v="168"/>
    <x v="0"/>
    <s v="Raiders @ Chiefs"/>
    <s v="Raiders +12"/>
    <n v="40"/>
    <n v="-121"/>
    <x v="0"/>
    <n v="-40"/>
    <x v="3"/>
  </r>
  <r>
    <x v="169"/>
    <x v="0"/>
    <s v="Cowboys @ Bears"/>
    <s v="Bears Moneyline"/>
    <n v="20"/>
    <n v="245"/>
    <x v="1"/>
    <n v="49"/>
    <x v="4"/>
  </r>
  <r>
    <x v="170"/>
    <x v="0"/>
    <s v="Steelers @ Cardinals_x000a_Lions @ Vikings_x000a_Redskins @ Packers"/>
    <s v="Steelers Moneyline_x000a_Vikings Moneyline_x000a_Packers Moneyline"/>
    <n v="20"/>
    <n v="124"/>
    <x v="1"/>
    <n v="24.8"/>
    <x v="7"/>
  </r>
  <r>
    <x v="170"/>
    <x v="0"/>
    <s v="Ravens @ Bills"/>
    <s v="Under 44"/>
    <n v="21.98"/>
    <n v="-110"/>
    <x v="1"/>
    <n v="19.981818181818181"/>
    <x v="1"/>
  </r>
  <r>
    <x v="170"/>
    <x v="0"/>
    <s v="Seahawks @ Rams"/>
    <s v="Over 47.5"/>
    <n v="21.98"/>
    <n v="-110"/>
    <x v="0"/>
    <n v="-21.98"/>
    <x v="2"/>
  </r>
  <r>
    <x v="171"/>
    <x v="2"/>
    <s v="Yale @ Massachusetts"/>
    <s v="Yale -4"/>
    <n v="20"/>
    <n v="-112"/>
    <x v="0"/>
    <n v="-20"/>
    <x v="0"/>
  </r>
  <r>
    <x v="171"/>
    <x v="2"/>
    <s v="Dartmouth @ Maine"/>
    <s v="Over 118.5"/>
    <n v="20"/>
    <n v="-113"/>
    <x v="1"/>
    <n v="17.699115044247787"/>
    <x v="2"/>
  </r>
  <r>
    <x v="171"/>
    <x v="2"/>
    <s v="Texas-Arlington @ Houston"/>
    <s v="Texas-Arlington +12.5"/>
    <n v="20"/>
    <n v="-109"/>
    <x v="1"/>
    <n v="18.348623853211009"/>
    <x v="3"/>
  </r>
  <r>
    <x v="171"/>
    <x v="2"/>
    <s v="Alabama State @ Kansas State"/>
    <s v="Alabama State +19.5"/>
    <n v="20"/>
    <n v="-110"/>
    <x v="0"/>
    <n v="-20"/>
    <x v="3"/>
  </r>
  <r>
    <x v="171"/>
    <x v="2"/>
    <s v="Alabama State @ Kansas State"/>
    <s v="Over 126.5"/>
    <n v="20"/>
    <n v="-108"/>
    <x v="1"/>
    <n v="18.518518518518519"/>
    <x v="2"/>
  </r>
  <r>
    <x v="171"/>
    <x v="2"/>
    <s v="Winthrop @ Texas Christian"/>
    <s v="Winthrop +12"/>
    <n v="20"/>
    <n v="-110"/>
    <x v="1"/>
    <n v="18.181818181818183"/>
    <x v="3"/>
  </r>
  <r>
    <x v="171"/>
    <x v="2"/>
    <s v="Winthrop @ Texas Christian"/>
    <s v="Over 135.5"/>
    <n v="20"/>
    <n v="-113"/>
    <x v="0"/>
    <n v="-20"/>
    <x v="2"/>
  </r>
  <r>
    <x v="171"/>
    <x v="2"/>
    <s v="Boise State @ Tulsa"/>
    <s v="Boise State +2.5"/>
    <n v="20"/>
    <n v="-112"/>
    <x v="0"/>
    <n v="-20"/>
    <x v="3"/>
  </r>
  <r>
    <x v="171"/>
    <x v="2"/>
    <s v="Troy @ Jacksonville State"/>
    <s v="Troy +4.5"/>
    <n v="20"/>
    <n v="-108"/>
    <x v="1"/>
    <n v="18.518518518518519"/>
    <x v="3"/>
  </r>
  <r>
    <x v="171"/>
    <x v="2"/>
    <s v="Prairie View @ Arizona State"/>
    <s v="Prairie View +19.5"/>
    <n v="20"/>
    <n v="-109"/>
    <x v="1"/>
    <n v="18.348623853211009"/>
    <x v="3"/>
  </r>
  <r>
    <x v="171"/>
    <x v="2"/>
    <s v="Fresno State @ University of California"/>
    <s v="Over 128"/>
    <n v="20"/>
    <n v="-108"/>
    <x v="1"/>
    <n v="18.518518518518519"/>
    <x v="2"/>
  </r>
  <r>
    <x v="171"/>
    <x v="2"/>
    <s v="Fairleigh Dickinson @ Saint Peter's"/>
    <s v="Over 131"/>
    <n v="20"/>
    <n v="-108"/>
    <x v="1"/>
    <n v="18.518518518518519"/>
    <x v="2"/>
  </r>
  <r>
    <x v="172"/>
    <x v="2"/>
    <s v="Colorado @ Colorado State"/>
    <s v="Colorado -5.5"/>
    <n v="20"/>
    <n v="-113"/>
    <x v="1"/>
    <n v="17.699115044247787"/>
    <x v="0"/>
  </r>
  <r>
    <x v="172"/>
    <x v="2"/>
    <s v="Colorado @ Colorado State"/>
    <s v="Under 140"/>
    <n v="20"/>
    <n v="-112"/>
    <x v="1"/>
    <n v="17.857142857142858"/>
    <x v="1"/>
  </r>
  <r>
    <x v="172"/>
    <x v="2"/>
    <s v="Texas-Rio Grande Valley @ Creighton"/>
    <s v="Under 140.5"/>
    <n v="20"/>
    <n v="-110"/>
    <x v="0"/>
    <n v="-20"/>
    <x v="1"/>
  </r>
  <r>
    <x v="172"/>
    <x v="2"/>
    <s v="Prairie View @ Loyola Marymount"/>
    <s v="Over 134"/>
    <n v="20"/>
    <n v="-112"/>
    <x v="1"/>
    <n v="17.857142857142858"/>
    <x v="2"/>
  </r>
  <r>
    <x v="173"/>
    <x v="2"/>
    <s v="Xavier @ Wake Forest"/>
    <s v="Under 142.5"/>
    <n v="20"/>
    <n v="-113"/>
    <x v="0"/>
    <n v="-20"/>
    <x v="1"/>
  </r>
  <r>
    <x v="173"/>
    <x v="2"/>
    <s v="Saint Louis @ Auburn"/>
    <s v="Over 140"/>
    <n v="20"/>
    <n v="-108"/>
    <x v="0"/>
    <n v="-20"/>
    <x v="2"/>
  </r>
  <r>
    <x v="173"/>
    <x v="2"/>
    <s v="UC-Santa Barbara @ Southern Utah"/>
    <s v="Over 135"/>
    <n v="20"/>
    <n v="-112"/>
    <x v="0"/>
    <n v="-20"/>
    <x v="2"/>
  </r>
  <r>
    <x v="173"/>
    <x v="2"/>
    <s v="Weber State @ Utah"/>
    <s v="Over 143"/>
    <n v="20"/>
    <n v="-109"/>
    <x v="0"/>
    <n v="-20"/>
    <x v="2"/>
  </r>
  <r>
    <x v="173"/>
    <x v="2"/>
    <s v="Georgia Tech @ Kentucky"/>
    <s v="Georgia Tech +14.5"/>
    <n v="20"/>
    <n v="-109"/>
    <x v="1"/>
    <n v="18.348623853211009"/>
    <x v="3"/>
  </r>
  <r>
    <x v="173"/>
    <x v="2"/>
    <s v="Georgia Tech @ Kentucky"/>
    <s v="Over 135"/>
    <n v="20"/>
    <n v="-109"/>
    <x v="0"/>
    <n v="-20"/>
    <x v="2"/>
  </r>
  <r>
    <x v="173"/>
    <x v="2"/>
    <s v="Sacramento State @ Santa Clara"/>
    <s v="Under 133"/>
    <n v="20"/>
    <n v="-113"/>
    <x v="1"/>
    <n v="17.699115044247787"/>
    <x v="1"/>
  </r>
  <r>
    <x v="173"/>
    <x v="2"/>
    <s v="Alabama State @ Boise State"/>
    <s v="Over 136"/>
    <n v="20"/>
    <n v="-108"/>
    <x v="1"/>
    <n v="18.518518518518519"/>
    <x v="2"/>
  </r>
  <r>
    <x v="173"/>
    <x v="2"/>
    <s v="Colgate @ Cincinnati"/>
    <s v="Colgate +12"/>
    <n v="20"/>
    <n v="-109"/>
    <x v="1"/>
    <n v="18.348623853211009"/>
    <x v="3"/>
  </r>
  <r>
    <x v="173"/>
    <x v="2"/>
    <s v="Drake @ Dayton"/>
    <s v="Drake +15.5"/>
    <n v="20"/>
    <n v="-109"/>
    <x v="0"/>
    <n v="-20"/>
    <x v="3"/>
  </r>
  <r>
    <x v="173"/>
    <x v="2"/>
    <s v="Drake @ Dayton"/>
    <s v="Over 139.5"/>
    <n v="20"/>
    <n v="-108"/>
    <x v="0"/>
    <n v="-20"/>
    <x v="2"/>
  </r>
  <r>
    <x v="173"/>
    <x v="2"/>
    <s v="Western Michigan @ Manhattan"/>
    <s v="Western Michigan +4"/>
    <n v="10"/>
    <n v="-114"/>
    <x v="1"/>
    <n v="8.7719298245614024"/>
    <x v="3"/>
  </r>
  <r>
    <x v="173"/>
    <x v="2"/>
    <s v="Niagara @ Albany (NY)"/>
    <s v="Niagara +9"/>
    <n v="10"/>
    <n v="-110"/>
    <x v="1"/>
    <n v="9.0909090909090917"/>
    <x v="3"/>
  </r>
  <r>
    <x v="173"/>
    <x v="2"/>
    <s v="Evansville @ Green Bay"/>
    <s v="Under 164.5"/>
    <n v="10"/>
    <n v="-109"/>
    <x v="1"/>
    <n v="9.1743119266055047"/>
    <x v="1"/>
  </r>
  <r>
    <x v="173"/>
    <x v="2"/>
    <s v="New Mexico State @ New Mexico"/>
    <s v="Under 145.5"/>
    <n v="10"/>
    <n v="-112"/>
    <x v="1"/>
    <n v="8.9285714285714288"/>
    <x v="1"/>
  </r>
  <r>
    <x v="173"/>
    <x v="2"/>
    <s v="Cal State Bakersfield @ Idaho"/>
    <s v="Over 131.5"/>
    <n v="20"/>
    <n v="-112"/>
    <x v="1"/>
    <n v="17.857142857142858"/>
    <x v="2"/>
  </r>
  <r>
    <x v="173"/>
    <x v="2"/>
    <s v="Stanford @ San Jose State"/>
    <s v="Under 135"/>
    <n v="10"/>
    <n v="-110"/>
    <x v="0"/>
    <n v="-10"/>
    <x v="1"/>
  </r>
  <r>
    <x v="173"/>
    <x v="2"/>
    <s v="Stony Brook @ Providence"/>
    <s v="Stony Brook +13"/>
    <n v="10"/>
    <n v="-109"/>
    <x v="1"/>
    <n v="9.1743119266055047"/>
    <x v="3"/>
  </r>
  <r>
    <x v="173"/>
    <x v="2"/>
    <s v="Georgia @ Arizona State"/>
    <s v="Georgia +5"/>
    <n v="10"/>
    <n v="-109"/>
    <x v="0"/>
    <n v="-10"/>
    <x v="3"/>
  </r>
  <r>
    <x v="173"/>
    <x v="2"/>
    <s v="Georgia @ Arizona State"/>
    <s v="Under 155.5"/>
    <n v="10"/>
    <n v="-112"/>
    <x v="1"/>
    <n v="8.9285714285714288"/>
    <x v="1"/>
  </r>
  <r>
    <x v="173"/>
    <x v="2"/>
    <s v="Louisiana-Monroe @ Stephen F. Austin"/>
    <s v="Stephen F. Austin -10"/>
    <n v="10"/>
    <n v="-107"/>
    <x v="0"/>
    <n v="-10"/>
    <x v="0"/>
  </r>
  <r>
    <x v="173"/>
    <x v="2"/>
    <s v="Northern Colorado @ Wyoming"/>
    <s v="Northern Colorado -6"/>
    <n v="10"/>
    <n v="-113"/>
    <x v="1"/>
    <n v="8.8495575221238933"/>
    <x v="0"/>
  </r>
  <r>
    <x v="173"/>
    <x v="2"/>
    <s v="Northern Colorado @ Wyoming"/>
    <s v="Under 127"/>
    <n v="10"/>
    <n v="-108"/>
    <x v="2"/>
    <n v="0"/>
    <x v="1"/>
  </r>
  <r>
    <x v="173"/>
    <x v="2"/>
    <s v="Northern Arizona @ Utah Valley"/>
    <s v="Under 143.5"/>
    <n v="10"/>
    <n v="-108"/>
    <x v="0"/>
    <n v="-10"/>
    <x v="1"/>
  </r>
  <r>
    <x v="173"/>
    <x v="2"/>
    <s v="UC-Davis @ San Diego"/>
    <s v="UC-Davis +7.5"/>
    <n v="20"/>
    <n v="-113"/>
    <x v="1"/>
    <n v="17.699115044247787"/>
    <x v="3"/>
  </r>
  <r>
    <x v="173"/>
    <x v="2"/>
    <s v="Saint Mary's (CA) @ University of California"/>
    <s v="Over 123.5"/>
    <n v="20"/>
    <n v="-108"/>
    <x v="1"/>
    <n v="18.518518518518519"/>
    <x v="2"/>
  </r>
  <r>
    <x v="174"/>
    <x v="0"/>
    <s v="Bills @ Steelers"/>
    <s v="Steelers Moneyline"/>
    <n v="20"/>
    <n v="135"/>
    <x v="0"/>
    <n v="-20"/>
    <x v="4"/>
  </r>
  <r>
    <x v="175"/>
    <x v="2"/>
    <s v="Charleston Southern @ James Madison"/>
    <s v="Under 152.5"/>
    <n v="40"/>
    <n v="-107"/>
    <x v="1"/>
    <n v="37.383177570093459"/>
    <x v="1"/>
  </r>
  <r>
    <x v="175"/>
    <x v="2"/>
    <s v="Marshall @ Morehead State"/>
    <s v="Under 146.5"/>
    <n v="40"/>
    <n v="-112"/>
    <x v="0"/>
    <n v="-40"/>
    <x v="1"/>
  </r>
  <r>
    <x v="175"/>
    <x v="2"/>
    <s v="Valparaiso @ Charlotte"/>
    <s v="Over 137.5"/>
    <n v="40"/>
    <n v="-108"/>
    <x v="0"/>
    <n v="-40"/>
    <x v="2"/>
  </r>
  <r>
    <x v="175"/>
    <x v="2"/>
    <s v="Southern Mississippi @ Texas Tech"/>
    <s v="Southern Mississippi +22"/>
    <n v="40"/>
    <n v="-110"/>
    <x v="1"/>
    <n v="36.363636363636367"/>
    <x v="3"/>
  </r>
  <r>
    <x v="175"/>
    <x v="2"/>
    <s v="Delaware State @ Delaware"/>
    <s v="Over 148"/>
    <n v="40"/>
    <n v="-109"/>
    <x v="1"/>
    <n v="36.697247706422019"/>
    <x v="2"/>
  </r>
  <r>
    <x v="175"/>
    <x v="2"/>
    <s v="Kennesaw State @ Murray State"/>
    <s v="Over 137.5"/>
    <n v="40"/>
    <n v="-110"/>
    <x v="0"/>
    <n v="-40"/>
    <x v="2"/>
  </r>
  <r>
    <x v="175"/>
    <x v="2"/>
    <s v="Eastern Illinois @ Western Illinois"/>
    <s v="Under 153"/>
    <n v="40"/>
    <n v="-110"/>
    <x v="1"/>
    <n v="36.363636363636367"/>
    <x v="1"/>
  </r>
  <r>
    <x v="175"/>
    <x v="2"/>
    <s v="Evansville @ Jacksonville State"/>
    <s v="Evansville -4.5"/>
    <n v="40"/>
    <n v="-112"/>
    <x v="0"/>
    <n v="-40"/>
    <x v="0"/>
  </r>
  <r>
    <x v="175"/>
    <x v="2"/>
    <s v="UC-Santa Barbara @ Idaho State"/>
    <s v="Over 134.5"/>
    <n v="40"/>
    <n v="-113"/>
    <x v="1"/>
    <n v="35.398230088495573"/>
    <x v="2"/>
  </r>
  <r>
    <x v="175"/>
    <x v="2"/>
    <s v="Florida A&amp;M @ Portland"/>
    <s v="Portland -11.5"/>
    <n v="40"/>
    <n v="-110"/>
    <x v="0"/>
    <n v="-40"/>
    <x v="0"/>
  </r>
  <r>
    <x v="176"/>
    <x v="2"/>
    <s v="North Texas @ Dayton"/>
    <s v="North Texas +16"/>
    <n v="20"/>
    <n v="-110"/>
    <x v="1"/>
    <n v="18.181818181818183"/>
    <x v="3"/>
  </r>
  <r>
    <x v="176"/>
    <x v="2"/>
    <s v="North Texas @ Dayton"/>
    <s v="Over 133.5"/>
    <n v="20"/>
    <n v="-109"/>
    <x v="0"/>
    <n v="-20"/>
    <x v="2"/>
  </r>
  <r>
    <x v="176"/>
    <x v="2"/>
    <s v="Florida @ Providence"/>
    <s v="Providence +5"/>
    <n v="20"/>
    <n v="-109"/>
    <x v="0"/>
    <n v="-20"/>
    <x v="3"/>
  </r>
  <r>
    <x v="176"/>
    <x v="2"/>
    <s v="Florida @ Providence"/>
    <s v="Over 132.5"/>
    <n v="20"/>
    <n v="-107"/>
    <x v="1"/>
    <n v="18.691588785046729"/>
    <x v="2"/>
  </r>
  <r>
    <x v="176"/>
    <x v="2"/>
    <s v="Southeast Missouri State @ Ohio State"/>
    <s v="Southeast Missouri State +29.5"/>
    <n v="20"/>
    <n v="-109"/>
    <x v="0"/>
    <n v="-20"/>
    <x v="3"/>
  </r>
  <r>
    <x v="176"/>
    <x v="2"/>
    <s v="Mississippi Valley State @ Wright State"/>
    <s v="Over 154.5"/>
    <n v="20"/>
    <n v="-113"/>
    <x v="0"/>
    <n v="-20"/>
    <x v="2"/>
  </r>
  <r>
    <x v="176"/>
    <x v="2"/>
    <s v="American @ Mount St. Mary's"/>
    <s v="American +1.5"/>
    <n v="20"/>
    <n v="-109"/>
    <x v="1"/>
    <n v="18.348623853211009"/>
    <x v="3"/>
  </r>
  <r>
    <x v="176"/>
    <x v="2"/>
    <s v="Maryland-Eastern Shore @ East Carolina"/>
    <s v="Maryland-Eastern Shore +16"/>
    <n v="20"/>
    <n v="-109"/>
    <x v="1"/>
    <n v="18.348623853211009"/>
    <x v="3"/>
  </r>
  <r>
    <x v="176"/>
    <x v="2"/>
    <s v="Tennessee Tech @ Lipscomb"/>
    <s v="Tennessee Tech +13.5"/>
    <n v="20"/>
    <n v="-109"/>
    <x v="0"/>
    <n v="-20"/>
    <x v="3"/>
  </r>
  <r>
    <x v="176"/>
    <x v="2"/>
    <s v="North Carolina Central @ Louisiana Tech"/>
    <s v="North Carolina Central +22.5"/>
    <n v="20"/>
    <n v="-109"/>
    <x v="1"/>
    <n v="18.348623853211009"/>
    <x v="3"/>
  </r>
  <r>
    <x v="176"/>
    <x v="2"/>
    <s v="North Carolina Central @ Louisiana Tech"/>
    <s v="Over 136.5"/>
    <n v="20"/>
    <n v="-107"/>
    <x v="0"/>
    <n v="-20"/>
    <x v="2"/>
  </r>
  <r>
    <x v="176"/>
    <x v="2"/>
    <s v="North Alabama @ Alabama-Birmingham"/>
    <s v="North Alabama +9.5"/>
    <n v="20"/>
    <n v="-110"/>
    <x v="1"/>
    <n v="18.181818181818183"/>
    <x v="3"/>
  </r>
  <r>
    <x v="176"/>
    <x v="2"/>
    <s v="North Alabama @ Alabama-Birmingham"/>
    <s v="Over 125"/>
    <n v="20"/>
    <n v="-113"/>
    <x v="0"/>
    <n v="-20"/>
    <x v="2"/>
  </r>
  <r>
    <x v="176"/>
    <x v="2"/>
    <s v="Oral Roberts @ Chicago State"/>
    <s v="Oral Roberts -16"/>
    <n v="20"/>
    <n v="-110"/>
    <x v="1"/>
    <n v="18.181818181818183"/>
    <x v="0"/>
  </r>
  <r>
    <x v="176"/>
    <x v="2"/>
    <s v="Toledo @ Missouri-Kansas City"/>
    <s v="Toledo -7.5"/>
    <n v="20"/>
    <n v="-110"/>
    <x v="0"/>
    <n v="-20"/>
    <x v="0"/>
  </r>
  <r>
    <x v="176"/>
    <x v="2"/>
    <s v="Oklahoma @ Creighton"/>
    <s v="Oklahoma +3"/>
    <n v="20"/>
    <n v="-108"/>
    <x v="0"/>
    <n v="-20"/>
    <x v="3"/>
  </r>
  <r>
    <x v="176"/>
    <x v="2"/>
    <s v="Oklahoma @ Creighton"/>
    <s v="Under 153"/>
    <n v="20"/>
    <n v="-110"/>
    <x v="0"/>
    <n v="-20"/>
    <x v="1"/>
  </r>
  <r>
    <x v="176"/>
    <x v="2"/>
    <s v="Portland State @ Pepperdine"/>
    <s v="Under 163"/>
    <n v="20"/>
    <n v="-113"/>
    <x v="1"/>
    <n v="17.699115044247787"/>
    <x v="1"/>
  </r>
  <r>
    <x v="176"/>
    <x v="2"/>
    <s v="Seattle @ Washington"/>
    <s v="Seattle +16"/>
    <n v="20"/>
    <n v="-110"/>
    <x v="0"/>
    <n v="-20"/>
    <x v="3"/>
  </r>
  <r>
    <x v="177"/>
    <x v="2"/>
    <s v="Canisius @ Buffalo"/>
    <s v="Under 155.5"/>
    <n v="10"/>
    <n v="-112"/>
    <x v="1"/>
    <n v="8.9285714285714288"/>
    <x v="1"/>
  </r>
  <r>
    <x v="177"/>
    <x v="2"/>
    <s v="Virginia Commonwealth @ College of Charleston"/>
    <s v="Virginia Commonwealth -5"/>
    <n v="10"/>
    <n v="-108"/>
    <x v="0"/>
    <n v="-10"/>
    <x v="0"/>
  </r>
  <r>
    <x v="177"/>
    <x v="2"/>
    <s v="DePaul @ Cleveland State"/>
    <s v="Under 136.5"/>
    <n v="10"/>
    <n v="-110"/>
    <x v="0"/>
    <n v="-10"/>
    <x v="1"/>
  </r>
  <r>
    <x v="177"/>
    <x v="2"/>
    <s v="Tennessee State @ Indiana State"/>
    <s v="Tennessee State +9"/>
    <n v="10"/>
    <n v="-110"/>
    <x v="1"/>
    <n v="9.0909090909090917"/>
    <x v="3"/>
  </r>
  <r>
    <x v="177"/>
    <x v="2"/>
    <s v="Wagner @ La Salle"/>
    <s v="Over 141"/>
    <n v="10"/>
    <n v="-108"/>
    <x v="0"/>
    <n v="-10"/>
    <x v="2"/>
  </r>
  <r>
    <x v="177"/>
    <x v="2"/>
    <s v="Valparaiso @ High Point"/>
    <s v="Valparaiso -10.5"/>
    <n v="10"/>
    <n v="-110"/>
    <x v="1"/>
    <n v="9.0909090909090917"/>
    <x v="0"/>
  </r>
  <r>
    <x v="177"/>
    <x v="2"/>
    <s v="Valparaiso @ High Point"/>
    <s v="Over 137"/>
    <n v="10"/>
    <n v="-107"/>
    <x v="1"/>
    <n v="9.3457943925233646"/>
    <x v="2"/>
  </r>
  <r>
    <x v="177"/>
    <x v="2"/>
    <s v="Illinois-Chicago @ Illinois State"/>
    <s v="Illinois State -5"/>
    <n v="10"/>
    <n v="-112"/>
    <x v="0"/>
    <n v="-10"/>
    <x v="0"/>
  </r>
  <r>
    <x v="177"/>
    <x v="2"/>
    <s v="Kennesaw State @ Belmont"/>
    <s v="Over 142"/>
    <n v="10"/>
    <n v="-113"/>
    <x v="0"/>
    <n v="-10"/>
    <x v="2"/>
  </r>
  <r>
    <x v="177"/>
    <x v="2"/>
    <s v="Alabama @ Samford"/>
    <s v="Under 160"/>
    <n v="10"/>
    <n v="-112"/>
    <x v="0"/>
    <n v="-10"/>
    <x v="1"/>
  </r>
  <r>
    <x v="177"/>
    <x v="2"/>
    <s v="Binghamton @ Youngstown State"/>
    <s v="Binghamton +9.5"/>
    <n v="10"/>
    <n v="-110"/>
    <x v="0"/>
    <n v="-10"/>
    <x v="3"/>
  </r>
  <r>
    <x v="177"/>
    <x v="2"/>
    <s v="Binghamton @ Youngstown State"/>
    <s v="Over 140.5"/>
    <n v="10"/>
    <n v="-107"/>
    <x v="0"/>
    <n v="-10"/>
    <x v="2"/>
  </r>
  <r>
    <x v="177"/>
    <x v="2"/>
    <s v="Utah State @ South Florida"/>
    <s v="Utah State -8.5"/>
    <n v="10"/>
    <n v="-110"/>
    <x v="0"/>
    <n v="-10"/>
    <x v="0"/>
  </r>
  <r>
    <x v="177"/>
    <x v="2"/>
    <s v="Radford @ Mississippi State"/>
    <s v="Radford +12"/>
    <n v="10"/>
    <n v="-110"/>
    <x v="1"/>
    <n v="9.0909090909090917"/>
    <x v="3"/>
  </r>
  <r>
    <x v="177"/>
    <x v="2"/>
    <s v="Abilene Christian @ New Orleans"/>
    <s v="Over 134"/>
    <n v="10"/>
    <n v="-108"/>
    <x v="1"/>
    <n v="9.2592592592592595"/>
    <x v="2"/>
  </r>
  <r>
    <x v="177"/>
    <x v="2"/>
    <s v="Texas A&amp;M-Corpus Christi @ Nicholls State"/>
    <s v="Nicholls State -8"/>
    <n v="10"/>
    <n v="-110"/>
    <x v="0"/>
    <n v="-10"/>
    <x v="0"/>
  </r>
  <r>
    <x v="177"/>
    <x v="2"/>
    <s v="Hampton @ Southern Illinois"/>
    <s v="Hampton +9"/>
    <n v="10"/>
    <n v="-110"/>
    <x v="0"/>
    <n v="-10"/>
    <x v="3"/>
  </r>
  <r>
    <x v="177"/>
    <x v="2"/>
    <s v="Hampton @ Southern Illinois"/>
    <s v="Over 132.5"/>
    <n v="10"/>
    <n v="-112"/>
    <x v="0"/>
    <n v="-10"/>
    <x v="2"/>
  </r>
  <r>
    <x v="177"/>
    <x v="2"/>
    <s v="Florida Gulf Coast @ South Dakota State"/>
    <s v="Over 132"/>
    <n v="10"/>
    <n v="-107"/>
    <x v="0"/>
    <n v="-10"/>
    <x v="2"/>
  </r>
  <r>
    <x v="177"/>
    <x v="2"/>
    <s v="Louisiana @ Arkansas State"/>
    <s v="Over 146.5"/>
    <n v="10"/>
    <n v="-109"/>
    <x v="0"/>
    <n v="-10"/>
    <x v="2"/>
  </r>
  <r>
    <x v="177"/>
    <x v="2"/>
    <s v="Miami (OH) @ Louisville"/>
    <s v="Miami (OH) +22.5"/>
    <n v="10"/>
    <n v="-109"/>
    <x v="0"/>
    <n v="-10"/>
    <x v="3"/>
  </r>
  <r>
    <x v="177"/>
    <x v="2"/>
    <s v="Miami (OH) @ Louisville"/>
    <s v="Over 141.5"/>
    <n v="10"/>
    <n v="-108"/>
    <x v="0"/>
    <n v="-10"/>
    <x v="2"/>
  </r>
  <r>
    <x v="177"/>
    <x v="2"/>
    <s v="Albany (NY) @ St. John's (NY)"/>
    <s v="St. John's (NY) -9"/>
    <n v="10"/>
    <n v="-110"/>
    <x v="1"/>
    <n v="9.0909090909090917"/>
    <x v="0"/>
  </r>
  <r>
    <x v="177"/>
    <x v="2"/>
    <s v="Delaware State @ Jacksonville State"/>
    <s v="Over 144.5"/>
    <n v="10"/>
    <n v="-108"/>
    <x v="1"/>
    <n v="9.2592592592592595"/>
    <x v="2"/>
  </r>
  <r>
    <x v="177"/>
    <x v="2"/>
    <s v="Arkansas-Pine Bluff @ New Mexico State"/>
    <s v="Arkansas-Pine Bluff +24.5"/>
    <n v="10"/>
    <n v="-109"/>
    <x v="0"/>
    <n v="-10"/>
    <x v="3"/>
  </r>
  <r>
    <x v="177"/>
    <x v="2"/>
    <s v="Arkansas-Pine Bluff @ New Mexico State"/>
    <s v="Over 125"/>
    <n v="10"/>
    <n v="-113"/>
    <x v="0"/>
    <n v="-10"/>
    <x v="2"/>
  </r>
  <r>
    <x v="177"/>
    <x v="2"/>
    <s v="Texas Southern @ Nevada"/>
    <s v="Texas Southern +16.5"/>
    <n v="10"/>
    <n v="-109"/>
    <x v="0"/>
    <n v="-10"/>
    <x v="3"/>
  </r>
  <r>
    <x v="177"/>
    <x v="2"/>
    <s v="Texas Southern @ Nevada"/>
    <s v="Under 156.5"/>
    <n v="10"/>
    <n v="-109"/>
    <x v="0"/>
    <n v="-10"/>
    <x v="1"/>
  </r>
  <r>
    <x v="177"/>
    <x v="2"/>
    <s v="Southern @ California Baptist"/>
    <s v="Over 145"/>
    <n v="10"/>
    <n v="-109"/>
    <x v="0"/>
    <n v="-10"/>
    <x v="2"/>
  </r>
  <r>
    <x v="177"/>
    <x v="2"/>
    <s v="Cal Poly @ Sacramento State"/>
    <s v="Sacramento State -10.5"/>
    <n v="10"/>
    <n v="-109"/>
    <x v="0"/>
    <n v="-10"/>
    <x v="0"/>
  </r>
  <r>
    <x v="177"/>
    <x v="2"/>
    <s v="Cal Poly @ Sacramento State"/>
    <s v="Over 125"/>
    <n v="10"/>
    <n v="-113"/>
    <x v="0"/>
    <n v="-10"/>
    <x v="2"/>
  </r>
  <r>
    <x v="177"/>
    <x v="2"/>
    <s v="Montana @ Oregon"/>
    <s v="Montana +19"/>
    <n v="10"/>
    <n v="-109"/>
    <x v="0"/>
    <n v="-10"/>
    <x v="3"/>
  </r>
  <r>
    <x v="177"/>
    <x v="2"/>
    <s v="Montana @ Oregon"/>
    <s v="Over 132"/>
    <n v="10"/>
    <n v="-108"/>
    <x v="0"/>
    <n v="-10"/>
    <x v="2"/>
  </r>
  <r>
    <x v="177"/>
    <x v="2"/>
    <s v="Kentucky @ Utah"/>
    <s v="Over 139"/>
    <n v="10"/>
    <n v="-108"/>
    <x v="0"/>
    <n v="-10"/>
    <x v="2"/>
  </r>
  <r>
    <x v="178"/>
    <x v="8"/>
    <s v="Utah State @ Kent State"/>
    <s v="Kent State +7.5"/>
    <n v="20"/>
    <n v="-110"/>
    <x v="1"/>
    <n v="18.181818181818183"/>
    <x v="3"/>
  </r>
  <r>
    <x v="179"/>
    <x v="1"/>
    <s v="Hawks @ Celtics"/>
    <s v="Under 223.5"/>
    <n v="19"/>
    <n v="-105"/>
    <x v="1"/>
    <n v="18.095238095238095"/>
    <x v="1"/>
  </r>
  <r>
    <x v="179"/>
    <x v="1"/>
    <s v="Heat @ Magic"/>
    <s v="Heat -1.5"/>
    <n v="19"/>
    <n v="-110"/>
    <x v="0"/>
    <n v="-19"/>
    <x v="0"/>
  </r>
  <r>
    <x v="179"/>
    <x v="1"/>
    <s v="Trail Blazers @ Wizards"/>
    <s v="Wizards +6.5"/>
    <n v="19"/>
    <n v="-105"/>
    <x v="0"/>
    <n v="-19"/>
    <x v="3"/>
  </r>
  <r>
    <x v="179"/>
    <x v="1"/>
    <s v="Knicks @ Suns"/>
    <s v="Under 225.5"/>
    <n v="19"/>
    <n v="-125"/>
    <x v="0"/>
    <n v="-19"/>
    <x v="1"/>
  </r>
  <r>
    <x v="179"/>
    <x v="1"/>
    <s v="Pelicans @ Lakers"/>
    <s v="Lakers -10.5"/>
    <n v="19"/>
    <n v="-118"/>
    <x v="0"/>
    <n v="-19"/>
    <x v="0"/>
  </r>
  <r>
    <x v="180"/>
    <x v="0"/>
    <s v="Titans @ Patriots"/>
    <s v="Under 45"/>
    <n v="21.98"/>
    <n v="-110"/>
    <x v="1"/>
    <n v="19.981818181818181"/>
    <x v="1"/>
  </r>
  <r>
    <x v="180"/>
    <x v="0"/>
    <s v="Titans @ Patriots"/>
    <s v="Patriots -4.5"/>
    <n v="21.05"/>
    <n v="-106"/>
    <x v="0"/>
    <n v="-21.05"/>
    <x v="0"/>
  </r>
  <r>
    <x v="180"/>
    <x v="0"/>
    <s v="Bills @ Texans"/>
    <s v="Bills +2.5"/>
    <n v="40"/>
    <n v="100"/>
    <x v="0"/>
    <n v="-40"/>
    <x v="3"/>
  </r>
  <r>
    <x v="181"/>
    <x v="0"/>
    <s v="Seahawks @ Eagles"/>
    <s v="Seahawks +1"/>
    <n v="21.98"/>
    <n v="-109"/>
    <x v="1"/>
    <n v="20.165137614678898"/>
    <x v="3"/>
  </r>
  <r>
    <x v="181"/>
    <x v="0"/>
    <s v="Seahawks @ Eagles"/>
    <s v="Over 44"/>
    <n v="22"/>
    <n v="-110"/>
    <x v="0"/>
    <n v="-22"/>
    <x v="2"/>
  </r>
  <r>
    <x v="181"/>
    <x v="0"/>
    <s v="Vikings @ Saints"/>
    <s v="Saints -7.5"/>
    <n v="21.05"/>
    <n v="-106"/>
    <x v="0"/>
    <n v="-21.05"/>
    <x v="0"/>
  </r>
  <r>
    <x v="182"/>
    <x v="2"/>
    <s v="Colgate @ Army"/>
    <s v="Colgate -7"/>
    <n v="15"/>
    <n v="-110"/>
    <x v="0"/>
    <n v="-15"/>
    <x v="0"/>
  </r>
  <r>
    <x v="182"/>
    <x v="2"/>
    <s v="Louisiana-Monroe @ Coastal Carolina"/>
    <s v="Coastal Carolina -8.5"/>
    <n v="15"/>
    <n v="-110"/>
    <x v="1"/>
    <n v="13.636363636363635"/>
    <x v="0"/>
  </r>
  <r>
    <x v="182"/>
    <x v="2"/>
    <s v="Florida A&amp;M @ North Carolina A&amp;T"/>
    <s v="Florida A&amp;M +3.5"/>
    <n v="15"/>
    <n v="-108"/>
    <x v="0"/>
    <n v="-15"/>
    <x v="3"/>
  </r>
  <r>
    <x v="182"/>
    <x v="2"/>
    <s v="Florida A&amp;M @ North Carolina A&amp;T"/>
    <s v="Over 128.5"/>
    <n v="15"/>
    <n v="-107"/>
    <x v="1"/>
    <n v="14.018691588785046"/>
    <x v="2"/>
  </r>
  <r>
    <x v="182"/>
    <x v="2"/>
    <s v="Georgia State @ Arkansas State"/>
    <s v="Under 145"/>
    <n v="15"/>
    <n v="-112"/>
    <x v="0"/>
    <n v="-15"/>
    <x v="1"/>
  </r>
  <r>
    <x v="182"/>
    <x v="2"/>
    <s v="Alabama State @ Grambling"/>
    <s v="Under 138"/>
    <n v="15"/>
    <n v="-107"/>
    <x v="1"/>
    <n v="14.018691588785046"/>
    <x v="1"/>
  </r>
  <r>
    <x v="182"/>
    <x v="2"/>
    <s v="Alcorn State @ Texas Southern"/>
    <s v="Alcorn State +12"/>
    <n v="15"/>
    <n v="-109"/>
    <x v="1"/>
    <n v="13.761467889908257"/>
    <x v="3"/>
  </r>
  <r>
    <x v="182"/>
    <x v="2"/>
    <s v="West Virginia @ Oklahoma State"/>
    <s v="Under 138"/>
    <n v="15"/>
    <n v="-112"/>
    <x v="1"/>
    <n v="13.392857142857142"/>
    <x v="1"/>
  </r>
  <r>
    <x v="182"/>
    <x v="2"/>
    <s v="Southern @ Prairie View"/>
    <s v="Southern +9.5"/>
    <n v="15"/>
    <n v="-110"/>
    <x v="0"/>
    <n v="-15"/>
    <x v="3"/>
  </r>
  <r>
    <x v="183"/>
    <x v="2"/>
    <s v="Buffalo @ Ball State"/>
    <s v="Over 147.5"/>
    <n v="10"/>
    <n v="-108"/>
    <x v="1"/>
    <n v="9.2592592592592595"/>
    <x v="2"/>
  </r>
  <r>
    <x v="183"/>
    <x v="2"/>
    <s v="Northern Illinois @ Central Michigan"/>
    <s v="Central Michigan -4.5"/>
    <n v="10"/>
    <n v="-112"/>
    <x v="0"/>
    <n v="-10"/>
    <x v="0"/>
  </r>
  <r>
    <x v="183"/>
    <x v="2"/>
    <s v="Ohio State @ Maryland"/>
    <s v="Ohio State +2.5"/>
    <n v="10"/>
    <n v="-113"/>
    <x v="0"/>
    <n v="-10"/>
    <x v="3"/>
  </r>
  <r>
    <x v="183"/>
    <x v="2"/>
    <s v="Eastern Michigan @ Ohio"/>
    <s v="Ohio -5"/>
    <n v="10"/>
    <n v="-112"/>
    <x v="1"/>
    <n v="8.9285714285714288"/>
    <x v="0"/>
  </r>
  <r>
    <x v="183"/>
    <x v="2"/>
    <s v="Eastern Michigan @ Ohio"/>
    <s v="Under 125.5"/>
    <n v="10"/>
    <n v="-112"/>
    <x v="0"/>
    <n v="-10"/>
    <x v="1"/>
  </r>
  <r>
    <x v="183"/>
    <x v="2"/>
    <s v="Florida @ South Carolina"/>
    <s v="South Carolina +4.5"/>
    <n v="10"/>
    <n v="-108"/>
    <x v="0"/>
    <n v="-10"/>
    <x v="3"/>
  </r>
  <r>
    <x v="183"/>
    <x v="2"/>
    <s v="Tennessee @ Missouri"/>
    <s v="Tennessee +5"/>
    <n v="10"/>
    <n v="-109"/>
    <x v="1"/>
    <n v="9.1743119266055047"/>
    <x v="3"/>
  </r>
  <r>
    <x v="183"/>
    <x v="2"/>
    <s v="Tennessee @ Missouri"/>
    <s v="Over 122"/>
    <n v="10"/>
    <n v="-112"/>
    <x v="1"/>
    <n v="8.9285714285714288"/>
    <x v="2"/>
  </r>
  <r>
    <x v="183"/>
    <x v="2"/>
    <s v="Virginia @ Boston College"/>
    <s v="Boston College +8.5"/>
    <n v="10"/>
    <n v="-110"/>
    <x v="1"/>
    <n v="9.0909090909090917"/>
    <x v="3"/>
  </r>
  <r>
    <x v="183"/>
    <x v="2"/>
    <s v="Virginia @ Boston College"/>
    <s v="Under 111.5"/>
    <n v="10"/>
    <n v="-113"/>
    <x v="0"/>
    <n v="-10"/>
    <x v="1"/>
  </r>
  <r>
    <x v="183"/>
    <x v="2"/>
    <s v="Providence @ Marquette"/>
    <s v="Over 144.5"/>
    <n v="10"/>
    <n v="-109"/>
    <x v="1"/>
    <n v="9.1743119266055047"/>
    <x v="2"/>
  </r>
  <r>
    <x v="183"/>
    <x v="2"/>
    <s v="South Florida @ East Carolina"/>
    <s v="East Carolina +4.5"/>
    <n v="10"/>
    <n v="-108"/>
    <x v="1"/>
    <n v="9.2592592592592595"/>
    <x v="3"/>
  </r>
  <r>
    <x v="183"/>
    <x v="2"/>
    <s v="Villanova @ Creighton"/>
    <s v="Under 148.5"/>
    <n v="9"/>
    <n v="-110"/>
    <x v="1"/>
    <n v="8.1818181818181817"/>
    <x v="1"/>
  </r>
  <r>
    <x v="183"/>
    <x v="2"/>
    <s v="Utah State @ Air Force"/>
    <s v="Under 146"/>
    <n v="9"/>
    <n v="-113"/>
    <x v="1"/>
    <n v="7.9646017699115044"/>
    <x v="1"/>
  </r>
  <r>
    <x v="183"/>
    <x v="2"/>
    <s v="Rider @ Quinnipiac"/>
    <s v="Rider -2.5"/>
    <n v="8.92"/>
    <n v="-112"/>
    <x v="0"/>
    <n v="-8.92"/>
    <x v="0"/>
  </r>
  <r>
    <x v="184"/>
    <x v="2"/>
    <s v="Northwestern @ Indiana"/>
    <s v="Under 139"/>
    <n v="10"/>
    <n v="-113"/>
    <x v="1"/>
    <n v="8.8495575221238933"/>
    <x v="1"/>
  </r>
  <r>
    <x v="184"/>
    <x v="2"/>
    <s v="American @ Army"/>
    <s v="Over 144"/>
    <n v="10"/>
    <n v="-109"/>
    <x v="0"/>
    <n v="-10"/>
    <x v="2"/>
  </r>
  <r>
    <x v="184"/>
    <x v="2"/>
    <s v="Davidson @ Rhode Island"/>
    <s v="Over 143"/>
    <n v="10"/>
    <n v="-108"/>
    <x v="0"/>
    <n v="-10"/>
    <x v="2"/>
  </r>
  <r>
    <x v="184"/>
    <x v="2"/>
    <s v="Hartford @ Massachusetts-Lowell"/>
    <s v="Massachusetts-Lowell -6"/>
    <n v="10"/>
    <n v="-110"/>
    <x v="0"/>
    <n v="-10"/>
    <x v="0"/>
  </r>
  <r>
    <x v="184"/>
    <x v="2"/>
    <s v="Northwestern State @ Incarnate Word"/>
    <s v="Over 143"/>
    <n v="10"/>
    <n v="-109"/>
    <x v="0"/>
    <n v="-10"/>
    <x v="2"/>
  </r>
  <r>
    <x v="184"/>
    <x v="2"/>
    <s v="St. Bonaventure @ George Mason"/>
    <s v="Under 130"/>
    <n v="10"/>
    <n v="-113"/>
    <x v="1"/>
    <n v="8.8495575221238933"/>
    <x v="1"/>
  </r>
  <r>
    <x v="184"/>
    <x v="2"/>
    <s v="Longwood @ Charleston Southern"/>
    <s v="Over 141"/>
    <n v="10"/>
    <n v="-108"/>
    <x v="0"/>
    <n v="-10"/>
    <x v="2"/>
  </r>
  <r>
    <x v="184"/>
    <x v="2"/>
    <s v="Purdue-Fort Wayne @ Western Illinois"/>
    <s v="Over 151"/>
    <n v="10"/>
    <n v="-109"/>
    <x v="0"/>
    <n v="-10"/>
    <x v="2"/>
  </r>
  <r>
    <x v="184"/>
    <x v="2"/>
    <s v="Omaha @ North Dakota"/>
    <s v="North Dakota -2.5"/>
    <n v="10"/>
    <n v="-112"/>
    <x v="0"/>
    <n v="-10"/>
    <x v="0"/>
  </r>
  <r>
    <x v="184"/>
    <x v="2"/>
    <s v="San Diego State @ Wyoming"/>
    <s v="Under 120"/>
    <n v="10"/>
    <n v="-112"/>
    <x v="0"/>
    <n v="-10"/>
    <x v="1"/>
  </r>
  <r>
    <x v="184"/>
    <x v="2"/>
    <s v="Northwestern @ Indiana"/>
    <s v="Indiana -13"/>
    <n v="10"/>
    <n v="-110"/>
    <x v="0"/>
    <n v="-10"/>
    <x v="0"/>
  </r>
  <r>
    <x v="184"/>
    <x v="2"/>
    <s v="Pittsburgh @ North Carolina"/>
    <s v="Over 138.5"/>
    <n v="10"/>
    <n v="-114"/>
    <x v="0"/>
    <n v="-10"/>
    <x v="2"/>
  </r>
  <r>
    <x v="184"/>
    <x v="2"/>
    <s v="George Washington @ Saint Louis"/>
    <s v="Under 133.5"/>
    <n v="10"/>
    <n v="-113"/>
    <x v="1"/>
    <n v="8.8495575221238933"/>
    <x v="1"/>
  </r>
  <r>
    <x v="184"/>
    <x v="2"/>
    <s v="Purdue-Fort Wayne @ Western Illinois"/>
    <s v="Western Illinois +2.5"/>
    <n v="10"/>
    <n v="-109"/>
    <x v="0"/>
    <n v="-10"/>
    <x v="3"/>
  </r>
  <r>
    <x v="184"/>
    <x v="2"/>
    <s v="San Diego State @ Wyoming"/>
    <s v="Wyoming +17"/>
    <n v="10"/>
    <n v="-110"/>
    <x v="0"/>
    <n v="-10"/>
    <x v="3"/>
  </r>
  <r>
    <x v="184"/>
    <x v="2"/>
    <s v="Campbell @ North Carolina-Asheville"/>
    <s v="North Carolina-Asheville -4"/>
    <n v="10"/>
    <n v="-112"/>
    <x v="0"/>
    <n v="-10"/>
    <x v="0"/>
  </r>
  <r>
    <x v="185"/>
    <x v="2"/>
    <s v="Louisiana-Monroe @ Georgia Southern"/>
    <s v="Louisiana-Monroe +11"/>
    <n v="5"/>
    <n v="-110"/>
    <x v="2"/>
    <n v="0"/>
    <x v="3"/>
  </r>
  <r>
    <x v="185"/>
    <x v="2"/>
    <s v="North Alabama @ Liberty"/>
    <s v="Over 123.5"/>
    <n v="5"/>
    <n v="-108"/>
    <x v="0"/>
    <n v="-5"/>
    <x v="2"/>
  </r>
  <r>
    <x v="185"/>
    <x v="2"/>
    <s v="Memphis @ Wichita State"/>
    <s v="Memphis +6"/>
    <n v="5"/>
    <n v="-109"/>
    <x v="0"/>
    <n v="-5"/>
    <x v="3"/>
  </r>
  <r>
    <x v="185"/>
    <x v="2"/>
    <s v="Eastern Illinois @ Eastern Kentucky"/>
    <s v="Eastern Illinois -4"/>
    <n v="5"/>
    <n v="-112"/>
    <x v="0"/>
    <n v="-5"/>
    <x v="0"/>
  </r>
  <r>
    <x v="185"/>
    <x v="2"/>
    <s v="Arkansas State @ South Alabama"/>
    <s v="Arkansas State +7"/>
    <n v="5"/>
    <n v="-110"/>
    <x v="0"/>
    <n v="-5"/>
    <x v="3"/>
  </r>
  <r>
    <x v="185"/>
    <x v="2"/>
    <s v="Tennessee State @ Tennessee-Martin"/>
    <s v="Tennessee State -2.5"/>
    <n v="5"/>
    <n v="-112"/>
    <x v="0"/>
    <n v="-5"/>
    <x v="0"/>
  </r>
  <r>
    <x v="185"/>
    <x v="2"/>
    <s v="Southern Mississippi @ Texas-El Paso"/>
    <s v="Over 128.5"/>
    <n v="5"/>
    <n v="-112"/>
    <x v="1"/>
    <n v="4.4642857142857144"/>
    <x v="2"/>
  </r>
  <r>
    <x v="185"/>
    <x v="2"/>
    <s v="Northern Colorado @ Weber State"/>
    <s v="Northern Colorado -2.5"/>
    <n v="5"/>
    <n v="-112"/>
    <x v="0"/>
    <n v="-5"/>
    <x v="0"/>
  </r>
  <r>
    <x v="185"/>
    <x v="2"/>
    <s v="Arizona @ Oregon"/>
    <s v="Arizona +3"/>
    <n v="5"/>
    <n v="-108"/>
    <x v="1"/>
    <n v="4.6296296296296298"/>
    <x v="3"/>
  </r>
  <r>
    <x v="185"/>
    <x v="2"/>
    <s v="Washington State @ University of California"/>
    <s v="Washington State +1.5"/>
    <n v="5"/>
    <n v="-109"/>
    <x v="0"/>
    <n v="-5"/>
    <x v="3"/>
  </r>
  <r>
    <x v="185"/>
    <x v="2"/>
    <s v="Santa Clara @ San Francisco"/>
    <s v="Santa Clara +6.5"/>
    <n v="5"/>
    <n v="-110"/>
    <x v="0"/>
    <n v="-5"/>
    <x v="3"/>
  </r>
  <r>
    <x v="185"/>
    <x v="2"/>
    <s v="Brigham Young @ Saint Mary's (CA)"/>
    <s v="Brigham Young +5"/>
    <n v="5"/>
    <n v="-109"/>
    <x v="1"/>
    <n v="4.5871559633027523"/>
    <x v="3"/>
  </r>
  <r>
    <x v="186"/>
    <x v="1"/>
    <s v="Pacers @ Bulls_x000a_Hawks @ Wizards_x000a_Pelicans @ Knicks_x000a_Heat @ Nets_x000a_Magic @ Suns_x000a_Hornets @ Jazz_x000a_Bucks @ Kings_x000a_Warriors @ Clippers"/>
    <s v="Pacers Moneyline (-143)_x000a_Wizards Moneyline (-110)_x000a_Pelicans Moneyline (-200)_x000a_Heat Moneyline (-162)_x000a_Magic Moneyline (135)_x000a_Jazz Moneyline (-1000)_x000a_Bucks Moneyline (-450)_x000a_Clippers Moneyline (-1600)"/>
    <n v="0.23"/>
    <n v="2540"/>
    <x v="0"/>
    <n v="-0.23"/>
    <x v="7"/>
  </r>
  <r>
    <x v="187"/>
    <x v="0"/>
    <s v="Vikings @ 49ers"/>
    <s v="49ers -7"/>
    <n v="20"/>
    <n v="-130"/>
    <x v="1"/>
    <n v="15.384615384615385"/>
    <x v="0"/>
  </r>
  <r>
    <x v="187"/>
    <x v="0"/>
    <s v="Titans @ Ravens"/>
    <s v="Ravens -9.5"/>
    <n v="18.75"/>
    <n v="-110"/>
    <x v="0"/>
    <n v="-18.75"/>
    <x v="0"/>
  </r>
  <r>
    <x v="188"/>
    <x v="0"/>
    <s v="Texans @ Chiefs"/>
    <s v="Texans +9.5"/>
    <n v="17"/>
    <n v="-110"/>
    <x v="0"/>
    <n v="-17"/>
    <x v="3"/>
  </r>
  <r>
    <x v="188"/>
    <x v="0"/>
    <s v="Texans @ Chiefs"/>
    <s v="Under 50.5"/>
    <n v="17"/>
    <n v="-110"/>
    <x v="0"/>
    <n v="-17"/>
    <x v="1"/>
  </r>
  <r>
    <x v="188"/>
    <x v="0"/>
    <s v="Seahawks @ Packers_x000a_Seahawks @ Packers"/>
    <s v="Packers -4.5_x000a_Under 46.5"/>
    <n v="1.4"/>
    <n v="255"/>
    <x v="0"/>
    <n v="-1.4"/>
    <x v="7"/>
  </r>
  <r>
    <x v="189"/>
    <x v="1"/>
    <s v="Bulls @ Celtics"/>
    <s v="Under 215.5"/>
    <n v="20"/>
    <n v="-111"/>
    <x v="1"/>
    <n v="18.018018018018019"/>
    <x v="1"/>
  </r>
  <r>
    <x v="189"/>
    <x v="1"/>
    <s v="Thunder @ Timberwolves"/>
    <s v="Timberwolves +3.5"/>
    <n v="20"/>
    <n v="-118"/>
    <x v="0"/>
    <n v="-20"/>
    <x v="3"/>
  </r>
  <r>
    <x v="189"/>
    <x v="1"/>
    <s v="Magic @ Kings"/>
    <s v=" Kings -1.5"/>
    <n v="20"/>
    <n v="-118"/>
    <x v="0"/>
    <n v="-20"/>
    <x v="0"/>
  </r>
  <r>
    <x v="189"/>
    <x v="1"/>
    <s v="Hornets @ Trail Blazers"/>
    <s v=" Hornets +9.5"/>
    <n v="20"/>
    <n v="-120"/>
    <x v="1"/>
    <n v="16.666666666666664"/>
    <x v="3"/>
  </r>
  <r>
    <x v="189"/>
    <x v="2"/>
    <s v="Delaware State @ North Carolina A&amp;T"/>
    <s v="Under 148.5"/>
    <n v="20"/>
    <n v="-110"/>
    <x v="0"/>
    <n v="-20"/>
    <x v="1"/>
  </r>
  <r>
    <x v="189"/>
    <x v="8"/>
    <s v="Clemson @ LSU"/>
    <s v="Clemson +5"/>
    <n v="20"/>
    <n v="-110"/>
    <x v="0"/>
    <n v="-20"/>
    <x v="3"/>
  </r>
  <r>
    <x v="190"/>
    <x v="1"/>
    <s v="Suns @ Hawks"/>
    <s v="Suns -5.5"/>
    <n v="10"/>
    <n v="-105"/>
    <x v="0"/>
    <n v="-10"/>
    <x v="0"/>
  </r>
  <r>
    <x v="190"/>
    <x v="2"/>
    <s v="Maryland @ Wisconsin"/>
    <s v="Maryland +3.5"/>
    <n v="10"/>
    <n v="-118"/>
    <x v="1"/>
    <n v="8.4745762711864394"/>
    <x v="3"/>
  </r>
  <r>
    <x v="190"/>
    <x v="2"/>
    <s v="Missouri @ Mississippi State"/>
    <s v="Missouri +2.5"/>
    <n v="10"/>
    <n v="-110"/>
    <x v="0"/>
    <n v="-10"/>
    <x v="3"/>
  </r>
  <r>
    <x v="190"/>
    <x v="2"/>
    <s v="Nebraska @ Ohio State"/>
    <s v="Over 138.5"/>
    <n v="10"/>
    <n v="-110"/>
    <x v="1"/>
    <n v="9.0909090909090917"/>
    <x v="2"/>
  </r>
  <r>
    <x v="190"/>
    <x v="2"/>
    <s v="San Diego State @ Fresno State"/>
    <s v="Fresno State +7.5"/>
    <n v="10"/>
    <n v="-110"/>
    <x v="0"/>
    <n v="-10"/>
    <x v="3"/>
  </r>
  <r>
    <x v="190"/>
    <x v="5"/>
    <s v="Bruins @ Blue Jackets"/>
    <s v="Blue Jackets Moneyline"/>
    <n v="10"/>
    <n v="120"/>
    <x v="1"/>
    <n v="12"/>
    <x v="4"/>
  </r>
  <r>
    <x v="190"/>
    <x v="1"/>
    <s v="Mavericks @ Warriors"/>
    <s v="Warriors +8.5"/>
    <n v="10"/>
    <n v="-118"/>
    <x v="0"/>
    <n v="-10"/>
    <x v="3"/>
  </r>
  <r>
    <x v="191"/>
    <x v="2"/>
    <s v="Indiana @ Rutgers"/>
    <s v="Indiana +3"/>
    <n v="10"/>
    <n v="-110"/>
    <x v="0"/>
    <n v="-10"/>
    <x v="3"/>
  </r>
  <r>
    <x v="191"/>
    <x v="2"/>
    <s v="VMI @ Mercer"/>
    <s v="Mercer -6"/>
    <n v="10"/>
    <n v="-105"/>
    <x v="1"/>
    <n v="9.5238095238095237"/>
    <x v="0"/>
  </r>
  <r>
    <x v="191"/>
    <x v="2"/>
    <s v="Auburn @ Alabama"/>
    <s v="Alabama +1.5"/>
    <n v="10"/>
    <n v="-110"/>
    <x v="1"/>
    <n v="9.0909090909090917"/>
    <x v="3"/>
  </r>
  <r>
    <x v="191"/>
    <x v="2"/>
    <s v="Army @ Holy Cross"/>
    <s v="Army -3"/>
    <n v="10"/>
    <n v="-105"/>
    <x v="1"/>
    <n v="9.5238095238095237"/>
    <x v="0"/>
  </r>
  <r>
    <x v="191"/>
    <x v="1"/>
    <s v="Magic @ Lakers"/>
    <s v="Under 209.5"/>
    <n v="10"/>
    <n v="-111"/>
    <x v="0"/>
    <n v="-10"/>
    <x v="1"/>
  </r>
  <r>
    <x v="192"/>
    <x v="2"/>
    <s v="Utah @ Arizona"/>
    <s v="Over 144.5"/>
    <n v="10"/>
    <n v="-110"/>
    <x v="1"/>
    <n v="9.0909090909090917"/>
    <x v="2"/>
  </r>
  <r>
    <x v="192"/>
    <x v="2"/>
    <s v="UC-Davis @ Long Beach State"/>
    <s v="UC-Davis +1"/>
    <n v="10"/>
    <n v="-110"/>
    <x v="1"/>
    <n v="9.0909090909090917"/>
    <x v="3"/>
  </r>
  <r>
    <x v="192"/>
    <x v="2"/>
    <s v="Santa Clara @ Gonzaga"/>
    <s v="Santa Clara +20"/>
    <n v="10"/>
    <n v="-110"/>
    <x v="0"/>
    <n v="-10"/>
    <x v="3"/>
  </r>
  <r>
    <x v="192"/>
    <x v="2"/>
    <s v="New Mexico State @ Utah Valley State"/>
    <s v="Under 137"/>
    <n v="10"/>
    <n v="-110"/>
    <x v="1"/>
    <n v="9.0909090909090917"/>
    <x v="1"/>
  </r>
  <r>
    <x v="192"/>
    <x v="2"/>
    <s v="Weber State @ Idaho State"/>
    <s v="Over 133.5"/>
    <n v="10"/>
    <n v="-110"/>
    <x v="1"/>
    <n v="9.0909090909090917"/>
    <x v="2"/>
  </r>
  <r>
    <x v="192"/>
    <x v="2"/>
    <s v="North Carolina-Charlotte @ Marshall"/>
    <s v="Charlotte +5.5"/>
    <n v="10"/>
    <n v="-118"/>
    <x v="1"/>
    <n v="8.4745762711864394"/>
    <x v="3"/>
  </r>
  <r>
    <x v="192"/>
    <x v="5"/>
    <s v="Penguins @ Bruins"/>
    <s v="Penguins Moneyline"/>
    <n v="10"/>
    <n v="115"/>
    <x v="0"/>
    <n v="-10"/>
    <x v="4"/>
  </r>
  <r>
    <x v="192"/>
    <x v="1"/>
    <s v="Nuggets @ Warriors"/>
    <s v="Warriors +3.5"/>
    <n v="10"/>
    <n v="-110"/>
    <x v="1"/>
    <n v="9.0909090909090917"/>
    <x v="3"/>
  </r>
  <r>
    <x v="192"/>
    <x v="2"/>
    <s v="Colorado @ Arizona State"/>
    <s v="Under 140.5"/>
    <n v="10"/>
    <n v="-110"/>
    <x v="1"/>
    <n v="9.0909090909090917"/>
    <x v="1"/>
  </r>
  <r>
    <x v="193"/>
    <x v="2"/>
    <s v="Furman @ Wofford"/>
    <s v="Wofford +3.5"/>
    <n v="10"/>
    <n v="-118"/>
    <x v="1"/>
    <n v="8.4745762711864394"/>
    <x v="3"/>
  </r>
  <r>
    <x v="193"/>
    <x v="2"/>
    <s v="Rider @ Niagra"/>
    <s v="Over 146"/>
    <n v="10"/>
    <n v="-105"/>
    <x v="0"/>
    <n v="-10"/>
    <x v="2"/>
  </r>
  <r>
    <x v="193"/>
    <x v="2"/>
    <s v="Fairmont @ Iona"/>
    <s v="Fairmont +4"/>
    <n v="10"/>
    <n v="-111"/>
    <x v="0"/>
    <n v="-10"/>
    <x v="3"/>
  </r>
  <r>
    <x v="193"/>
    <x v="2"/>
    <s v="Wisconsin @ Michigan State"/>
    <s v="Wisonsin +9.5"/>
    <n v="10"/>
    <n v="-118"/>
    <x v="0"/>
    <n v="-10"/>
    <x v="3"/>
  </r>
  <r>
    <x v="193"/>
    <x v="2"/>
    <s v="Brown @ Yale"/>
    <s v="Brown +11"/>
    <n v="10"/>
    <n v="-105"/>
    <x v="0"/>
    <n v="-10"/>
    <x v="3"/>
  </r>
  <r>
    <x v="193"/>
    <x v="5"/>
    <s v="Ducks @ Hurricans"/>
    <s v="Ducks Moneyline"/>
    <n v="10"/>
    <n v="188"/>
    <x v="1"/>
    <n v="18.799999999999997"/>
    <x v="4"/>
  </r>
  <r>
    <x v="193"/>
    <x v="1"/>
    <s v="Cavaliers @ Grizzlies"/>
    <s v="Over 228.5"/>
    <n v="10"/>
    <n v="-125"/>
    <x v="1"/>
    <n v="8"/>
    <x v="2"/>
  </r>
  <r>
    <x v="193"/>
    <x v="1"/>
    <s v="Cavaliers @ Grizzlies"/>
    <s v="Cavaliers +8.5"/>
    <n v="10"/>
    <n v="-120"/>
    <x v="1"/>
    <n v="8.3333333333333321"/>
    <x v="3"/>
  </r>
  <r>
    <x v="193"/>
    <x v="5"/>
    <s v="Lightning @ Jets"/>
    <s v="Jets Moneyline"/>
    <n v="10"/>
    <n v="120"/>
    <x v="0"/>
    <n v="-10"/>
    <x v="4"/>
  </r>
  <r>
    <x v="193"/>
    <x v="1"/>
    <s v="Hawks @ Spurs"/>
    <s v="Over 230.5"/>
    <n v="10"/>
    <n v="100"/>
    <x v="1"/>
    <n v="10"/>
    <x v="2"/>
  </r>
  <r>
    <x v="194"/>
    <x v="2"/>
    <s v="Miami (OH) @ Ball State"/>
    <s v="Ball State -8.5"/>
    <n v="10"/>
    <n v="-105"/>
    <x v="1"/>
    <n v="9.5238095238095237"/>
    <x v="0"/>
  </r>
  <r>
    <x v="194"/>
    <x v="2"/>
    <s v="South Carolina @ Texas A&amp;M"/>
    <s v="South Carolina +1.5"/>
    <n v="10"/>
    <n v="-105"/>
    <x v="1"/>
    <n v="9.5238095238095237"/>
    <x v="3"/>
  </r>
  <r>
    <x v="194"/>
    <x v="2"/>
    <s v="Florida State @ Miami"/>
    <s v="Miami +6.5"/>
    <n v="10"/>
    <n v="-110"/>
    <x v="1"/>
    <n v="9.0909090909090917"/>
    <x v="3"/>
  </r>
  <r>
    <x v="194"/>
    <x v="2"/>
    <s v="St. Peters @ Quinnipiac"/>
    <s v="Quinnipiac -5.5"/>
    <n v="10"/>
    <n v="-110"/>
    <x v="0"/>
    <n v="-10"/>
    <x v="0"/>
  </r>
  <r>
    <x v="194"/>
    <x v="2"/>
    <s v="Alcorn State @ Misssissippi Valley State"/>
    <s v="Over 155"/>
    <n v="10"/>
    <n v="-105"/>
    <x v="1"/>
    <n v="9.5238095238095237"/>
    <x v="2"/>
  </r>
  <r>
    <x v="194"/>
    <x v="2"/>
    <s v="Murray State @ Southeast Missouri State"/>
    <s v="Southeast Missouri State +10.5"/>
    <n v="10"/>
    <n v="-110"/>
    <x v="1"/>
    <n v="9.0909090909090917"/>
    <x v="3"/>
  </r>
  <r>
    <x v="194"/>
    <x v="1"/>
    <s v="76ers @ Knicks"/>
    <s v="76ers -4.5"/>
    <n v="10"/>
    <n v="-110"/>
    <x v="0"/>
    <n v="-10"/>
    <x v="0"/>
  </r>
  <r>
    <x v="194"/>
    <x v="5"/>
    <s v="Sabres @ Predators"/>
    <s v="Sabres Moneyline"/>
    <n v="10"/>
    <n v="175"/>
    <x v="0"/>
    <n v="-10"/>
    <x v="4"/>
  </r>
  <r>
    <x v="195"/>
    <x v="0"/>
    <s v="Titans @ Chiefs"/>
    <s v="Under 53"/>
    <n v="20"/>
    <n v="-110"/>
    <x v="0"/>
    <n v="-20"/>
    <x v="1"/>
  </r>
  <r>
    <x v="195"/>
    <x v="0"/>
    <s v="Titans @ Chiefs"/>
    <s v="Titans +7.5"/>
    <n v="20"/>
    <n v="-110"/>
    <x v="0"/>
    <n v="-20"/>
    <x v="3"/>
  </r>
  <r>
    <x v="195"/>
    <x v="0"/>
    <s v="Packers @ 49ers"/>
    <s v="Under 46.5"/>
    <n v="20"/>
    <n v="-110"/>
    <x v="0"/>
    <n v="-20"/>
    <x v="1"/>
  </r>
  <r>
    <x v="195"/>
    <x v="0"/>
    <s v="Packers @ 49ers"/>
    <s v="Packers +7"/>
    <n v="20"/>
    <n v="-110"/>
    <x v="0"/>
    <n v="-20"/>
    <x v="3"/>
  </r>
  <r>
    <x v="196"/>
    <x v="1"/>
    <s v="Raptors @ Hawks"/>
    <s v="Over 229.5"/>
    <n v="10"/>
    <n v="-105"/>
    <x v="1"/>
    <n v="9.5238095238095237"/>
    <x v="2"/>
  </r>
  <r>
    <x v="196"/>
    <x v="1"/>
    <s v="Kings @ Heat"/>
    <s v="Kings +6.5"/>
    <n v="10"/>
    <n v="-105"/>
    <x v="1"/>
    <n v="9.5238095238095237"/>
    <x v="3"/>
  </r>
  <r>
    <x v="196"/>
    <x v="2"/>
    <s v="North Carolina-Asheville @ Longwood"/>
    <s v="Under 147.5"/>
    <n v="10"/>
    <n v="-110"/>
    <x v="1"/>
    <n v="9.0909090909090917"/>
    <x v="1"/>
  </r>
  <r>
    <x v="196"/>
    <x v="2"/>
    <s v="North Carolina State @ Virginia"/>
    <s v="North Carolina State +4.5"/>
    <n v="10"/>
    <n v="-105"/>
    <x v="1"/>
    <n v="9.5238095238095237"/>
    <x v="3"/>
  </r>
  <r>
    <x v="196"/>
    <x v="2"/>
    <s v="North Carolina-A&amp;T @ Morgan State"/>
    <s v="North Carolina-A&amp;T +4"/>
    <n v="10"/>
    <n v="-111"/>
    <x v="1"/>
    <n v="9.0090090090090094"/>
    <x v="3"/>
  </r>
  <r>
    <x v="196"/>
    <x v="2"/>
    <s v="Oklahoma @ Baylor"/>
    <s v="Over 135"/>
    <n v="10"/>
    <n v="-110"/>
    <x v="0"/>
    <n v="-10"/>
    <x v="2"/>
  </r>
  <r>
    <x v="196"/>
    <x v="1"/>
    <s v="Pacers @ Jazz"/>
    <s v="Pacers +7.5"/>
    <n v="10"/>
    <n v="-111"/>
    <x v="0"/>
    <n v="-10"/>
    <x v="3"/>
  </r>
  <r>
    <x v="196"/>
    <x v="1"/>
    <s v="Warriors @ Trailblazers"/>
    <s v="Trailblazers -6.5"/>
    <n v="10"/>
    <n v="-105"/>
    <x v="0"/>
    <n v="-10"/>
    <x v="0"/>
  </r>
  <r>
    <x v="197"/>
    <x v="2"/>
    <s v="Northern Illinois @ Kent State"/>
    <s v="Kent State -9.5"/>
    <n v="10"/>
    <n v="-105"/>
    <x v="0"/>
    <n v="-10"/>
    <x v="0"/>
  </r>
  <r>
    <x v="197"/>
    <x v="2"/>
    <s v="Eastern Michigan @ Bowling Green State"/>
    <s v="Over 133.5"/>
    <n v="10"/>
    <n v="-110"/>
    <x v="0"/>
    <n v="-10"/>
    <x v="2"/>
  </r>
  <r>
    <x v="197"/>
    <x v="2"/>
    <s v="Eastern Michigan @ Bowling Green State"/>
    <s v="Eastern Michigan +8.5"/>
    <n v="10"/>
    <n v="-109"/>
    <x v="1"/>
    <n v="9.1743119266055047"/>
    <x v="3"/>
  </r>
  <r>
    <x v="197"/>
    <x v="2"/>
    <s v="Georgia @ Kentucky"/>
    <s v="Georgia +11.5"/>
    <n v="10"/>
    <n v="-113"/>
    <x v="1"/>
    <n v="8.8495575221238933"/>
    <x v="3"/>
  </r>
  <r>
    <x v="197"/>
    <x v="5"/>
    <s v="Jets @ Hurricanes"/>
    <s v="Jets Moneyline"/>
    <n v="10"/>
    <n v="-188"/>
    <x v="1"/>
    <n v="5.3191489361702127"/>
    <x v="6"/>
  </r>
  <r>
    <x v="197"/>
    <x v="2"/>
    <s v="Oklahoma State @ Iowa State"/>
    <s v="Oklahoma State +5.5"/>
    <n v="10"/>
    <n v="-109"/>
    <x v="0"/>
    <n v="-10"/>
    <x v="3"/>
  </r>
  <r>
    <x v="197"/>
    <x v="5"/>
    <s v="Panthers @ Blackhawks"/>
    <s v="Panthers Moneyline"/>
    <n v="10"/>
    <n v="105"/>
    <x v="1"/>
    <n v="10.5"/>
    <x v="4"/>
  </r>
  <r>
    <x v="197"/>
    <x v="2"/>
    <s v="Mississippi @ Tennessee"/>
    <s v="Over 127"/>
    <n v="10"/>
    <n v="-112"/>
    <x v="0"/>
    <n v="-10"/>
    <x v="2"/>
  </r>
  <r>
    <x v="198"/>
    <x v="2"/>
    <s v="Manhattan @ Marist"/>
    <s v="Manhattan -5"/>
    <n v="10"/>
    <n v="-105"/>
    <x v="0"/>
    <n v="-10"/>
    <x v="0"/>
  </r>
  <r>
    <x v="198"/>
    <x v="2"/>
    <s v="Binghamton @ Stoney Brook"/>
    <s v="Binghamton +17"/>
    <n v="10"/>
    <n v="-110"/>
    <x v="1"/>
    <n v="9.0909090909090917"/>
    <x v="3"/>
  </r>
  <r>
    <x v="198"/>
    <x v="2"/>
    <s v="Massachusetts @ George Mason"/>
    <s v="Under 141.5"/>
    <n v="10"/>
    <n v="-110"/>
    <x v="1"/>
    <n v="9.0909090909090917"/>
    <x v="1"/>
  </r>
  <r>
    <x v="198"/>
    <x v="2"/>
    <s v="Massachusetts @ George Mason"/>
    <s v="Massachusetts +6.5"/>
    <n v="10"/>
    <n v="-118"/>
    <x v="0"/>
    <n v="-10"/>
    <x v="3"/>
  </r>
  <r>
    <x v="198"/>
    <x v="2"/>
    <s v="Citadel @ Chattanooga"/>
    <s v="Under 151.5"/>
    <n v="10"/>
    <n v="-110"/>
    <x v="0"/>
    <n v="-10"/>
    <x v="1"/>
  </r>
  <r>
    <x v="198"/>
    <x v="2"/>
    <s v="Penn State @ Michigan"/>
    <s v="Under 147.5"/>
    <n v="10"/>
    <n v="-115"/>
    <x v="1"/>
    <n v="8.695652173913043"/>
    <x v="1"/>
  </r>
  <r>
    <x v="198"/>
    <x v="2"/>
    <s v="Arkansas @ Mississippi State"/>
    <s v="Arkansas +4"/>
    <n v="10"/>
    <n v="-110"/>
    <x v="0"/>
    <n v="-10"/>
    <x v="3"/>
  </r>
  <r>
    <x v="198"/>
    <x v="2"/>
    <s v="Western Carolina @ Mercer"/>
    <s v="Western Carolina +2"/>
    <n v="10"/>
    <n v="-105"/>
    <x v="0"/>
    <n v="-10"/>
    <x v="3"/>
  </r>
  <r>
    <x v="198"/>
    <x v="2"/>
    <s v="Lehigh @ Holy Cross"/>
    <s v="Lehigh -3.5"/>
    <n v="10"/>
    <n v="-110"/>
    <x v="0"/>
    <n v="-10"/>
    <x v="0"/>
  </r>
  <r>
    <x v="198"/>
    <x v="2"/>
    <s v="Stephen F. Austin @ Northwestern State"/>
    <s v="Stephen F. Austin -10.5"/>
    <n v="10"/>
    <n v="-110"/>
    <x v="0"/>
    <n v="-10"/>
    <x v="0"/>
  </r>
  <r>
    <x v="198"/>
    <x v="1"/>
    <s v="Nuggets @ Rockets"/>
    <s v="Nuggets +8.5"/>
    <n v="10"/>
    <n v="-110"/>
    <x v="0"/>
    <n v="-10"/>
    <x v="3"/>
  </r>
  <r>
    <x v="198"/>
    <x v="2"/>
    <s v="Northern Iowa @ Southern Illinois"/>
    <s v="Over 126.5"/>
    <n v="10"/>
    <n v="-110"/>
    <x v="1"/>
    <n v="9.0909090909090917"/>
    <x v="2"/>
  </r>
  <r>
    <x v="198"/>
    <x v="2"/>
    <s v="Creighton @ Depaul"/>
    <s v="Creighton +1.5"/>
    <n v="10"/>
    <n v="-110"/>
    <x v="1"/>
    <n v="9.0909090909090917"/>
    <x v="3"/>
  </r>
  <r>
    <x v="198"/>
    <x v="1"/>
    <s v="Pacers @ Suns"/>
    <s v="Over 221.5"/>
    <n v="10"/>
    <n v="-112"/>
    <x v="0"/>
    <n v="-10"/>
    <x v="2"/>
  </r>
  <r>
    <x v="198"/>
    <x v="2"/>
    <s v="UC-Irvine @ Cal State Long Beach"/>
    <s v="UC-Irvine -9"/>
    <n v="10"/>
    <n v="-118"/>
    <x v="0"/>
    <n v="-10"/>
    <x v="0"/>
  </r>
  <r>
    <x v="198"/>
    <x v="1"/>
    <s v="Jazz @ Warriors"/>
    <s v="Under 218.5"/>
    <n v="10"/>
    <n v="-118"/>
    <x v="0"/>
    <n v="-10"/>
    <x v="1"/>
  </r>
  <r>
    <x v="199"/>
    <x v="2"/>
    <s v="Campbell @ Hampton"/>
    <s v="Campbell PK"/>
    <n v="10"/>
    <n v="-110"/>
    <x v="0"/>
    <n v="-10"/>
    <x v="5"/>
  </r>
  <r>
    <x v="199"/>
    <x v="2"/>
    <s v="Belmont @ Murray State"/>
    <s v="Under 148.5"/>
    <n v="10"/>
    <n v="-105"/>
    <x v="0"/>
    <n v="-10"/>
    <x v="1"/>
  </r>
  <r>
    <x v="199"/>
    <x v="2"/>
    <s v="Green Bay @ Cleveland State"/>
    <s v="Under 154"/>
    <n v="10"/>
    <n v="-110"/>
    <x v="1"/>
    <n v="9.0909090909090917"/>
    <x v="1"/>
  </r>
  <r>
    <x v="199"/>
    <x v="2"/>
    <s v="Western Illinois @ Omaha"/>
    <s v="Western Illinois +11"/>
    <n v="10"/>
    <n v="-110"/>
    <x v="1"/>
    <n v="9.0909090909090917"/>
    <x v="3"/>
  </r>
  <r>
    <x v="199"/>
    <x v="2"/>
    <s v="Montana State @ Weber State"/>
    <s v="Montana state +3.5"/>
    <n v="10"/>
    <n v="-110"/>
    <x v="1"/>
    <n v="9.0909090909090917"/>
    <x v="3"/>
  </r>
  <r>
    <x v="199"/>
    <x v="2"/>
    <s v="UCLA @ Oregon State"/>
    <s v="Over 135.5"/>
    <n v="10"/>
    <n v="-111"/>
    <x v="0"/>
    <n v="-10"/>
    <x v="2"/>
  </r>
  <r>
    <x v="200"/>
    <x v="2"/>
    <s v="Kent State @ Buffalo"/>
    <s v="Kent State +3.5"/>
    <n v="10"/>
    <n v="-110"/>
    <x v="1"/>
    <n v="9.0909090909090917"/>
    <x v="3"/>
  </r>
  <r>
    <x v="200"/>
    <x v="2"/>
    <s v="Cansius @ Iona"/>
    <s v="Under 148.5"/>
    <n v="10"/>
    <n v="-110"/>
    <x v="1"/>
    <n v="9.0909090909090917"/>
    <x v="1"/>
  </r>
  <r>
    <x v="200"/>
    <x v="2"/>
    <s v="Cansius @ Iona"/>
    <s v="Cansius +3"/>
    <n v="10"/>
    <n v="-110"/>
    <x v="2"/>
    <n v="0"/>
    <x v="3"/>
  </r>
  <r>
    <x v="200"/>
    <x v="1"/>
    <s v="Raptors @ Knicks"/>
    <s v="Over 218"/>
    <n v="10"/>
    <n v="-110"/>
    <x v="1"/>
    <n v="9.0909090909090917"/>
    <x v="2"/>
  </r>
  <r>
    <x v="200"/>
    <x v="1"/>
    <s v="Suns @ Spurs"/>
    <s v="Over 227.5"/>
    <n v="10"/>
    <n v="-110"/>
    <x v="0"/>
    <n v="-10"/>
    <x v="2"/>
  </r>
  <r>
    <x v="201"/>
    <x v="2"/>
    <s v="Mississippi Valley State @ Providence"/>
    <s v="Under 153.5"/>
    <n v="10"/>
    <n v="-110"/>
    <x v="3"/>
    <s v=""/>
    <x v="1"/>
  </r>
  <r>
    <x v="201"/>
    <x v="2"/>
    <s v="Northern Colorado @ Eastern Washington"/>
    <s v="Under 148.5"/>
    <n v="10"/>
    <n v="-110"/>
    <x v="3"/>
    <s v=""/>
    <x v="1"/>
  </r>
  <r>
    <x v="201"/>
    <x v="2"/>
    <s v="Kansas @ Oklahoma State"/>
    <s v="Kansas -7"/>
    <n v="10"/>
    <n v="-110"/>
    <x v="3"/>
    <s v=""/>
    <x v="0"/>
  </r>
  <r>
    <x v="201"/>
    <x v="2"/>
    <s v="Bethune-Cookman @ South Carolina State"/>
    <s v="Under 153.5"/>
    <n v="10"/>
    <n v="-110"/>
    <x v="3"/>
    <s v=""/>
    <x v="1"/>
  </r>
  <r>
    <x v="201"/>
    <x v="1"/>
    <s v="Magic @ Heat"/>
    <s v="Magic +5.5"/>
    <n v="10"/>
    <n v="-110"/>
    <x v="3"/>
    <s v=""/>
    <x v="3"/>
  </r>
  <r>
    <x v="201"/>
    <x v="1"/>
    <s v="Cavaliers @ Pistons"/>
    <s v="Cavaliers +7"/>
    <n v="10"/>
    <n v="-110"/>
    <x v="3"/>
    <s v=""/>
    <x v="3"/>
  </r>
  <r>
    <x v="201"/>
    <x v="5"/>
    <s v="Ducks @ Sharks"/>
    <s v="Ducks Moneyline"/>
    <n v="10"/>
    <n v="120"/>
    <x v="3"/>
    <s v=""/>
    <x v="4"/>
  </r>
  <r>
    <x v="201"/>
    <x v="5"/>
    <s v="Maple Leafs @ Predators"/>
    <s v="Predators Moneyline"/>
    <n v="10"/>
    <n v="-118"/>
    <x v="3"/>
    <s v="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3">
  <r>
    <x v="0"/>
    <x v="0"/>
    <s v="Bears @ Giants"/>
    <s v="Bears -4"/>
    <n v="10"/>
    <n v="-115"/>
    <s v="L"/>
    <n v="-10"/>
    <x v="0"/>
  </r>
  <r>
    <x v="0"/>
    <x v="0"/>
    <s v="Colts @ Jaguars"/>
    <s v="Colts -4.5"/>
    <n v="10"/>
    <n v="-115"/>
    <s v="L"/>
    <n v="-10"/>
    <x v="0"/>
  </r>
  <r>
    <x v="0"/>
    <x v="0"/>
    <s v="Panthers @ Buccaneers"/>
    <s v="Under 54.5"/>
    <n v="10"/>
    <n v="-110"/>
    <s v="W"/>
    <n v="9.0909090909090917"/>
    <x v="1"/>
  </r>
  <r>
    <x v="0"/>
    <x v="0"/>
    <s v="Cardinals @ Packers"/>
    <s v="Packers -14"/>
    <n v="10"/>
    <n v="-110"/>
    <s v="L"/>
    <n v="-10"/>
    <x v="0"/>
  </r>
  <r>
    <x v="0"/>
    <x v="0"/>
    <s v="Cardinals @ Packers"/>
    <s v="Under 42.5"/>
    <n v="10"/>
    <n v="-115"/>
    <s v="W"/>
    <n v="8.695652173913043"/>
    <x v="1"/>
  </r>
  <r>
    <x v="0"/>
    <x v="0"/>
    <s v="Browns @ Texans"/>
    <s v="Over 48"/>
    <n v="10"/>
    <n v="-110"/>
    <s v="L"/>
    <n v="-10"/>
    <x v="2"/>
  </r>
  <r>
    <x v="0"/>
    <x v="0"/>
    <s v="Bills @ Dolphins"/>
    <s v="Dolphins -3.5"/>
    <n v="10"/>
    <n v="-110"/>
    <s v="W"/>
    <n v="9.0909090909090917"/>
    <x v="0"/>
  </r>
  <r>
    <x v="0"/>
    <x v="0"/>
    <s v="Bills @ Dolphins"/>
    <s v="Under 40"/>
    <n v="10"/>
    <n v="-115"/>
    <s v="W"/>
    <n v="8.695652173913043"/>
    <x v="1"/>
  </r>
  <r>
    <x v="0"/>
    <x v="0"/>
    <s v="Broncos @ Bengals"/>
    <s v="Over 45"/>
    <n v="10"/>
    <n v="-115"/>
    <s v="L"/>
    <n v="-10"/>
    <x v="2"/>
  </r>
  <r>
    <x v="0"/>
    <x v="0"/>
    <s v="Rams @ Lions"/>
    <s v="Rams -10"/>
    <n v="10"/>
    <n v="-110"/>
    <s v="W"/>
    <n v="9.0909090909090917"/>
    <x v="0"/>
  </r>
  <r>
    <x v="0"/>
    <x v="0"/>
    <s v="Rams @ Lions"/>
    <s v="Over 54.5"/>
    <n v="10"/>
    <n v="-110"/>
    <s v="L"/>
    <n v="-10"/>
    <x v="2"/>
  </r>
  <r>
    <x v="0"/>
    <x v="0"/>
    <s v="Jets @ Titans"/>
    <s v="Over 40.5"/>
    <n v="10"/>
    <n v="-110"/>
    <s v="W"/>
    <n v="9.0909090909090917"/>
    <x v="2"/>
  </r>
  <r>
    <x v="0"/>
    <x v="0"/>
    <s v="Vikings @ Patriots"/>
    <s v="Patriots -5"/>
    <n v="10"/>
    <n v="-110"/>
    <s v="W"/>
    <n v="9.0909090909090917"/>
    <x v="0"/>
  </r>
  <r>
    <x v="0"/>
    <x v="0"/>
    <s v="Vikings @ Patriots"/>
    <s v="Over 49.5"/>
    <n v="10"/>
    <n v="-115"/>
    <s v="L"/>
    <n v="-10"/>
    <x v="2"/>
  </r>
  <r>
    <x v="0"/>
    <x v="0"/>
    <s v="49ers @ Seahawks"/>
    <s v="Over 45.5"/>
    <n v="10"/>
    <n v="-105"/>
    <s v="W"/>
    <n v="9.5238095238095237"/>
    <x v="2"/>
  </r>
  <r>
    <x v="0"/>
    <x v="0"/>
    <s v="Chargers @ Steelers"/>
    <s v="Over 52"/>
    <n v="10"/>
    <n v="-110"/>
    <s v="W"/>
    <n v="9.0909090909090917"/>
    <x v="2"/>
  </r>
  <r>
    <x v="1"/>
    <x v="0"/>
    <s v="Redskins @ Eagles"/>
    <s v="Under 45"/>
    <n v="10"/>
    <n v="-115"/>
    <s v="W"/>
    <n v="8.695652173913043"/>
    <x v="1"/>
  </r>
  <r>
    <x v="2"/>
    <x v="0"/>
    <s v="Titans @ Jaguars"/>
    <s v="Under 37"/>
    <n v="20"/>
    <n v="-110"/>
    <s v="L"/>
    <n v="-20"/>
    <x v="1"/>
  </r>
  <r>
    <x v="3"/>
    <x v="0"/>
    <s v="Patriots @ Dolphins"/>
    <s v="Patriots -8"/>
    <n v="20"/>
    <n v="-110"/>
    <s v="L"/>
    <n v="-20"/>
    <x v="0"/>
  </r>
  <r>
    <x v="3"/>
    <x v="0"/>
    <s v="Colts @ Texans"/>
    <s v="Texans -4.5"/>
    <n v="20"/>
    <n v="-110"/>
    <s v="L"/>
    <n v="-20"/>
    <x v="0"/>
  </r>
  <r>
    <x v="3"/>
    <x v="0"/>
    <s v="Ravens @ Chiefs"/>
    <s v="Over 51"/>
    <n v="20"/>
    <n v="-115"/>
    <s v="Push"/>
    <n v="0"/>
    <x v="2"/>
  </r>
  <r>
    <x v="3"/>
    <x v="0"/>
    <s v="Saints @ Buccaneers"/>
    <s v="Over 54.5"/>
    <n v="20"/>
    <n v="-115"/>
    <s v="L"/>
    <n v="-20"/>
    <x v="2"/>
  </r>
  <r>
    <x v="3"/>
    <x v="0"/>
    <s v="Saints @ Buccaneers"/>
    <s v="Saints -9.5"/>
    <n v="20"/>
    <n v="-110"/>
    <s v="W"/>
    <n v="18.181818181818183"/>
    <x v="0"/>
  </r>
  <r>
    <x v="3"/>
    <x v="0"/>
    <s v="Panthers @ Browns"/>
    <s v="Under 47"/>
    <n v="20"/>
    <n v="-110"/>
    <s v="W"/>
    <n v="18.181818181818183"/>
    <x v="1"/>
  </r>
  <r>
    <x v="3"/>
    <x v="0"/>
    <s v="Jets @ Bills"/>
    <s v="Under 38.5"/>
    <n v="20"/>
    <n v="-110"/>
    <s v="L"/>
    <n v="-20"/>
    <x v="1"/>
  </r>
  <r>
    <x v="3"/>
    <x v="0"/>
    <s v="Bengals @ Chargers"/>
    <s v="Over 47.5"/>
    <n v="20"/>
    <n v="-110"/>
    <s v="L"/>
    <n v="-20"/>
    <x v="2"/>
  </r>
  <r>
    <x v="3"/>
    <x v="0"/>
    <s v="Steelers @ Raiders"/>
    <s v="Under 51"/>
    <n v="10"/>
    <n v="-110"/>
    <s v="W"/>
    <n v="9.0909090909090917"/>
    <x v="1"/>
  </r>
  <r>
    <x v="3"/>
    <x v="0"/>
    <s v="Eagles @ Cowboys"/>
    <s v="Cowboys -3.5"/>
    <n v="10"/>
    <n v="-105"/>
    <s v="W"/>
    <n v="9.5238095238095237"/>
    <x v="0"/>
  </r>
  <r>
    <x v="3"/>
    <x v="0"/>
    <s v="Eagles @ Cowboys"/>
    <s v="Under 44"/>
    <n v="10"/>
    <n v="-115"/>
    <s v="L"/>
    <n v="-10"/>
    <x v="1"/>
  </r>
  <r>
    <x v="4"/>
    <x v="0"/>
    <s v="Vikings @ Seahawks"/>
    <s v="Seahawks -3"/>
    <n v="10"/>
    <n v="-115"/>
    <s v="W"/>
    <n v="8.695652173913043"/>
    <x v="0"/>
  </r>
  <r>
    <x v="5"/>
    <x v="0"/>
    <s v="Chargers @ Chiefs"/>
    <s v="Over 53.5"/>
    <n v="10"/>
    <n v="-110"/>
    <s v="W"/>
    <n v="9.0909090909090917"/>
    <x v="2"/>
  </r>
  <r>
    <x v="5"/>
    <x v="0"/>
    <s v="Chargers @ Chiefs"/>
    <s v="Chargers +3.5"/>
    <n v="10"/>
    <n v="-115"/>
    <s v="W"/>
    <n v="8.695652173913043"/>
    <x v="3"/>
  </r>
  <r>
    <x v="6"/>
    <x v="0"/>
    <s v="Texans @ Jets"/>
    <s v="Under 44"/>
    <n v="10"/>
    <n v="-115"/>
    <s v="L"/>
    <n v="-10"/>
    <x v="1"/>
  </r>
  <r>
    <x v="6"/>
    <x v="0"/>
    <s v="Texans @ Jets"/>
    <s v="Texans -7"/>
    <n v="10"/>
    <n v="-115"/>
    <s v="Push"/>
    <n v="0"/>
    <x v="0"/>
  </r>
  <r>
    <x v="6"/>
    <x v="0"/>
    <s v="Browns @ Broncos"/>
    <s v="Under 45.5"/>
    <n v="10"/>
    <n v="-110"/>
    <s v="W"/>
    <n v="9.0909090909090917"/>
    <x v="1"/>
  </r>
  <r>
    <x v="7"/>
    <x v="0"/>
    <s v="Cowboys @ Colts"/>
    <s v="Over 47"/>
    <n v="10"/>
    <n v="-115"/>
    <s v="L"/>
    <n v="-10"/>
    <x v="2"/>
  </r>
  <r>
    <x v="7"/>
    <x v="0"/>
    <s v="Cowboys @ Colts"/>
    <s v="Colts -3"/>
    <n v="10"/>
    <n v="-120"/>
    <s v="W"/>
    <n v="8.3333333333333321"/>
    <x v="0"/>
  </r>
  <r>
    <x v="7"/>
    <x v="0"/>
    <s v="Lions @ Bills"/>
    <s v="Under 40"/>
    <n v="10"/>
    <n v="-115"/>
    <s v="W"/>
    <n v="8.695652173913043"/>
    <x v="1"/>
  </r>
  <r>
    <x v="7"/>
    <x v="0"/>
    <s v="Packers @ Bears"/>
    <s v="Bears -5"/>
    <n v="10"/>
    <n v="-120"/>
    <s v="W"/>
    <n v="8.3333333333333321"/>
    <x v="0"/>
  </r>
  <r>
    <x v="7"/>
    <x v="0"/>
    <s v="Dolphins @ Vikings"/>
    <s v="Under 45"/>
    <n v="10"/>
    <n v="-115"/>
    <s v="L"/>
    <n v="-10"/>
    <x v="1"/>
  </r>
  <r>
    <x v="7"/>
    <x v="0"/>
    <s v="Dolphins @ Vikings"/>
    <s v="Vikings -8"/>
    <n v="10"/>
    <n v="-105"/>
    <s v="W"/>
    <n v="9.5238095238095237"/>
    <x v="0"/>
  </r>
  <r>
    <x v="7"/>
    <x v="0"/>
    <s v="Raiders @ Bengals"/>
    <s v="Bengals -3"/>
    <n v="10"/>
    <n v="-120"/>
    <s v="W"/>
    <n v="8.3333333333333321"/>
    <x v="0"/>
  </r>
  <r>
    <x v="7"/>
    <x v="0"/>
    <s v="Buccaneers @ Ravens"/>
    <s v="Over 45"/>
    <n v="10"/>
    <n v="-110"/>
    <s v="L"/>
    <n v="-10"/>
    <x v="2"/>
  </r>
  <r>
    <x v="7"/>
    <x v="0"/>
    <s v="Titans @ Giants"/>
    <s v="Under 42.5"/>
    <n v="10"/>
    <n v="-115"/>
    <s v="W"/>
    <n v="8.695652173913043"/>
    <x v="1"/>
  </r>
  <r>
    <x v="7"/>
    <x v="0"/>
    <s v="Redskins @ Jaguars"/>
    <s v="Under 36.5"/>
    <n v="10"/>
    <n v="-110"/>
    <s v="W"/>
    <n v="9.0909090909090917"/>
    <x v="1"/>
  </r>
  <r>
    <x v="7"/>
    <x v="0"/>
    <s v="Redskins @ Jaguars"/>
    <s v="Redskins +7.5"/>
    <n v="10"/>
    <n v="-115"/>
    <s v="W"/>
    <n v="8.695652173913043"/>
    <x v="3"/>
  </r>
  <r>
    <x v="7"/>
    <x v="0"/>
    <s v="Seahawks @ 49ers"/>
    <s v="Over 44"/>
    <n v="10"/>
    <n v="-110"/>
    <s v="W"/>
    <n v="9.0909090909090917"/>
    <x v="2"/>
  </r>
  <r>
    <x v="7"/>
    <x v="0"/>
    <s v="Seahawks @ 49ers"/>
    <s v="Seahawks -4.5"/>
    <n v="10"/>
    <n v="-110"/>
    <s v="L"/>
    <n v="-10"/>
    <x v="0"/>
  </r>
  <r>
    <x v="7"/>
    <x v="0"/>
    <s v="Patriots @ Steelers"/>
    <s v="Over 56"/>
    <n v="10"/>
    <n v="-115"/>
    <s v="L"/>
    <n v="-10"/>
    <x v="2"/>
  </r>
  <r>
    <x v="7"/>
    <x v="0"/>
    <s v="Patriots @ Steelers"/>
    <s v="Steelers +3"/>
    <n v="10"/>
    <n v="-120"/>
    <s v="W"/>
    <n v="8.3333333333333321"/>
    <x v="3"/>
  </r>
  <r>
    <x v="7"/>
    <x v="0"/>
    <s v="Patriots @ Steelers"/>
    <s v="Steelers Moneyline"/>
    <n v="10"/>
    <n v="130"/>
    <s v="W"/>
    <n v="13"/>
    <x v="4"/>
  </r>
  <r>
    <x v="7"/>
    <x v="0"/>
    <s v="Eagles @ Rams"/>
    <s v="Over 52"/>
    <n v="10"/>
    <n v="-110"/>
    <s v="W"/>
    <n v="9.0909090909090917"/>
    <x v="2"/>
  </r>
  <r>
    <x v="7"/>
    <x v="0"/>
    <s v="Eagles @ Rams"/>
    <s v="Rams -13"/>
    <n v="10"/>
    <n v="-110"/>
    <s v="L"/>
    <n v="-10"/>
    <x v="0"/>
  </r>
  <r>
    <x v="8"/>
    <x v="1"/>
    <s v="Bucks @ Pistons"/>
    <s v="Under 225"/>
    <n v="5"/>
    <n v="-110"/>
    <s v="W"/>
    <n v="4.5454545454545459"/>
    <x v="1"/>
  </r>
  <r>
    <x v="8"/>
    <x v="1"/>
    <s v="Bucks @ Pistons"/>
    <s v="Bucks -4"/>
    <n v="5"/>
    <n v="-110"/>
    <s v="L"/>
    <n v="-5"/>
    <x v="0"/>
  </r>
  <r>
    <x v="8"/>
    <x v="1"/>
    <s v="Suns @ Knicks"/>
    <s v="Under 223"/>
    <n v="5"/>
    <n v="-115"/>
    <s v="L"/>
    <n v="-5"/>
    <x v="1"/>
  </r>
  <r>
    <x v="8"/>
    <x v="1"/>
    <s v="Suns @ Knicks"/>
    <s v="Knicks -1.5"/>
    <n v="5"/>
    <n v="-115"/>
    <s v="L"/>
    <n v="-5"/>
    <x v="0"/>
  </r>
  <r>
    <x v="8"/>
    <x v="1"/>
    <s v="Kings @ Timberwolves"/>
    <s v="Kings +7.5"/>
    <n v="5"/>
    <n v="-110"/>
    <s v="L"/>
    <n v="-5"/>
    <x v="3"/>
  </r>
  <r>
    <x v="8"/>
    <x v="1"/>
    <s v="Jazz @ Rockets"/>
    <s v="Over 212"/>
    <n v="5"/>
    <n v="-105"/>
    <s v="L"/>
    <n v="-5"/>
    <x v="2"/>
  </r>
  <r>
    <x v="8"/>
    <x v="1"/>
    <s v="Grizzlies @ Warriors"/>
    <s v="Over 211"/>
    <n v="5"/>
    <n v="-110"/>
    <s v="L"/>
    <n v="-5"/>
    <x v="2"/>
  </r>
  <r>
    <x v="8"/>
    <x v="1"/>
    <s v="Grizzlies @ Warriors"/>
    <s v="Warriors -11"/>
    <n v="5"/>
    <n v="-110"/>
    <s v="W"/>
    <n v="4.5454545454545459"/>
    <x v="0"/>
  </r>
  <r>
    <x v="8"/>
    <x v="1"/>
    <s v="Trailblazers @ Clippers"/>
    <s v="Trailblazers +2"/>
    <n v="5"/>
    <n v="-115"/>
    <s v="W"/>
    <n v="4.3478260869565215"/>
    <x v="3"/>
  </r>
  <r>
    <x v="8"/>
    <x v="1"/>
    <s v="Trailblazers @ Clippers"/>
    <s v="Trailblazers Moneyline"/>
    <n v="5"/>
    <n v="110"/>
    <s v="W"/>
    <n v="5.5"/>
    <x v="4"/>
  </r>
  <r>
    <x v="8"/>
    <x v="0"/>
    <s v="Saints @ Panthers"/>
    <s v="Over 50.5"/>
    <n v="10"/>
    <n v="-105"/>
    <s v="L"/>
    <n v="-10"/>
    <x v="2"/>
  </r>
  <r>
    <x v="9"/>
    <x v="1"/>
    <s v="Cavaliers @ Pacers"/>
    <s v="Over 207"/>
    <n v="5"/>
    <n v="-110"/>
    <s v="L"/>
    <n v="-5"/>
    <x v="2"/>
  </r>
  <r>
    <x v="9"/>
    <x v="1"/>
    <s v="Wizards @ Hawks"/>
    <s v="Under 236"/>
    <n v="5"/>
    <n v="-115"/>
    <s v="W"/>
    <n v="4.3478260869565215"/>
    <x v="1"/>
  </r>
  <r>
    <x v="9"/>
    <x v="1"/>
    <s v="Wizards @ Hawks"/>
    <s v="Wizards -3.5"/>
    <n v="5"/>
    <n v="-110"/>
    <s v="L"/>
    <n v="-5"/>
    <x v="0"/>
  </r>
  <r>
    <x v="9"/>
    <x v="1"/>
    <s v="Mavericks @ Nuggets"/>
    <s v="Over 208"/>
    <n v="5"/>
    <n v="-115"/>
    <s v="W"/>
    <n v="4.3478260869565215"/>
    <x v="2"/>
  </r>
  <r>
    <x v="9"/>
    <x v="1"/>
    <s v="Mavericks @ Nuggets"/>
    <s v="Nuggets -5"/>
    <n v="5"/>
    <n v="-110"/>
    <s v="W"/>
    <n v="4.5454545454545459"/>
    <x v="0"/>
  </r>
  <r>
    <x v="10"/>
    <x v="1"/>
    <s v="Cavaliers @ Hornets"/>
    <s v="Under 214"/>
    <n v="10"/>
    <n v="-105"/>
    <s v="W"/>
    <n v="9.5238095238095237"/>
    <x v="1"/>
  </r>
  <r>
    <x v="10"/>
    <x v="1"/>
    <s v="Spurs @ Magic"/>
    <s v="Spurs -3.5"/>
    <n v="10"/>
    <n v="-105"/>
    <s v="W"/>
    <n v="9.5238095238095237"/>
    <x v="0"/>
  </r>
  <r>
    <x v="10"/>
    <x v="1"/>
    <s v="Pacers @ Raptors"/>
    <s v="Over 209"/>
    <n v="10"/>
    <n v="-110"/>
    <s v="L"/>
    <n v="-10"/>
    <x v="2"/>
  </r>
  <r>
    <x v="10"/>
    <x v="1"/>
    <s v="Pacers @ Raptors"/>
    <s v="Raptors -5"/>
    <n v="10"/>
    <n v="-110"/>
    <s v="L"/>
    <n v="-10"/>
    <x v="0"/>
  </r>
  <r>
    <x v="10"/>
    <x v="1"/>
    <s v="Suns @ Celtics"/>
    <s v="Under 223"/>
    <n v="10"/>
    <n v="-115"/>
    <s v="W"/>
    <n v="8.695652173913043"/>
    <x v="1"/>
  </r>
  <r>
    <x v="10"/>
    <x v="1"/>
    <s v="Nets @ Bulls"/>
    <s v="Under 213"/>
    <n v="10"/>
    <n v="-105"/>
    <s v="W"/>
    <n v="9.5238095238095237"/>
    <x v="1"/>
  </r>
  <r>
    <x v="10"/>
    <x v="1"/>
    <s v="Nets @ Bulls"/>
    <s v="Nets -2"/>
    <n v="10"/>
    <n v="-110"/>
    <s v="W"/>
    <n v="9.0909090909090917"/>
    <x v="0"/>
  </r>
  <r>
    <x v="10"/>
    <x v="1"/>
    <s v="Pistons @ Timberwolves"/>
    <s v="Timberwolves -5"/>
    <n v="10"/>
    <n v="-110"/>
    <s v="L"/>
    <n v="-10"/>
    <x v="0"/>
  </r>
  <r>
    <x v="10"/>
    <x v="1"/>
    <s v="Wizards @ Rockets"/>
    <s v="Wizards +11"/>
    <n v="10"/>
    <n v="-110"/>
    <s v="L"/>
    <n v="-10"/>
    <x v="3"/>
  </r>
  <r>
    <x v="10"/>
    <x v="1"/>
    <s v="Warriors @ Jazz"/>
    <s v="Warriors -2.5"/>
    <n v="10"/>
    <n v="-105"/>
    <s v="L"/>
    <n v="-10"/>
    <x v="0"/>
  </r>
  <r>
    <x v="10"/>
    <x v="1"/>
    <s v="Thunder @ Kings"/>
    <s v="Kings Moneyline"/>
    <n v="5"/>
    <n v="170"/>
    <s v="L"/>
    <n v="-5"/>
    <x v="4"/>
  </r>
  <r>
    <x v="11"/>
    <x v="1"/>
    <s v="Rockets @ Heat"/>
    <s v="Rockets -3.5"/>
    <n v="10"/>
    <n v="-105"/>
    <s v="L"/>
    <n v="-10"/>
    <x v="0"/>
  </r>
  <r>
    <x v="11"/>
    <x v="1"/>
    <s v="Mavericks @ Clippers"/>
    <s v="Clippers -3"/>
    <n v="10"/>
    <n v="-115"/>
    <s v="W"/>
    <n v="8.695652173913043"/>
    <x v="0"/>
  </r>
  <r>
    <x v="12"/>
    <x v="1"/>
    <s v="Cavaliers @ Raptors"/>
    <s v="Raptors -13"/>
    <n v="5"/>
    <n v="-110"/>
    <s v="W"/>
    <n v="4.5454545454545459"/>
    <x v="0"/>
  </r>
  <r>
    <x v="12"/>
    <x v="1"/>
    <s v="Pistons @ Hornets"/>
    <s v="Over 218"/>
    <n v="5"/>
    <n v="-110"/>
    <s v="L"/>
    <n v="-5"/>
    <x v="2"/>
  </r>
  <r>
    <x v="12"/>
    <x v="1"/>
    <s v="Pistons @ Hornets"/>
    <s v="Hornets -4"/>
    <n v="5"/>
    <n v="-110"/>
    <s v="W"/>
    <n v="4.5454545454545459"/>
    <x v="0"/>
  </r>
  <r>
    <x v="12"/>
    <x v="1"/>
    <s v="Hawks @ Knicks"/>
    <s v="Under 230"/>
    <n v="5"/>
    <n v="-105"/>
    <s v="W"/>
    <n v="4.7619047619047619"/>
    <x v="1"/>
  </r>
  <r>
    <x v="12"/>
    <x v="1"/>
    <s v="Pacers @ Nets"/>
    <s v="Over 211"/>
    <n v="5"/>
    <n v="-110"/>
    <s v="W"/>
    <n v="4.5454545454545459"/>
    <x v="2"/>
  </r>
  <r>
    <x v="12"/>
    <x v="1"/>
    <s v="Pacers @ Nets"/>
    <s v="Nets +2.5"/>
    <n v="5"/>
    <n v="-105"/>
    <s v="L"/>
    <n v="-5"/>
    <x v="3"/>
  </r>
  <r>
    <x v="12"/>
    <x v="1"/>
    <s v="Bucks @ Celtics"/>
    <s v="Celtics -1.5"/>
    <n v="5"/>
    <n v="-105"/>
    <s v="L"/>
    <n v="-5"/>
    <x v="0"/>
  </r>
  <r>
    <x v="12"/>
    <x v="1"/>
    <s v="Magic @ Bulls"/>
    <s v="Magic -3"/>
    <n v="5"/>
    <n v="-110"/>
    <s v="L"/>
    <n v="-5"/>
    <x v="0"/>
  </r>
  <r>
    <x v="12"/>
    <x v="1"/>
    <s v="Timberwolves @ Spurs"/>
    <s v="Over 220"/>
    <n v="5"/>
    <n v="-115"/>
    <s v="W"/>
    <n v="4.3478260869565215"/>
    <x v="2"/>
  </r>
  <r>
    <x v="12"/>
    <x v="1"/>
    <s v="Timberwolves @ Spurs"/>
    <s v="Spurs -4"/>
    <n v="5"/>
    <n v="-110"/>
    <s v="W"/>
    <n v="4.5454545454545459"/>
    <x v="0"/>
  </r>
  <r>
    <x v="12"/>
    <x v="1"/>
    <s v="Grizzlies @ Kings"/>
    <s v="Over 212"/>
    <n v="5"/>
    <n v="-110"/>
    <s v="L"/>
    <n v="-5"/>
    <x v="2"/>
  </r>
  <r>
    <x v="12"/>
    <x v="1"/>
    <s v="Grizzlies @ Kings"/>
    <s v="Kings -1.5"/>
    <n v="5"/>
    <n v="-110"/>
    <s v="W"/>
    <n v="4.5454545454545459"/>
    <x v="0"/>
  </r>
  <r>
    <x v="12"/>
    <x v="1"/>
    <s v="Jazz @ TrailBlazers"/>
    <s v="Under 212"/>
    <n v="5"/>
    <n v="-110"/>
    <s v="W"/>
    <n v="4.5454545454545459"/>
    <x v="1"/>
  </r>
  <r>
    <x v="12"/>
    <x v="1"/>
    <s v="Jazz @ TrailBlazers"/>
    <s v="TrailBlazers -2"/>
    <n v="5"/>
    <n v="-110"/>
    <s v="L"/>
    <n v="-5"/>
    <x v="0"/>
  </r>
  <r>
    <x v="12"/>
    <x v="1"/>
    <s v="Pelicans @ Lakers"/>
    <s v="Under 234"/>
    <n v="5"/>
    <n v="-110"/>
    <s v="W"/>
    <n v="4.5454545454545459"/>
    <x v="1"/>
  </r>
  <r>
    <x v="12"/>
    <x v="1"/>
    <s v="Pelicans @ Lakers"/>
    <s v="Pelicans +5"/>
    <n v="5"/>
    <n v="-110"/>
    <s v="L"/>
    <n v="-5"/>
    <x v="3"/>
  </r>
  <r>
    <x v="12"/>
    <x v="1"/>
    <s v="Pelicans @ Lakers"/>
    <s v="Pelicans Moneyline"/>
    <n v="5"/>
    <n v="175"/>
    <s v="L"/>
    <n v="-5"/>
    <x v="4"/>
  </r>
  <r>
    <x v="13"/>
    <x v="1"/>
    <s v="Nuggets @ Clippers"/>
    <s v="Nuggets +1.5"/>
    <n v="5"/>
    <n v="-110"/>
    <s v="L"/>
    <n v="-5"/>
    <x v="3"/>
  </r>
  <r>
    <x v="13"/>
    <x v="1"/>
    <s v="Nuggets @ Clippers"/>
    <s v="Nuggets Moneyline"/>
    <n v="5"/>
    <n v="100"/>
    <s v="L"/>
    <n v="-5"/>
    <x v="4"/>
  </r>
  <r>
    <x v="13"/>
    <x v="1"/>
    <s v="Suns @ Wizards"/>
    <s v="Under 230"/>
    <n v="5"/>
    <n v="-110"/>
    <s v="L"/>
    <n v="-5"/>
    <x v="1"/>
  </r>
  <r>
    <x v="13"/>
    <x v="1"/>
    <s v="Suns @ Wizards"/>
    <s v="Wizards -6"/>
    <n v="5"/>
    <n v="-110"/>
    <s v="L"/>
    <n v="-5"/>
    <x v="0"/>
  </r>
  <r>
    <x v="13"/>
    <x v="1"/>
    <s v="Raptors @ 76ers"/>
    <s v="Raptors +7.5"/>
    <n v="5"/>
    <n v="-110"/>
    <s v="L"/>
    <n v="-5"/>
    <x v="3"/>
  </r>
  <r>
    <x v="13"/>
    <x v="1"/>
    <s v="Raptors @ 76ers"/>
    <s v="Raptors Moneyline"/>
    <n v="5"/>
    <n v="260"/>
    <s v="L"/>
    <n v="-5"/>
    <x v="4"/>
  </r>
  <r>
    <x v="13"/>
    <x v="1"/>
    <s v="Bucks @ Heat"/>
    <s v="Bucks -3"/>
    <n v="5"/>
    <n v="-110"/>
    <s v="L"/>
    <n v="-5"/>
    <x v="0"/>
  </r>
  <r>
    <x v="13"/>
    <x v="1"/>
    <s v="Spurs @ Rockets"/>
    <s v="Spurs +5.5"/>
    <n v="5"/>
    <n v="-110"/>
    <s v="L"/>
    <n v="-5"/>
    <x v="3"/>
  </r>
  <r>
    <x v="13"/>
    <x v="1"/>
    <s v="Spurs @ Rockets"/>
    <s v="Spurs Moneyline"/>
    <n v="5"/>
    <n v="175"/>
    <s v="L"/>
    <n v="-5"/>
    <x v="4"/>
  </r>
  <r>
    <x v="13"/>
    <x v="1"/>
    <s v="Mavericks @ Warriors"/>
    <s v="Warriors -11.5"/>
    <n v="5"/>
    <n v="-110"/>
    <s v="L"/>
    <n v="-5"/>
    <x v="0"/>
  </r>
  <r>
    <x v="13"/>
    <x v="1"/>
    <s v="Thunder @ Jazz"/>
    <s v="Under 218"/>
    <n v="5"/>
    <n v="-115"/>
    <s v="W"/>
    <n v="4.3478260869565215"/>
    <x v="1"/>
  </r>
  <r>
    <x v="13"/>
    <x v="1"/>
    <s v="Thunder @ Jazz"/>
    <s v="Thunder +1.5"/>
    <n v="5"/>
    <n v="-110"/>
    <s v="L"/>
    <n v="-5"/>
    <x v="3"/>
  </r>
  <r>
    <x v="13"/>
    <x v="0"/>
    <s v="Ravens @ Chargers"/>
    <s v="Over 44"/>
    <n v="10"/>
    <n v="-105"/>
    <s v="L"/>
    <n v="-10"/>
    <x v="2"/>
  </r>
  <r>
    <x v="14"/>
    <x v="0"/>
    <s v="Packers @ Jets"/>
    <s v="Under 47"/>
    <n v="10"/>
    <n v="-110"/>
    <s v="L"/>
    <n v="-10"/>
    <x v="1"/>
  </r>
  <r>
    <x v="15"/>
    <x v="1"/>
    <s v="Hawks @ Wizards"/>
    <s v="Wizards -6.5"/>
    <n v="5"/>
    <n v="-105"/>
    <s v="W"/>
    <n v="4.7619047619047619"/>
    <x v="0"/>
  </r>
  <r>
    <x v="15"/>
    <x v="1"/>
    <s v="Mavericks @ Hornets"/>
    <s v="Over 220"/>
    <n v="5"/>
    <n v="-110"/>
    <s v="L"/>
    <n v="-5"/>
    <x v="2"/>
  </r>
  <r>
    <x v="15"/>
    <x v="1"/>
    <s v="Mavericks @ Hornets"/>
    <s v="Hornets -1.5"/>
    <n v="5"/>
    <n v="-110"/>
    <s v="L"/>
    <n v="-5"/>
    <x v="0"/>
  </r>
  <r>
    <x v="15"/>
    <x v="1"/>
    <s v="Heat @ Cavaliers"/>
    <s v="Over 203"/>
    <n v="5"/>
    <n v="-115"/>
    <s v="W"/>
    <n v="4.3478260869565215"/>
    <x v="2"/>
  </r>
  <r>
    <x v="15"/>
    <x v="1"/>
    <s v="Heat @ Cavaliers"/>
    <s v="Heat -6"/>
    <n v="5"/>
    <n v="-115"/>
    <s v="W"/>
    <n v="4.3478260869565215"/>
    <x v="0"/>
  </r>
  <r>
    <x v="15"/>
    <x v="1"/>
    <s v="Pelicans @ Nets"/>
    <s v="Over 230"/>
    <n v="5"/>
    <n v="-115"/>
    <s v="W"/>
    <n v="4.3478260869565215"/>
    <x v="2"/>
  </r>
  <r>
    <x v="15"/>
    <x v="1"/>
    <s v="Pelicans @ Nets"/>
    <s v="Pelicans -1"/>
    <n v="5"/>
    <n v="-105"/>
    <s v="L"/>
    <n v="-5"/>
    <x v="0"/>
  </r>
  <r>
    <x v="15"/>
    <x v="1"/>
    <s v="Pistons @ Grizzlies"/>
    <s v="Pistons +6.5"/>
    <n v="5"/>
    <n v="-110"/>
    <s v="W"/>
    <n v="4.5454545454545459"/>
    <x v="3"/>
  </r>
  <r>
    <x v="15"/>
    <x v="1"/>
    <s v="76ers @ Suns"/>
    <s v="Under 228"/>
    <n v="5"/>
    <n v="-110"/>
    <s v="L"/>
    <n v="-5"/>
    <x v="1"/>
  </r>
  <r>
    <x v="15"/>
    <x v="1"/>
    <s v="76ers @ Suns"/>
    <s v="76ers -4.5"/>
    <n v="5"/>
    <n v="-110"/>
    <s v="W"/>
    <n v="4.5454545454545459"/>
    <x v="0"/>
  </r>
  <r>
    <x v="15"/>
    <x v="1"/>
    <s v="Thunder @ Lakers"/>
    <s v="Under 229"/>
    <n v="5"/>
    <n v="-110"/>
    <s v="W"/>
    <n v="4.5454545454545459"/>
    <x v="1"/>
  </r>
  <r>
    <x v="15"/>
    <x v="1"/>
    <s v="Thunder @ Lakers"/>
    <s v="Lakers +6"/>
    <n v="5"/>
    <n v="-110"/>
    <s v="L"/>
    <n v="-5"/>
    <x v="3"/>
  </r>
  <r>
    <x v="16"/>
    <x v="1"/>
    <s v="Raptors @ Spurs"/>
    <s v="Over 216"/>
    <n v="5"/>
    <n v="-115"/>
    <s v="W"/>
    <n v="4.3478260869565215"/>
    <x v="2"/>
  </r>
  <r>
    <x v="16"/>
    <x v="1"/>
    <s v="Raptors @ Spurs"/>
    <s v="Raptors +2.5"/>
    <n v="5"/>
    <n v="-110"/>
    <s v="L"/>
    <n v="-5"/>
    <x v="3"/>
  </r>
  <r>
    <x v="16"/>
    <x v="1"/>
    <s v="Nuggets @ Kings"/>
    <s v="Under 227"/>
    <n v="5"/>
    <n v="-110"/>
    <s v="L"/>
    <n v="-5"/>
    <x v="1"/>
  </r>
  <r>
    <x v="16"/>
    <x v="1"/>
    <s v="Nuggets @ Kings"/>
    <s v="Nuggets -3.5"/>
    <n v="5"/>
    <n v="-110"/>
    <s v="W"/>
    <n v="4.5454545454545459"/>
    <x v="0"/>
  </r>
  <r>
    <x v="16"/>
    <x v="1"/>
    <s v="Rockets @ Warriors"/>
    <s v="Over 224"/>
    <n v="5"/>
    <n v="-115"/>
    <s v="W"/>
    <n v="4.3478260869565215"/>
    <x v="2"/>
  </r>
  <r>
    <x v="17"/>
    <x v="1"/>
    <s v="Jazz @ Cavaliers"/>
    <s v="Jazz -9.5"/>
    <n v="2.42"/>
    <n v="-115"/>
    <s v="W"/>
    <n v="2.1043478260869564"/>
    <x v="0"/>
  </r>
  <r>
    <x v="17"/>
    <x v="1"/>
    <s v="Nets @ Grizzlies"/>
    <s v="Under 204"/>
    <n v="2.42"/>
    <n v="-105"/>
    <s v="L"/>
    <n v="-2.42"/>
    <x v="1"/>
  </r>
  <r>
    <x v="17"/>
    <x v="1"/>
    <s v="Nets @ Grizzlies"/>
    <s v="Nets +4"/>
    <n v="2.42"/>
    <n v="-105"/>
    <s v="W"/>
    <n v="2.3047619047619046"/>
    <x v="3"/>
  </r>
  <r>
    <x v="17"/>
    <x v="1"/>
    <s v="Nets @ Grizzlies"/>
    <s v="Nets Moneyline"/>
    <n v="2.42"/>
    <n v="155"/>
    <s v="W"/>
    <n v="3.7509999999999999"/>
    <x v="4"/>
  </r>
  <r>
    <x v="17"/>
    <x v="1"/>
    <s v="Pacers @ Bulls"/>
    <s v="Under 200"/>
    <n v="2.42"/>
    <n v="-105"/>
    <s v="L"/>
    <n v="-2.42"/>
    <x v="1"/>
  </r>
  <r>
    <x v="17"/>
    <x v="1"/>
    <s v="Pacers @ Bulls"/>
    <s v="Pacers -7"/>
    <n v="2.42"/>
    <n v="-105"/>
    <s v="L"/>
    <n v="-2.42"/>
    <x v="0"/>
  </r>
  <r>
    <x v="17"/>
    <x v="1"/>
    <s v="Magic @ Timberwolves"/>
    <s v="Timberwolves -4.5"/>
    <n v="2.42"/>
    <n v="-115"/>
    <s v="W"/>
    <n v="2.1043478260869564"/>
    <x v="0"/>
  </r>
  <r>
    <x v="17"/>
    <x v="1"/>
    <s v="Wizards @ Heat"/>
    <s v="Under 213"/>
    <n v="2.42"/>
    <n v="-110"/>
    <s v="L"/>
    <n v="-2.42"/>
    <x v="1"/>
  </r>
  <r>
    <x v="17"/>
    <x v="1"/>
    <s v="Wizards @ Heat"/>
    <s v="Wizards +7.5"/>
    <n v="2.42"/>
    <n v="-115"/>
    <s v="W"/>
    <n v="2.1043478260869564"/>
    <x v="3"/>
  </r>
  <r>
    <x v="17"/>
    <x v="1"/>
    <s v="Mavericks @ Celtics"/>
    <s v="Over 214"/>
    <n v="2.42"/>
    <n v="-105"/>
    <s v="L"/>
    <n v="-2.42"/>
    <x v="2"/>
  </r>
  <r>
    <x v="17"/>
    <x v="1"/>
    <s v="Mavericks @ Celtics"/>
    <s v="Celtics -5.5"/>
    <n v="2.42"/>
    <n v="-110"/>
    <s v="W"/>
    <n v="2.1999999999999997"/>
    <x v="0"/>
  </r>
  <r>
    <x v="17"/>
    <x v="1"/>
    <s v="Hawks @ Bucks"/>
    <s v="Under 229"/>
    <n v="2.42"/>
    <n v="-105"/>
    <s v="L"/>
    <n v="-2.42"/>
    <x v="1"/>
  </r>
  <r>
    <x v="17"/>
    <x v="1"/>
    <s v="Hawks @ Bucks"/>
    <s v="Bucks -13.5"/>
    <n v="2.42"/>
    <n v="-105"/>
    <s v="W"/>
    <n v="2.3047619047619046"/>
    <x v="0"/>
  </r>
  <r>
    <x v="17"/>
    <x v="1"/>
    <s v="Clippers @ Suns"/>
    <s v="Under 234"/>
    <n v="2.42"/>
    <n v="-115"/>
    <s v="W"/>
    <n v="2.1043478260869564"/>
    <x v="1"/>
  </r>
  <r>
    <x v="17"/>
    <x v="1"/>
    <s v="Clippers @ Suns"/>
    <s v="Clippers -4.5"/>
    <n v="2.42"/>
    <n v="-115"/>
    <s v="W"/>
    <n v="2.1043478260869564"/>
    <x v="0"/>
  </r>
  <r>
    <x v="17"/>
    <x v="1"/>
    <s v="Knicks @ Lakers"/>
    <s v="Under 224"/>
    <n v="2.42"/>
    <n v="-105"/>
    <s v="L"/>
    <n v="-2.42"/>
    <x v="1"/>
  </r>
  <r>
    <x v="17"/>
    <x v="1"/>
    <s v="Knicks @ Lakers"/>
    <s v="Lakers -7.5"/>
    <n v="2.42"/>
    <n v="-110"/>
    <s v="L"/>
    <n v="-2.42"/>
    <x v="0"/>
  </r>
  <r>
    <x v="17"/>
    <x v="1"/>
    <s v="Thunder @ Trailblazers"/>
    <s v="Under 224"/>
    <n v="2.42"/>
    <n v="-110"/>
    <s v="W"/>
    <n v="2.1999999999999997"/>
    <x v="1"/>
  </r>
  <r>
    <x v="17"/>
    <x v="1"/>
    <s v="Thunder @ Trailblazers"/>
    <s v="Trailblazers -1"/>
    <n v="2.42"/>
    <n v="-105"/>
    <s v="L"/>
    <n v="-2.42"/>
    <x v="0"/>
  </r>
  <r>
    <x v="18"/>
    <x v="0"/>
    <s v="Colts @ Texans"/>
    <s v="Over 48.5"/>
    <n v="10"/>
    <n v="-110"/>
    <s v="L"/>
    <n v="-10"/>
    <x v="2"/>
  </r>
  <r>
    <x v="18"/>
    <x v="0"/>
    <s v="Seahawks @ Cowboys"/>
    <s v="Over 43"/>
    <n v="10"/>
    <n v="-110"/>
    <s v="W"/>
    <n v="9.0909090909090917"/>
    <x v="2"/>
  </r>
  <r>
    <x v="18"/>
    <x v="0"/>
    <s v="Seahawks @ Cowboys"/>
    <s v="Seahawks +2"/>
    <n v="10"/>
    <n v="-110"/>
    <s v="Push"/>
    <n v="0"/>
    <x v="3"/>
  </r>
  <r>
    <x v="19"/>
    <x v="0"/>
    <s v="Chargers @ Ravens"/>
    <s v="Over 42"/>
    <n v="10"/>
    <n v="-110"/>
    <s v="L"/>
    <n v="-10"/>
    <x v="2"/>
  </r>
  <r>
    <x v="19"/>
    <x v="0"/>
    <s v="Chargers @ Ravens"/>
    <s v="Chargers +2.5"/>
    <n v="10"/>
    <n v="105"/>
    <s v="W"/>
    <n v="10.5"/>
    <x v="3"/>
  </r>
  <r>
    <x v="19"/>
    <x v="0"/>
    <s v="How many Wild Card team win Wild Card Weekend"/>
    <s v="Over 1.5"/>
    <n v="10"/>
    <n v="-190"/>
    <s v="W"/>
    <n v="5.2631578947368416"/>
    <x v="2"/>
  </r>
  <r>
    <x v="19"/>
    <x v="0"/>
    <s v="Bears Suberbowl"/>
    <s v="N/A"/>
    <n v="5"/>
    <n v="675"/>
    <s v="L"/>
    <n v="-5"/>
    <x v="5"/>
  </r>
  <r>
    <x v="19"/>
    <x v="0"/>
    <s v="Most points scored by 1 team wildcard weekend"/>
    <s v="Over 36.5"/>
    <n v="10"/>
    <n v="-110"/>
    <s v="L"/>
    <n v="-10"/>
    <x v="2"/>
  </r>
  <r>
    <x v="19"/>
    <x v="0"/>
    <s v="Anthony Miller Receiving Yards"/>
    <s v="Over 21.5"/>
    <n v="10"/>
    <n v="100"/>
    <s v="W"/>
    <n v="10"/>
    <x v="2"/>
  </r>
  <r>
    <x v="20"/>
    <x v="1"/>
    <s v="Spurs @ Pistons"/>
    <s v="Under 213"/>
    <n v="5"/>
    <n v="-110"/>
    <s v="L"/>
    <n v="-5"/>
    <x v="1"/>
  </r>
  <r>
    <x v="20"/>
    <x v="1"/>
    <s v="Spurs @ Pistons"/>
    <s v="Spurs -3.5"/>
    <n v="5"/>
    <n v="-105"/>
    <s v="W"/>
    <n v="4.7619047619047619"/>
    <x v="0"/>
  </r>
  <r>
    <x v="20"/>
    <x v="1"/>
    <s v="Nets @ Celtics"/>
    <s v="Under 221"/>
    <n v="5"/>
    <n v="-110"/>
    <s v="W"/>
    <n v="4.5454545454545459"/>
    <x v="1"/>
  </r>
  <r>
    <x v="20"/>
    <x v="1"/>
    <s v="Nuggets @ Rockets"/>
    <s v="Over 216"/>
    <n v="5"/>
    <n v="-110"/>
    <s v="W"/>
    <n v="4.5454545454545459"/>
    <x v="2"/>
  </r>
  <r>
    <x v="20"/>
    <x v="1"/>
    <s v="Grizzlies @ Pelicans"/>
    <s v="Over 214"/>
    <n v="5"/>
    <n v="-115"/>
    <s v="L"/>
    <n v="-5"/>
    <x v="2"/>
  </r>
  <r>
    <x v="20"/>
    <x v="1"/>
    <s v="Grizzlies @ Pelicans"/>
    <s v="Pelicans -5.5"/>
    <n v="5"/>
    <n v="-110"/>
    <s v="W"/>
    <n v="4.5454545454545459"/>
    <x v="0"/>
  </r>
  <r>
    <x v="20"/>
    <x v="1"/>
    <s v="Jazz @ Bucks"/>
    <s v="Under 222"/>
    <n v="5"/>
    <n v="-110"/>
    <s v="W"/>
    <n v="4.5454545454545459"/>
    <x v="1"/>
  </r>
  <r>
    <x v="20"/>
    <x v="1"/>
    <s v="Jazz @ Bucks"/>
    <s v="Bucks -5.5"/>
    <n v="5"/>
    <n v="-115"/>
    <s v="W"/>
    <n v="4.3478260869565215"/>
    <x v="0"/>
  </r>
  <r>
    <x v="20"/>
    <x v="1"/>
    <s v="Lakers @ Mavericks"/>
    <s v="Under 223"/>
    <n v="5"/>
    <n v="-115"/>
    <s v="W"/>
    <n v="4.3478260869565215"/>
    <x v="1"/>
  </r>
  <r>
    <x v="20"/>
    <x v="1"/>
    <s v="Lakers @ Mavericks"/>
    <s v="Lakers +8"/>
    <n v="5"/>
    <n v="-110"/>
    <s v="W"/>
    <n v="4.5454545454545459"/>
    <x v="3"/>
  </r>
  <r>
    <x v="20"/>
    <x v="1"/>
    <s v="Lakers @ Mavericks"/>
    <s v="Lakers Moneyline"/>
    <n v="5"/>
    <n v="285"/>
    <s v="W"/>
    <n v="14.25"/>
    <x v="4"/>
  </r>
  <r>
    <x v="20"/>
    <x v="1"/>
    <s v="Knicks @ Trailblazers"/>
    <s v="Trailblazers -12"/>
    <n v="5"/>
    <n v="-110"/>
    <s v="L"/>
    <n v="-5"/>
    <x v="0"/>
  </r>
  <r>
    <x v="20"/>
    <x v="1"/>
    <s v="Magic @ Kings"/>
    <s v="Under 221"/>
    <n v="5"/>
    <n v="-105"/>
    <s v="W"/>
    <n v="4.7619047619047619"/>
    <x v="1"/>
  </r>
  <r>
    <x v="20"/>
    <x v="1"/>
    <s v="Magic @ Kings"/>
    <s v="Kings -5.5"/>
    <n v="5"/>
    <n v="-105"/>
    <s v="W"/>
    <n v="4.7619047619047619"/>
    <x v="0"/>
  </r>
  <r>
    <x v="21"/>
    <x v="1"/>
    <s v="Pacers @ Cavaliers"/>
    <s v="Under 208"/>
    <n v="5"/>
    <n v="-110"/>
    <s v="L"/>
    <n v="-5"/>
    <x v="1"/>
  </r>
  <r>
    <x v="21"/>
    <x v="1"/>
    <s v="Pacers @ Cavaliers"/>
    <s v="Pacers -10"/>
    <n v="5"/>
    <n v="-110"/>
    <s v="L"/>
    <n v="-5"/>
    <x v="0"/>
  </r>
  <r>
    <x v="21"/>
    <x v="1"/>
    <s v="Hawks @ Raptors"/>
    <s v="Under 228"/>
    <n v="5"/>
    <n v="-105"/>
    <s v="W"/>
    <n v="4.7619047619047619"/>
    <x v="1"/>
  </r>
  <r>
    <x v="21"/>
    <x v="1"/>
    <s v="Hawks @ Raptors"/>
    <s v="Raptors -14.5"/>
    <n v="5"/>
    <n v="-110"/>
    <s v="L"/>
    <n v="-5"/>
    <x v="0"/>
  </r>
  <r>
    <x v="21"/>
    <x v="1"/>
    <s v="Nuggets @ Heat"/>
    <s v="Nuggets +1.5"/>
    <n v="5"/>
    <n v="-110"/>
    <s v="W"/>
    <n v="4.5454545454545459"/>
    <x v="3"/>
  </r>
  <r>
    <x v="21"/>
    <x v="1"/>
    <s v="Nuggets @ Heat"/>
    <s v="Nuggets Moneyline"/>
    <n v="5"/>
    <n v="100"/>
    <s v="W"/>
    <n v="5"/>
    <x v="4"/>
  </r>
  <r>
    <x v="21"/>
    <x v="1"/>
    <s v="Timberwolves @ Thunder"/>
    <s v="Under 227"/>
    <n v="5"/>
    <n v="-115"/>
    <s v="L"/>
    <n v="-5"/>
    <x v="1"/>
  </r>
  <r>
    <x v="21"/>
    <x v="1"/>
    <s v="Timberwolves @ Thunder"/>
    <s v="Timberwolves +8"/>
    <n v="5"/>
    <n v="-110"/>
    <s v="W"/>
    <n v="4.5454545454545459"/>
    <x v="3"/>
  </r>
  <r>
    <x v="21"/>
    <x v="1"/>
    <s v="Hornets @ Clippers"/>
    <s v="Over 230"/>
    <n v="5"/>
    <n v="-110"/>
    <s v="W"/>
    <n v="4.5454545454545459"/>
    <x v="2"/>
  </r>
  <r>
    <x v="21"/>
    <x v="1"/>
    <s v="Hornets @ Clippers"/>
    <s v="Hornets +6.5"/>
    <n v="5"/>
    <n v="-110"/>
    <s v="L"/>
    <n v="-5"/>
    <x v="3"/>
  </r>
  <r>
    <x v="21"/>
    <x v="1"/>
    <s v="Knicks @ Warriors"/>
    <s v="Under 230"/>
    <n v="5"/>
    <n v="-105"/>
    <s v="W"/>
    <n v="4.7619047619047619"/>
    <x v="1"/>
  </r>
  <r>
    <x v="21"/>
    <x v="1"/>
    <s v="Knicks @ Warriors"/>
    <s v="Warriors -18"/>
    <n v="5"/>
    <n v="-115"/>
    <s v="W"/>
    <n v="4.3478260869565215"/>
    <x v="0"/>
  </r>
  <r>
    <x v="22"/>
    <x v="1"/>
    <s v="Pacers @ Celtics"/>
    <s v="Under 213"/>
    <n v="5"/>
    <n v="-105"/>
    <s v="L"/>
    <n v="-5"/>
    <x v="1"/>
  </r>
  <r>
    <x v="22"/>
    <x v="1"/>
    <s v="Pacers @ Celtics"/>
    <s v="Pacers +6.5"/>
    <n v="5"/>
    <n v="-110"/>
    <s v="L"/>
    <n v="-5"/>
    <x v="3"/>
  </r>
  <r>
    <x v="22"/>
    <x v="1"/>
    <s v="76ers @ Wizards"/>
    <s v="Over 228"/>
    <n v="5"/>
    <n v="-115"/>
    <s v="W"/>
    <n v="4.3478260869565215"/>
    <x v="2"/>
  </r>
  <r>
    <x v="22"/>
    <x v="1"/>
    <s v="Hawks @ Nets"/>
    <s v="Under 228"/>
    <n v="5"/>
    <n v="-110"/>
    <s v="W"/>
    <n v="4.5454545454545459"/>
    <x v="1"/>
  </r>
  <r>
    <x v="22"/>
    <x v="1"/>
    <s v="Hawks @ Nets"/>
    <s v="Nets -9"/>
    <n v="5"/>
    <n v="-110"/>
    <s v="W"/>
    <n v="4.5454545454545459"/>
    <x v="0"/>
  </r>
  <r>
    <x v="22"/>
    <x v="1"/>
    <s v="Cavaliers @ Pelicans"/>
    <s v="Pelicans -14"/>
    <n v="5"/>
    <n v="-110"/>
    <s v="W"/>
    <n v="4.5454545454545459"/>
    <x v="0"/>
  </r>
  <r>
    <x v="22"/>
    <x v="1"/>
    <s v="Bucks @ Rockets"/>
    <s v="Over 226"/>
    <n v="5"/>
    <n v="-110"/>
    <s v="L"/>
    <n v="-5"/>
    <x v="2"/>
  </r>
  <r>
    <x v="22"/>
    <x v="1"/>
    <s v="Bucks @ Rockets"/>
    <s v="Bucks -1.5"/>
    <n v="5"/>
    <n v="-105"/>
    <s v="W"/>
    <n v="4.7619047619047619"/>
    <x v="0"/>
  </r>
  <r>
    <x v="22"/>
    <x v="1"/>
    <s v="Spurs @ Grizzlies"/>
    <s v="Under 204"/>
    <n v="5"/>
    <n v="-115"/>
    <s v="W"/>
    <n v="4.3478260869565215"/>
    <x v="1"/>
  </r>
  <r>
    <x v="22"/>
    <x v="1"/>
    <s v="Spurs @ Grizzlies"/>
    <s v="Spurs -3"/>
    <n v="5"/>
    <n v="-110"/>
    <s v="L"/>
    <n v="-5"/>
    <x v="0"/>
  </r>
  <r>
    <x v="22"/>
    <x v="1"/>
    <s v="Magic @ Jazz"/>
    <s v="Jazz -9"/>
    <n v="5"/>
    <n v="-110"/>
    <s v="W"/>
    <n v="4.5454545454545459"/>
    <x v="0"/>
  </r>
  <r>
    <x v="22"/>
    <x v="1"/>
    <s v="Bulls @ Trailblazers"/>
    <s v="Trailblazers -9.5"/>
    <n v="5"/>
    <n v="-110"/>
    <s v="W"/>
    <n v="4.5454545454545459"/>
    <x v="0"/>
  </r>
  <r>
    <x v="22"/>
    <x v="1"/>
    <s v="Pistons @ Lakers"/>
    <s v="Under 218"/>
    <n v="5"/>
    <n v="-115"/>
    <s v="W"/>
    <n v="4.3478260869565215"/>
    <x v="1"/>
  </r>
  <r>
    <x v="22"/>
    <x v="1"/>
    <s v="Pistons @ Lakers"/>
    <s v="Lakers -1.5"/>
    <n v="5"/>
    <n v="-110"/>
    <s v="W"/>
    <n v="4.5454545454545459"/>
    <x v="0"/>
  </r>
  <r>
    <x v="23"/>
    <x v="1"/>
    <s v="Celtics @ Heat"/>
    <s v="Under 212"/>
    <n v="10"/>
    <n v="-105"/>
    <s v="L"/>
    <n v="-10"/>
    <x v="1"/>
  </r>
  <r>
    <x v="23"/>
    <x v="1"/>
    <s v="Celtics @ Heat"/>
    <s v="Celtics -3"/>
    <n v="10"/>
    <n v="-105"/>
    <s v="L"/>
    <n v="-10"/>
    <x v="0"/>
  </r>
  <r>
    <x v="23"/>
    <x v="1"/>
    <s v="Clippers @ Nuggets"/>
    <s v="Under 227"/>
    <n v="10"/>
    <n v="-105"/>
    <s v="W"/>
    <n v="9.5238095238095237"/>
    <x v="1"/>
  </r>
  <r>
    <x v="23"/>
    <x v="1"/>
    <s v="Clippers @ Nuggets"/>
    <s v="Clippers +5.5"/>
    <n v="10"/>
    <n v="-105"/>
    <s v="L"/>
    <n v="-10"/>
    <x v="3"/>
  </r>
  <r>
    <x v="23"/>
    <x v="1"/>
    <s v="Thunder @ Spurs"/>
    <s v="Under 225"/>
    <n v="10"/>
    <n v="-105"/>
    <s v="L"/>
    <n v="-10"/>
    <x v="1"/>
  </r>
  <r>
    <x v="23"/>
    <x v="1"/>
    <s v="Thunder @ Spurs"/>
    <s v="Spurs +1.5"/>
    <n v="10"/>
    <n v="-110"/>
    <s v="W"/>
    <n v="9.0909090909090917"/>
    <x v="3"/>
  </r>
  <r>
    <x v="23"/>
    <x v="1"/>
    <s v="Thunder @ Spurs"/>
    <s v="Spurs Moneyline"/>
    <n v="10"/>
    <n v="105"/>
    <s v="W"/>
    <n v="10.5"/>
    <x v="4"/>
  </r>
  <r>
    <x v="23"/>
    <x v="1"/>
    <s v="Pistons @ Kings"/>
    <s v="Under 223"/>
    <n v="10"/>
    <n v="-105"/>
    <s v="W"/>
    <n v="9.5238095238095237"/>
    <x v="1"/>
  </r>
  <r>
    <x v="23"/>
    <x v="1"/>
    <s v="Pistons @ Kings"/>
    <s v="Kings -5"/>
    <n v="10"/>
    <n v="-110"/>
    <s v="W"/>
    <n v="9.0909090909090917"/>
    <x v="0"/>
  </r>
  <r>
    <x v="24"/>
    <x v="1"/>
    <s v="Hawks @ 76ers"/>
    <s v="Under 232"/>
    <n v="10"/>
    <n v="-115"/>
    <s v="L"/>
    <n v="-10"/>
    <x v="1"/>
  </r>
  <r>
    <x v="24"/>
    <x v="1"/>
    <s v="Hawks @ 76ers"/>
    <s v="76ers -12.5"/>
    <n v="10"/>
    <n v="-110"/>
    <s v="L"/>
    <n v="-10"/>
    <x v="0"/>
  </r>
  <r>
    <x v="24"/>
    <x v="1"/>
    <s v="Bucks @ Wizards"/>
    <s v="Under 231"/>
    <n v="10"/>
    <n v="-115"/>
    <s v="W"/>
    <n v="8.695652173913043"/>
    <x v="1"/>
  </r>
  <r>
    <x v="24"/>
    <x v="1"/>
    <s v="Bucks @ Wizards"/>
    <s v="Bucks -5.5"/>
    <n v="10"/>
    <n v="-110"/>
    <s v="L"/>
    <n v="-10"/>
    <x v="0"/>
  </r>
  <r>
    <x v="24"/>
    <x v="1"/>
    <s v="Nets @ Raptors"/>
    <s v="Raptors -9.5"/>
    <n v="10"/>
    <n v="-115"/>
    <s v="W"/>
    <n v="8.695652173913043"/>
    <x v="0"/>
  </r>
  <r>
    <x v="24"/>
    <x v="1"/>
    <s v="Pacers @ Knicks"/>
    <s v="Under 219"/>
    <n v="10"/>
    <n v="-110"/>
    <s v="L"/>
    <n v="-10"/>
    <x v="1"/>
  </r>
  <r>
    <x v="24"/>
    <x v="1"/>
    <s v="Pacers @ Knicks"/>
    <s v="Pacers -8.5"/>
    <n v="10"/>
    <n v="-110"/>
    <s v="W"/>
    <n v="9.0909090909090917"/>
    <x v="0"/>
  </r>
  <r>
    <x v="24"/>
    <x v="1"/>
    <s v="Cavaliers @ Rockets"/>
    <s v="Under 218"/>
    <n v="10"/>
    <n v="-105"/>
    <s v="L"/>
    <n v="-10"/>
    <x v="1"/>
  </r>
  <r>
    <x v="24"/>
    <x v="1"/>
    <s v="Cavaliers @ Rockets"/>
    <s v="Rockets -14"/>
    <n v="10"/>
    <n v="-105"/>
    <s v="W"/>
    <n v="9.5238095238095237"/>
    <x v="0"/>
  </r>
  <r>
    <x v="24"/>
    <x v="1"/>
    <s v="Mavericks @ Timberwolves"/>
    <s v="Timberwolves -5"/>
    <n v="10"/>
    <n v="-105"/>
    <s v="L"/>
    <n v="-10"/>
    <x v="0"/>
  </r>
  <r>
    <x v="24"/>
    <x v="1"/>
    <s v="Lakers @ Jazz"/>
    <s v="Lakers +8"/>
    <n v="10"/>
    <n v="-110"/>
    <s v="L"/>
    <n v="-10"/>
    <x v="3"/>
  </r>
  <r>
    <x v="24"/>
    <x v="1"/>
    <s v="Bulls @ Warriors"/>
    <s v="Under 222"/>
    <n v="10"/>
    <n v="-105"/>
    <s v="L"/>
    <n v="-10"/>
    <x v="1"/>
  </r>
  <r>
    <x v="24"/>
    <x v="1"/>
    <s v="Bulls @ Warriors"/>
    <s v="Warriors -15.5"/>
    <n v="10"/>
    <n v="-105"/>
    <s v="W"/>
    <n v="9.5238095238095237"/>
    <x v="0"/>
  </r>
  <r>
    <x v="25"/>
    <x v="1"/>
    <s v="Celtics @ Nets"/>
    <s v="Over 219"/>
    <n v="10"/>
    <n v="-115"/>
    <s v="L"/>
    <n v="-10"/>
    <x v="2"/>
  </r>
  <r>
    <x v="25"/>
    <x v="1"/>
    <s v="Celtics @ Nets"/>
    <s v="Celtics -3"/>
    <n v="10"/>
    <n v="-110"/>
    <s v="L"/>
    <n v="-10"/>
    <x v="0"/>
  </r>
  <r>
    <x v="25"/>
    <x v="1"/>
    <s v="Grizzlies @ Rockets"/>
    <s v="Over 208"/>
    <n v="10"/>
    <n v="-105"/>
    <s v="L"/>
    <n v="-10"/>
    <x v="2"/>
  </r>
  <r>
    <x v="25"/>
    <x v="1"/>
    <s v="Grizzlies @ Rockets"/>
    <s v="Rockets -5"/>
    <n v="10"/>
    <n v="-105"/>
    <s v="W"/>
    <n v="9.5238095238095237"/>
    <x v="0"/>
  </r>
  <r>
    <x v="25"/>
    <x v="1"/>
    <s v="Hornets @ Spurs"/>
    <s v="Over 222"/>
    <n v="10"/>
    <n v="-105"/>
    <s v="L"/>
    <n v="-10"/>
    <x v="2"/>
  </r>
  <r>
    <x v="25"/>
    <x v="1"/>
    <s v="Hornets @ Spurs"/>
    <s v="Spurs -9"/>
    <n v="10"/>
    <n v="-105"/>
    <s v="L"/>
    <n v="-10"/>
    <x v="0"/>
  </r>
  <r>
    <x v="25"/>
    <x v="1"/>
    <s v="Pistons @ Jazz"/>
    <s v="Jazz -8.5"/>
    <n v="10"/>
    <n v="-110"/>
    <s v="W"/>
    <n v="9.0909090909090917"/>
    <x v="0"/>
  </r>
  <r>
    <x v="25"/>
    <x v="1"/>
    <s v="Trailblazers @ Kings"/>
    <s v="Under 228"/>
    <n v="10"/>
    <n v="-115"/>
    <s v="W"/>
    <n v="8.695652173913043"/>
    <x v="1"/>
  </r>
  <r>
    <x v="25"/>
    <x v="1"/>
    <s v="Trailblazers @ Kings"/>
    <s v="Trailblazers +2.5"/>
    <n v="10"/>
    <n v="-105"/>
    <s v="L"/>
    <n v="-10"/>
    <x v="3"/>
  </r>
  <r>
    <x v="25"/>
    <x v="1"/>
    <s v="Pelicans @ Clippers"/>
    <s v="Under 239"/>
    <n v="10"/>
    <n v="-110"/>
    <s v="W"/>
    <n v="9.0909090909090917"/>
    <x v="1"/>
  </r>
  <r>
    <x v="25"/>
    <x v="1"/>
    <s v="Pelicans @ Clippers"/>
    <s v="Pelicans +2.5"/>
    <n v="10"/>
    <n v="-110"/>
    <s v="W"/>
    <n v="9.0909090909090917"/>
    <x v="3"/>
  </r>
  <r>
    <x v="25"/>
    <x v="1"/>
    <s v="Pelicans @ Clippers"/>
    <s v="Pelicans Moneyline"/>
    <n v="10"/>
    <n v="120"/>
    <s v="W"/>
    <n v="12"/>
    <x v="4"/>
  </r>
  <r>
    <x v="26"/>
    <x v="1"/>
    <s v="Timberwolves @ 76ers"/>
    <s v="Under 232"/>
    <n v="10"/>
    <n v="-110"/>
    <s v="L"/>
    <n v="-10"/>
    <x v="1"/>
  </r>
  <r>
    <x v="26"/>
    <x v="1"/>
    <s v="Timberwolves @ 76ers"/>
    <s v="Timberwolves +6"/>
    <n v="10"/>
    <n v="-110"/>
    <s v="L"/>
    <n v="-10"/>
    <x v="3"/>
  </r>
  <r>
    <x v="26"/>
    <x v="1"/>
    <s v="Suns @ Pacers"/>
    <s v="Under 219"/>
    <n v="10"/>
    <n v="-110"/>
    <s v="L"/>
    <n v="-10"/>
    <x v="1"/>
  </r>
  <r>
    <x v="26"/>
    <x v="1"/>
    <s v="Thunder @ Hawks"/>
    <s v="Under 234"/>
    <n v="10"/>
    <n v="-105"/>
    <s v="L"/>
    <n v="-10"/>
    <x v="1"/>
  </r>
  <r>
    <x v="26"/>
    <x v="1"/>
    <s v="Thunder @ Hawks"/>
    <s v="Thunder -8.5"/>
    <n v="10"/>
    <n v="-105"/>
    <s v="L"/>
    <n v="-10"/>
    <x v="0"/>
  </r>
  <r>
    <x v="26"/>
    <x v="1"/>
    <s v="Heat @ Bucks"/>
    <s v="Bucks -8.5"/>
    <n v="10"/>
    <n v="-110"/>
    <s v="W"/>
    <n v="9.0909090909090917"/>
    <x v="0"/>
  </r>
  <r>
    <x v="26"/>
    <x v="1"/>
    <s v="Warriors @ Nuggets"/>
    <s v="Under 228"/>
    <n v="10"/>
    <n v="-115"/>
    <s v="L"/>
    <n v="-10"/>
    <x v="1"/>
  </r>
  <r>
    <x v="26"/>
    <x v="1"/>
    <s v="Warriors @ Nuggets"/>
    <s v="Warriors -1"/>
    <n v="10"/>
    <n v="-110"/>
    <s v="W"/>
    <n v="9.0909090909090917"/>
    <x v="0"/>
  </r>
  <r>
    <x v="26"/>
    <x v="1"/>
    <s v="Bulls @ Lakers"/>
    <s v="Under 215"/>
    <n v="10"/>
    <n v="-110"/>
    <s v="W"/>
    <n v="9.0909090909090917"/>
    <x v="1"/>
  </r>
  <r>
    <x v="26"/>
    <x v="1"/>
    <s v="Bulls @ Lakers"/>
    <s v="Lakers -7"/>
    <n v="10"/>
    <n v="-110"/>
    <s v="Push"/>
    <n v="0"/>
    <x v="0"/>
  </r>
  <r>
    <x v="27"/>
    <x v="1"/>
    <s v="Magic @ Pistons"/>
    <s v="Under 207"/>
    <n v="5"/>
    <n v="-110"/>
    <s v="L"/>
    <n v="-5"/>
    <x v="1"/>
  </r>
  <r>
    <x v="27"/>
    <x v="1"/>
    <s v="Magic @ Pistons"/>
    <s v="Magic +3.5"/>
    <n v="5"/>
    <n v="-110"/>
    <s v="L"/>
    <n v="-5"/>
    <x v="3"/>
  </r>
  <r>
    <x v="27"/>
    <x v="1"/>
    <s v="Nets @ Rockets"/>
    <s v="Under 224"/>
    <n v="5"/>
    <n v="-110"/>
    <s v="L"/>
    <n v="-5"/>
    <x v="1"/>
  </r>
  <r>
    <x v="27"/>
    <x v="1"/>
    <s v="Nets @ Rockets"/>
    <s v="Rockets -5"/>
    <n v="5"/>
    <n v="-110"/>
    <s v="L"/>
    <n v="-5"/>
    <x v="0"/>
  </r>
  <r>
    <x v="27"/>
    <x v="1"/>
    <s v="Bucks @ Grizzlies"/>
    <s v="Under 212"/>
    <n v="5"/>
    <n v="-110"/>
    <s v="Push"/>
    <n v="0"/>
    <x v="1"/>
  </r>
  <r>
    <x v="27"/>
    <x v="1"/>
    <s v="Bucks @ Grizzlies"/>
    <s v="Bucks -6"/>
    <n v="5"/>
    <n v="-110"/>
    <s v="W"/>
    <n v="4.5454545454545459"/>
    <x v="0"/>
  </r>
  <r>
    <x v="27"/>
    <x v="1"/>
    <s v="Raptors @ Celtics"/>
    <s v="Under 223"/>
    <n v="5"/>
    <n v="-105"/>
    <s v="L"/>
    <n v="-5"/>
    <x v="1"/>
  </r>
  <r>
    <x v="27"/>
    <x v="1"/>
    <s v="Raptors @ Celtics"/>
    <s v="Raptors +2"/>
    <n v="5"/>
    <n v="-110"/>
    <s v="L"/>
    <n v="-5"/>
    <x v="3"/>
  </r>
  <r>
    <x v="27"/>
    <x v="1"/>
    <s v="Raptors @ Celtics"/>
    <s v="Raptors Moneyline"/>
    <n v="5"/>
    <n v="110"/>
    <s v="L"/>
    <n v="-5"/>
    <x v="4"/>
  </r>
  <r>
    <x v="27"/>
    <x v="1"/>
    <s v="Spurs @ Mavericks"/>
    <s v="Spurs -1"/>
    <n v="5"/>
    <n v="-110"/>
    <s v="W"/>
    <n v="4.5454545454545459"/>
    <x v="0"/>
  </r>
  <r>
    <x v="27"/>
    <x v="1"/>
    <s v="Cavaliers @ Trailblazers"/>
    <s v="Trailblazers -13.5"/>
    <n v="5"/>
    <n v="-110"/>
    <s v="W"/>
    <n v="4.5454545454545459"/>
    <x v="0"/>
  </r>
  <r>
    <x v="27"/>
    <x v="1"/>
    <s v="Pelicans @ Warriors"/>
    <s v="Under 241"/>
    <n v="5"/>
    <n v="-105"/>
    <s v="L"/>
    <n v="-5"/>
    <x v="1"/>
  </r>
  <r>
    <x v="27"/>
    <x v="1"/>
    <s v="Pelicans @ Warriors"/>
    <s v="Warriors -7"/>
    <n v="5"/>
    <n v="-110"/>
    <s v="Push"/>
    <n v="0"/>
    <x v="0"/>
  </r>
  <r>
    <x v="27"/>
    <x v="1"/>
    <s v="Jazz @ Clippers"/>
    <s v="Under 223"/>
    <n v="5"/>
    <n v="-110"/>
    <s v="L"/>
    <n v="-5"/>
    <x v="1"/>
  </r>
  <r>
    <x v="27"/>
    <x v="1"/>
    <s v="Jazz @ Clippers"/>
    <s v="Clippers -1.5"/>
    <n v="5"/>
    <n v="-110"/>
    <s v="L"/>
    <n v="-5"/>
    <x v="0"/>
  </r>
  <r>
    <x v="28"/>
    <x v="1"/>
    <s v="Knicks @ Wizards"/>
    <s v="Wizards -7.5"/>
    <n v="5"/>
    <n v="-105"/>
    <s v="L"/>
    <n v="-5"/>
    <x v="0"/>
  </r>
  <r>
    <x v="28"/>
    <x v="1"/>
    <s v="76ers @ Pacers"/>
    <s v="Under 225"/>
    <n v="5"/>
    <n v="-110"/>
    <s v="W"/>
    <n v="4.5454545454545459"/>
    <x v="1"/>
  </r>
  <r>
    <x v="28"/>
    <x v="1"/>
    <s v="76ers @ Pacers"/>
    <s v="76ers +2.5"/>
    <n v="5"/>
    <n v="-110"/>
    <s v="W"/>
    <n v="4.5454545454545459"/>
    <x v="3"/>
  </r>
  <r>
    <x v="28"/>
    <x v="1"/>
    <s v="76ers @ Pacers"/>
    <s v="76ers Moneyline"/>
    <n v="5"/>
    <n v="130"/>
    <s v="W"/>
    <n v="6.5"/>
    <x v="4"/>
  </r>
  <r>
    <x v="28"/>
    <x v="1"/>
    <s v="Kings @ Hornets"/>
    <s v="Under 230"/>
    <n v="5"/>
    <n v="-115"/>
    <s v="W"/>
    <n v="4.3478260869565215"/>
    <x v="1"/>
  </r>
  <r>
    <x v="28"/>
    <x v="1"/>
    <s v="Kings @ Hornets"/>
    <s v="Kings +3"/>
    <n v="5"/>
    <n v="-105"/>
    <s v="L"/>
    <n v="-5"/>
    <x v="3"/>
  </r>
  <r>
    <x v="28"/>
    <x v="1"/>
    <s v="Kings @ Hornets"/>
    <s v="Kings Moneyline"/>
    <n v="5"/>
    <n v="130"/>
    <s v="L"/>
    <n v="-5"/>
    <x v="4"/>
  </r>
  <r>
    <x v="28"/>
    <x v="1"/>
    <s v="Bulls @ Nuggets"/>
    <s v="Under 213"/>
    <n v="5"/>
    <n v="-115"/>
    <s v="L"/>
    <n v="-5"/>
    <x v="1"/>
  </r>
  <r>
    <x v="28"/>
    <x v="1"/>
    <s v="Bulls @ Nuggets"/>
    <s v="Nuggets -13"/>
    <n v="5"/>
    <n v="-110"/>
    <s v="W"/>
    <n v="4.5454545454545459"/>
    <x v="0"/>
  </r>
  <r>
    <x v="28"/>
    <x v="1"/>
    <s v="Lakers @ Thunder"/>
    <s v="Under 226"/>
    <n v="5"/>
    <n v="-110"/>
    <s v="L"/>
    <n v="-5"/>
    <x v="1"/>
  </r>
  <r>
    <x v="28"/>
    <x v="1"/>
    <s v="Lakers @ Thunder"/>
    <s v="Lakers +10.5"/>
    <n v="5"/>
    <n v="-110"/>
    <s v="W"/>
    <n v="4.5454545454545459"/>
    <x v="3"/>
  </r>
  <r>
    <x v="29"/>
    <x v="1"/>
    <s v="Nets @ Magic"/>
    <s v="Under 217"/>
    <n v="5"/>
    <n v="-110"/>
    <s v="L"/>
    <n v="-5"/>
    <x v="1"/>
  </r>
  <r>
    <x v="29"/>
    <x v="1"/>
    <s v="Nets @ Magic"/>
    <s v="Nets +1.5"/>
    <n v="5"/>
    <n v="-110"/>
    <s v="W"/>
    <n v="4.5454545454545459"/>
    <x v="3"/>
  </r>
  <r>
    <x v="29"/>
    <x v="1"/>
    <s v="Nets @ Magic"/>
    <s v="Nets Moneyline"/>
    <n v="5"/>
    <n v="105"/>
    <s v="W"/>
    <n v="5.25"/>
    <x v="4"/>
  </r>
  <r>
    <x v="29"/>
    <x v="1"/>
    <s v="Grizzlies @ Celtics"/>
    <s v="Over 207"/>
    <n v="5"/>
    <n v="-105"/>
    <s v="W"/>
    <n v="4.7619047619047619"/>
    <x v="2"/>
  </r>
  <r>
    <x v="29"/>
    <x v="1"/>
    <s v="Grizzlies @ Celtics"/>
    <s v="Celtics -11"/>
    <n v="5"/>
    <n v="-105"/>
    <s v="L"/>
    <n v="-5"/>
    <x v="0"/>
  </r>
  <r>
    <x v="29"/>
    <x v="1"/>
    <s v="Heat @ Pistons"/>
    <s v="Over 207"/>
    <n v="5"/>
    <n v="-105"/>
    <s v="L"/>
    <n v="-5"/>
    <x v="2"/>
  </r>
  <r>
    <x v="29"/>
    <x v="1"/>
    <s v="Heat @ Pistons"/>
    <s v="Heat +2"/>
    <n v="5"/>
    <n v="-110"/>
    <s v="L"/>
    <n v="-5"/>
    <x v="3"/>
  </r>
  <r>
    <x v="29"/>
    <x v="1"/>
    <s v="Spurs @ Timberwolves"/>
    <s v="Under 226"/>
    <n v="5"/>
    <n v="-110"/>
    <s v="L"/>
    <n v="-5"/>
    <x v="1"/>
  </r>
  <r>
    <x v="29"/>
    <x v="1"/>
    <s v="Spurs @ Timberwolves"/>
    <s v="Spurs +1.5"/>
    <n v="5"/>
    <n v="-110"/>
    <s v="W"/>
    <n v="4.5454545454545459"/>
    <x v="3"/>
  </r>
  <r>
    <x v="29"/>
    <x v="1"/>
    <s v="Cavaliers @ Jazz"/>
    <s v="Jazz -15.5"/>
    <n v="5"/>
    <n v="-110"/>
    <s v="W"/>
    <n v="4.5454545454545459"/>
    <x v="0"/>
  </r>
  <r>
    <x v="29"/>
    <x v="1"/>
    <s v="Warriors @ Clippers"/>
    <s v="Under 242"/>
    <n v="5"/>
    <n v="-110"/>
    <s v="W"/>
    <n v="4.5454545454545459"/>
    <x v="1"/>
  </r>
  <r>
    <x v="29"/>
    <x v="1"/>
    <s v="Warriors @ Clippers"/>
    <s v="Warriors -7"/>
    <n v="5"/>
    <n v="-115"/>
    <s v="W"/>
    <n v="4.3478260869565215"/>
    <x v="0"/>
  </r>
  <r>
    <x v="29"/>
    <x v="1"/>
    <s v="Pelicans @ Trailblazers"/>
    <s v="Pelicans +3"/>
    <n v="5"/>
    <n v="-115"/>
    <s v="L"/>
    <n v="-5"/>
    <x v="3"/>
  </r>
  <r>
    <x v="29"/>
    <x v="1"/>
    <s v="Pelicans @ Trailblazers"/>
    <s v="Pelicans Moneyline"/>
    <n v="5"/>
    <n v="120"/>
    <s v="L"/>
    <n v="-5"/>
    <x v="4"/>
  </r>
  <r>
    <x v="29"/>
    <x v="2"/>
    <s v="Maryland @ Ohio State"/>
    <s v="Maryland +3.5"/>
    <n v="1"/>
    <n v="-115"/>
    <s v="W"/>
    <n v="0.86956521739130432"/>
    <x v="3"/>
  </r>
  <r>
    <x v="29"/>
    <x v="2"/>
    <s v="Maryland @ Ohio State"/>
    <s v="Under 140"/>
    <n v="1"/>
    <n v="-115"/>
    <s v="W"/>
    <n v="0.86956521739130432"/>
    <x v="1"/>
  </r>
  <r>
    <x v="29"/>
    <x v="2"/>
    <s v="Eastern Michigan @ Buffalo"/>
    <s v="Buffalo -15.5"/>
    <n v="1"/>
    <n v="-105"/>
    <s v="L"/>
    <n v="-1"/>
    <x v="0"/>
  </r>
  <r>
    <x v="29"/>
    <x v="2"/>
    <s v="Xavier @ Villanova"/>
    <s v="Villanova -10"/>
    <n v="1"/>
    <n v="-110"/>
    <s v="Push"/>
    <n v="0"/>
    <x v="0"/>
  </r>
  <r>
    <x v="29"/>
    <x v="2"/>
    <s v="Northwestern @ Rutgers"/>
    <s v="Northwestern -1.5"/>
    <n v="1"/>
    <n v="-110"/>
    <s v="W"/>
    <n v="0.90909090909090906"/>
    <x v="0"/>
  </r>
  <r>
    <x v="29"/>
    <x v="2"/>
    <s v="Ohio @ Toledo"/>
    <s v="Toledo -8.5"/>
    <n v="1"/>
    <n v="-110"/>
    <s v="W"/>
    <n v="0.90909090909090906"/>
    <x v="0"/>
  </r>
  <r>
    <x v="30"/>
    <x v="0"/>
    <s v="Rams @ Saints"/>
    <s v="Under 56"/>
    <n v="10"/>
    <n v="-110"/>
    <s v="W"/>
    <n v="9.0909090909090917"/>
    <x v="1"/>
  </r>
  <r>
    <x v="31"/>
    <x v="2"/>
    <s v="Maryland @ Michigan State"/>
    <s v="Michigan State -9"/>
    <n v="2"/>
    <n v="-110"/>
    <s v="W"/>
    <n v="1.8181818181818181"/>
    <x v="0"/>
  </r>
  <r>
    <x v="31"/>
    <x v="2"/>
    <s v="Maryland @ Michigan State"/>
    <s v="Under 148"/>
    <n v="2"/>
    <n v="-105"/>
    <s v="W"/>
    <n v="1.9047619047619049"/>
    <x v="1"/>
  </r>
  <r>
    <x v="31"/>
    <x v="2"/>
    <s v="Virginia Tech @ North Carolina"/>
    <s v="Virginia Tech +4"/>
    <n v="2"/>
    <n v="-110"/>
    <s v="L"/>
    <n v="-2"/>
    <x v="3"/>
  </r>
  <r>
    <x v="31"/>
    <x v="2"/>
    <s v="Virginia Tech @ North Carolina"/>
    <s v="Under 155"/>
    <n v="2"/>
    <n v="-110"/>
    <s v="L"/>
    <n v="-2"/>
    <x v="1"/>
  </r>
  <r>
    <x v="31"/>
    <x v="2"/>
    <s v="Iowa State @ Kansas"/>
    <s v="Iowa State +5.5"/>
    <n v="2"/>
    <n v="-110"/>
    <s v="W"/>
    <n v="1.8181818181818181"/>
    <x v="3"/>
  </r>
  <r>
    <x v="31"/>
    <x v="2"/>
    <s v="Iowa State @ Kansas"/>
    <s v="Under 147"/>
    <n v="2"/>
    <n v="-105"/>
    <s v="L"/>
    <n v="-2"/>
    <x v="1"/>
  </r>
  <r>
    <x v="31"/>
    <x v="2"/>
    <s v="Nebraska @ Rutgers"/>
    <s v="Nebraska -9"/>
    <n v="2"/>
    <n v="-110"/>
    <s v="L"/>
    <n v="-2"/>
    <x v="0"/>
  </r>
  <r>
    <x v="31"/>
    <x v="2"/>
    <s v="Nebraska @ Rutgers"/>
    <s v="Under 135"/>
    <n v="2"/>
    <n v="-110"/>
    <s v="L"/>
    <n v="-2"/>
    <x v="1"/>
  </r>
  <r>
    <x v="31"/>
    <x v="2"/>
    <s v="Creighton @ Georgetown"/>
    <s v="Creighton +1.5"/>
    <n v="2"/>
    <n v="-110"/>
    <s v="W"/>
    <n v="1.8181818181818181"/>
    <x v="3"/>
  </r>
  <r>
    <x v="31"/>
    <x v="2"/>
    <s v="Creighton @ Georgetown"/>
    <s v="Under 166"/>
    <n v="2"/>
    <n v="-110"/>
    <s v="L"/>
    <n v="-2"/>
    <x v="1"/>
  </r>
  <r>
    <x v="31"/>
    <x v="2"/>
    <s v="Baylor @ West Virginia"/>
    <s v="Baylor +3"/>
    <n v="2"/>
    <n v="-110"/>
    <s v="W"/>
    <n v="1.8181818181818181"/>
    <x v="3"/>
  </r>
  <r>
    <x v="31"/>
    <x v="2"/>
    <s v="Baylor @ West Virginia"/>
    <s v="Under 143"/>
    <n v="2"/>
    <n v="-105"/>
    <s v="L"/>
    <n v="-2"/>
    <x v="1"/>
  </r>
  <r>
    <x v="32"/>
    <x v="2"/>
    <s v="Auburn @ South Carolina"/>
    <s v="Auburn -8"/>
    <n v="2"/>
    <n v="-110"/>
    <s v="L"/>
    <n v="-2"/>
    <x v="0"/>
  </r>
  <r>
    <x v="32"/>
    <x v="2"/>
    <s v="Auburn @ South Carolina"/>
    <s v="Under 155"/>
    <n v="2"/>
    <n v="-110"/>
    <s v="L"/>
    <n v="-2"/>
    <x v="1"/>
  </r>
  <r>
    <x v="32"/>
    <x v="2"/>
    <s v="Clemson @ Florida State"/>
    <s v="Florida State -6"/>
    <n v="2"/>
    <n v="-110"/>
    <s v="W"/>
    <n v="1.8181818181818181"/>
    <x v="0"/>
  </r>
  <r>
    <x v="32"/>
    <x v="2"/>
    <s v="Minnesota @ Michigan"/>
    <s v="Michigan -12.5"/>
    <n v="2"/>
    <n v="-110"/>
    <s v="L"/>
    <n v="-2"/>
    <x v="0"/>
  </r>
  <r>
    <x v="32"/>
    <x v="2"/>
    <s v="Minnesota @ Michigan"/>
    <s v="Under 138"/>
    <n v="2"/>
    <n v="-115"/>
    <s v="W"/>
    <n v="1.7391304347826086"/>
    <x v="1"/>
  </r>
  <r>
    <x v="32"/>
    <x v="2"/>
    <s v="Mississippi State @ Kentucky"/>
    <s v="Under 145"/>
    <n v="2"/>
    <n v="-115"/>
    <s v="W"/>
    <n v="1.7391304347826086"/>
    <x v="1"/>
  </r>
  <r>
    <x v="32"/>
    <x v="2"/>
    <s v="Notre Dame @ Georgia Tech"/>
    <s v="Georgia Tech +3.5"/>
    <n v="2"/>
    <n v="-110"/>
    <s v="W"/>
    <n v="1.8181818181818181"/>
    <x v="3"/>
  </r>
  <r>
    <x v="32"/>
    <x v="2"/>
    <s v="Notre Dame @ Georgia Tech"/>
    <s v="Over 133"/>
    <n v="2"/>
    <n v="-110"/>
    <s v="L"/>
    <n v="-2"/>
    <x v="2"/>
  </r>
  <r>
    <x v="32"/>
    <x v="2"/>
    <s v="Saint Peter's @ Niagara"/>
    <s v="Over 140"/>
    <n v="2"/>
    <n v="-110"/>
    <s v="W"/>
    <n v="1.8181818181818181"/>
    <x v="2"/>
  </r>
  <r>
    <x v="32"/>
    <x v="2"/>
    <s v="Saint Peter's @ Niagara"/>
    <s v="Niagara -3.5"/>
    <n v="2"/>
    <n v="-110"/>
    <s v="L"/>
    <n v="-2"/>
    <x v="0"/>
  </r>
  <r>
    <x v="32"/>
    <x v="2"/>
    <s v="Texas Tech @ Kansas State"/>
    <s v="Texas Tech +1"/>
    <n v="2"/>
    <n v="-115"/>
    <s v="L"/>
    <n v="-2"/>
    <x v="3"/>
  </r>
  <r>
    <x v="32"/>
    <x v="2"/>
    <s v="Texas Tech @ Kansas State"/>
    <s v="Over 120"/>
    <n v="2"/>
    <n v="-105"/>
    <s v="L"/>
    <n v="-2"/>
    <x v="2"/>
  </r>
  <r>
    <x v="32"/>
    <x v="2"/>
    <s v="Villanova @ Butler"/>
    <s v="Villanova +1.5"/>
    <n v="2"/>
    <n v="-115"/>
    <s v="W"/>
    <n v="1.7391304347826086"/>
    <x v="3"/>
  </r>
  <r>
    <x v="32"/>
    <x v="2"/>
    <s v="Villanova @ Butler"/>
    <s v="Under 142"/>
    <n v="2"/>
    <n v="-115"/>
    <s v="L"/>
    <n v="-2"/>
    <x v="1"/>
  </r>
  <r>
    <x v="32"/>
    <x v="2"/>
    <s v="Buffalo @ Northern Illinois"/>
    <s v="Buffalo -8"/>
    <n v="2"/>
    <n v="-110"/>
    <s v="L"/>
    <n v="-2"/>
    <x v="0"/>
  </r>
  <r>
    <x v="32"/>
    <x v="2"/>
    <s v="Buffalo @ Northern Illinois"/>
    <s v="Under 158"/>
    <n v="2"/>
    <n v="-110"/>
    <s v="W"/>
    <n v="1.8181818181818181"/>
    <x v="1"/>
  </r>
  <r>
    <x v="33"/>
    <x v="1"/>
    <s v="Warriors @ Wizards"/>
    <s v="Over 235"/>
    <n v="4"/>
    <n v="-110"/>
    <s v="W"/>
    <n v="3.6363636363636362"/>
    <x v="2"/>
  </r>
  <r>
    <x v="33"/>
    <x v="1"/>
    <s v="Warriors @ Wizards"/>
    <s v="Warriors -10.5"/>
    <n v="4"/>
    <n v="-105"/>
    <s v="L"/>
    <n v="-4"/>
    <x v="0"/>
  </r>
  <r>
    <x v="33"/>
    <x v="1"/>
    <s v="Pelicans @ Thunder"/>
    <s v="Under 233"/>
    <n v="4"/>
    <n v="-105"/>
    <s v="L"/>
    <n v="-4"/>
    <x v="1"/>
  </r>
  <r>
    <x v="33"/>
    <x v="1"/>
    <s v="Pelicans @ Thunder"/>
    <s v="Pelicans +12"/>
    <n v="4"/>
    <n v="-110"/>
    <s v="W"/>
    <n v="3.6363636363636362"/>
    <x v="3"/>
  </r>
  <r>
    <x v="33"/>
    <x v="1"/>
    <s v="Pelicans @ Thunder"/>
    <s v="Pelicans Moneyline"/>
    <n v="4"/>
    <n v="600"/>
    <s v="L"/>
    <n v="-4"/>
    <x v="4"/>
  </r>
  <r>
    <x v="33"/>
    <x v="1"/>
    <s v="TrailBlazers @ Suns"/>
    <s v="Under 220"/>
    <n v="4"/>
    <n v="-105"/>
    <s v="L"/>
    <n v="-4"/>
    <x v="1"/>
  </r>
  <r>
    <x v="33"/>
    <x v="1"/>
    <s v="TrailBlazers @ Suns"/>
    <s v="TrailBlazers -7.5"/>
    <n v="4"/>
    <n v="-110"/>
    <s v="W"/>
    <n v="3.6363636363636362"/>
    <x v="0"/>
  </r>
  <r>
    <x v="33"/>
    <x v="1"/>
    <s v="Timberwolves @ Lakers"/>
    <s v="Under 230"/>
    <n v="4"/>
    <n v="-110"/>
    <s v="W"/>
    <n v="3.6363636363636362"/>
    <x v="1"/>
  </r>
  <r>
    <x v="33"/>
    <x v="1"/>
    <s v="Timberwolves @ Lakers"/>
    <s v="Timberwolves -1.5"/>
    <n v="4"/>
    <n v="-110"/>
    <s v="W"/>
    <n v="3.6363636363636362"/>
    <x v="0"/>
  </r>
  <r>
    <x v="33"/>
    <x v="2"/>
    <s v="Michigan State @ Iowa"/>
    <s v="Michigan State -5"/>
    <n v="2"/>
    <n v="-110"/>
    <s v="W"/>
    <n v="1.8181818181818181"/>
    <x v="0"/>
  </r>
  <r>
    <x v="33"/>
    <x v="2"/>
    <s v="Michigan State @ Iowa"/>
    <s v="Under 157"/>
    <n v="2"/>
    <n v="-110"/>
    <s v="W"/>
    <n v="1.8181818181818181"/>
    <x v="1"/>
  </r>
  <r>
    <x v="33"/>
    <x v="2"/>
    <s v="Miami (FL) @ Syracuse"/>
    <s v="Syracuse -8"/>
    <n v="2"/>
    <n v="-110"/>
    <s v="W"/>
    <n v="1.8181818181818181"/>
    <x v="0"/>
  </r>
  <r>
    <x v="33"/>
    <x v="2"/>
    <s v="North Carolina State @ Louisville"/>
    <s v="Under 156"/>
    <n v="2"/>
    <n v="-115"/>
    <s v="L"/>
    <n v="-2"/>
    <x v="1"/>
  </r>
  <r>
    <x v="33"/>
    <x v="2"/>
    <s v="Belmont @ Murray State"/>
    <s v="Murray State -5.5"/>
    <n v="2"/>
    <n v="-110"/>
    <s v="L"/>
    <n v="-2"/>
    <x v="0"/>
  </r>
  <r>
    <x v="33"/>
    <x v="2"/>
    <s v="Utah @ Stanford"/>
    <s v="Utah +2.5"/>
    <n v="2"/>
    <n v="-110"/>
    <s v="W"/>
    <n v="1.8181818181818181"/>
    <x v="3"/>
  </r>
  <r>
    <x v="33"/>
    <x v="2"/>
    <s v="Utah @ Stanford"/>
    <s v="Under 148"/>
    <n v="2"/>
    <n v="-110"/>
    <s v="W"/>
    <n v="1.8181818181818181"/>
    <x v="1"/>
  </r>
  <r>
    <x v="33"/>
    <x v="2"/>
    <s v="Washington @ Oregon"/>
    <s v="Washington +2.5"/>
    <n v="2"/>
    <n v="-110"/>
    <s v="W"/>
    <n v="1.8181818181818181"/>
    <x v="3"/>
  </r>
  <r>
    <x v="33"/>
    <x v="2"/>
    <s v="Washington @ Oregon"/>
    <s v="Over 131"/>
    <n v="2"/>
    <n v="-115"/>
    <s v="L"/>
    <n v="-2"/>
    <x v="2"/>
  </r>
  <r>
    <x v="33"/>
    <x v="2"/>
    <s v="Arizona State @ UCLA"/>
    <s v="Arizona State +1"/>
    <n v="2"/>
    <n v="-105"/>
    <s v="W"/>
    <n v="1.9047619047619049"/>
    <x v="3"/>
  </r>
  <r>
    <x v="33"/>
    <x v="2"/>
    <s v="Arizona State @ UCLA"/>
    <s v="Under 156"/>
    <n v="2"/>
    <n v="-110"/>
    <s v="L"/>
    <n v="-2"/>
    <x v="1"/>
  </r>
  <r>
    <x v="34"/>
    <x v="2"/>
    <s v="Buffalo @ Kent State"/>
    <s v="Buffalo -8"/>
    <n v="2"/>
    <n v="-110"/>
    <s v="W"/>
    <n v="1.8181818181818181"/>
    <x v="0"/>
  </r>
  <r>
    <x v="34"/>
    <x v="2"/>
    <s v="Buffalo @ Kent State"/>
    <s v="Under 161"/>
    <n v="2"/>
    <n v="-105"/>
    <s v="L"/>
    <n v="-2"/>
    <x v="1"/>
  </r>
  <r>
    <x v="34"/>
    <x v="2"/>
    <s v="Michigan @ Indiana"/>
    <s v="Michigan -4.5"/>
    <n v="2"/>
    <n v="-110"/>
    <s v="W"/>
    <n v="1.8181818181818181"/>
    <x v="0"/>
  </r>
  <r>
    <x v="34"/>
    <x v="2"/>
    <s v="Michigan @ Indiana"/>
    <s v="Under 134"/>
    <n v="2"/>
    <n v="-115"/>
    <s v="W"/>
    <n v="1.7391304347826086"/>
    <x v="1"/>
  </r>
  <r>
    <x v="34"/>
    <x v="2"/>
    <s v="Brown @ Yale"/>
    <s v="Yale -7.5"/>
    <n v="2"/>
    <n v="-110"/>
    <s v="W"/>
    <n v="1.8181818181818181"/>
    <x v="0"/>
  </r>
  <r>
    <x v="34"/>
    <x v="2"/>
    <s v="Brown @ Yale"/>
    <s v="Under 152"/>
    <n v="2"/>
    <n v="-105"/>
    <s v="W"/>
    <n v="1.9047619047619049"/>
    <x v="1"/>
  </r>
  <r>
    <x v="34"/>
    <x v="2"/>
    <s v="Quinnipiac @ Marist"/>
    <s v="Quinnipiac +2"/>
    <n v="2"/>
    <n v="-110"/>
    <s v="W"/>
    <n v="1.8181818181818181"/>
    <x v="3"/>
  </r>
  <r>
    <x v="34"/>
    <x v="2"/>
    <s v="Quinnipiac @ Marist"/>
    <s v="Over 137"/>
    <n v="2"/>
    <n v="-115"/>
    <s v="W"/>
    <n v="1.7391304347826086"/>
    <x v="2"/>
  </r>
  <r>
    <x v="34"/>
    <x v="2"/>
    <s v="Rider @ Iona"/>
    <s v="Rider -3"/>
    <n v="2"/>
    <n v="-105"/>
    <s v="L"/>
    <n v="-2"/>
    <x v="0"/>
  </r>
  <r>
    <x v="34"/>
    <x v="2"/>
    <s v="Rider @ Iona"/>
    <s v="Under 172"/>
    <n v="2"/>
    <n v="-115"/>
    <s v="W"/>
    <n v="1.7391304347826086"/>
    <x v="1"/>
  </r>
  <r>
    <x v="34"/>
    <x v="2"/>
    <s v="Butler @ Creighton"/>
    <s v="Butler +2.5"/>
    <n v="2"/>
    <n v="-105"/>
    <s v="L"/>
    <n v="-2"/>
    <x v="3"/>
  </r>
  <r>
    <x v="34"/>
    <x v="2"/>
    <s v="Butler @ Creighton"/>
    <s v="Under 153"/>
    <n v="2"/>
    <n v="-105"/>
    <s v="W"/>
    <n v="1.9047619047619049"/>
    <x v="1"/>
  </r>
  <r>
    <x v="34"/>
    <x v="2"/>
    <s v="Butler @ Creighton"/>
    <s v="Butler Moneyline"/>
    <n v="2"/>
    <n v="130"/>
    <s v="L"/>
    <n v="-2"/>
    <x v="4"/>
  </r>
  <r>
    <x v="35"/>
    <x v="2"/>
    <s v="VCU @ Duquesne"/>
    <s v="VCU -3.5"/>
    <n v="5"/>
    <n v="-110"/>
    <s v="W"/>
    <n v="4.5454545454545459"/>
    <x v="0"/>
  </r>
  <r>
    <x v="35"/>
    <x v="2"/>
    <s v="Monmouth @ Niagara"/>
    <s v="Niagara -2.5"/>
    <n v="5"/>
    <n v="-115"/>
    <s v="W"/>
    <n v="4.3478260869565215"/>
    <x v="0"/>
  </r>
  <r>
    <x v="35"/>
    <x v="2"/>
    <s v="Utah Valley @ Chicago State"/>
    <s v="Utah Valley -17.5"/>
    <n v="5"/>
    <n v="-110"/>
    <s v="L"/>
    <n v="-5"/>
    <x v="0"/>
  </r>
  <r>
    <x v="35"/>
    <x v="2"/>
    <s v="Mercer @ NC Greensboro"/>
    <s v="NC Greensboro -9"/>
    <n v="5"/>
    <n v="-115"/>
    <s v="L"/>
    <n v="-5"/>
    <x v="0"/>
  </r>
  <r>
    <x v="35"/>
    <x v="2"/>
    <s v="Mercer @ NC Greensboro"/>
    <s v="Under 138"/>
    <n v="5"/>
    <n v="-105"/>
    <s v="L"/>
    <n v="-5"/>
    <x v="1"/>
  </r>
  <r>
    <x v="35"/>
    <x v="2"/>
    <s v="Evansville @ Northern Iowa"/>
    <s v="Northern Iowa -5"/>
    <n v="5"/>
    <n v="-110"/>
    <s v="W"/>
    <n v="4.5454545454545459"/>
    <x v="0"/>
  </r>
  <r>
    <x v="35"/>
    <x v="2"/>
    <s v="North Dakota State @ Oral Roberts"/>
    <s v="North Dakota State -1.5"/>
    <n v="10"/>
    <n v="-110"/>
    <s v="W"/>
    <n v="9.0909090909090917"/>
    <x v="0"/>
  </r>
  <r>
    <x v="36"/>
    <x v="3"/>
    <s v="Farmers Insurance Open 2019"/>
    <s v="Gooch over Ghim"/>
    <n v="12.5"/>
    <n v="-125"/>
    <s v="W"/>
    <n v="10"/>
    <x v="2"/>
  </r>
  <r>
    <x v="37"/>
    <x v="1"/>
    <s v="Warriors @ Pacers"/>
    <s v="Under 228"/>
    <n v="2"/>
    <n v="-110"/>
    <s v="L"/>
    <n v="-2"/>
    <x v="1"/>
  </r>
  <r>
    <x v="37"/>
    <x v="1"/>
    <s v="Warriors @ Pacers"/>
    <s v="Warriors -7.5"/>
    <n v="2"/>
    <n v="-105"/>
    <s v="W"/>
    <n v="1.9047619047619049"/>
    <x v="0"/>
  </r>
  <r>
    <x v="37"/>
    <x v="1"/>
    <s v="Knicks @ Hornets"/>
    <s v="Hornets -12"/>
    <n v="2"/>
    <n v="-110"/>
    <s v="L"/>
    <n v="-2"/>
    <x v="0"/>
  </r>
  <r>
    <x v="37"/>
    <x v="1"/>
    <s v="Nets @ Celtics"/>
    <s v="Under 220"/>
    <n v="2"/>
    <n v="-110"/>
    <s v="W"/>
    <n v="1.8181818181818181"/>
    <x v="1"/>
  </r>
  <r>
    <x v="37"/>
    <x v="1"/>
    <s v="Nets @ Celtics"/>
    <s v="Celtics -9"/>
    <n v="2"/>
    <n v="-110"/>
    <s v="L"/>
    <n v="-2"/>
    <x v="0"/>
  </r>
  <r>
    <x v="37"/>
    <x v="1"/>
    <s v="Nuggets @ Grizzlies"/>
    <s v="Under 207"/>
    <n v="2"/>
    <n v="-110"/>
    <s v="W"/>
    <n v="1.8181818181818181"/>
    <x v="1"/>
  </r>
  <r>
    <x v="37"/>
    <x v="1"/>
    <s v="Nuggets @ Grizzlies"/>
    <s v="Nuggets -6"/>
    <n v="2"/>
    <n v="-110"/>
    <s v="L"/>
    <n v="-2"/>
    <x v="0"/>
  </r>
  <r>
    <x v="37"/>
    <x v="1"/>
    <s v="Hawks @ Clippers"/>
    <s v="Under 233"/>
    <n v="2"/>
    <n v="-110"/>
    <s v="L"/>
    <n v="-2"/>
    <x v="1"/>
  </r>
  <r>
    <x v="37"/>
    <x v="1"/>
    <s v="Hawks @ Clippers"/>
    <s v="Clippers -6"/>
    <n v="2"/>
    <n v="-115"/>
    <s v="L"/>
    <n v="-2"/>
    <x v="0"/>
  </r>
  <r>
    <x v="37"/>
    <x v="2"/>
    <s v="Duke @ Notre Dame"/>
    <s v="Duke -15"/>
    <n v="5"/>
    <n v="-105"/>
    <s v="W"/>
    <n v="4.7619047619047619"/>
    <x v="0"/>
  </r>
  <r>
    <x v="37"/>
    <x v="2"/>
    <s v="Duke @ Notre Dame"/>
    <s v="Under 152"/>
    <n v="5"/>
    <n v="-105"/>
    <s v="W"/>
    <n v="4.7619047619047619"/>
    <x v="1"/>
  </r>
  <r>
    <x v="37"/>
    <x v="2"/>
    <s v="Florida A&amp;M @ Morgan State"/>
    <s v="Over 131"/>
    <n v="5"/>
    <n v="-110"/>
    <s v="W"/>
    <n v="4.5454545454545459"/>
    <x v="2"/>
  </r>
  <r>
    <x v="37"/>
    <x v="2"/>
    <s v="Florida A&amp;M @ Morgan State"/>
    <s v="Morgan State -4"/>
    <n v="5"/>
    <n v="-110"/>
    <s v="L"/>
    <n v="-5"/>
    <x v="0"/>
  </r>
  <r>
    <x v="37"/>
    <x v="2"/>
    <s v="Baylor @ Oklahoma"/>
    <s v="Oklahoma +5.5"/>
    <n v="5"/>
    <n v="-115"/>
    <s v="L"/>
    <n v="-5"/>
    <x v="3"/>
  </r>
  <r>
    <x v="37"/>
    <x v="2"/>
    <s v="Baylor @ Oklahoma"/>
    <s v="Under 139"/>
    <n v="5"/>
    <n v="-110"/>
    <s v="W"/>
    <n v="4.5454545454545459"/>
    <x v="1"/>
  </r>
  <r>
    <x v="37"/>
    <x v="2"/>
    <s v="Texas Christian @ Texas Tech"/>
    <s v="Over 131"/>
    <n v="5"/>
    <n v="-110"/>
    <s v="W"/>
    <n v="4.5454545454545459"/>
    <x v="2"/>
  </r>
  <r>
    <x v="37"/>
    <x v="2"/>
    <s v="Alcorn State @ Alabama A&amp;M"/>
    <s v="Over 121"/>
    <n v="5"/>
    <n v="-115"/>
    <s v="W"/>
    <n v="4.3478260869565215"/>
    <x v="2"/>
  </r>
  <r>
    <x v="37"/>
    <x v="2"/>
    <s v="Alcorn State @ Alabama A&amp;M"/>
    <s v="Alabama A&amp;M -3"/>
    <n v="5"/>
    <n v="-115"/>
    <s v="W"/>
    <n v="4.3478260869565215"/>
    <x v="0"/>
  </r>
  <r>
    <x v="37"/>
    <x v="2"/>
    <s v="North Carolina Central @ Savannah State"/>
    <s v="North Carolina Central -2.5"/>
    <n v="5"/>
    <n v="-110"/>
    <s v="W"/>
    <n v="4.5454545454545459"/>
    <x v="0"/>
  </r>
  <r>
    <x v="37"/>
    <x v="2"/>
    <s v="North Carolina Central @ Savannah State"/>
    <s v="Over 157"/>
    <n v="5"/>
    <n v="-115"/>
    <s v="L"/>
    <n v="-5"/>
    <x v="2"/>
  </r>
  <r>
    <x v="38"/>
    <x v="2"/>
    <s v="Ohio @ Northern Illinois"/>
    <s v="Over 136"/>
    <n v="5"/>
    <n v="-110"/>
    <s v="L"/>
    <n v="-5"/>
    <x v="2"/>
  </r>
  <r>
    <x v="38"/>
    <x v="2"/>
    <s v="Ohio @ Northern Illinois"/>
    <s v="Northern Illinois -4.5"/>
    <n v="5"/>
    <n v="-110"/>
    <s v="W"/>
    <n v="4.5454545454545459"/>
    <x v="0"/>
  </r>
  <r>
    <x v="38"/>
    <x v="2"/>
    <s v="Tennessee @ South Carolina"/>
    <s v="Tennessee -8.5"/>
    <n v="5"/>
    <n v="-110"/>
    <s v="W"/>
    <n v="4.5454545454545459"/>
    <x v="0"/>
  </r>
  <r>
    <x v="38"/>
    <x v="2"/>
    <s v="Tennessee @ South Carolina"/>
    <s v="Under 154"/>
    <n v="5"/>
    <n v="-105"/>
    <s v="L"/>
    <n v="-5"/>
    <x v="1"/>
  </r>
  <r>
    <x v="38"/>
    <x v="2"/>
    <s v="Ball State @ Buffalo"/>
    <s v="Buffalo -11"/>
    <n v="5"/>
    <n v="-105"/>
    <s v="W"/>
    <n v="4.7619047619047619"/>
    <x v="0"/>
  </r>
  <r>
    <x v="38"/>
    <x v="2"/>
    <s v="Ball State @ Buffalo"/>
    <s v="Under 161"/>
    <n v="5"/>
    <n v="-115"/>
    <s v="W"/>
    <n v="4.3478260869565215"/>
    <x v="1"/>
  </r>
  <r>
    <x v="38"/>
    <x v="2"/>
    <s v="Kansas @ Texas"/>
    <s v="Kansas +1"/>
    <n v="5"/>
    <n v="-110"/>
    <s v="L"/>
    <n v="-5"/>
    <x v="3"/>
  </r>
  <r>
    <x v="38"/>
    <x v="2"/>
    <s v="Kansas @ Texas"/>
    <s v="Under 141"/>
    <n v="5"/>
    <n v="-115"/>
    <s v="W"/>
    <n v="4.3478260869565215"/>
    <x v="1"/>
  </r>
  <r>
    <x v="38"/>
    <x v="2"/>
    <s v="Toledo @ Miami (OH)"/>
    <s v="Toledo -2.5"/>
    <n v="5"/>
    <n v="-115"/>
    <s v="W"/>
    <n v="4.3478260869565215"/>
    <x v="0"/>
  </r>
  <r>
    <x v="38"/>
    <x v="2"/>
    <s v="Toledo @ Miami (OH)"/>
    <s v="Over 142"/>
    <n v="5"/>
    <n v="-105"/>
    <s v="L"/>
    <n v="-5"/>
    <x v="2"/>
  </r>
  <r>
    <x v="38"/>
    <x v="2"/>
    <s v="Boise State @ Colorado State"/>
    <s v="Boise State -2"/>
    <n v="5"/>
    <n v="-110"/>
    <s v="Push"/>
    <n v="0"/>
    <x v="0"/>
  </r>
  <r>
    <x v="38"/>
    <x v="2"/>
    <s v="Ohio State @ Michigan"/>
    <s v="Michigan -8.5"/>
    <n v="5"/>
    <n v="-110"/>
    <s v="W"/>
    <n v="4.5454545454545459"/>
    <x v="0"/>
  </r>
  <r>
    <x v="39"/>
    <x v="1"/>
    <s v="Hornets @ Celtics"/>
    <s v="Over 216"/>
    <n v="1"/>
    <n v="-115"/>
    <s v="W"/>
    <n v="0.86956521739130432"/>
    <x v="2"/>
  </r>
  <r>
    <x v="39"/>
    <x v="1"/>
    <s v="Hornets @ Celtics"/>
    <s v="Celtics -7.5"/>
    <n v="1"/>
    <n v="-110"/>
    <s v="W"/>
    <n v="0.90909090909090906"/>
    <x v="0"/>
  </r>
  <r>
    <x v="39"/>
    <x v="1"/>
    <s v="Bulls @ Heat"/>
    <s v="Over 208"/>
    <n v="1"/>
    <n v="-105"/>
    <s v="L"/>
    <n v="-1"/>
    <x v="2"/>
  </r>
  <r>
    <x v="39"/>
    <x v="1"/>
    <s v="Bulls @ Heat"/>
    <s v="Heat -9.5"/>
    <n v="1"/>
    <n v="-110"/>
    <s v="L"/>
    <n v="-1"/>
    <x v="0"/>
  </r>
  <r>
    <x v="39"/>
    <x v="1"/>
    <s v="Mavericks @ Knicks"/>
    <s v="Mavericks -6.5"/>
    <n v="1"/>
    <n v="-110"/>
    <s v="W"/>
    <n v="0.90909090909090906"/>
    <x v="0"/>
  </r>
  <r>
    <x v="39"/>
    <x v="1"/>
    <s v="Mavericks @ Knicks"/>
    <s v="Over 215"/>
    <n v="1"/>
    <n v="-105"/>
    <s v="L"/>
    <n v="-1"/>
    <x v="2"/>
  </r>
  <r>
    <x v="39"/>
    <x v="1"/>
    <s v="Nuggets @ Pelicans"/>
    <s v="Nuggets -8"/>
    <n v="1"/>
    <n v="-110"/>
    <s v="L"/>
    <n v="-1"/>
    <x v="0"/>
  </r>
  <r>
    <x v="39"/>
    <x v="1"/>
    <s v="Nuggets @ Pelicans"/>
    <s v="Under 227"/>
    <n v="1"/>
    <n v="-110"/>
    <s v="W"/>
    <n v="0.90909090909090906"/>
    <x v="1"/>
  </r>
  <r>
    <x v="39"/>
    <x v="1"/>
    <s v="Pacers @ Wizards"/>
    <s v="Pacers Moneyline"/>
    <n v="1"/>
    <n v="-110"/>
    <s v="L"/>
    <n v="-1"/>
    <x v="6"/>
  </r>
  <r>
    <x v="39"/>
    <x v="1"/>
    <s v="Pacers @ Wizards"/>
    <s v="Over 218"/>
    <n v="1"/>
    <n v="-115"/>
    <s v="L"/>
    <n v="-1"/>
    <x v="2"/>
  </r>
  <r>
    <x v="39"/>
    <x v="1"/>
    <s v="Grizzlies @ Timberwolves"/>
    <s v="Over 209"/>
    <n v="1"/>
    <n v="-110"/>
    <s v="L"/>
    <n v="-1"/>
    <x v="2"/>
  </r>
  <r>
    <x v="39"/>
    <x v="1"/>
    <s v="Grizzlies @ Timberwolves"/>
    <s v="Timberwolves -5"/>
    <n v="1"/>
    <n v="-110"/>
    <s v="L"/>
    <n v="-1"/>
    <x v="0"/>
  </r>
  <r>
    <x v="39"/>
    <x v="1"/>
    <s v="Hawks @ Kings"/>
    <s v="Kings -5.5"/>
    <n v="1"/>
    <n v="-105"/>
    <s v="W"/>
    <n v="0.95238095238095244"/>
    <x v="0"/>
  </r>
  <r>
    <x v="39"/>
    <x v="1"/>
    <s v="Hawks @ Kings"/>
    <s v="Under 236"/>
    <n v="1"/>
    <n v="-105"/>
    <s v="L"/>
    <n v="-1"/>
    <x v="1"/>
  </r>
  <r>
    <x v="39"/>
    <x v="1"/>
    <s v="Jazz @ Trailblazers"/>
    <s v="Jazz +1.5"/>
    <n v="1"/>
    <n v="-110"/>
    <s v="L"/>
    <n v="-1"/>
    <x v="3"/>
  </r>
  <r>
    <x v="39"/>
    <x v="2"/>
    <s v="Marquette @ Butler"/>
    <s v="Marquette +2.5"/>
    <n v="5"/>
    <n v="-115"/>
    <s v="W"/>
    <n v="4.3478260869565215"/>
    <x v="3"/>
  </r>
  <r>
    <x v="39"/>
    <x v="2"/>
    <s v="Marquette @ Butler"/>
    <s v="Under 148"/>
    <n v="5"/>
    <n v="-110"/>
    <s v="W"/>
    <n v="4.5454545454545459"/>
    <x v="1"/>
  </r>
  <r>
    <x v="39"/>
    <x v="2"/>
    <s v="Mississippi @ Florida"/>
    <s v="Florida -5.5"/>
    <n v="5"/>
    <n v="-105"/>
    <s v="L"/>
    <n v="-5"/>
    <x v="0"/>
  </r>
  <r>
    <x v="39"/>
    <x v="2"/>
    <s v="American @ Loyola (MD)"/>
    <s v="American -1.5"/>
    <n v="5"/>
    <n v="-110"/>
    <s v="W"/>
    <n v="4.5454545454545459"/>
    <x v="0"/>
  </r>
  <r>
    <x v="39"/>
    <x v="2"/>
    <s v="American @ Loyola (MD)"/>
    <s v="Over 140"/>
    <n v="5"/>
    <n v="-105"/>
    <s v="W"/>
    <n v="4.7619047619047619"/>
    <x v="2"/>
  </r>
  <r>
    <x v="39"/>
    <x v="2"/>
    <s v="Bradley @ Evansville"/>
    <s v="Over 129"/>
    <n v="5"/>
    <n v="-115"/>
    <s v="W"/>
    <n v="4.3478260869565215"/>
    <x v="2"/>
  </r>
  <r>
    <x v="39"/>
    <x v="2"/>
    <s v="Bradley @ Evansville"/>
    <s v="Evansville -3"/>
    <n v="5"/>
    <n v="-115"/>
    <s v="L"/>
    <n v="-5"/>
    <x v="0"/>
  </r>
  <r>
    <x v="39"/>
    <x v="2"/>
    <s v="Canisius @ Niagara"/>
    <s v="Canisius -1"/>
    <n v="5"/>
    <n v="-110"/>
    <s v="L"/>
    <n v="-5"/>
    <x v="0"/>
  </r>
  <r>
    <x v="39"/>
    <x v="2"/>
    <s v="Canisius @ Niagara"/>
    <s v="Under 152"/>
    <n v="5"/>
    <n v="-115"/>
    <s v="W"/>
    <n v="4.3478260869565215"/>
    <x v="1"/>
  </r>
  <r>
    <x v="39"/>
    <x v="2"/>
    <s v="High Point @ Gardner-Webb"/>
    <s v="Over 129"/>
    <n v="5"/>
    <n v="-110"/>
    <s v="W"/>
    <n v="4.5454545454545459"/>
    <x v="2"/>
  </r>
  <r>
    <x v="39"/>
    <x v="2"/>
    <s v="High Point @ Gardner-Webb"/>
    <s v="Gardner-Webb -4.5"/>
    <n v="5"/>
    <n v="-115"/>
    <s v="L"/>
    <n v="-5"/>
    <x v="0"/>
  </r>
  <r>
    <x v="39"/>
    <x v="2"/>
    <s v="Maine @ Massachusetts-Lowell"/>
    <s v="Over 143"/>
    <n v="5"/>
    <n v="-115"/>
    <s v="L"/>
    <n v="-5"/>
    <x v="2"/>
  </r>
  <r>
    <x v="39"/>
    <x v="2"/>
    <s v="Maine @ Massachusetts-Lowell"/>
    <s v="Massachusetts-Lowell -10.5"/>
    <n v="5"/>
    <n v="-110"/>
    <s v="L"/>
    <n v="-5"/>
    <x v="0"/>
  </r>
  <r>
    <x v="39"/>
    <x v="2"/>
    <s v="Providence @ Seton Hall"/>
    <s v="Under 143"/>
    <n v="5"/>
    <n v="-110"/>
    <s v="W"/>
    <n v="4.5454545454545459"/>
    <x v="1"/>
  </r>
  <r>
    <x v="39"/>
    <x v="2"/>
    <s v="South Carolina Upstate @ North Carolina-Asheville"/>
    <s v="South Carolina Upstate -4.5"/>
    <n v="5"/>
    <n v="-110"/>
    <s v="L"/>
    <n v="-5"/>
    <x v="0"/>
  </r>
  <r>
    <x v="39"/>
    <x v="2"/>
    <s v="South Carolina Upstate @ North Carolina-Asheville"/>
    <s v="Over 129"/>
    <n v="5"/>
    <n v="-105"/>
    <s v="W"/>
    <n v="4.7619047619047619"/>
    <x v="2"/>
  </r>
  <r>
    <x v="39"/>
    <x v="2"/>
    <s v="Illinois State @ Drake"/>
    <s v="Drake -5"/>
    <n v="5"/>
    <n v="-110"/>
    <s v="L"/>
    <n v="-5"/>
    <x v="0"/>
  </r>
  <r>
    <x v="40"/>
    <x v="2"/>
    <s v="Austin Peay @ Tennessee Tech"/>
    <s v="Austin Peay -9"/>
    <n v="5"/>
    <n v="-110"/>
    <s v="W"/>
    <n v="4.5454545454545459"/>
    <x v="0"/>
  </r>
  <r>
    <x v="40"/>
    <x v="2"/>
    <s v="Austin Peay @ Tennessee Tech"/>
    <s v="Over 144"/>
    <n v="5"/>
    <n v="-115"/>
    <s v="L"/>
    <n v="-5"/>
    <x v="2"/>
  </r>
  <r>
    <x v="40"/>
    <x v="2"/>
    <s v="Drexel @ William &amp; Mary"/>
    <s v="Drexel +4.5"/>
    <n v="5"/>
    <n v="-110"/>
    <s v="L"/>
    <n v="-5"/>
    <x v="3"/>
  </r>
  <r>
    <x v="40"/>
    <x v="2"/>
    <s v="Furman @ Citadel"/>
    <s v="Furman -7"/>
    <n v="5"/>
    <n v="-110"/>
    <s v="W"/>
    <n v="4.5454545454545459"/>
    <x v="0"/>
  </r>
  <r>
    <x v="40"/>
    <x v="2"/>
    <s v="Furman @ Citadel"/>
    <s v="Under 169"/>
    <n v="5"/>
    <n v="-110"/>
    <s v="W"/>
    <n v="4.5454545454545459"/>
    <x v="1"/>
  </r>
  <r>
    <x v="40"/>
    <x v="2"/>
    <s v="Iona @ Marist"/>
    <s v="Iona -1"/>
    <n v="5"/>
    <n v="-105"/>
    <s v="L"/>
    <n v="-5"/>
    <x v="0"/>
  </r>
  <r>
    <x v="40"/>
    <x v="2"/>
    <s v="Iona @ Marist"/>
    <s v="Under 156"/>
    <n v="5"/>
    <n v="-110"/>
    <s v="W"/>
    <n v="4.5454545454545459"/>
    <x v="1"/>
  </r>
  <r>
    <x v="40"/>
    <x v="2"/>
    <s v="Purdue @ Penn State"/>
    <s v="Purdue -7.5"/>
    <n v="5"/>
    <n v="-110"/>
    <s v="W"/>
    <n v="4.5454545454545459"/>
    <x v="0"/>
  </r>
  <r>
    <x v="40"/>
    <x v="2"/>
    <s v="Purdue @ Penn State"/>
    <s v="Under 137"/>
    <n v="5"/>
    <n v="-105"/>
    <s v="L"/>
    <n v="-5"/>
    <x v="1"/>
  </r>
  <r>
    <x v="40"/>
    <x v="2"/>
    <s v="Wofford @ Mercer"/>
    <s v="Wofford -7"/>
    <n v="5"/>
    <n v="-110"/>
    <s v="W"/>
    <n v="4.5454545454545459"/>
    <x v="0"/>
  </r>
  <r>
    <x v="40"/>
    <x v="2"/>
    <s v="Wofford @ Mercer"/>
    <s v="Over 145"/>
    <n v="5"/>
    <n v="-110"/>
    <s v="L"/>
    <n v="-5"/>
    <x v="2"/>
  </r>
  <r>
    <x v="40"/>
    <x v="2"/>
    <s v="South Dakota State @ Oral Roberts"/>
    <s v="South Dakota State -11"/>
    <n v="5"/>
    <n v="-110"/>
    <s v="L"/>
    <n v="-5"/>
    <x v="0"/>
  </r>
  <r>
    <x v="40"/>
    <x v="2"/>
    <s v="Xavier @ Georgetown"/>
    <s v="Xavier +3"/>
    <n v="5"/>
    <n v="-110"/>
    <s v="L"/>
    <n v="-5"/>
    <x v="3"/>
  </r>
  <r>
    <x v="40"/>
    <x v="2"/>
    <s v="Xavier @ Georgetown"/>
    <s v="Under 153"/>
    <n v="5"/>
    <n v="-110"/>
    <s v="Push"/>
    <n v="0"/>
    <x v="1"/>
  </r>
  <r>
    <x v="41"/>
    <x v="2"/>
    <s v="Pennsylvania @ Cornell"/>
    <s v="Pennsylvania -6"/>
    <n v="5"/>
    <n v="-110"/>
    <s v="L"/>
    <n v="-5"/>
    <x v="0"/>
  </r>
  <r>
    <x v="41"/>
    <x v="2"/>
    <s v="Pennsylvania @ Cornell"/>
    <s v="Over 139"/>
    <n v="5"/>
    <n v="-110"/>
    <s v="W"/>
    <n v="4.5454545454545459"/>
    <x v="2"/>
  </r>
  <r>
    <x v="41"/>
    <x v="2"/>
    <s v="Pennsylvania @ Cornell"/>
    <s v="Pennsylvania Moneyline"/>
    <n v="5"/>
    <n v="-260"/>
    <s v="L"/>
    <n v="-5"/>
    <x v="6"/>
  </r>
  <r>
    <x v="41"/>
    <x v="2"/>
    <s v="North Dakota @ Western Illinois"/>
    <s v="Over 141"/>
    <n v="5"/>
    <n v="-105"/>
    <s v="W"/>
    <n v="4.7619047619047619"/>
    <x v="2"/>
  </r>
  <r>
    <x v="41"/>
    <x v="2"/>
    <s v="Davidson @ St. Bonaventure"/>
    <s v="Davidson -1.5"/>
    <n v="5"/>
    <n v="-110"/>
    <s v="W"/>
    <n v="4.5454545454545459"/>
    <x v="0"/>
  </r>
  <r>
    <x v="41"/>
    <x v="2"/>
    <s v="Davidson @ St. Bonaventure"/>
    <s v="Over 131"/>
    <n v="5"/>
    <n v="-105"/>
    <s v="W"/>
    <n v="4.7619047619047619"/>
    <x v="2"/>
  </r>
  <r>
    <x v="41"/>
    <x v="2"/>
    <s v="Davidson @ St. Bonaventure"/>
    <s v="Davidson Moneyline"/>
    <n v="5"/>
    <n v="-125"/>
    <s v="W"/>
    <n v="4"/>
    <x v="6"/>
  </r>
  <r>
    <x v="41"/>
    <x v="2"/>
    <s v="Michigan @ Iowa"/>
    <s v="Michigan -5"/>
    <n v="5"/>
    <n v="-110"/>
    <s v="L"/>
    <n v="-5"/>
    <x v="0"/>
  </r>
  <r>
    <x v="41"/>
    <x v="2"/>
    <s v="Michigan @ Iowa"/>
    <s v="Michigan Moneyline"/>
    <n v="5"/>
    <n v="-210"/>
    <s v="L"/>
    <n v="-5"/>
    <x v="6"/>
  </r>
  <r>
    <x v="41"/>
    <x v="2"/>
    <s v="Michigan @ Iowa"/>
    <s v="Under 142"/>
    <n v="5"/>
    <n v="-110"/>
    <s v="W"/>
    <n v="4.5454545454545459"/>
    <x v="1"/>
  </r>
  <r>
    <x v="41"/>
    <x v="2"/>
    <s v="Quinnipiac @ Canisius"/>
    <s v="Quinnipiac +3.5"/>
    <n v="5"/>
    <n v="-115"/>
    <s v="L"/>
    <n v="-5"/>
    <x v="3"/>
  </r>
  <r>
    <x v="41"/>
    <x v="2"/>
    <s v="Quinnipiac @ Canisius"/>
    <s v="Quinnipiac Moneyline"/>
    <n v="5"/>
    <n v="145"/>
    <s v="L"/>
    <n v="-5"/>
    <x v="4"/>
  </r>
  <r>
    <x v="41"/>
    <x v="2"/>
    <s v="Buffalo @ Bowling Green State"/>
    <s v="Buffalo -8"/>
    <n v="5"/>
    <n v="-110"/>
    <s v="L"/>
    <n v="-5"/>
    <x v="0"/>
  </r>
  <r>
    <x v="41"/>
    <x v="2"/>
    <s v="Buffalo @ Bowling Green State"/>
    <s v="Buffalo Moneyline"/>
    <n v="5"/>
    <n v="-380"/>
    <s v="L"/>
    <n v="-5"/>
    <x v="6"/>
  </r>
  <r>
    <x v="41"/>
    <x v="2"/>
    <s v="Buffalo @ Bowling Green State"/>
    <s v="Under 156"/>
    <n v="5"/>
    <n v="-115"/>
    <s v="L"/>
    <n v="-5"/>
    <x v="1"/>
  </r>
  <r>
    <x v="41"/>
    <x v="2"/>
    <s v="Milwaukee @ Green Bay"/>
    <s v="Green Bay -7"/>
    <n v="5"/>
    <n v="-110"/>
    <s v="W"/>
    <n v="4.5454545454545459"/>
    <x v="0"/>
  </r>
  <r>
    <x v="41"/>
    <x v="2"/>
    <s v="Maryland @ Wisconsin"/>
    <s v="Over 131"/>
    <n v="5"/>
    <n v="-105"/>
    <s v="L"/>
    <n v="-5"/>
    <x v="2"/>
  </r>
  <r>
    <x v="41"/>
    <x v="2"/>
    <s v="Maryland @ Wisconsin"/>
    <s v="Wisconsin -5"/>
    <n v="5"/>
    <n v="-110"/>
    <s v="W"/>
    <n v="4.5454545454545459"/>
    <x v="0"/>
  </r>
  <r>
    <x v="41"/>
    <x v="2"/>
    <s v="Wright State @ Illinois-Chicago"/>
    <s v="Wright State -2"/>
    <n v="5"/>
    <n v="-110"/>
    <s v="L"/>
    <n v="-5"/>
    <x v="0"/>
  </r>
  <r>
    <x v="41"/>
    <x v="2"/>
    <s v="Wright State @ Illinois-Chicago"/>
    <s v="Over 143"/>
    <n v="5"/>
    <n v="-105"/>
    <s v="L"/>
    <n v="-5"/>
    <x v="2"/>
  </r>
  <r>
    <x v="41"/>
    <x v="2"/>
    <s v="Wright State @ Illinois-Chicago"/>
    <s v="Wright State Moneyline"/>
    <n v="5"/>
    <n v="-135"/>
    <s v="L"/>
    <n v="-5"/>
    <x v="6"/>
  </r>
  <r>
    <x v="42"/>
    <x v="0"/>
    <s v="Rams @ Patriots"/>
    <s v="Under 56"/>
    <n v="22"/>
    <n v="-110"/>
    <s v="W"/>
    <n v="20"/>
    <x v="1"/>
  </r>
  <r>
    <x v="42"/>
    <x v="0"/>
    <s v="Rams @ Patriots_x000a_Rams @ Patriots"/>
    <s v="Under 56_x000a_Rams +3"/>
    <n v="12.32"/>
    <n v="244"/>
    <s v="L"/>
    <n v="-12.32"/>
    <x v="7"/>
  </r>
  <r>
    <x v="42"/>
    <x v="0"/>
    <s v="Rams Suberbowl"/>
    <s v="N/A"/>
    <n v="5"/>
    <n v="435"/>
    <s v="L"/>
    <n v="-5"/>
    <x v="5"/>
  </r>
  <r>
    <x v="42"/>
    <x v="0"/>
    <s v="Pick em team Sacks"/>
    <s v="Rams"/>
    <n v="10"/>
    <n v="100"/>
    <s v="L"/>
    <n v="-10"/>
    <x v="5"/>
  </r>
  <r>
    <x v="42"/>
    <x v="0"/>
    <s v="CJ Anderson Rushing Yards"/>
    <s v="Over 43"/>
    <n v="10"/>
    <n v="100"/>
    <s v="L"/>
    <n v="-10"/>
    <x v="2"/>
  </r>
  <r>
    <x v="43"/>
    <x v="2"/>
    <s v="Colgate @ Lehigh"/>
    <s v="Under 157"/>
    <n v="5"/>
    <n v="-110"/>
    <s v="W"/>
    <n v="4.5454545454545459"/>
    <x v="1"/>
  </r>
  <r>
    <x v="43"/>
    <x v="2"/>
    <s v="Louisville @ Virginia Tech"/>
    <s v="Over 136"/>
    <n v="5"/>
    <n v="-105"/>
    <s v="Push"/>
    <n v="0"/>
    <x v="2"/>
  </r>
  <r>
    <x v="43"/>
    <x v="2"/>
    <s v="Louisville @ Virginia Tech"/>
    <s v="Virginia Tech -5"/>
    <n v="5"/>
    <n v="-105"/>
    <s v="L"/>
    <n v="-5"/>
    <x v="0"/>
  </r>
  <r>
    <x v="43"/>
    <x v="2"/>
    <s v="Marist @ Canisius"/>
    <s v="Over 142"/>
    <n v="5"/>
    <n v="-115"/>
    <s v="W"/>
    <n v="4.3478260869565215"/>
    <x v="2"/>
  </r>
  <r>
    <x v="43"/>
    <x v="2"/>
    <s v="Marist @ Canisius"/>
    <s v="Canisius -4.5"/>
    <n v="5"/>
    <n v="-110"/>
    <s v="L"/>
    <n v="-5"/>
    <x v="0"/>
  </r>
  <r>
    <x v="43"/>
    <x v="2"/>
    <s v="Penn state @ Northwestern"/>
    <s v="Northwestern -3.5"/>
    <n v="5"/>
    <n v="-110"/>
    <s v="L"/>
    <n v="-5"/>
    <x v="0"/>
  </r>
  <r>
    <x v="43"/>
    <x v="2"/>
    <s v="Penn state @ Northwestern"/>
    <s v="Under 132"/>
    <n v="5"/>
    <n v="-110"/>
    <s v="W"/>
    <n v="4.5454545454545459"/>
    <x v="1"/>
  </r>
  <r>
    <x v="43"/>
    <x v="2"/>
    <s v="Arkansas-Pine Bluff @ Jackson State"/>
    <s v="Over 125"/>
    <n v="5"/>
    <n v="-115"/>
    <s v="L"/>
    <n v="-5"/>
    <x v="2"/>
  </r>
  <r>
    <x v="43"/>
    <x v="2"/>
    <s v="Arkansas-Pine Bluff @ Jackson State"/>
    <s v="Jackson State -4.5"/>
    <n v="5"/>
    <n v="-110"/>
    <s v="W"/>
    <n v="4.5454545454545459"/>
    <x v="0"/>
  </r>
  <r>
    <x v="43"/>
    <x v="2"/>
    <s v="Iowa State @ Oklahoma"/>
    <s v="Iowa State -3"/>
    <n v="5"/>
    <n v="-105"/>
    <s v="L"/>
    <n v="-5"/>
    <x v="0"/>
  </r>
  <r>
    <x v="43"/>
    <x v="2"/>
    <s v="Iowa State @ Oklahoma"/>
    <s v="Iowa State Moneyline"/>
    <n v="5"/>
    <n v="-150"/>
    <s v="W"/>
    <n v="3.3333333333333335"/>
    <x v="6"/>
  </r>
  <r>
    <x v="43"/>
    <x v="2"/>
    <s v="Iowa State @ Oklahoma"/>
    <s v="Under 144"/>
    <n v="5"/>
    <n v="-110"/>
    <s v="L"/>
    <n v="-5"/>
    <x v="1"/>
  </r>
  <r>
    <x v="43"/>
    <x v="2"/>
    <s v="Southern Utah @ Idaho"/>
    <s v="Southern Utah -5"/>
    <n v="5"/>
    <n v="-110"/>
    <s v="W"/>
    <n v="4.5454545454545459"/>
    <x v="0"/>
  </r>
  <r>
    <x v="43"/>
    <x v="2"/>
    <s v="Southern Utah @ Idaho"/>
    <s v="Over 146"/>
    <n v="5"/>
    <n v="-110"/>
    <s v="L"/>
    <n v="-5"/>
    <x v="2"/>
  </r>
  <r>
    <x v="43"/>
    <x v="2"/>
    <s v="Southern Utah @ Idaho"/>
    <s v="Southern Utah Moneyline"/>
    <n v="5"/>
    <n v="-225"/>
    <s v="W"/>
    <n v="2.2222222222222223"/>
    <x v="6"/>
  </r>
  <r>
    <x v="44"/>
    <x v="1"/>
    <s v="Nuggets @ Nets"/>
    <s v="Nuggets -2"/>
    <n v="1"/>
    <n v="-110"/>
    <s v="L"/>
    <n v="-1"/>
    <x v="0"/>
  </r>
  <r>
    <x v="44"/>
    <x v="1"/>
    <s v="Nuggets @ Nets"/>
    <s v="Under 224"/>
    <n v="1"/>
    <n v="-105"/>
    <s v="L"/>
    <n v="-1"/>
    <x v="1"/>
  </r>
  <r>
    <x v="44"/>
    <x v="1"/>
    <s v="Pelicans @ Bulls"/>
    <s v="Pelicans +1"/>
    <n v="1"/>
    <n v="-105"/>
    <s v="W"/>
    <n v="0.95238095238095244"/>
    <x v="3"/>
  </r>
  <r>
    <x v="44"/>
    <x v="1"/>
    <s v="Pelicans @ Bulls"/>
    <s v="PelicansMoneyline"/>
    <n v="1"/>
    <n v="100"/>
    <s v="W"/>
    <n v="1"/>
    <x v="4"/>
  </r>
  <r>
    <x v="44"/>
    <x v="1"/>
    <s v="Pelicans @ Bulls"/>
    <s v="Under 227"/>
    <n v="1"/>
    <n v="-105"/>
    <s v="L"/>
    <n v="-1"/>
    <x v="1"/>
  </r>
  <r>
    <x v="44"/>
    <x v="1"/>
    <s v="Wizards @ Bucks"/>
    <s v="Bucks Moneyline"/>
    <n v="1"/>
    <n v="-900"/>
    <s v="W"/>
    <n v="0.1111111111111111"/>
    <x v="6"/>
  </r>
  <r>
    <x v="44"/>
    <x v="1"/>
    <s v="Wizards @ Bucks"/>
    <s v="Bucks -12"/>
    <n v="1"/>
    <n v="-105"/>
    <s v="W"/>
    <n v="0.95238095238095244"/>
    <x v="0"/>
  </r>
  <r>
    <x v="44"/>
    <x v="1"/>
    <s v="Hornets @ Mavericks"/>
    <s v="Hornets +5.5"/>
    <n v="1"/>
    <n v="-110"/>
    <s v="L"/>
    <n v="-1"/>
    <x v="3"/>
  </r>
  <r>
    <x v="44"/>
    <x v="1"/>
    <s v="Hornets @ Mavericks"/>
    <s v="Over 215"/>
    <n v="1"/>
    <n v="-110"/>
    <s v="L"/>
    <n v="-1"/>
    <x v="2"/>
  </r>
  <r>
    <x v="44"/>
    <x v="1"/>
    <s v="Suns @ Jazz"/>
    <s v="Jazz Moneyline"/>
    <n v="1"/>
    <n v="-1900"/>
    <s v="W"/>
    <n v="5.2631578947368418E-2"/>
    <x v="6"/>
  </r>
  <r>
    <x v="44"/>
    <x v="1"/>
    <s v="Suns @ Jazz"/>
    <s v="Jazz -14.5"/>
    <n v="1"/>
    <n v="-110"/>
    <s v="W"/>
    <n v="0.90909090909090906"/>
    <x v="0"/>
  </r>
  <r>
    <x v="44"/>
    <x v="1"/>
    <s v="Rockets @ Kings"/>
    <s v="Kings +3"/>
    <n v="1"/>
    <n v="-115"/>
    <s v="L"/>
    <n v="-1"/>
    <x v="3"/>
  </r>
  <r>
    <x v="44"/>
    <x v="1"/>
    <s v="Rockets @ Kings"/>
    <s v="Under 236"/>
    <n v="1"/>
    <n v="-110"/>
    <s v="W"/>
    <n v="0.90909090909090906"/>
    <x v="1"/>
  </r>
  <r>
    <x v="44"/>
    <x v="1"/>
    <s v="Spurs @ Warriors"/>
    <s v="Under 231"/>
    <n v="1"/>
    <n v="-115"/>
    <s v="L"/>
    <n v="-1"/>
    <x v="1"/>
  </r>
  <r>
    <x v="44"/>
    <x v="2"/>
    <s v="Connecticut @ Temple"/>
    <s v="Connecticut +4"/>
    <n v="5"/>
    <n v="-115"/>
    <s v="L"/>
    <n v="-5"/>
    <x v="3"/>
  </r>
  <r>
    <x v="44"/>
    <x v="2"/>
    <s v="Connecticut @ Temple"/>
    <s v="Connecticut Moneyline"/>
    <n v="5"/>
    <n v="160"/>
    <s v="L"/>
    <n v="-5"/>
    <x v="4"/>
  </r>
  <r>
    <x v="44"/>
    <x v="2"/>
    <s v="Connecticut @ Temple"/>
    <s v="Under 149"/>
    <n v="5"/>
    <n v="-115"/>
    <s v="W"/>
    <n v="4.3478260869565215"/>
    <x v="1"/>
  </r>
  <r>
    <x v="44"/>
    <x v="2"/>
    <s v="Bucknell @ Loyola (MD)"/>
    <s v="Bucknell -5"/>
    <n v="5"/>
    <n v="-110"/>
    <s v="W"/>
    <n v="4.5454545454545459"/>
    <x v="0"/>
  </r>
  <r>
    <x v="44"/>
    <x v="2"/>
    <s v="Clemson @ Georgia Tech"/>
    <s v="Clemson -3.5"/>
    <n v="5"/>
    <n v="-115"/>
    <s v="W"/>
    <n v="4.3478260869565215"/>
    <x v="0"/>
  </r>
  <r>
    <x v="44"/>
    <x v="2"/>
    <s v="Clemson @ Georgia Tech"/>
    <s v="Over 127"/>
    <n v="5"/>
    <n v="-115"/>
    <s v="L"/>
    <n v="-5"/>
    <x v="2"/>
  </r>
  <r>
    <x v="44"/>
    <x v="2"/>
    <s v="George Mason @ Richmond"/>
    <s v="George Mason -1.5"/>
    <n v="5"/>
    <n v="-110"/>
    <s v="L"/>
    <n v="-5"/>
    <x v="0"/>
  </r>
  <r>
    <x v="44"/>
    <x v="2"/>
    <s v="George Mason @ Richmond"/>
    <s v="George Mason Moneyline"/>
    <n v="5"/>
    <n v="-125"/>
    <s v="L"/>
    <n v="-5"/>
    <x v="6"/>
  </r>
  <r>
    <x v="44"/>
    <x v="2"/>
    <s v="Maryland @ Nebraska"/>
    <s v="Nebraska -1.5"/>
    <n v="5"/>
    <n v="-110"/>
    <s v="L"/>
    <n v="-5"/>
    <x v="0"/>
  </r>
  <r>
    <x v="44"/>
    <x v="2"/>
    <s v="Notre Dame @ Miami (FL)"/>
    <s v="Notre Dame +3.5"/>
    <n v="5"/>
    <n v="-105"/>
    <s v="L"/>
    <n v="-5"/>
    <x v="3"/>
  </r>
  <r>
    <x v="44"/>
    <x v="2"/>
    <s v="Notre Dame @ Miami (FL)"/>
    <s v="Under 144"/>
    <n v="5"/>
    <n v="-115"/>
    <s v="W"/>
    <n v="4.3478260869565215"/>
    <x v="1"/>
  </r>
  <r>
    <x v="44"/>
    <x v="2"/>
    <s v="Rhode Island @ Davidson"/>
    <s v="Davidson Moneyline"/>
    <n v="5"/>
    <n v="-225"/>
    <s v="W"/>
    <n v="2.2222222222222223"/>
    <x v="6"/>
  </r>
  <r>
    <x v="44"/>
    <x v="2"/>
    <s v="Rhode Island @ Davidson"/>
    <s v="Davidson -5"/>
    <n v="5"/>
    <n v="-110"/>
    <s v="W"/>
    <n v="4.5454545454545459"/>
    <x v="0"/>
  </r>
  <r>
    <x v="44"/>
    <x v="2"/>
    <s v="St. Bonaventure @ Duquesne"/>
    <s v="Duquesne -2"/>
    <n v="5"/>
    <n v="-110"/>
    <s v="L"/>
    <n v="-5"/>
    <x v="0"/>
  </r>
  <r>
    <x v="44"/>
    <x v="2"/>
    <s v="Wisconsin @ Minnesota"/>
    <s v="Wisconsin -3"/>
    <n v="5"/>
    <n v="-105"/>
    <s v="W"/>
    <n v="4.7619047619047619"/>
    <x v="0"/>
  </r>
  <r>
    <x v="44"/>
    <x v="2"/>
    <s v="Wisconsin @ Minnesota"/>
    <s v="Wisconsin Moneyline"/>
    <n v="5"/>
    <n v="-150"/>
    <s v="W"/>
    <n v="3.3333333333333335"/>
    <x v="6"/>
  </r>
  <r>
    <x v="45"/>
    <x v="1"/>
    <s v="Clippers @ Pacers"/>
    <s v="Under 216"/>
    <n v="2"/>
    <n v="-105"/>
    <s v="W"/>
    <n v="1.9047619047619049"/>
    <x v="1"/>
  </r>
  <r>
    <x v="45"/>
    <x v="1"/>
    <s v="Clippers @ Pacers"/>
    <s v="Clippers +6.5"/>
    <n v="2"/>
    <n v="-110"/>
    <s v="L"/>
    <n v="-2"/>
    <x v="3"/>
  </r>
  <r>
    <x v="45"/>
    <x v="1"/>
    <s v="Timberwolves @ Magic"/>
    <s v="Under 216"/>
    <n v="2"/>
    <n v="-115"/>
    <s v="L"/>
    <n v="-2"/>
    <x v="1"/>
  </r>
  <r>
    <x v="45"/>
    <x v="1"/>
    <s v="Timberwolves @ Magic"/>
    <s v="Timberwolves +2"/>
    <n v="2"/>
    <n v="-110"/>
    <s v="L"/>
    <n v="-2"/>
    <x v="3"/>
  </r>
  <r>
    <x v="45"/>
    <x v="1"/>
    <s v="Timberwolves @ Magic"/>
    <s v="Timberwolves Moneyline"/>
    <n v="2"/>
    <n v="110"/>
    <s v="L"/>
    <n v="-2"/>
    <x v="4"/>
  </r>
  <r>
    <x v="45"/>
    <x v="1"/>
    <s v="Raptors @ Hawks"/>
    <s v="Under 232"/>
    <n v="2"/>
    <n v="-105"/>
    <s v="W"/>
    <n v="1.9047619047619049"/>
    <x v="1"/>
  </r>
  <r>
    <x v="45"/>
    <x v="1"/>
    <s v="Raptors @ Hawks"/>
    <s v="Raptors -8.5"/>
    <n v="2"/>
    <n v="-110"/>
    <s v="W"/>
    <n v="1.8181818181818181"/>
    <x v="0"/>
  </r>
  <r>
    <x v="45"/>
    <x v="1"/>
    <s v="Lakers @ Celtics"/>
    <s v="Under 227"/>
    <n v="2"/>
    <n v="-110"/>
    <s v="L"/>
    <n v="-2"/>
    <x v="1"/>
  </r>
  <r>
    <x v="45"/>
    <x v="1"/>
    <s v="Lakers @ Celtics"/>
    <s v="Celtics -8.5"/>
    <n v="2"/>
    <n v="-110"/>
    <s v="L"/>
    <n v="-2"/>
    <x v="0"/>
  </r>
  <r>
    <x v="45"/>
    <x v="1"/>
    <s v="Grizzlies @ Thunder"/>
    <s v="Under 212"/>
    <n v="2"/>
    <n v="-110"/>
    <s v="Push"/>
    <n v="0"/>
    <x v="1"/>
  </r>
  <r>
    <x v="45"/>
    <x v="1"/>
    <s v="Grizzlies @ Thunder"/>
    <s v="Thunder -14"/>
    <n v="2"/>
    <n v="-110"/>
    <s v="W"/>
    <n v="1.8181818181818181"/>
    <x v="0"/>
  </r>
  <r>
    <x v="45"/>
    <x v="1"/>
    <s v="Spurs @ Trailblazers"/>
    <s v="Spurs +6"/>
    <n v="2"/>
    <n v="-110"/>
    <s v="L"/>
    <n v="-2"/>
    <x v="3"/>
  </r>
  <r>
    <x v="46"/>
    <x v="1"/>
    <s v="Cavaliers @ Wizards"/>
    <s v="Over 220"/>
    <n v="2"/>
    <n v="-115"/>
    <s v="W"/>
    <n v="1.7391304347826086"/>
    <x v="2"/>
  </r>
  <r>
    <x v="46"/>
    <x v="1"/>
    <s v="Cavaliers @ Wizards"/>
    <s v="Wizards -9.5"/>
    <n v="2"/>
    <n v="-105"/>
    <s v="W"/>
    <n v="1.9047619047619049"/>
    <x v="0"/>
  </r>
  <r>
    <x v="46"/>
    <x v="1"/>
    <s v="Nuggets @ 76ers"/>
    <s v="Under 229"/>
    <n v="2"/>
    <n v="-105"/>
    <s v="W"/>
    <n v="1.9047619047619049"/>
    <x v="1"/>
  </r>
  <r>
    <x v="46"/>
    <x v="1"/>
    <s v="Nuggets @ 76ers"/>
    <s v="Nuggets +4"/>
    <n v="2"/>
    <n v="-105"/>
    <s v="L"/>
    <n v="-2"/>
    <x v="3"/>
  </r>
  <r>
    <x v="46"/>
    <x v="1"/>
    <s v="Knicks @ Pistons"/>
    <s v="Over 206"/>
    <n v="2"/>
    <n v="-110"/>
    <s v="W"/>
    <n v="1.8181818181818181"/>
    <x v="2"/>
  </r>
  <r>
    <x v="46"/>
    <x v="1"/>
    <s v="Bulls @ Nets"/>
    <s v="Under 224"/>
    <n v="2"/>
    <n v="-105"/>
    <s v="L"/>
    <n v="-2"/>
    <x v="1"/>
  </r>
  <r>
    <x v="46"/>
    <x v="1"/>
    <s v="Bucks @ Mavericks"/>
    <s v="Under 222"/>
    <n v="2"/>
    <n v="-105"/>
    <s v="L"/>
    <n v="-2"/>
    <x v="1"/>
  </r>
  <r>
    <x v="46"/>
    <x v="1"/>
    <s v="Bucks @ Mavericks"/>
    <s v="Bucks -7.5"/>
    <n v="2"/>
    <n v="-110"/>
    <s v="W"/>
    <n v="1.8181818181818181"/>
    <x v="0"/>
  </r>
  <r>
    <x v="46"/>
    <x v="1"/>
    <s v="Warriors @ Suns"/>
    <s v="Under 232"/>
    <n v="2"/>
    <n v="-110"/>
    <s v="W"/>
    <n v="1.8181818181818181"/>
    <x v="1"/>
  </r>
  <r>
    <x v="46"/>
    <x v="1"/>
    <s v="Warriors @ Suns"/>
    <s v="Warriors -15.5"/>
    <n v="2"/>
    <n v="-115"/>
    <s v="L"/>
    <n v="-2"/>
    <x v="0"/>
  </r>
  <r>
    <x v="46"/>
    <x v="1"/>
    <s v="Timberwolves @ Pelicans"/>
    <s v="Under 231"/>
    <n v="2"/>
    <n v="-105"/>
    <s v="L"/>
    <n v="-2"/>
    <x v="1"/>
  </r>
  <r>
    <x v="46"/>
    <x v="1"/>
    <s v="Heat @ Kings"/>
    <s v="Kings -3"/>
    <n v="2"/>
    <n v="-110"/>
    <s v="W"/>
    <n v="1.8181818181818181"/>
    <x v="0"/>
  </r>
  <r>
    <x v="46"/>
    <x v="2"/>
    <s v="Columbia @ Harvard"/>
    <s v="Over 130"/>
    <n v="2"/>
    <n v="-115"/>
    <s v="W"/>
    <n v="1.7391304347826086"/>
    <x v="2"/>
  </r>
  <r>
    <x v="46"/>
    <x v="2"/>
    <s v="Columbia @ Harvard"/>
    <s v="Harvard -10.5"/>
    <n v="2"/>
    <n v="-105"/>
    <s v="L"/>
    <n v="-2"/>
    <x v="0"/>
  </r>
  <r>
    <x v="46"/>
    <x v="2"/>
    <s v="Cornell @ Dartmouth"/>
    <s v="Over 138"/>
    <n v="2"/>
    <n v="-115"/>
    <s v="W"/>
    <n v="1.7391304347826086"/>
    <x v="2"/>
  </r>
  <r>
    <x v="46"/>
    <x v="2"/>
    <s v="Cornell @ Dartmouth"/>
    <s v="Dartmouth -3.5"/>
    <n v="2"/>
    <n v="-115"/>
    <s v="L"/>
    <n v="-2"/>
    <x v="0"/>
  </r>
  <r>
    <x v="46"/>
    <x v="2"/>
    <s v="Pennsylvania @ Brown"/>
    <s v="Pennsylvania -1"/>
    <n v="2"/>
    <n v="-105"/>
    <s v="W"/>
    <n v="1.9047619047619049"/>
    <x v="0"/>
  </r>
  <r>
    <x v="46"/>
    <x v="2"/>
    <s v="Princeton @ Yale"/>
    <s v="Over 137"/>
    <n v="2"/>
    <n v="-105"/>
    <s v="L"/>
    <n v="-2"/>
    <x v="2"/>
  </r>
  <r>
    <x v="46"/>
    <x v="2"/>
    <s v="Princeton @ Yale"/>
    <s v="Yale Moneyline"/>
    <n v="2"/>
    <n v="-370"/>
    <s v="W"/>
    <n v="0.54054054054054057"/>
    <x v="6"/>
  </r>
  <r>
    <x v="46"/>
    <x v="2"/>
    <s v="Princeton @ Yale"/>
    <s v="Yale -8"/>
    <n v="2"/>
    <n v="-110"/>
    <s v="W"/>
    <n v="1.8181818181818181"/>
    <x v="0"/>
  </r>
  <r>
    <x v="46"/>
    <x v="2"/>
    <s v="Quinnipiac @ Iona"/>
    <s v="Quinnipiac +4"/>
    <n v="2"/>
    <n v="-110"/>
    <s v="W"/>
    <n v="1.8181818181818181"/>
    <x v="3"/>
  </r>
  <r>
    <x v="46"/>
    <x v="2"/>
    <s v="Saint Louis @ Saint Joseph's"/>
    <s v="Saint Louis -2.5"/>
    <n v="2"/>
    <n v="-115"/>
    <s v="L"/>
    <n v="-2"/>
    <x v="0"/>
  </r>
  <r>
    <x v="46"/>
    <x v="2"/>
    <s v="Saint Louis @ Saint Joseph's"/>
    <s v="Saint Louis Moneyline"/>
    <n v="2"/>
    <n v="-140"/>
    <s v="L"/>
    <n v="-2"/>
    <x v="6"/>
  </r>
  <r>
    <x v="46"/>
    <x v="2"/>
    <s v="Siena @ Manhattan"/>
    <s v="Siena -2.5"/>
    <n v="2"/>
    <n v="-110"/>
    <s v="L"/>
    <n v="-2"/>
    <x v="0"/>
  </r>
  <r>
    <x v="46"/>
    <x v="2"/>
    <s v="Siena @ Manhattan"/>
    <s v="Over 112"/>
    <n v="2"/>
    <n v="-105"/>
    <s v="L"/>
    <n v="-2"/>
    <x v="2"/>
  </r>
  <r>
    <x v="46"/>
    <x v="2"/>
    <s v="Georgia Southern @ Louisiana-Monroe"/>
    <s v="Georgia Southern Moneyline"/>
    <n v="2"/>
    <n v="-105"/>
    <s v="L"/>
    <n v="-2"/>
    <x v="6"/>
  </r>
  <r>
    <x v="46"/>
    <x v="2"/>
    <s v="Georgia Southern @ Louisiana-Monroe"/>
    <s v="Under 162"/>
    <n v="2"/>
    <n v="-110"/>
    <s v="L"/>
    <n v="-2"/>
    <x v="1"/>
  </r>
  <r>
    <x v="46"/>
    <x v="2"/>
    <s v="Georgia State @ Louisiana"/>
    <s v="Georgia State +1"/>
    <n v="2"/>
    <n v="-115"/>
    <s v="L"/>
    <n v="-2"/>
    <x v="3"/>
  </r>
  <r>
    <x v="46"/>
    <x v="2"/>
    <s v="Georgia State @ Louisiana"/>
    <s v="Georgia State Moneyline"/>
    <n v="2"/>
    <n v="-105"/>
    <s v="L"/>
    <n v="-2"/>
    <x v="6"/>
  </r>
  <r>
    <x v="46"/>
    <x v="2"/>
    <s v="Georgia State @ Louisiana"/>
    <s v="Under 165"/>
    <n v="2"/>
    <n v="-115"/>
    <s v="W"/>
    <n v="1.7391304347826086"/>
    <x v="1"/>
  </r>
  <r>
    <x v="46"/>
    <x v="2"/>
    <s v="Kent State @ Akron"/>
    <s v="Over 135"/>
    <n v="2"/>
    <n v="-115"/>
    <s v="L"/>
    <n v="-2"/>
    <x v="2"/>
  </r>
  <r>
    <x v="46"/>
    <x v="2"/>
    <s v="Kent State @ Akron"/>
    <s v="Akron -4"/>
    <n v="2"/>
    <n v="-105"/>
    <s v="W"/>
    <n v="1.9047619047619049"/>
    <x v="0"/>
  </r>
  <r>
    <x v="47"/>
    <x v="4"/>
    <s v="San Diego Fleet @ San Antonio Commanders"/>
    <s v="Over 50"/>
    <n v="2"/>
    <n v="-110"/>
    <s v="L"/>
    <n v="-2"/>
    <x v="2"/>
  </r>
  <r>
    <x v="47"/>
    <x v="4"/>
    <s v="Atlanta Legends @ Orlando Appolos"/>
    <s v="Over 50"/>
    <n v="2"/>
    <n v="-110"/>
    <s v="L"/>
    <n v="-2"/>
    <x v="2"/>
  </r>
  <r>
    <x v="48"/>
    <x v="4"/>
    <s v="Memphis Express @ Birmingham Iron"/>
    <s v="Over 49.5"/>
    <n v="2"/>
    <n v="-110"/>
    <s v="L"/>
    <n v="-2"/>
    <x v="2"/>
  </r>
  <r>
    <x v="48"/>
    <x v="4"/>
    <s v="Salt Lake Stallions @ Arizona Hotshots"/>
    <s v="Over 51.5"/>
    <n v="2"/>
    <n v="-110"/>
    <s v="W"/>
    <n v="1.8181818181818181"/>
    <x v="2"/>
  </r>
  <r>
    <x v="49"/>
    <x v="1"/>
    <s v="Hornets @ Pacers"/>
    <s v="Pacers -5.5"/>
    <n v="5"/>
    <n v="-110"/>
    <s v="W"/>
    <n v="4.5454545454545459"/>
    <x v="0"/>
  </r>
  <r>
    <x v="49"/>
    <x v="1"/>
    <s v="Knicks @ Cavaliers"/>
    <s v="Over 209"/>
    <n v="5"/>
    <n v="-110"/>
    <s v="W"/>
    <n v="4.5454545454545459"/>
    <x v="2"/>
  </r>
  <r>
    <x v="49"/>
    <x v="1"/>
    <s v="Wizards @ Pistons"/>
    <s v="Under 223"/>
    <n v="5"/>
    <n v="-115"/>
    <s v="L"/>
    <n v="-5"/>
    <x v="1"/>
  </r>
  <r>
    <x v="49"/>
    <x v="1"/>
    <s v="Nets @ Raptors"/>
    <s v="Under 227"/>
    <n v="5"/>
    <n v="-115"/>
    <s v="L"/>
    <n v="-5"/>
    <x v="1"/>
  </r>
  <r>
    <x v="49"/>
    <x v="1"/>
    <s v="Mavericks @ Rockets"/>
    <s v="Rockets -10"/>
    <n v="5"/>
    <n v="-115"/>
    <s v="W"/>
    <n v="4.3478260869565215"/>
    <x v="0"/>
  </r>
  <r>
    <x v="49"/>
    <x v="1"/>
    <s v="Mavericks @ Rockets"/>
    <s v="Over 221"/>
    <n v="5"/>
    <n v="-105"/>
    <s v="W"/>
    <n v="4.7619047619047619"/>
    <x v="2"/>
  </r>
  <r>
    <x v="49"/>
    <x v="1"/>
    <s v="Hornets @ Pacers_x000a_Knicks @ Cavaliers_x000a_Nets @ Raptors_x000a_Mavericks @ Rockets"/>
    <s v="Pacers Moneyline_x000a_Over 209_x000a_Under 227_x000a_Rockets Moneyline"/>
    <n v="5"/>
    <n v="502"/>
    <s v="L"/>
    <n v="-5"/>
    <x v="7"/>
  </r>
  <r>
    <x v="49"/>
    <x v="2"/>
    <s v="Lehigh @ Bucknell"/>
    <s v="Lehigh +4.5"/>
    <n v="2"/>
    <n v="-115"/>
    <s v="L"/>
    <n v="-2"/>
    <x v="3"/>
  </r>
  <r>
    <x v="49"/>
    <x v="2"/>
    <s v="Lehigh @ Bucknell"/>
    <s v="Over 160"/>
    <n v="2"/>
    <n v="-110"/>
    <s v="W"/>
    <n v="1.8181818181818181"/>
    <x v="2"/>
  </r>
  <r>
    <x v="49"/>
    <x v="2"/>
    <s v="Virginia @ North Carolina"/>
    <s v="Over 140"/>
    <n v="2"/>
    <n v="-105"/>
    <s v="L"/>
    <n v="-2"/>
    <x v="2"/>
  </r>
  <r>
    <x v="49"/>
    <x v="2"/>
    <s v="Virginia @ North Carolina"/>
    <s v="North Carolina Moneyline"/>
    <n v="2"/>
    <n v="100"/>
    <s v="L"/>
    <n v="-2"/>
    <x v="4"/>
  </r>
  <r>
    <x v="49"/>
    <x v="2"/>
    <s v="Virginia @ North Carolina"/>
    <s v="North Carolina +1"/>
    <n v="2"/>
    <n v="-110"/>
    <s v="L"/>
    <n v="-2"/>
    <x v="3"/>
  </r>
  <r>
    <x v="49"/>
    <x v="2"/>
    <s v="Howard @ Bethune-Cookman"/>
    <s v="Howard +4.5"/>
    <n v="2"/>
    <n v="-110"/>
    <s v="W"/>
    <n v="1.8181818181818181"/>
    <x v="3"/>
  </r>
  <r>
    <x v="49"/>
    <x v="2"/>
    <s v="Grambling @ Alcorn State"/>
    <s v="Over 129"/>
    <n v="2"/>
    <n v="-115"/>
    <s v="L"/>
    <n v="-2"/>
    <x v="2"/>
  </r>
  <r>
    <x v="49"/>
    <x v="2"/>
    <s v="Kansas @ Texas Christian"/>
    <s v="Kansas +2"/>
    <n v="2"/>
    <n v="-105"/>
    <s v="W"/>
    <n v="1.9047619047619049"/>
    <x v="3"/>
  </r>
  <r>
    <x v="49"/>
    <x v="2"/>
    <s v="Kansas @ Texas Christian"/>
    <s v="Over 149"/>
    <n v="2"/>
    <n v="-105"/>
    <s v="W"/>
    <n v="1.9047619047619049"/>
    <x v="2"/>
  </r>
  <r>
    <x v="49"/>
    <x v="2"/>
    <s v="Portland State @ Sacramento State"/>
    <s v="Portland State +4"/>
    <n v="2"/>
    <n v="-105"/>
    <s v="L"/>
    <n v="-2"/>
    <x v="3"/>
  </r>
  <r>
    <x v="49"/>
    <x v="2"/>
    <s v="Portland State @ Sacramento State"/>
    <s v="Over 139"/>
    <n v="2"/>
    <n v="-105"/>
    <s v="W"/>
    <n v="1.9047619047619049"/>
    <x v="2"/>
  </r>
  <r>
    <x v="50"/>
    <x v="1"/>
    <s v="Nets @ Cavaliers"/>
    <s v="Under 221"/>
    <n v="5"/>
    <n v="-110"/>
    <s v="L"/>
    <n v="-5"/>
    <x v="1"/>
  </r>
  <r>
    <x v="50"/>
    <x v="1"/>
    <s v="Bucks @ Pacers"/>
    <s v="Over 220"/>
    <n v="5"/>
    <n v="-115"/>
    <s v="L"/>
    <n v="-5"/>
    <x v="2"/>
  </r>
  <r>
    <x v="50"/>
    <x v="1"/>
    <s v="Bucks @ Pacers"/>
    <s v="Bucks -3.5"/>
    <n v="5"/>
    <n v="-115"/>
    <s v="W"/>
    <n v="4.3478260869565215"/>
    <x v="0"/>
  </r>
  <r>
    <x v="50"/>
    <x v="1"/>
    <s v="Pistons @ Celtics"/>
    <s v="Over 211"/>
    <n v="5"/>
    <n v="-105"/>
    <s v="W"/>
    <n v="4.7619047619047619"/>
    <x v="2"/>
  </r>
  <r>
    <x v="50"/>
    <x v="1"/>
    <s v="Pistons @ Celtics"/>
    <s v="Celtics -5"/>
    <n v="5"/>
    <n v="-110"/>
    <s v="W"/>
    <n v="4.5454545454545459"/>
    <x v="0"/>
  </r>
  <r>
    <x v="50"/>
    <x v="1"/>
    <s v="76ers @ Knicks"/>
    <s v="Under 223"/>
    <n v="5"/>
    <n v="-115"/>
    <s v="L"/>
    <n v="-5"/>
    <x v="1"/>
  </r>
  <r>
    <x v="50"/>
    <x v="1"/>
    <s v="Wizards @ Raptors"/>
    <s v="Under 233"/>
    <n v="5"/>
    <n v="-115"/>
    <s v="L"/>
    <n v="-5"/>
    <x v="1"/>
  </r>
  <r>
    <x v="50"/>
    <x v="1"/>
    <s v="Wizards @ Raptors"/>
    <s v="Raptors -11"/>
    <n v="5"/>
    <n v="-110"/>
    <s v="L"/>
    <n v="-5"/>
    <x v="0"/>
  </r>
  <r>
    <x v="50"/>
    <x v="1"/>
    <s v="Grizzlies @ Bulls"/>
    <s v="Grizzlies +2.5"/>
    <n v="5"/>
    <n v="-110"/>
    <s v="L"/>
    <n v="-5"/>
    <x v="3"/>
  </r>
  <r>
    <x v="50"/>
    <x v="1"/>
    <s v="Grizzlies @ Bulls"/>
    <s v="Grizzlies Moneyline"/>
    <n v="5"/>
    <n v="120"/>
    <s v="L"/>
    <n v="-5"/>
    <x v="4"/>
  </r>
  <r>
    <x v="50"/>
    <x v="1"/>
    <s v="Rockets @ Timberwolves"/>
    <s v="Under 231"/>
    <n v="5"/>
    <n v="-115"/>
    <s v="L"/>
    <n v="-5"/>
    <x v="1"/>
  </r>
  <r>
    <x v="50"/>
    <x v="1"/>
    <s v="Rockets @ Timberwolves"/>
    <s v="Rockets -3"/>
    <n v="5"/>
    <n v="-110"/>
    <s v="L"/>
    <n v="-5"/>
    <x v="0"/>
  </r>
  <r>
    <x v="50"/>
    <x v="1"/>
    <s v="Heat @ Mavericks"/>
    <s v="Over 208"/>
    <n v="5"/>
    <n v="-110"/>
    <s v="W"/>
    <n v="4.5454545454545459"/>
    <x v="2"/>
  </r>
  <r>
    <x v="50"/>
    <x v="1"/>
    <s v="Heat @ Mavericks"/>
    <s v="Mavericks -3"/>
    <n v="5"/>
    <n v="-105"/>
    <s v="L"/>
    <n v="-5"/>
    <x v="0"/>
  </r>
  <r>
    <x v="50"/>
    <x v="1"/>
    <s v="Kings @ Nuggets"/>
    <s v="Under 231"/>
    <n v="5"/>
    <n v="-115"/>
    <s v="L"/>
    <n v="-5"/>
    <x v="1"/>
  </r>
  <r>
    <x v="50"/>
    <x v="1"/>
    <s v="Warriors @ Trailblazers"/>
    <s v="Under 234"/>
    <n v="5"/>
    <n v="-110"/>
    <s v="L"/>
    <n v="-5"/>
    <x v="1"/>
  </r>
  <r>
    <x v="50"/>
    <x v="1"/>
    <s v="Pistons @ Celtics_x000a_Wizards @ Raptors_x000a_Wizards @ Raptors_x000a_Kings @ Nuggets_x000a_Suns @ Clippers"/>
    <s v="Celtics -5_x000a_Raptors Moneyline_x000a_Under 233_x000a_Under 231_x000a_Clippers Moneyline"/>
    <n v="4.28"/>
    <n v="852"/>
    <s v="L"/>
    <n v="-4.28"/>
    <x v="7"/>
  </r>
  <r>
    <x v="51"/>
    <x v="2"/>
    <s v="Kent State @ Western Michigan"/>
    <s v="Under 150"/>
    <n v="2"/>
    <n v="-105"/>
    <s v="W"/>
    <n v="1.9047619047619049"/>
    <x v="1"/>
  </r>
  <r>
    <x v="51"/>
    <x v="2"/>
    <s v="Drexel @ James Madison"/>
    <s v="Drexel +1"/>
    <n v="2"/>
    <n v="-110"/>
    <s v="L"/>
    <n v="-2"/>
    <x v="3"/>
  </r>
  <r>
    <x v="51"/>
    <x v="2"/>
    <s v="Drexel @ James Madison"/>
    <s v="Over 147"/>
    <n v="2"/>
    <n v="-110"/>
    <s v="L"/>
    <n v="-2"/>
    <x v="2"/>
  </r>
  <r>
    <x v="51"/>
    <x v="2"/>
    <s v="Drexel @ James Madison"/>
    <s v="Drexel Moneyline"/>
    <n v="2"/>
    <n v="100"/>
    <s v="L"/>
    <n v="-2"/>
    <x v="4"/>
  </r>
  <r>
    <x v="51"/>
    <x v="2"/>
    <s v="Illinois-Chicago @ Cleveland State"/>
    <s v="Over 147"/>
    <n v="2"/>
    <n v="-115"/>
    <s v="W"/>
    <n v="1.7391304347826086"/>
    <x v="2"/>
  </r>
  <r>
    <x v="51"/>
    <x v="2"/>
    <s v="Robert Morris @ Mount St. Mary's"/>
    <s v="Over 134"/>
    <n v="2"/>
    <n v="-110"/>
    <s v="W"/>
    <n v="1.8181818181818181"/>
    <x v="2"/>
  </r>
  <r>
    <x v="51"/>
    <x v="2"/>
    <s v="South Dakota State @ Omaha"/>
    <s v="South Dakota State -3.5"/>
    <n v="2"/>
    <n v="-110"/>
    <s v="L"/>
    <n v="-2"/>
    <x v="0"/>
  </r>
  <r>
    <x v="51"/>
    <x v="2"/>
    <s v="South Dakota State @ Omaha"/>
    <s v="Over 165"/>
    <n v="2"/>
    <n v="-115"/>
    <s v="W"/>
    <n v="1.7391304347826086"/>
    <x v="2"/>
  </r>
  <r>
    <x v="51"/>
    <x v="2"/>
    <s v="Murray State @ Austin Peay"/>
    <s v="Over 156"/>
    <n v="2"/>
    <n v="-105"/>
    <s v="L"/>
    <n v="-2"/>
    <x v="2"/>
  </r>
  <r>
    <x v="52"/>
    <x v="2"/>
    <s v="Virginia @ Virginia Tech"/>
    <s v="Over 120"/>
    <n v="1"/>
    <n v="-110"/>
    <s v="W"/>
    <n v="0.90909090909090906"/>
    <x v="2"/>
  </r>
  <r>
    <x v="52"/>
    <x v="2"/>
    <s v="North Carolina Central @ Howard"/>
    <s v="Over 145"/>
    <n v="1"/>
    <n v="-110"/>
    <s v="W"/>
    <n v="0.90909090909090906"/>
    <x v="2"/>
  </r>
  <r>
    <x v="52"/>
    <x v="2"/>
    <s v="Illinois @ Wisconsin"/>
    <s v="Illinois +9.5"/>
    <n v="1"/>
    <n v="-110"/>
    <s v="W"/>
    <n v="0.90909090909090906"/>
    <x v="3"/>
  </r>
  <r>
    <x v="52"/>
    <x v="2"/>
    <s v="Texas Southern @ Jackson State"/>
    <s v="Texas Southern -4.5"/>
    <n v="1"/>
    <n v="-115"/>
    <s v="W"/>
    <n v="0.86956521739130432"/>
    <x v="0"/>
  </r>
  <r>
    <x v="52"/>
    <x v="2"/>
    <s v="Texas Southern @ Jackson State"/>
    <s v="Texas Southern Moneyline"/>
    <n v="1"/>
    <n v="-200"/>
    <s v="W"/>
    <n v="0.5"/>
    <x v="6"/>
  </r>
  <r>
    <x v="52"/>
    <x v="2"/>
    <s v="Texas Christian @ Oklahoma State"/>
    <s v="Texas Christian -3"/>
    <n v="1"/>
    <n v="-115"/>
    <s v="L"/>
    <n v="-1"/>
    <x v="0"/>
  </r>
  <r>
    <x v="52"/>
    <x v="2"/>
    <s v="Texas Christian @ Oklahoma State"/>
    <s v="Over 140"/>
    <n v="1"/>
    <n v="-105"/>
    <s v="L"/>
    <n v="-1"/>
    <x v="2"/>
  </r>
  <r>
    <x v="53"/>
    <x v="2"/>
    <s v="Dayton @ Davidson"/>
    <s v="Dayton +3.5"/>
    <n v="2"/>
    <n v="-110"/>
    <s v="W"/>
    <n v="1.8181818181818181"/>
    <x v="3"/>
  </r>
  <r>
    <x v="53"/>
    <x v="2"/>
    <s v="Dayton @ Davidson"/>
    <s v="Over 133"/>
    <n v="2"/>
    <n v="-110"/>
    <s v="W"/>
    <n v="1.8181818181818181"/>
    <x v="2"/>
  </r>
  <r>
    <x v="53"/>
    <x v="2"/>
    <s v="Akron @ Bowling Green State"/>
    <s v="Over 135"/>
    <n v="2"/>
    <n v="-110"/>
    <s v="W"/>
    <n v="1.8181818181818181"/>
    <x v="2"/>
  </r>
  <r>
    <x v="53"/>
    <x v="2"/>
    <s v="Mississippi @ South Carolina"/>
    <s v="Mississippi -2.5"/>
    <n v="2"/>
    <n v="-115"/>
    <s v="L"/>
    <n v="-2"/>
    <x v="0"/>
  </r>
  <r>
    <x v="53"/>
    <x v="2"/>
    <s v="Mississippi @ South Carolina"/>
    <s v="Over 149"/>
    <n v="2"/>
    <n v="-105"/>
    <s v="L"/>
    <n v="-2"/>
    <x v="2"/>
  </r>
  <r>
    <x v="53"/>
    <x v="2"/>
    <s v="Bradley @ Drake"/>
    <s v="Over 143"/>
    <n v="2"/>
    <n v="-105"/>
    <s v="W"/>
    <n v="1.9047619047619049"/>
    <x v="2"/>
  </r>
  <r>
    <x v="53"/>
    <x v="2"/>
    <s v="Bradley @ Drake"/>
    <s v="Drake Moneyline"/>
    <n v="2"/>
    <n v="-180"/>
    <s v="W"/>
    <n v="1.1111111111111112"/>
    <x v="6"/>
  </r>
  <r>
    <x v="53"/>
    <x v="2"/>
    <s v="Bradley @ Drake"/>
    <s v="Drake -4"/>
    <n v="2"/>
    <n v="-110"/>
    <s v="W"/>
    <n v="1.8181818181818181"/>
    <x v="0"/>
  </r>
  <r>
    <x v="53"/>
    <x v="2"/>
    <s v="Maryland @ Iowa"/>
    <s v="Over 147"/>
    <n v="2"/>
    <n v="-110"/>
    <s v="L"/>
    <n v="-2"/>
    <x v="2"/>
  </r>
  <r>
    <x v="53"/>
    <x v="2"/>
    <s v="Maryland @ Iowa"/>
    <s v="Iowa -2"/>
    <n v="2"/>
    <n v="-110"/>
    <s v="L"/>
    <n v="-2"/>
    <x v="0"/>
  </r>
  <r>
    <x v="53"/>
    <x v="2"/>
    <s v="Nevada-Las Vegas @ Wyoming"/>
    <s v="Under 143"/>
    <n v="2"/>
    <n v="-110"/>
    <s v="W"/>
    <n v="1.8181818181818181"/>
    <x v="1"/>
  </r>
  <r>
    <x v="53"/>
    <x v="2"/>
    <s v="Dayton @ Davidson_x000a_Dayton @ Davidson_x000a_Akron @ Bowling Green State_x000a_Bradley @ Drake_x000a_Bradley @ Drake"/>
    <s v="Dayton +3.5_x000a_Over 133_x000a_Over 135_x000a_Over 143_x000a_Drake -4"/>
    <n v="1"/>
    <n v="2493"/>
    <s v="W"/>
    <n v="24.93"/>
    <x v="7"/>
  </r>
  <r>
    <x v="54"/>
    <x v="2"/>
    <s v="Villanova @ Georgetown"/>
    <s v="Over 149"/>
    <n v="2"/>
    <n v="-115"/>
    <s v="W"/>
    <n v="1.7391304347826086"/>
    <x v="2"/>
  </r>
  <r>
    <x v="54"/>
    <x v="2"/>
    <s v="Villanova @ Georgetown"/>
    <s v="Georgetown +5.5"/>
    <n v="2"/>
    <n v="-105"/>
    <s v="W"/>
    <n v="1.9047619047619049"/>
    <x v="3"/>
  </r>
  <r>
    <x v="54"/>
    <x v="2"/>
    <s v="American @ Lafayette"/>
    <s v="Over 144"/>
    <n v="2"/>
    <n v="-115"/>
    <s v="L"/>
    <n v="-2"/>
    <x v="2"/>
  </r>
  <r>
    <x v="54"/>
    <x v="2"/>
    <s v="Fordham @ Richmond"/>
    <s v="Over 136"/>
    <n v="2"/>
    <n v="-110"/>
    <s v="W"/>
    <n v="1.8181818181818181"/>
    <x v="2"/>
  </r>
  <r>
    <x v="54"/>
    <x v="2"/>
    <s v="Xavier @ Seton Hall"/>
    <s v="Over 141"/>
    <n v="2"/>
    <n v="-115"/>
    <s v="L"/>
    <n v="-2"/>
    <x v="2"/>
  </r>
  <r>
    <x v="54"/>
    <x v="2"/>
    <s v="Butler @ Marquette"/>
    <s v="Over 145"/>
    <n v="2"/>
    <n v="-110"/>
    <s v="W"/>
    <n v="1.8181818181818181"/>
    <x v="2"/>
  </r>
  <r>
    <x v="54"/>
    <x v="2"/>
    <s v="Pittsburgh @ Georgia Tech"/>
    <s v="Pittsburgh +2"/>
    <n v="2"/>
    <n v="-110"/>
    <s v="L"/>
    <n v="-2"/>
    <x v="3"/>
  </r>
  <r>
    <x v="54"/>
    <x v="2"/>
    <s v="Pittsburgh @ Georgia Tech"/>
    <s v="Over 128"/>
    <n v="2"/>
    <n v="-115"/>
    <s v="W"/>
    <n v="1.7391304347826086"/>
    <x v="2"/>
  </r>
  <r>
    <x v="54"/>
    <x v="2"/>
    <s v="Colorado @ Washington State"/>
    <s v="Over 146"/>
    <n v="2"/>
    <n v="-105"/>
    <s v="W"/>
    <n v="1.9047619047619049"/>
    <x v="2"/>
  </r>
  <r>
    <x v="54"/>
    <x v="2"/>
    <s v="Colorado @ Washington State"/>
    <s v="Washington State +4"/>
    <n v="2"/>
    <n v="-110"/>
    <s v="W"/>
    <n v="1.8181818181818181"/>
    <x v="3"/>
  </r>
  <r>
    <x v="54"/>
    <x v="2"/>
    <s v="Villanova @ Georgetown_x000a_Fordham @ Richmond_x000a_Xavier @ Seton Hall_x000a_Butler @ Marquette_x000a_Pittsburgh @ Georgia Tech_x000a_Colorado @ Washington State"/>
    <s v="Georgetown +5.5_x000a_Over 136_x000a_Over 141_x000a_Over 145_x000a_Over 128_x000a_Over 146"/>
    <n v="2"/>
    <n v="4756"/>
    <s v="L"/>
    <n v="-2"/>
    <x v="7"/>
  </r>
  <r>
    <x v="55"/>
    <x v="1"/>
    <s v="Suns @ Cavaliers"/>
    <s v="Cavaliers +0"/>
    <n v="2"/>
    <n v="-110"/>
    <s v="W"/>
    <n v="1.8181818181818181"/>
    <x v="3"/>
  </r>
  <r>
    <x v="55"/>
    <x v="1"/>
    <s v="Celtics @ Bucks"/>
    <s v="Under 229"/>
    <n v="2"/>
    <n v="-115"/>
    <s v="W"/>
    <n v="1.7391304347826086"/>
    <x v="1"/>
  </r>
  <r>
    <x v="55"/>
    <x v="1"/>
    <s v="Rockets @ Lakers"/>
    <s v="Under 233"/>
    <n v="2"/>
    <n v="-115"/>
    <s v="W"/>
    <n v="1.7391304347826086"/>
    <x v="1"/>
  </r>
  <r>
    <x v="55"/>
    <x v="1"/>
    <s v="Rockets @ Lakers"/>
    <s v="Lakers +3"/>
    <n v="2"/>
    <n v="-110"/>
    <s v="W"/>
    <n v="1.8181818181818181"/>
    <x v="3"/>
  </r>
  <r>
    <x v="55"/>
    <x v="1"/>
    <s v="Kings @ Warriors"/>
    <s v="Over 239"/>
    <n v="2"/>
    <n v="-110"/>
    <s v="W"/>
    <n v="1.8181818181818181"/>
    <x v="2"/>
  </r>
  <r>
    <x v="55"/>
    <x v="1"/>
    <s v="Kings @ Warriors"/>
    <s v="Kings +12.5"/>
    <n v="2"/>
    <n v="-110"/>
    <s v="W"/>
    <n v="1.8181818181818181"/>
    <x v="3"/>
  </r>
  <r>
    <x v="55"/>
    <x v="1"/>
    <s v="Trailblazers @ Nets"/>
    <s v="Under 231"/>
    <n v="2"/>
    <n v="-110"/>
    <s v="W"/>
    <n v="1.8181818181818181"/>
    <x v="1"/>
  </r>
  <r>
    <x v="55"/>
    <x v="2"/>
    <s v="Michigan @ Minnesota"/>
    <s v="Over 132"/>
    <n v="2"/>
    <n v="-115"/>
    <s v="L"/>
    <n v="-2"/>
    <x v="2"/>
  </r>
  <r>
    <x v="55"/>
    <x v="2"/>
    <s v="Louisiana-Monroe @ Texas State"/>
    <s v="Louisiana-Monroe +5"/>
    <n v="2"/>
    <n v="-110"/>
    <s v="W"/>
    <n v="1.8181818181818181"/>
    <x v="3"/>
  </r>
  <r>
    <x v="55"/>
    <x v="2"/>
    <s v="Louisiana-Monroe @ Texas State"/>
    <s v="Over 142"/>
    <n v="2"/>
    <n v="-105"/>
    <s v="L"/>
    <n v="-2"/>
    <x v="2"/>
  </r>
  <r>
    <x v="55"/>
    <x v="2"/>
    <s v="Eastern Washington @ Southern Utah"/>
    <s v="Over 147"/>
    <n v="2"/>
    <n v="-105"/>
    <s v="L"/>
    <n v="-2"/>
    <x v="2"/>
  </r>
  <r>
    <x v="55"/>
    <x v="2"/>
    <s v="Eastern Washington @ Southern Utah"/>
    <s v="Southern Utah -2.5"/>
    <n v="2"/>
    <n v="-110"/>
    <s v="W"/>
    <n v="1.8181818181818181"/>
    <x v="0"/>
  </r>
  <r>
    <x v="55"/>
    <x v="2"/>
    <s v="Connecticut @ Southern Methodist"/>
    <s v="Connecticut +6.5"/>
    <n v="2"/>
    <n v="-110"/>
    <s v="L"/>
    <n v="-2"/>
    <x v="3"/>
  </r>
  <r>
    <x v="55"/>
    <x v="2"/>
    <s v="Connecticut @ Southern Methodist"/>
    <s v="Over 143"/>
    <n v="2"/>
    <n v="-110"/>
    <s v="L"/>
    <n v="-2"/>
    <x v="2"/>
  </r>
  <r>
    <x v="55"/>
    <x v="2"/>
    <s v="San Francisco @ Brigham Young"/>
    <s v="Over 148"/>
    <n v="2"/>
    <n v="-110"/>
    <s v="Push"/>
    <n v="0"/>
    <x v="2"/>
  </r>
  <r>
    <x v="55"/>
    <x v="2"/>
    <s v="Idaho State @ Portland State"/>
    <s v="Idaho State +6"/>
    <n v="2"/>
    <n v="-110"/>
    <s v="Push"/>
    <n v="0"/>
    <x v="3"/>
  </r>
  <r>
    <x v="55"/>
    <x v="2"/>
    <s v="Weber State @ Sacramento State"/>
    <s v="Weber State -2"/>
    <n v="2"/>
    <n v="-110"/>
    <s v="L"/>
    <n v="-2"/>
    <x v="0"/>
  </r>
  <r>
    <x v="55"/>
    <x v="2"/>
    <s v="Weber State @ Sacramento State"/>
    <s v="Over 145"/>
    <n v="2"/>
    <n v="-110"/>
    <s v="W"/>
    <n v="1.8181818181818181"/>
    <x v="2"/>
  </r>
  <r>
    <x v="55"/>
    <x v="2"/>
    <s v="Hawaii @ UC-Santa Barbara"/>
    <s v="Hawaii +3.5"/>
    <n v="2"/>
    <n v="-110"/>
    <s v="L"/>
    <n v="-2"/>
    <x v="3"/>
  </r>
  <r>
    <x v="55"/>
    <x v="2"/>
    <s v="Hawaii @ UC-Santa Barbara"/>
    <s v="Over 134"/>
    <n v="2"/>
    <n v="-110"/>
    <s v="W"/>
    <n v="1.8181818181818181"/>
    <x v="2"/>
  </r>
  <r>
    <x v="55"/>
    <x v="2"/>
    <s v="Oregon State @ UCLA"/>
    <s v="Over 153"/>
    <n v="2"/>
    <n v="-105"/>
    <s v="L"/>
    <n v="-2"/>
    <x v="2"/>
  </r>
  <r>
    <x v="55"/>
    <x v="2"/>
    <s v="Louisiana-Monroe @ Texas State_x000a_Connecticut @ Southern Methodist_x000a_Weber State @ Sacramento State_x000a_Weber State @ Sacramento State_x000a_Hawaii @ UC-Santa Barbara"/>
    <s v="Over 142_x000a_Connecticut +6.5_x000a_Weber State -2_x000a_Over 145_x000a_Over 134"/>
    <n v="2"/>
    <n v="2493.5"/>
    <s v="L"/>
    <n v="-2"/>
    <x v="7"/>
  </r>
  <r>
    <x v="56"/>
    <x v="1"/>
    <s v="Bulls @ Magic"/>
    <s v="Bulls +8"/>
    <n v="2"/>
    <n v="-110"/>
    <s v="W"/>
    <n v="1.8181818181818181"/>
    <x v="3"/>
  </r>
  <r>
    <x v="56"/>
    <x v="1"/>
    <s v="Pelicans @ Pacers"/>
    <s v="Pacers -6.5"/>
    <n v="2"/>
    <n v="-110"/>
    <s v="W"/>
    <n v="1.8181818181818181"/>
    <x v="0"/>
  </r>
  <r>
    <x v="56"/>
    <x v="1"/>
    <s v="Spurs @ Raptors"/>
    <s v="Under 227"/>
    <n v="2"/>
    <n v="-115"/>
    <s v="L"/>
    <n v="-2"/>
    <x v="1"/>
  </r>
  <r>
    <x v="56"/>
    <x v="1"/>
    <s v="Wizards @ Hornets"/>
    <s v="Under 232"/>
    <n v="2"/>
    <n v="-110"/>
    <s v="L"/>
    <n v="-2"/>
    <x v="1"/>
  </r>
  <r>
    <x v="56"/>
    <x v="1"/>
    <s v="Wizards @ Hornets"/>
    <s v="Hornets -5"/>
    <n v="2"/>
    <n v="-110"/>
    <s v="W"/>
    <n v="1.8181818181818181"/>
    <x v="0"/>
  </r>
  <r>
    <x v="56"/>
    <x v="1"/>
    <s v="Timberwolves @ Knicks"/>
    <s v="Over 221"/>
    <n v="2"/>
    <n v="-105"/>
    <s v="L"/>
    <n v="-2"/>
    <x v="2"/>
  </r>
  <r>
    <x v="56"/>
    <x v="1"/>
    <s v="Clippers @ Grizzlies"/>
    <s v="Grizzlies +2.5"/>
    <n v="2"/>
    <n v="-105"/>
    <s v="L"/>
    <n v="-2"/>
    <x v="3"/>
  </r>
  <r>
    <x v="56"/>
    <x v="1"/>
    <s v="Jazz @ Thunder"/>
    <s v="Under 226"/>
    <n v="2"/>
    <n v="-105"/>
    <s v="L"/>
    <n v="-2"/>
    <x v="1"/>
  </r>
  <r>
    <x v="56"/>
    <x v="1"/>
    <s v="Jazz @ Thunder"/>
    <s v="Jazz +4.5"/>
    <n v="2"/>
    <n v="-110"/>
    <s v="W"/>
    <n v="1.8181818181818181"/>
    <x v="3"/>
  </r>
  <r>
    <x v="56"/>
    <x v="1"/>
    <s v="Bulls @ Magic_x000a_Spurs @ Raptors_x000a_Timberwolves @ Knicks_x000a_Jazz @ Thunder"/>
    <s v="Bulls +8_x000a_Under 227_x000a_Over 221_x000a_Jazz +4.5"/>
    <n v="2"/>
    <n v="1260.5"/>
    <s v="L"/>
    <n v="-2"/>
    <x v="7"/>
  </r>
  <r>
    <x v="56"/>
    <x v="2"/>
    <s v="Bowling Green State @ Ohio"/>
    <s v="Bowling Green State -4.5"/>
    <n v="2"/>
    <n v="-105"/>
    <s v="L"/>
    <n v="-2"/>
    <x v="0"/>
  </r>
  <r>
    <x v="56"/>
    <x v="2"/>
    <s v="Harvard @ Brown"/>
    <s v="Over 133"/>
    <n v="2"/>
    <n v="-115"/>
    <s v="W"/>
    <n v="1.7391304347826086"/>
    <x v="2"/>
  </r>
  <r>
    <x v="56"/>
    <x v="2"/>
    <s v="Iona @ Manhattan"/>
    <s v="Over 133"/>
    <n v="2"/>
    <n v="-105"/>
    <s v="L"/>
    <n v="-2"/>
    <x v="2"/>
  </r>
  <r>
    <x v="56"/>
    <x v="2"/>
    <s v="Saint Peter's @ Marist"/>
    <s v="Over 125"/>
    <n v="2"/>
    <n v="-105"/>
    <s v="L"/>
    <n v="-2"/>
    <x v="2"/>
  </r>
  <r>
    <x v="56"/>
    <x v="2"/>
    <s v="Cornell @ Princeton"/>
    <s v="Cornell +7"/>
    <n v="2"/>
    <n v="-115"/>
    <s v="L"/>
    <n v="-2"/>
    <x v="3"/>
  </r>
  <r>
    <x v="56"/>
    <x v="2"/>
    <s v="Cornell @ Princeton"/>
    <s v="Over 137"/>
    <n v="2"/>
    <n v="-105"/>
    <s v="L"/>
    <n v="-2"/>
    <x v="2"/>
  </r>
  <r>
    <x v="56"/>
    <x v="2"/>
    <s v="Green Bay @ Illinois-Chicago"/>
    <s v="Green Bay +4.5"/>
    <n v="2"/>
    <n v="-110"/>
    <s v="W"/>
    <n v="1.8181818181818181"/>
    <x v="3"/>
  </r>
  <r>
    <x v="56"/>
    <x v="2"/>
    <s v="Green Bay @ Illinois-Chicago"/>
    <s v="Under 159"/>
    <n v="2"/>
    <n v="-110"/>
    <s v="W"/>
    <n v="1.8181818181818181"/>
    <x v="1"/>
  </r>
  <r>
    <x v="56"/>
    <x v="2"/>
    <s v="Indiana @ Iowa"/>
    <s v="Indiana +7.5"/>
    <n v="2"/>
    <n v="-110"/>
    <s v="W"/>
    <n v="1.8181818181818181"/>
    <x v="3"/>
  </r>
  <r>
    <x v="56"/>
    <x v="2"/>
    <s v="Indiana @ Iowa"/>
    <s v="Under 144"/>
    <n v="2"/>
    <n v="-115"/>
    <s v="L"/>
    <n v="-2"/>
    <x v="1"/>
  </r>
  <r>
    <x v="57"/>
    <x v="1"/>
    <s v="Magic @ Knicks"/>
    <s v="Under 215"/>
    <n v="2"/>
    <n v="-110"/>
    <s v="W"/>
    <n v="1.8181818181818181"/>
    <x v="1"/>
  </r>
  <r>
    <x v="57"/>
    <x v="1"/>
    <s v="Magic @ Knicks"/>
    <s v="Knicks +7.5"/>
    <n v="2"/>
    <n v="-110"/>
    <s v="W"/>
    <n v="1.8181818181818181"/>
    <x v="3"/>
  </r>
  <r>
    <x v="57"/>
    <x v="1"/>
    <s v="Celtics @ Raptors"/>
    <s v="Under 227"/>
    <n v="2"/>
    <n v="-115"/>
    <s v="W"/>
    <n v="1.7391304347826086"/>
    <x v="1"/>
  </r>
  <r>
    <x v="57"/>
    <x v="1"/>
    <s v="Thunder @ Nuggets"/>
    <s v="Under 238"/>
    <n v="2"/>
    <n v="-115"/>
    <s v="W"/>
    <n v="1.7391304347826086"/>
    <x v="1"/>
  </r>
  <r>
    <x v="57"/>
    <x v="1"/>
    <s v="Thunder @ Nuggets"/>
    <s v="Nuggets -3"/>
    <n v="2"/>
    <n v="-110"/>
    <s v="W"/>
    <n v="1.8181818181818181"/>
    <x v="0"/>
  </r>
  <r>
    <x v="57"/>
    <x v="2"/>
    <s v="Duke @ Virginia Tech"/>
    <s v="Duke -4"/>
    <n v="2"/>
    <n v="-105"/>
    <s v="L"/>
    <n v="-2"/>
    <x v="0"/>
  </r>
  <r>
    <x v="57"/>
    <x v="2"/>
    <s v="Duke @ Virginia Tech"/>
    <s v="Under 145"/>
    <n v="2"/>
    <n v="-105"/>
    <s v="L"/>
    <n v="-2"/>
    <x v="1"/>
  </r>
  <r>
    <x v="57"/>
    <x v="2"/>
    <s v="Iowa @ Ohio State"/>
    <s v="Iowa +3"/>
    <n v="2"/>
    <n v="-115"/>
    <s v="L"/>
    <n v="-2"/>
    <x v="3"/>
  </r>
  <r>
    <x v="57"/>
    <x v="2"/>
    <s v="Syracuse @ North Carolina"/>
    <s v="Under 147"/>
    <n v="2"/>
    <n v="-110"/>
    <s v="L"/>
    <n v="-2"/>
    <x v="1"/>
  </r>
  <r>
    <x v="57"/>
    <x v="2"/>
    <s v="Texas A&amp;M @ Louisiana State"/>
    <s v="Under 148"/>
    <n v="2"/>
    <n v="-105"/>
    <s v="W"/>
    <n v="1.9047619047619049"/>
    <x v="1"/>
  </r>
  <r>
    <x v="57"/>
    <x v="2"/>
    <s v="Wisconsin @ Indiana"/>
    <s v="Wisconsin -1.5"/>
    <n v="2"/>
    <n v="-110"/>
    <s v="L"/>
    <n v="-2"/>
    <x v="0"/>
  </r>
  <r>
    <x v="57"/>
    <x v="2"/>
    <s v="Wisconsin @ Indiana"/>
    <s v="Over 124"/>
    <n v="2"/>
    <n v="-115"/>
    <s v="L"/>
    <n v="-2"/>
    <x v="2"/>
  </r>
  <r>
    <x v="58"/>
    <x v="1"/>
    <s v="Rockets @ Hornets"/>
    <s v="Under 228"/>
    <n v="2"/>
    <n v="-115"/>
    <s v="L"/>
    <n v="-2"/>
    <x v="1"/>
  </r>
  <r>
    <x v="58"/>
    <x v="1"/>
    <s v="Rockets @ Hornets"/>
    <s v="Hornets +5"/>
    <n v="2"/>
    <n v="-115"/>
    <s v="Push"/>
    <n v="0"/>
    <x v="3"/>
  </r>
  <r>
    <x v="58"/>
    <x v="1"/>
    <s v="Warriors @ Heat"/>
    <s v="Under 223"/>
    <n v="2"/>
    <n v="-105"/>
    <s v="L"/>
    <n v="-2"/>
    <x v="1"/>
  </r>
  <r>
    <x v="58"/>
    <x v="1"/>
    <s v="Warriors @ Heat"/>
    <s v="Heat +9"/>
    <n v="2"/>
    <n v="-110"/>
    <s v="W"/>
    <n v="1.8181818181818181"/>
    <x v="3"/>
  </r>
  <r>
    <x v="58"/>
    <x v="1"/>
    <s v="Timberwolves @ Hawks"/>
    <s v="Under 237"/>
    <n v="2"/>
    <n v="-115"/>
    <s v="L"/>
    <n v="-2"/>
    <x v="1"/>
  </r>
  <r>
    <x v="58"/>
    <x v="1"/>
    <s v="Trailblazers @ Celtics"/>
    <s v="Under 226"/>
    <n v="2"/>
    <n v="-105"/>
    <s v="W"/>
    <n v="1.9047619047619049"/>
    <x v="1"/>
  </r>
  <r>
    <x v="58"/>
    <x v="1"/>
    <s v="Wizards @ Nets"/>
    <s v="Under 238"/>
    <n v="2"/>
    <n v="-115"/>
    <s v="L"/>
    <n v="-2"/>
    <x v="1"/>
  </r>
  <r>
    <x v="58"/>
    <x v="1"/>
    <s v="Wizards @ Nets"/>
    <s v="Nets -5.5"/>
    <n v="2"/>
    <n v="-110"/>
    <s v="L"/>
    <n v="-2"/>
    <x v="0"/>
  </r>
  <r>
    <x v="58"/>
    <x v="1"/>
    <s v="Bulls @ Grizzlies"/>
    <s v="Under 217"/>
    <n v="2"/>
    <n v="-105"/>
    <s v="W"/>
    <n v="1.9047619047619049"/>
    <x v="1"/>
  </r>
  <r>
    <x v="58"/>
    <x v="1"/>
    <s v="Bulls @ Grizzlies"/>
    <s v="Grizzlies -3"/>
    <n v="2"/>
    <n v="-110"/>
    <s v="L"/>
    <n v="-2"/>
    <x v="0"/>
  </r>
  <r>
    <x v="58"/>
    <x v="1"/>
    <s v="Pistons @ Spurs"/>
    <s v="Spurs -4"/>
    <n v="2"/>
    <n v="-110"/>
    <s v="W"/>
    <n v="1.8181818181818181"/>
    <x v="0"/>
  </r>
  <r>
    <x v="58"/>
    <x v="1"/>
    <s v="Pacers @ Mavericks"/>
    <s v="Mavericks +1"/>
    <n v="2"/>
    <n v="-110"/>
    <s v="W"/>
    <n v="1.8181818181818181"/>
    <x v="3"/>
  </r>
  <r>
    <x v="58"/>
    <x v="1"/>
    <s v="Clippers @ Jazz"/>
    <s v="Under 227"/>
    <n v="2"/>
    <n v="-105"/>
    <s v="W"/>
    <n v="1.9047619047619049"/>
    <x v="1"/>
  </r>
  <r>
    <x v="58"/>
    <x v="1"/>
    <s v="Clippers @ Jazz"/>
    <s v="Jazz -9.5"/>
    <n v="2"/>
    <n v="-110"/>
    <s v="L"/>
    <n v="-2"/>
    <x v="0"/>
  </r>
  <r>
    <x v="58"/>
    <x v="1"/>
    <s v="Bucks @ Kings"/>
    <s v="Under 235"/>
    <n v="2"/>
    <n v="-110"/>
    <s v="L"/>
    <n v="-2"/>
    <x v="1"/>
  </r>
  <r>
    <x v="58"/>
    <x v="1"/>
    <s v="Pelicans @ Lakers"/>
    <s v="Under 239"/>
    <n v="2"/>
    <n v="-105"/>
    <s v="L"/>
    <n v="-2"/>
    <x v="1"/>
  </r>
  <r>
    <x v="59"/>
    <x v="1"/>
    <s v="Timberwolves @ Pacers"/>
    <s v="Under 222"/>
    <n v="2"/>
    <n v="-115"/>
    <s v="L"/>
    <n v="-2"/>
    <x v="1"/>
  </r>
  <r>
    <x v="59"/>
    <x v="1"/>
    <s v="Timberwolves @ Pacers"/>
    <s v="Pacers -3.5"/>
    <n v="2"/>
    <n v="-105"/>
    <s v="W"/>
    <n v="1.9047619047619049"/>
    <x v="0"/>
  </r>
  <r>
    <x v="59"/>
    <x v="1"/>
    <s v="Cavaliers @ Knicks"/>
    <s v="Knicks -3"/>
    <n v="2"/>
    <n v="-110"/>
    <s v="L"/>
    <n v="-2"/>
    <x v="0"/>
  </r>
  <r>
    <x v="59"/>
    <x v="1"/>
    <s v="Heat @ Rockets"/>
    <s v="Under 221"/>
    <n v="2"/>
    <n v="-115"/>
    <s v="L"/>
    <n v="-2"/>
    <x v="1"/>
  </r>
  <r>
    <x v="59"/>
    <x v="1"/>
    <s v="Heat @ Rockets"/>
    <s v="Heat +9.5"/>
    <n v="2"/>
    <n v="-115"/>
    <s v="W"/>
    <n v="1.7391304347826086"/>
    <x v="3"/>
  </r>
  <r>
    <x v="59"/>
    <x v="1"/>
    <s v="Jazz @ Nuggets"/>
    <s v="Under 225"/>
    <n v="2"/>
    <n v="-110"/>
    <s v="W"/>
    <n v="1.8181818181818181"/>
    <x v="1"/>
  </r>
  <r>
    <x v="59"/>
    <x v="1"/>
    <s v="Jazz @ Nuggets"/>
    <s v="Jazz +7"/>
    <n v="2"/>
    <n v="-110"/>
    <s v="W"/>
    <n v="1.8181818181818181"/>
    <x v="3"/>
  </r>
  <r>
    <x v="59"/>
    <x v="1"/>
    <s v="76ers @ Thunder"/>
    <s v="Under 238"/>
    <n v="2"/>
    <n v="-105"/>
    <s v="W"/>
    <n v="1.9047619047619049"/>
    <x v="1"/>
  </r>
  <r>
    <x v="59"/>
    <x v="2"/>
    <s v="Robert Morris @ Sacred Heart"/>
    <s v="Over 144"/>
    <n v="2"/>
    <n v="-110"/>
    <s v="W"/>
    <n v="1.8181818181818181"/>
    <x v="2"/>
  </r>
  <r>
    <x v="59"/>
    <x v="2"/>
    <s v="Connecticut @ Wichita State"/>
    <s v="Connecticut +4.5"/>
    <n v="2"/>
    <n v="-105"/>
    <s v="W"/>
    <n v="1.9047619047619049"/>
    <x v="3"/>
  </r>
  <r>
    <x v="59"/>
    <x v="2"/>
    <s v="Hofstra @ Drexel"/>
    <s v="Hofstra -7"/>
    <n v="2"/>
    <n v="-115"/>
    <s v="L"/>
    <n v="-2"/>
    <x v="0"/>
  </r>
  <r>
    <x v="59"/>
    <x v="2"/>
    <s v="Mercer @ VMI"/>
    <s v="Mercer -5"/>
    <n v="2"/>
    <n v="-110"/>
    <s v="L"/>
    <n v="-2"/>
    <x v="0"/>
  </r>
  <r>
    <x v="59"/>
    <x v="2"/>
    <s v="Northeastern @ Delaware"/>
    <s v="Northeastern -4.5"/>
    <n v="2"/>
    <n v="-115"/>
    <s v="W"/>
    <n v="1.7391304347826086"/>
    <x v="0"/>
  </r>
  <r>
    <x v="59"/>
    <x v="2"/>
    <s v="Northeastern @ Delaware"/>
    <s v="Over 136"/>
    <n v="2"/>
    <n v="-110"/>
    <s v="W"/>
    <n v="1.8181818181818181"/>
    <x v="2"/>
  </r>
  <r>
    <x v="59"/>
    <x v="2"/>
    <s v="Wofford @ Chattanooga"/>
    <s v="Wofford -13"/>
    <n v="2"/>
    <n v="-115"/>
    <s v="W"/>
    <n v="1.7391304347826086"/>
    <x v="0"/>
  </r>
  <r>
    <x v="59"/>
    <x v="2"/>
    <s v="Wofford @ Chattanooga"/>
    <s v="Over 140"/>
    <n v="2"/>
    <n v="-110"/>
    <s v="L"/>
    <n v="-2"/>
    <x v="2"/>
  </r>
  <r>
    <x v="59"/>
    <x v="2"/>
    <s v="Coastal Carolina @ Louisiana"/>
    <s v="Coastal Carolina +4.5"/>
    <n v="2"/>
    <n v="-115"/>
    <s v="L"/>
    <n v="-2"/>
    <x v="3"/>
  </r>
  <r>
    <x v="59"/>
    <x v="2"/>
    <s v="Arizona State @ Oregon"/>
    <s v="Arizona State +3"/>
    <n v="2"/>
    <n v="-110"/>
    <s v="L"/>
    <n v="-2"/>
    <x v="3"/>
  </r>
  <r>
    <x v="59"/>
    <x v="2"/>
    <s v="Western Illinois @ Denver"/>
    <s v="Western Illinois +3"/>
    <n v="2"/>
    <n v="-110"/>
    <s v="L"/>
    <n v="-2"/>
    <x v="3"/>
  </r>
  <r>
    <x v="60"/>
    <x v="1"/>
    <s v="Mavericks @ Nets"/>
    <s v="Mavericks +5"/>
    <n v="5"/>
    <n v="-115"/>
    <s v="L"/>
    <n v="-5"/>
    <x v="3"/>
  </r>
  <r>
    <x v="60"/>
    <x v="1"/>
    <s v="Nuggets @ Spurs"/>
    <s v="Under 227"/>
    <n v="5"/>
    <n v="-105"/>
    <s v="W"/>
    <n v="4.7619047619047619"/>
    <x v="1"/>
  </r>
  <r>
    <x v="60"/>
    <x v="1"/>
    <s v="Pelicans @ Jazz"/>
    <s v="Under 230"/>
    <n v="5"/>
    <n v="-110"/>
    <s v="W"/>
    <n v="4.5454545454545459"/>
    <x v="1"/>
  </r>
  <r>
    <x v="60"/>
    <x v="1"/>
    <s v="Knicks @ Kings"/>
    <s v="Under 231"/>
    <n v="5"/>
    <n v="-110"/>
    <s v="W"/>
    <n v="4.5454545454545459"/>
    <x v="1"/>
  </r>
  <r>
    <x v="60"/>
    <x v="1"/>
    <s v="Knicks @ Kings"/>
    <s v="Knicks +11.5"/>
    <n v="5"/>
    <n v="-110"/>
    <s v="W"/>
    <n v="4.5454545454545459"/>
    <x v="3"/>
  </r>
  <r>
    <x v="60"/>
    <x v="1"/>
    <s v="Clippers @ Lakers"/>
    <s v="Under 237"/>
    <n v="5"/>
    <n v="-110"/>
    <s v="W"/>
    <n v="4.5454545454545459"/>
    <x v="1"/>
  </r>
  <r>
    <x v="61"/>
    <x v="1"/>
    <s v="Bulls @ Pacers"/>
    <s v="Pacers -6.5"/>
    <n v="5"/>
    <n v="-110"/>
    <s v="W"/>
    <n v="4.5454545454545459"/>
    <x v="0"/>
  </r>
  <r>
    <x v="61"/>
    <x v="1"/>
    <s v="Magic @ 76ers"/>
    <s v="Under 223"/>
    <n v="5"/>
    <n v="-105"/>
    <s v="W"/>
    <n v="4.7619047619047619"/>
    <x v="1"/>
  </r>
  <r>
    <x v="61"/>
    <x v="1"/>
    <s v="Magic @ 76ers"/>
    <s v="76ers -3.5"/>
    <n v="5"/>
    <n v="-110"/>
    <s v="W"/>
    <n v="4.5454545454545459"/>
    <x v="0"/>
  </r>
  <r>
    <x v="61"/>
    <x v="1"/>
    <s v="Rockets @ Raptors"/>
    <s v="Under 228"/>
    <n v="5"/>
    <n v="-110"/>
    <s v="W"/>
    <n v="4.5454545454545459"/>
    <x v="1"/>
  </r>
  <r>
    <x v="61"/>
    <x v="1"/>
    <s v="Rockets @ Raptors"/>
    <s v="Raptors -3"/>
    <n v="5"/>
    <n v="-105"/>
    <s v="L"/>
    <n v="-5"/>
    <x v="0"/>
  </r>
  <r>
    <x v="61"/>
    <x v="1"/>
    <s v="Thunder @ Timberwolves"/>
    <s v="Under 237"/>
    <n v="5"/>
    <n v="-105"/>
    <s v="L"/>
    <n v="-5"/>
    <x v="1"/>
  </r>
  <r>
    <x v="61"/>
    <x v="1"/>
    <s v="Thunder @ Timberwolves"/>
    <s v="Thunder +1"/>
    <n v="5"/>
    <n v="-110"/>
    <s v="L"/>
    <n v="-5"/>
    <x v="3"/>
  </r>
  <r>
    <x v="61"/>
    <x v="1"/>
    <s v="Trailblazers @ Grizzlies"/>
    <s v="Under 216"/>
    <n v="5"/>
    <n v="-110"/>
    <s v="L"/>
    <n v="-5"/>
    <x v="1"/>
  </r>
  <r>
    <x v="61"/>
    <x v="1"/>
    <s v="Trailblazers @ Grizzlies"/>
    <s v="Grizzlies +6"/>
    <n v="5"/>
    <n v="-115"/>
    <s v="W"/>
    <n v="4.3478260869565215"/>
    <x v="3"/>
  </r>
  <r>
    <x v="61"/>
    <x v="1"/>
    <s v="Celtics @ Warriors"/>
    <s v="Under 230"/>
    <n v="5"/>
    <n v="-115"/>
    <s v="W"/>
    <n v="4.3478260869565215"/>
    <x v="1"/>
  </r>
  <r>
    <x v="61"/>
    <x v="1"/>
    <s v="Celtics @ Warriors"/>
    <s v="Celtics +8"/>
    <n v="5"/>
    <n v="-115"/>
    <s v="W"/>
    <n v="4.3478260869565215"/>
    <x v="3"/>
  </r>
  <r>
    <x v="61"/>
    <x v="2"/>
    <s v="Xavier @ Butler"/>
    <s v="Xavier +4"/>
    <n v="1"/>
    <n v="-110"/>
    <s v="L"/>
    <n v="-1"/>
    <x v="3"/>
  </r>
  <r>
    <x v="61"/>
    <x v="2"/>
    <s v="Bowling Green State @ Akron"/>
    <s v="Over 135"/>
    <n v="1"/>
    <n v="-115"/>
    <s v="W"/>
    <n v="0.86956521739130432"/>
    <x v="2"/>
  </r>
  <r>
    <x v="61"/>
    <x v="2"/>
    <s v="Virginia Tech @ Florida State"/>
    <s v="Virginia Tech +4"/>
    <n v="1"/>
    <n v="-110"/>
    <s v="L"/>
    <n v="-1"/>
    <x v="3"/>
  </r>
  <r>
    <x v="61"/>
    <x v="2"/>
    <s v="Miami (FL) @ Pittsburgh"/>
    <s v="Pittsburgh +6"/>
    <n v="1"/>
    <n v="-110"/>
    <s v="L"/>
    <n v="-1"/>
    <x v="3"/>
  </r>
  <r>
    <x v="61"/>
    <x v="2"/>
    <s v="Auburn @ Alabama"/>
    <s v="Auburn -2.5"/>
    <n v="1"/>
    <n v="-110"/>
    <s v="W"/>
    <n v="0.90909090909090906"/>
    <x v="0"/>
  </r>
  <r>
    <x v="61"/>
    <x v="2"/>
    <s v="Auburn @ Alabama"/>
    <s v="Under 145"/>
    <n v="1"/>
    <n v="-105"/>
    <s v="W"/>
    <n v="0.95238095238095244"/>
    <x v="1"/>
  </r>
  <r>
    <x v="61"/>
    <x v="2"/>
    <s v="Kentucky @ Mississippi"/>
    <s v="Kentucky -5"/>
    <n v="1"/>
    <n v="-115"/>
    <s v="L"/>
    <n v="-1"/>
    <x v="0"/>
  </r>
  <r>
    <x v="61"/>
    <x v="2"/>
    <s v="Utah State @ Colorado State"/>
    <s v="Utah State -7.5"/>
    <n v="1"/>
    <n v="-110"/>
    <s v="L"/>
    <n v="-1"/>
    <x v="0"/>
  </r>
  <r>
    <x v="62"/>
    <x v="1"/>
    <s v="Mavericks @ Wizards"/>
    <s v="Under 233"/>
    <n v="5"/>
    <n v="-110"/>
    <s v="L"/>
    <n v="-5"/>
    <x v="1"/>
  </r>
  <r>
    <x v="62"/>
    <x v="1"/>
    <s v="Mavericks @ Wizards"/>
    <s v="Mavericks +6.5"/>
    <n v="5"/>
    <n v="-110"/>
    <s v="L"/>
    <n v="-5"/>
    <x v="3"/>
  </r>
  <r>
    <x v="62"/>
    <x v="1"/>
    <s v="Heat @ Hornets"/>
    <s v="Heat +3.5"/>
    <n v="5"/>
    <n v="-110"/>
    <s v="W"/>
    <n v="4.5454545454545459"/>
    <x v="3"/>
  </r>
  <r>
    <x v="62"/>
    <x v="1"/>
    <s v="Timberwolves @ Pistons"/>
    <s v="Under 224"/>
    <n v="5"/>
    <n v="-115"/>
    <s v="L"/>
    <n v="-5"/>
    <x v="1"/>
  </r>
  <r>
    <x v="62"/>
    <x v="1"/>
    <s v="Timberwolves @ Pistons"/>
    <s v="Pistons -5.5"/>
    <n v="5"/>
    <n v="-110"/>
    <s v="W"/>
    <n v="4.5454545454545459"/>
    <x v="0"/>
  </r>
  <r>
    <x v="62"/>
    <x v="1"/>
    <s v="76ers @ Bulls"/>
    <s v="Under 228"/>
    <n v="5"/>
    <n v="-105"/>
    <s v="W"/>
    <n v="4.7619047619047619"/>
    <x v="1"/>
  </r>
  <r>
    <x v="62"/>
    <x v="1"/>
    <s v="Jazz @ Pelicans"/>
    <s v="Under 230"/>
    <n v="5"/>
    <n v="-105"/>
    <s v="W"/>
    <n v="4.7619047619047619"/>
    <x v="1"/>
  </r>
  <r>
    <x v="62"/>
    <x v="1"/>
    <s v="Knicks @ Suns"/>
    <s v="Under 225"/>
    <n v="5"/>
    <n v="-115"/>
    <s v="W"/>
    <n v="4.3478260869565215"/>
    <x v="1"/>
  </r>
  <r>
    <x v="62"/>
    <x v="1"/>
    <s v="Knicks @ Suns"/>
    <s v="Knicks +4"/>
    <n v="5"/>
    <n v="-105"/>
    <s v="L"/>
    <n v="-5"/>
    <x v="3"/>
  </r>
  <r>
    <x v="62"/>
    <x v="1"/>
    <s v="Celtics @ Kings"/>
    <s v="Under 228"/>
    <n v="5"/>
    <n v="-105"/>
    <s v="W"/>
    <n v="4.7619047619047619"/>
    <x v="1"/>
  </r>
  <r>
    <x v="62"/>
    <x v="1"/>
    <s v="Celtics @ Kings"/>
    <s v="Celtics -2"/>
    <n v="5"/>
    <n v="-110"/>
    <s v="Push"/>
    <n v="0"/>
    <x v="0"/>
  </r>
  <r>
    <x v="62"/>
    <x v="1"/>
    <s v="Nuggets @ Lakers"/>
    <s v="Under 229"/>
    <n v="5"/>
    <n v="-105"/>
    <s v="W"/>
    <n v="4.7619047619047619"/>
    <x v="1"/>
  </r>
  <r>
    <x v="62"/>
    <x v="1"/>
    <s v="Nuggets @ Lakers"/>
    <s v="Lakers +6"/>
    <n v="5"/>
    <n v="-110"/>
    <s v="L"/>
    <n v="-5"/>
    <x v="3"/>
  </r>
  <r>
    <x v="62"/>
    <x v="1"/>
    <s v="Mavericks @ Wizards_x000a_Knicks @ Suns_x000a_Celtics @ Kings_x000a_Nuggets @ Lakers"/>
    <s v="Mavericks +6.5_x000a_Knicks +4_x000a_Under 228_x000a_Under 229"/>
    <n v="2"/>
    <n v="1321"/>
    <s v="L"/>
    <n v="-2"/>
    <x v="7"/>
  </r>
  <r>
    <x v="62"/>
    <x v="2"/>
    <s v="Long Island University @ Sacred Heart"/>
    <s v="Long Island University +4.5"/>
    <n v="1"/>
    <n v="-110"/>
    <s v="W"/>
    <n v="0.90909090909090906"/>
    <x v="3"/>
  </r>
  <r>
    <x v="62"/>
    <x v="2"/>
    <s v="Marquette @ Seton Hall"/>
    <s v="Marquette -3"/>
    <n v="1"/>
    <n v="-105"/>
    <s v="L"/>
    <n v="-1"/>
    <x v="0"/>
  </r>
  <r>
    <x v="62"/>
    <x v="2"/>
    <s v="Marquette @ Seton Hall"/>
    <s v="Under 145"/>
    <n v="1"/>
    <n v="-105"/>
    <s v="W"/>
    <n v="0.95238095238095244"/>
    <x v="1"/>
  </r>
  <r>
    <x v="62"/>
    <x v="2"/>
    <s v="Missouri @ Georgia"/>
    <s v="Missouri +4"/>
    <n v="1"/>
    <n v="-105"/>
    <s v="W"/>
    <n v="0.95238095238095244"/>
    <x v="3"/>
  </r>
  <r>
    <x v="62"/>
    <x v="2"/>
    <s v="Missouri @ Georgia"/>
    <s v="Over 135"/>
    <n v="1"/>
    <n v="-115"/>
    <s v="L"/>
    <n v="-1"/>
    <x v="2"/>
  </r>
  <r>
    <x v="62"/>
    <x v="2"/>
    <s v="Bryant @ Saint Francis (PA)"/>
    <s v="Bryant +8.5"/>
    <n v="1"/>
    <n v="-115"/>
    <s v="W"/>
    <n v="0.86956521739130432"/>
    <x v="3"/>
  </r>
  <r>
    <x v="62"/>
    <x v="2"/>
    <s v="Bryant @ Saint Francis (PA)"/>
    <s v="Over 152"/>
    <n v="1"/>
    <n v="-110"/>
    <s v="L"/>
    <n v="-1"/>
    <x v="2"/>
  </r>
  <r>
    <x v="62"/>
    <x v="2"/>
    <s v="George Washington @ Fordham"/>
    <s v="George Washington +4.5"/>
    <n v="1"/>
    <n v="-110"/>
    <s v="L"/>
    <n v="-1"/>
    <x v="3"/>
  </r>
  <r>
    <x v="62"/>
    <x v="2"/>
    <s v="George Washington @ Fordham"/>
    <s v="Over 131"/>
    <n v="1"/>
    <n v="-110"/>
    <s v="L"/>
    <n v="-1"/>
    <x v="2"/>
  </r>
  <r>
    <x v="62"/>
    <x v="2"/>
    <s v="Iowa State @ West Virginia"/>
    <s v="Iowa State -5.5"/>
    <n v="1"/>
    <n v="-110"/>
    <s v="L"/>
    <n v="-1"/>
    <x v="0"/>
  </r>
  <r>
    <x v="62"/>
    <x v="2"/>
    <s v="Iowa State @ West Virginia"/>
    <s v="Iowa State Moneyline"/>
    <n v="1"/>
    <n v="-250"/>
    <s v="L"/>
    <n v="-1"/>
    <x v="6"/>
  </r>
  <r>
    <x v="62"/>
    <x v="2"/>
    <s v="Iowa State @ West Virginia"/>
    <s v="Under 146"/>
    <n v="1"/>
    <n v="-110"/>
    <s v="L"/>
    <n v="-1"/>
    <x v="1"/>
  </r>
  <r>
    <x v="62"/>
    <x v="2"/>
    <s v="Southern Mississippi @ Old Dominion"/>
    <s v="Southern Mississippi +6"/>
    <n v="1"/>
    <n v="-115"/>
    <s v="W"/>
    <n v="0.86956521739130432"/>
    <x v="3"/>
  </r>
  <r>
    <x v="62"/>
    <x v="2"/>
    <s v="Southern Mississippi @ Old Dominion"/>
    <s v="Over 127"/>
    <n v="1"/>
    <n v="-110"/>
    <s v="L"/>
    <n v="-1"/>
    <x v="2"/>
  </r>
  <r>
    <x v="62"/>
    <x v="2"/>
    <s v="St. Bonaventure @ Davidson"/>
    <s v="Over 130"/>
    <n v="1"/>
    <n v="-115"/>
    <s v="L"/>
    <n v="-1"/>
    <x v="2"/>
  </r>
  <r>
    <x v="62"/>
    <x v="2"/>
    <s v="Oregon @ Washington State"/>
    <s v="Oregon -6.5"/>
    <n v="1"/>
    <n v="-110"/>
    <s v="W"/>
    <n v="0.90909090909090906"/>
    <x v="0"/>
  </r>
  <r>
    <x v="62"/>
    <x v="2"/>
    <s v="Oregon @ Washington State"/>
    <s v="Oregon Moneyline"/>
    <n v="1"/>
    <n v="-300"/>
    <s v="W"/>
    <n v="0.33333333333333337"/>
    <x v="6"/>
  </r>
  <r>
    <x v="62"/>
    <x v="2"/>
    <s v="Marquette @ Seton Hall_x000a_Bryant @ Saint Francis (PA)_x000a_Iowa State @ West Virginia_x000a_St. Bonaventure @ Davidson_x000a_Providence @ Creighton_x000a_Oregon @ Washington State"/>
    <s v="Marquette -3_x000a_Saint Francis (PA) Moneyline_x000a_Iowa State -5.5_x000a_Davidson Moneyline_x000a_Creighton Moneyline_x000a_Oregon -6.5"/>
    <n v="2"/>
    <n v="1804"/>
    <s v="L"/>
    <n v="-2"/>
    <x v="7"/>
  </r>
  <r>
    <x v="63"/>
    <x v="1"/>
    <s v="Cavaliers @ 76ers"/>
    <s v="Cavaliers +15"/>
    <n v="10"/>
    <n v="-110"/>
    <s v="W"/>
    <n v="9.0909090909090917"/>
    <x v="3"/>
  </r>
  <r>
    <x v="63"/>
    <x v="1"/>
    <s v="Knicks @ Pacers"/>
    <s v="Over 208"/>
    <n v="10"/>
    <n v="-115"/>
    <s v="L"/>
    <n v="-10"/>
    <x v="2"/>
  </r>
  <r>
    <x v="63"/>
    <x v="1"/>
    <s v="Bucks @ Pelicans"/>
    <s v="Under 236"/>
    <n v="10"/>
    <n v="-110"/>
    <s v="L"/>
    <n v="-10"/>
    <x v="1"/>
  </r>
  <r>
    <x v="63"/>
    <x v="1"/>
    <s v="Bucks @ Pelicans"/>
    <s v="Pelicans +11"/>
    <n v="10"/>
    <n v="-115"/>
    <s v="L"/>
    <n v="-10"/>
    <x v="3"/>
  </r>
  <r>
    <x v="63"/>
    <x v="1"/>
    <s v="Spurs @ Mavericks"/>
    <s v="Mavericks +4.5"/>
    <n v="10"/>
    <n v="-105"/>
    <s v="L"/>
    <n v="-10"/>
    <x v="3"/>
  </r>
  <r>
    <x v="63"/>
    <x v="1"/>
    <s v="Timberwolves @ Nuggets"/>
    <s v="Under 229"/>
    <n v="10"/>
    <n v="-115"/>
    <s v="L"/>
    <n v="-10"/>
    <x v="1"/>
  </r>
  <r>
    <x v="63"/>
    <x v="1"/>
    <s v="Timberwolves @ Nuggets"/>
    <s v="Nuggets -9"/>
    <n v="10"/>
    <n v="-110"/>
    <s v="W"/>
    <n v="9.0909090909090917"/>
    <x v="0"/>
  </r>
  <r>
    <x v="63"/>
    <x v="1"/>
    <s v="Trailblazers @ Clippers"/>
    <s v="Under 233"/>
    <n v="10"/>
    <n v="-115"/>
    <s v="W"/>
    <n v="8.695652173913043"/>
    <x v="1"/>
  </r>
  <r>
    <x v="63"/>
    <x v="1"/>
    <s v="Bucks @ Pelicans_x000a_Bucks @ Pelicans_x000a_Spurs @ Mavericks_x000a_Timberwolves @ Nuggets_x000a_Timberwolves @ Nuggets"/>
    <s v="Pelicans +11_x000a_Under 236_x000a_Mavericks +4.5_x000a_Nuggets -9_x000a_Under 229"/>
    <n v="2.08"/>
    <n v="2387"/>
    <s v="L"/>
    <n v="-2.08"/>
    <x v="7"/>
  </r>
  <r>
    <x v="64"/>
    <x v="1"/>
    <s v="Magic @ Wizards"/>
    <s v="Under 227"/>
    <n v="5"/>
    <n v="-115"/>
    <s v="W"/>
    <n v="4.3478260869565215"/>
    <x v="1"/>
  </r>
  <r>
    <x v="64"/>
    <x v="1"/>
    <s v="Magic @ Wizards"/>
    <s v="Magic +2"/>
    <n v="5"/>
    <n v="-110"/>
    <s v="L"/>
    <n v="-5"/>
    <x v="3"/>
  </r>
  <r>
    <x v="64"/>
    <x v="1"/>
    <s v="Nets @ Thunder"/>
    <s v="Under 232"/>
    <n v="5"/>
    <n v="-105"/>
    <s v="W"/>
    <n v="4.7619047619047619"/>
    <x v="1"/>
  </r>
  <r>
    <x v="64"/>
    <x v="1"/>
    <s v="Nets @ Thunder"/>
    <s v="Nets +7"/>
    <n v="5"/>
    <n v="-105"/>
    <s v="L"/>
    <n v="-5"/>
    <x v="3"/>
  </r>
  <r>
    <x v="64"/>
    <x v="1"/>
    <s v="Pistons @ Heat"/>
    <s v="Over 208"/>
    <n v="5"/>
    <n v="-115"/>
    <s v="L"/>
    <n v="-5"/>
    <x v="2"/>
  </r>
  <r>
    <x v="64"/>
    <x v="1"/>
    <s v="Pistons @ Heat"/>
    <s v="Heat -1.5"/>
    <n v="5"/>
    <n v="-110"/>
    <s v="W"/>
    <n v="4.5454545454545459"/>
    <x v="0"/>
  </r>
  <r>
    <x v="64"/>
    <x v="1"/>
    <s v="Warriors @ Rockets"/>
    <s v="Under 230"/>
    <n v="5"/>
    <n v="-110"/>
    <s v="W"/>
    <n v="4.5454545454545459"/>
    <x v="1"/>
  </r>
  <r>
    <x v="64"/>
    <x v="1"/>
    <s v="Warriors @ Rockets"/>
    <s v="Warriors +3.5"/>
    <n v="5"/>
    <n v="-110"/>
    <s v="W"/>
    <n v="4.5454545454545459"/>
    <x v="3"/>
  </r>
  <r>
    <x v="64"/>
    <x v="1"/>
    <s v="Jazz @ Suns"/>
    <s v="Suns +8.5"/>
    <n v="5"/>
    <n v="-110"/>
    <s v="L"/>
    <n v="-5"/>
    <x v="3"/>
  </r>
  <r>
    <x v="64"/>
    <x v="1"/>
    <s v="Jazz @ Suns_x000a_Warriors @ Rockets_x000a_Magic @ Wizards_x000a_Nets @ Thunder_x000a_Nets @ Thunder"/>
    <s v="Jazz Moneyline_x000a_Warriors +3.5_x000a_Under 227_x000a_Under 232_x000a_Nets +7"/>
    <n v="1.88"/>
    <n v="1601"/>
    <s v="L"/>
    <n v="-1.88"/>
    <x v="7"/>
  </r>
  <r>
    <x v="65"/>
    <x v="1"/>
    <s v="Cavaliers @ Magic"/>
    <s v="Over 211"/>
    <n v="5"/>
    <n v="-115"/>
    <s v="Push"/>
    <n v="0"/>
    <x v="2"/>
  </r>
  <r>
    <x v="65"/>
    <x v="1"/>
    <s v="Cavaliers @ Magic"/>
    <s v="Magic Moneyline"/>
    <n v="5"/>
    <n v="-350"/>
    <s v="W"/>
    <n v="1.4285714285714286"/>
    <x v="6"/>
  </r>
  <r>
    <x v="65"/>
    <x v="1"/>
    <s v="Thunder @ Pacers"/>
    <s v="Pacers -1"/>
    <n v="5"/>
    <n v="-105"/>
    <s v="W"/>
    <n v="4.7619047619047619"/>
    <x v="0"/>
  </r>
  <r>
    <x v="65"/>
    <x v="1"/>
    <s v="Kings @ Celtics"/>
    <s v="Under 228"/>
    <n v="5"/>
    <n v="-115"/>
    <s v="L"/>
    <n v="-5"/>
    <x v="1"/>
  </r>
  <r>
    <x v="65"/>
    <x v="1"/>
    <s v="Kings @ Celtics"/>
    <s v="Celtics Moneyline"/>
    <n v="5"/>
    <n v="-320"/>
    <s v="W"/>
    <n v="1.5625"/>
    <x v="6"/>
  </r>
  <r>
    <x v="65"/>
    <x v="1"/>
    <s v="Lakers @ Raptors"/>
    <s v="Under 232"/>
    <n v="5"/>
    <n v="-115"/>
    <s v="W"/>
    <n v="4.3478260869565215"/>
    <x v="1"/>
  </r>
  <r>
    <x v="65"/>
    <x v="1"/>
    <s v="Lakers @ Raptors"/>
    <s v="Raptors Moneyline"/>
    <n v="5"/>
    <n v="-470"/>
    <s v="W"/>
    <n v="1.0638297872340425"/>
    <x v="6"/>
  </r>
  <r>
    <x v="65"/>
    <x v="1"/>
    <s v="Timberwolves @ Jazz"/>
    <s v="Under 222"/>
    <n v="5"/>
    <n v="-110"/>
    <s v="W"/>
    <n v="4.5454545454545459"/>
    <x v="1"/>
  </r>
  <r>
    <x v="65"/>
    <x v="1"/>
    <s v="Timberwolves @ Jazz"/>
    <s v="Jazz -8"/>
    <n v="5"/>
    <n v="-110"/>
    <s v="W"/>
    <n v="4.5454545454545459"/>
    <x v="0"/>
  </r>
  <r>
    <x v="65"/>
    <x v="1"/>
    <s v="Timberwolves @ Jazz"/>
    <s v="Jazz Moneyline"/>
    <n v="5"/>
    <n v="-350"/>
    <s v="W"/>
    <n v="1.4285714285714286"/>
    <x v="6"/>
  </r>
  <r>
    <x v="65"/>
    <x v="1"/>
    <s v="Mavericks @ Nuggets"/>
    <s v="Under 221"/>
    <n v="5"/>
    <n v="-115"/>
    <s v="W"/>
    <n v="4.3478260869565215"/>
    <x v="1"/>
  </r>
  <r>
    <x v="65"/>
    <x v="1"/>
    <s v="Mavericks @ Nuggets"/>
    <s v="Nuggets Moneyline"/>
    <n v="5"/>
    <n v="-800"/>
    <s v="W"/>
    <n v="0.625"/>
    <x v="6"/>
  </r>
  <r>
    <x v="66"/>
    <x v="1"/>
    <s v="Hornets @ Wizards"/>
    <s v="Under 232"/>
    <n v="5"/>
    <n v="-110"/>
    <s v="W"/>
    <n v="4.5454545454545459"/>
    <x v="1"/>
  </r>
  <r>
    <x v="66"/>
    <x v="1"/>
    <s v="Lakers @ Pistons"/>
    <s v="Lakers +11"/>
    <n v="5"/>
    <n v="-110"/>
    <s v="L"/>
    <n v="-5"/>
    <x v="3"/>
  </r>
  <r>
    <x v="66"/>
    <x v="1"/>
    <s v="Bucks @ Heat"/>
    <s v="Under 220"/>
    <n v="5"/>
    <n v="-115"/>
    <s v="W"/>
    <n v="4.3478260869565215"/>
    <x v="1"/>
  </r>
  <r>
    <x v="66"/>
    <x v="1"/>
    <s v="Bucks @ Heat"/>
    <s v="Heat +5"/>
    <n v="5"/>
    <n v="-105"/>
    <s v="L"/>
    <n v="-5"/>
    <x v="3"/>
  </r>
  <r>
    <x v="66"/>
    <x v="1"/>
    <s v="Trailblazers @ Pelicans"/>
    <s v="Under 235"/>
    <n v="5"/>
    <n v="-115"/>
    <s v="W"/>
    <n v="4.3478260869565215"/>
    <x v="1"/>
  </r>
  <r>
    <x v="66"/>
    <x v="1"/>
    <s v="Trailblazers @ Pelicans"/>
    <s v="Pelicans +7.5"/>
    <n v="5"/>
    <n v="-105"/>
    <s v="L"/>
    <n v="-5"/>
    <x v="3"/>
  </r>
  <r>
    <x v="66"/>
    <x v="1"/>
    <s v="Knicks @ Spurs"/>
    <s v="Over 216"/>
    <n v="5"/>
    <n v="-105"/>
    <s v="L"/>
    <n v="-5"/>
    <x v="2"/>
  </r>
  <r>
    <x v="66"/>
    <x v="1"/>
    <s v="Knicks @ Spurs"/>
    <s v="Knicks +13.5"/>
    <n v="5"/>
    <n v="-110"/>
    <s v="L"/>
    <n v="-5"/>
    <x v="3"/>
  </r>
  <r>
    <x v="66"/>
    <x v="1"/>
    <s v="Knicks @ Spurs"/>
    <s v="Spurs Moneyline"/>
    <n v="5"/>
    <n v="-1600"/>
    <s v="W"/>
    <n v="0.3125"/>
    <x v="6"/>
  </r>
  <r>
    <x v="66"/>
    <x v="1"/>
    <s v="Bulls @ Clippers"/>
    <s v="Under 229"/>
    <n v="5"/>
    <n v="-115"/>
    <s v="L"/>
    <n v="-5"/>
    <x v="1"/>
  </r>
  <r>
    <x v="66"/>
    <x v="1"/>
    <s v="Bulls @ Clippers"/>
    <s v="Bulls +9"/>
    <n v="5"/>
    <n v="-110"/>
    <s v="W"/>
    <n v="4.5454545454545459"/>
    <x v="3"/>
  </r>
  <r>
    <x v="67"/>
    <x v="2"/>
    <s v="Maryland @ LSU"/>
    <s v="Maryland +3.5"/>
    <n v="11.5"/>
    <n v="-115"/>
    <s v="W"/>
    <n v="10"/>
    <x v="3"/>
  </r>
  <r>
    <x v="67"/>
    <x v="2"/>
    <s v="Wofford @ Kentucky"/>
    <s v="Wofford Moneyline"/>
    <n v="10"/>
    <n v="200"/>
    <s v="L"/>
    <n v="-10"/>
    <x v="4"/>
  </r>
  <r>
    <x v="67"/>
    <x v="2"/>
    <s v="Florida @ Michigan"/>
    <s v="Michigan -6"/>
    <n v="11"/>
    <n v="-110"/>
    <s v="W"/>
    <n v="10"/>
    <x v="0"/>
  </r>
  <r>
    <x v="67"/>
    <x v="2"/>
    <s v="Murray State @ Florida State"/>
    <s v="Florida State -4.5"/>
    <n v="10.5"/>
    <n v="-105"/>
    <s v="W"/>
    <n v="10"/>
    <x v="0"/>
  </r>
  <r>
    <x v="67"/>
    <x v="2"/>
    <s v="Villanova @ Purdue"/>
    <s v="Purdue -3.5"/>
    <n v="11.5"/>
    <n v="-105"/>
    <s v="W"/>
    <n v="10.952380952380953"/>
    <x v="0"/>
  </r>
  <r>
    <x v="67"/>
    <x v="2"/>
    <s v="Minnesota @ Michigan State"/>
    <s v="Minnesota +10.5"/>
    <n v="10.5"/>
    <n v="-115"/>
    <s v="L"/>
    <n v="-10.5"/>
    <x v="3"/>
  </r>
  <r>
    <x v="68"/>
    <x v="2"/>
    <s v="Iowa @ Tennessee"/>
    <s v="Iowa +8"/>
    <n v="11"/>
    <n v="-110"/>
    <s v="W"/>
    <n v="10"/>
    <x v="3"/>
  </r>
  <r>
    <x v="68"/>
    <x v="2"/>
    <s v="Washington @ North Carolina"/>
    <s v="Washington +12"/>
    <n v="11"/>
    <n v="-110"/>
    <s v="L"/>
    <n v="-11"/>
    <x v="3"/>
  </r>
  <r>
    <x v="68"/>
    <x v="2"/>
    <s v="Buffaloa @ Texas Tech"/>
    <s v="Texas Tech -3.5"/>
    <n v="11.5"/>
    <n v="-115"/>
    <s v="W"/>
    <n v="10"/>
    <x v="0"/>
  </r>
  <r>
    <x v="68"/>
    <x v="2"/>
    <s v="Liberty @ Virginia Tech"/>
    <s v="Virginia Tech -8.5"/>
    <n v="11.5"/>
    <n v="-115"/>
    <s v="W"/>
    <n v="10"/>
    <x v="0"/>
  </r>
  <r>
    <x v="68"/>
    <x v="2"/>
    <s v="Central Florida @ Duke"/>
    <s v="Duke -13.5"/>
    <n v="10.5"/>
    <n v="-105"/>
    <s v="L"/>
    <n v="-10.5"/>
    <x v="0"/>
  </r>
  <r>
    <x v="68"/>
    <x v="2"/>
    <s v="Oklahoma @ Virginia"/>
    <s v="Oklahoma +10.5"/>
    <n v="11"/>
    <n v="-110"/>
    <s v="L"/>
    <n v="-11"/>
    <x v="3"/>
  </r>
  <r>
    <x v="68"/>
    <x v="2"/>
    <s v="Cal Irvine @ Oregon"/>
    <s v="Cal Irvine +5"/>
    <n v="11.5"/>
    <n v="-115"/>
    <s v="L"/>
    <n v="-11.5"/>
    <x v="3"/>
  </r>
  <r>
    <x v="68"/>
    <x v="2"/>
    <s v="Cal Irvine @ Oregon"/>
    <s v="Under 127"/>
    <n v="11"/>
    <n v="-110"/>
    <s v="Push"/>
    <n v="0"/>
    <x v="1"/>
  </r>
  <r>
    <x v="69"/>
    <x v="1"/>
    <s v="76ers @ Magic"/>
    <s v="Over 219"/>
    <n v="5.5"/>
    <n v="-110"/>
    <s v="L"/>
    <n v="-5.5"/>
    <x v="2"/>
  </r>
  <r>
    <x v="69"/>
    <x v="1"/>
    <s v="Thunder @ Grizzlies"/>
    <s v="Over 216"/>
    <n v="5.75"/>
    <n v="-115"/>
    <s v="W"/>
    <n v="5"/>
    <x v="2"/>
  </r>
  <r>
    <x v="69"/>
    <x v="1"/>
    <s v="Thunder @ Grizzlies"/>
    <s v="Grizzlies +7"/>
    <n v="5.5"/>
    <n v="-110"/>
    <s v="W"/>
    <n v="5"/>
    <x v="3"/>
  </r>
  <r>
    <x v="69"/>
    <x v="1"/>
    <s v="Suns @ Jazz"/>
    <s v="Over 216"/>
    <n v="5.75"/>
    <n v="-115"/>
    <s v="W"/>
    <n v="5"/>
    <x v="2"/>
  </r>
  <r>
    <x v="69"/>
    <x v="1"/>
    <s v="Suns @ Jazz"/>
    <s v="Suns +15"/>
    <n v="5.5"/>
    <n v="-110"/>
    <s v="L"/>
    <n v="-5.5"/>
    <x v="3"/>
  </r>
  <r>
    <x v="69"/>
    <x v="1"/>
    <s v="Nets @ Trailblazers"/>
    <s v="Nets +6.5"/>
    <n v="5.5"/>
    <n v="-110"/>
    <s v="W"/>
    <n v="5"/>
    <x v="3"/>
  </r>
  <r>
    <x v="69"/>
    <x v="1"/>
    <s v="Nets @ Trailblazers"/>
    <s v="Under 223"/>
    <n v="5.75"/>
    <n v="-115"/>
    <s v="L"/>
    <n v="-5.75"/>
    <x v="1"/>
  </r>
  <r>
    <x v="70"/>
    <x v="1"/>
    <s v="Celtics @ Cavaliers"/>
    <s v="Over 216"/>
    <n v="5.25"/>
    <n v="-105"/>
    <s v="W"/>
    <n v="5"/>
    <x v="2"/>
  </r>
  <r>
    <x v="70"/>
    <x v="1"/>
    <s v="Spurs @ Hornets"/>
    <s v="Hornets +4"/>
    <n v="5.5"/>
    <n v="-110"/>
    <s v="W"/>
    <n v="5"/>
    <x v="3"/>
  </r>
  <r>
    <x v="70"/>
    <x v="1"/>
    <s v="Magic @ Heat"/>
    <s v="Over 205"/>
    <n v="5.5"/>
    <n v="-110"/>
    <s v="L"/>
    <n v="-5.5"/>
    <x v="2"/>
  </r>
  <r>
    <x v="70"/>
    <x v="1"/>
    <s v="Magic @ Heat"/>
    <s v="Heat -4.5"/>
    <n v="5.25"/>
    <n v="-105"/>
    <s v="L"/>
    <n v="-5.25"/>
    <x v="0"/>
  </r>
  <r>
    <x v="70"/>
    <x v="1"/>
    <s v="Rockets @ Bucks"/>
    <s v="Over 224"/>
    <n v="5.5"/>
    <n v="-110"/>
    <s v="L"/>
    <n v="-5.5"/>
    <x v="2"/>
  </r>
  <r>
    <x v="70"/>
    <x v="1"/>
    <s v="Clippers @ Timberwolves"/>
    <s v="Under 231"/>
    <n v="5.5"/>
    <n v="-110"/>
    <s v="L"/>
    <n v="-5.5"/>
    <x v="1"/>
  </r>
  <r>
    <x v="70"/>
    <x v="1"/>
    <s v="Kings @ Mavericks"/>
    <s v="Under 226"/>
    <n v="5.5"/>
    <n v="-110"/>
    <s v="L"/>
    <n v="-5.5"/>
    <x v="1"/>
  </r>
  <r>
    <x v="70"/>
    <x v="1"/>
    <s v="Kings @ Mavericks"/>
    <s v="Mavericks +1.5"/>
    <n v="5.5"/>
    <n v="-110"/>
    <s v="L"/>
    <n v="-5.5"/>
    <x v="3"/>
  </r>
  <r>
    <x v="70"/>
    <x v="1"/>
    <s v="Wizards @ Lakers"/>
    <s v="Under 236"/>
    <n v="5.25"/>
    <n v="-105"/>
    <s v="W"/>
    <n v="5"/>
    <x v="1"/>
  </r>
  <r>
    <x v="70"/>
    <x v="1"/>
    <s v="Wizards @ Lakers"/>
    <s v="Lakers -2"/>
    <n v="5.5"/>
    <n v="-110"/>
    <s v="W"/>
    <n v="5"/>
    <x v="0"/>
  </r>
  <r>
    <x v="71"/>
    <x v="1"/>
    <s v="Warriors @ Grizzlies"/>
    <s v="Grizzlies +10.5"/>
    <n v="4"/>
    <n v="-110"/>
    <s v="L"/>
    <n v="-4"/>
    <x v="3"/>
  </r>
  <r>
    <x v="71"/>
    <x v="1"/>
    <s v="Pacers @ Thunder"/>
    <s v="Over 217"/>
    <n v="4"/>
    <n v="-110"/>
    <s v="L"/>
    <n v="-4"/>
    <x v="2"/>
  </r>
  <r>
    <x v="71"/>
    <x v="1"/>
    <s v="Pacers @ Thunder"/>
    <s v="Pacers +6.5"/>
    <n v="4"/>
    <n v="-110"/>
    <s v="L"/>
    <n v="-4"/>
    <x v="3"/>
  </r>
  <r>
    <x v="71"/>
    <x v="1"/>
    <s v="Trailblazers @ Bulls"/>
    <s v="Over 214"/>
    <n v="4"/>
    <n v="-115"/>
    <s v="W"/>
    <n v="3.4782608695652173"/>
    <x v="2"/>
  </r>
  <r>
    <x v="71"/>
    <x v="1"/>
    <s v="Trailblazers @ Bulls"/>
    <s v="Bulls +9"/>
    <n v="4"/>
    <n v="-115"/>
    <s v="L"/>
    <n v="-4"/>
    <x v="3"/>
  </r>
  <r>
    <x v="72"/>
    <x v="1"/>
    <s v="Magic @ Pistons"/>
    <s v="Over 206"/>
    <n v="4"/>
    <n v="-115"/>
    <s v="W"/>
    <n v="3.4782608695652173"/>
    <x v="2"/>
  </r>
  <r>
    <x v="72"/>
    <x v="1"/>
    <s v="Magic @ Pistons"/>
    <s v="Magic +3.5"/>
    <n v="4"/>
    <n v="-110"/>
    <s v="L"/>
    <n v="-4"/>
    <x v="3"/>
  </r>
  <r>
    <x v="72"/>
    <x v="1"/>
    <s v="Mavericks @ Heat"/>
    <s v="Over 209"/>
    <n v="4"/>
    <n v="-105"/>
    <s v="L"/>
    <n v="-4"/>
    <x v="2"/>
  </r>
  <r>
    <x v="72"/>
    <x v="1"/>
    <s v="Raptors @ Knicks"/>
    <s v="Over 217"/>
    <n v="4"/>
    <n v="-110"/>
    <s v="L"/>
    <n v="-4"/>
    <x v="2"/>
  </r>
  <r>
    <x v="72"/>
    <x v="1"/>
    <s v="Clippers @ Bucks"/>
    <s v="Under 232"/>
    <n v="4"/>
    <n v="-105"/>
    <s v="L"/>
    <n v="-4"/>
    <x v="1"/>
  </r>
  <r>
    <x v="72"/>
    <x v="2"/>
    <s v="Florida State @ Gonzaga"/>
    <s v="Gonzaga -7"/>
    <n v="11"/>
    <n v="-110"/>
    <s v="W"/>
    <n v="10"/>
    <x v="0"/>
  </r>
  <r>
    <x v="72"/>
    <x v="2"/>
    <s v="Texas Tech @ Michigan"/>
    <s v="Michigan -2"/>
    <n v="5.5"/>
    <n v="-110"/>
    <s v="L"/>
    <n v="-5.5"/>
    <x v="0"/>
  </r>
  <r>
    <x v="73"/>
    <x v="2"/>
    <s v="Lousiana State @ Michigan State"/>
    <s v="Michigan State -6.5"/>
    <n v="21"/>
    <n v="-105"/>
    <s v="W"/>
    <n v="20"/>
    <x v="0"/>
  </r>
  <r>
    <x v="73"/>
    <x v="2"/>
    <s v="Auburn @ North Carolina"/>
    <s v="North Carolina +9.5 (LB)"/>
    <n v="5.75"/>
    <n v="-115"/>
    <s v="L"/>
    <n v="-5.75"/>
    <x v="3"/>
  </r>
  <r>
    <x v="73"/>
    <x v="2"/>
    <s v="Houston @ Kentucky"/>
    <s v="Houston +2"/>
    <n v="11"/>
    <n v="-110"/>
    <s v="L"/>
    <n v="-11"/>
    <x v="3"/>
  </r>
  <r>
    <x v="74"/>
    <x v="2"/>
    <s v="Texas Tech @ Gonzaga"/>
    <s v="Texas Tech +4.5"/>
    <n v="10.5"/>
    <n v="-105"/>
    <s v="W"/>
    <n v="10"/>
    <x v="3"/>
  </r>
  <r>
    <x v="74"/>
    <x v="2"/>
    <s v="Purdue @ Virginia"/>
    <s v="Virginia -4.5"/>
    <n v="11"/>
    <n v="-110"/>
    <s v="W"/>
    <n v="10"/>
    <x v="0"/>
  </r>
  <r>
    <x v="75"/>
    <x v="2"/>
    <s v="Auburn @ Kentucky"/>
    <s v="Auburn +4.5"/>
    <n v="11"/>
    <n v="-110"/>
    <s v="W"/>
    <n v="10"/>
    <x v="3"/>
  </r>
  <r>
    <x v="75"/>
    <x v="2"/>
    <s v="Auburn @ Kentucky_x000a_Auburn @ Kentucky"/>
    <s v="Auburn +4.5_x000a_Over 143"/>
    <n v="7.56"/>
    <n v="264.39999999999998"/>
    <s v="W"/>
    <n v="19.988639999999997"/>
    <x v="7"/>
  </r>
  <r>
    <x v="75"/>
    <x v="2"/>
    <s v="Michigan State @ Duke"/>
    <s v="Under 149"/>
    <n v="10.5"/>
    <n v="-105"/>
    <s v="W"/>
    <n v="10"/>
    <x v="1"/>
  </r>
  <r>
    <x v="75"/>
    <x v="2"/>
    <s v="Michigan State @ Duke"/>
    <s v="Duke -2.5"/>
    <n v="11"/>
    <n v="-110"/>
    <s v="L"/>
    <n v="-11"/>
    <x v="0"/>
  </r>
  <r>
    <x v="76"/>
    <x v="1"/>
    <s v="Lakers @ Thunder"/>
    <s v="Lakers +12.5"/>
    <n v="5.5"/>
    <n v="-110"/>
    <s v="L"/>
    <n v="-5.5"/>
    <x v="3"/>
  </r>
  <r>
    <x v="76"/>
    <x v="1"/>
    <s v="Rockets @ Kings"/>
    <s v="Under 227"/>
    <n v="11.5"/>
    <n v="-115"/>
    <s v="L"/>
    <n v="-11.5"/>
    <x v="1"/>
  </r>
  <r>
    <x v="76"/>
    <x v="1"/>
    <s v="Nuggets @ Warriors"/>
    <s v="Over 220"/>
    <n v="5.25"/>
    <n v="-105"/>
    <s v="L"/>
    <n v="-5.25"/>
    <x v="2"/>
  </r>
  <r>
    <x v="76"/>
    <x v="1"/>
    <s v="Nuggets @ Warriors"/>
    <s v="Nuggets +8"/>
    <n v="10.5"/>
    <n v="-105"/>
    <s v="L"/>
    <n v="-10.5"/>
    <x v="3"/>
  </r>
  <r>
    <x v="77"/>
    <x v="1"/>
    <s v="Bulls @ Wizards"/>
    <s v=" Bulls +10"/>
    <n v="1.1000000000000001"/>
    <n v="-110"/>
    <s v="W"/>
    <n v="1"/>
    <x v="3"/>
  </r>
  <r>
    <x v="77"/>
    <x v="1"/>
    <s v="Pacers @ Pistons"/>
    <s v="Over 206"/>
    <n v="1.05"/>
    <n v="-105"/>
    <s v="L"/>
    <n v="-1.05"/>
    <x v="2"/>
  </r>
  <r>
    <x v="77"/>
    <x v="1"/>
    <s v="Knicks @ Magic"/>
    <s v="Knicks +12.5"/>
    <n v="1.1000000000000001"/>
    <n v="-110"/>
    <s v="L"/>
    <n v="-1.1000000000000001"/>
    <x v="3"/>
  </r>
  <r>
    <x v="77"/>
    <x v="1"/>
    <s v="76ers @ Hawks"/>
    <s v="76ers -3.5"/>
    <n v="1.1000000000000001"/>
    <n v="-110"/>
    <s v="L"/>
    <n v="-1.1000000000000001"/>
    <x v="0"/>
  </r>
  <r>
    <x v="77"/>
    <x v="1"/>
    <s v="76ers @ Hawks"/>
    <s v="Under 238"/>
    <n v="1.1000000000000001"/>
    <n v="-110"/>
    <s v="L"/>
    <n v="-1.1000000000000001"/>
    <x v="1"/>
  </r>
  <r>
    <x v="77"/>
    <x v="1"/>
    <s v="Timberwolves @ Mavericks"/>
    <s v="Mavericks -2.5"/>
    <n v="1.1000000000000001"/>
    <n v="-110"/>
    <s v="L"/>
    <n v="-1.1000000000000001"/>
    <x v="0"/>
  </r>
  <r>
    <x v="77"/>
    <x v="1"/>
    <s v="Timberwolves @ Mavericks"/>
    <s v="Under 224"/>
    <n v="1.05"/>
    <n v="-105"/>
    <s v="W"/>
    <n v="1"/>
    <x v="1"/>
  </r>
  <r>
    <x v="78"/>
    <x v="1"/>
    <s v="Jazz @ Suns"/>
    <s v="Suns +10.5"/>
    <n v="1.1000000000000001"/>
    <n v="-110"/>
    <s v="L"/>
    <n v="-1.1000000000000001"/>
    <x v="3"/>
  </r>
  <r>
    <x v="78"/>
    <x v="1"/>
    <s v="Rockets @ Clippers"/>
    <s v="Rockets -1.5"/>
    <n v="1.1000000000000001"/>
    <n v="-110"/>
    <s v="W"/>
    <n v="1"/>
    <x v="0"/>
  </r>
  <r>
    <x v="79"/>
    <x v="2"/>
    <s v="Auburn @ Virginia"/>
    <s v="Virginia -6"/>
    <n v="21.29"/>
    <n v="-110"/>
    <s v="L"/>
    <n v="-21.29"/>
    <x v="0"/>
  </r>
  <r>
    <x v="79"/>
    <x v="2"/>
    <s v="Auburn @ Virginia"/>
    <s v="Under 133"/>
    <n v="22"/>
    <n v="-110"/>
    <s v="W"/>
    <n v="20"/>
    <x v="1"/>
  </r>
  <r>
    <x v="79"/>
    <x v="2"/>
    <s v="Texas Tech @ Michigan State"/>
    <s v="Texas Tech +2.5"/>
    <n v="22"/>
    <n v="-110"/>
    <s v="W"/>
    <n v="20"/>
    <x v="3"/>
  </r>
  <r>
    <x v="79"/>
    <x v="2"/>
    <s v="Texas Tech @ Michigan State"/>
    <s v="Under 132"/>
    <n v="10.5"/>
    <n v="-105"/>
    <s v="W"/>
    <n v="10"/>
    <x v="1"/>
  </r>
  <r>
    <x v="80"/>
    <x v="2"/>
    <s v="Texas Tech @ Virginia"/>
    <s v="Virginia -1"/>
    <n v="22"/>
    <n v="-110"/>
    <s v="W"/>
    <n v="20"/>
    <x v="0"/>
  </r>
  <r>
    <x v="80"/>
    <x v="2"/>
    <s v="Texas Tech @ Virginia"/>
    <s v="Over 120"/>
    <n v="23"/>
    <n v="-115"/>
    <s v="W"/>
    <n v="20"/>
    <x v="2"/>
  </r>
  <r>
    <x v="81"/>
    <x v="5"/>
    <s v="Penguins @ Islanders"/>
    <s v="Over 5.5"/>
    <n v="20"/>
    <n v="105"/>
    <s v="L"/>
    <n v="-20"/>
    <x v="2"/>
  </r>
  <r>
    <x v="81"/>
    <x v="5"/>
    <s v="Penguins @ Islanders"/>
    <s v="Penguins Moneyline (LB)"/>
    <n v="10"/>
    <n v="295"/>
    <s v="L"/>
    <n v="-10"/>
    <x v="4"/>
  </r>
  <r>
    <x v="81"/>
    <x v="5"/>
    <s v="Penguins @ Islanders"/>
    <s v="Penguins +2 (LB)"/>
    <n v="8.5"/>
    <n v="120"/>
    <s v="Push"/>
    <n v="0"/>
    <x v="3"/>
  </r>
  <r>
    <x v="82"/>
    <x v="1"/>
    <s v="Nets @ 76ers"/>
    <s v="Over 225.5"/>
    <n v="11"/>
    <n v="-110"/>
    <s v="W"/>
    <n v="10"/>
    <x v="2"/>
  </r>
  <r>
    <x v="82"/>
    <x v="1"/>
    <s v="Clippers @ Warriors"/>
    <s v="Clippers +13.5"/>
    <n v="11"/>
    <n v="-110"/>
    <s v="W"/>
    <n v="10"/>
    <x v="3"/>
  </r>
  <r>
    <x v="82"/>
    <x v="1"/>
    <s v="Clippers @ Warriors"/>
    <s v="Over 234"/>
    <n v="11.5"/>
    <n v="-115"/>
    <s v="W"/>
    <n v="10"/>
    <x v="2"/>
  </r>
  <r>
    <x v="83"/>
    <x v="1"/>
    <s v="Spurs @ Nuggets"/>
    <s v="Over 208.5"/>
    <n v="20"/>
    <n v="-110"/>
    <s v="W"/>
    <n v="18.181818181818183"/>
    <x v="2"/>
  </r>
  <r>
    <x v="83"/>
    <x v="1"/>
    <s v="Thunder @ Trailblazers"/>
    <s v="Over 223"/>
    <n v="22"/>
    <n v="-110"/>
    <s v="L"/>
    <n v="-22"/>
    <x v="2"/>
  </r>
  <r>
    <x v="83"/>
    <x v="1"/>
    <s v="Thunder @ Trailblazers"/>
    <s v="Thunder +1.5"/>
    <n v="23"/>
    <n v="-115"/>
    <s v="L"/>
    <n v="-23"/>
    <x v="3"/>
  </r>
  <r>
    <x v="84"/>
    <x v="1"/>
    <s v="76ers @ Nets"/>
    <s v="Under 229.5"/>
    <n v="11"/>
    <n v="-110"/>
    <s v="L"/>
    <n v="-11"/>
    <x v="1"/>
  </r>
  <r>
    <x v="84"/>
    <x v="1"/>
    <s v="Warriors @ Clippers"/>
    <s v="Under 233.5"/>
    <n v="11"/>
    <n v="-110"/>
    <s v="L"/>
    <n v="-11"/>
    <x v="1"/>
  </r>
  <r>
    <x v="84"/>
    <x v="1"/>
    <s v="Warriors @ Clippers"/>
    <s v="Warriors -9"/>
    <n v="11.5"/>
    <n v="-115"/>
    <s v="W"/>
    <n v="10"/>
    <x v="0"/>
  </r>
  <r>
    <x v="85"/>
    <x v="1"/>
    <s v="Raptors @ Magic"/>
    <s v="Over 210.5"/>
    <n v="5.5"/>
    <n v="-110"/>
    <s v="L"/>
    <n v="-5.5"/>
    <x v="2"/>
  </r>
  <r>
    <x v="85"/>
    <x v="1"/>
    <s v="Raptors @ Magic"/>
    <s v="Magic +5.5"/>
    <n v="5.75"/>
    <n v="-115"/>
    <s v="W"/>
    <n v="5"/>
    <x v="3"/>
  </r>
  <r>
    <x v="85"/>
    <x v="1"/>
    <s v="Celtics @ Pacers"/>
    <s v="Over 204"/>
    <n v="5.5"/>
    <n v="-110"/>
    <s v="L"/>
    <n v="-5.5"/>
    <x v="2"/>
  </r>
  <r>
    <x v="85"/>
    <x v="1"/>
    <s v="Trailblazers @ Thunder"/>
    <s v="Trailblazers +7.5"/>
    <n v="5.75"/>
    <n v="-115"/>
    <s v="L"/>
    <n v="-5.75"/>
    <x v="3"/>
  </r>
  <r>
    <x v="86"/>
    <x v="6"/>
    <s v="Marlins @ Phillies"/>
    <s v="Phillies Moneyline"/>
    <n v="1"/>
    <n v="-172"/>
    <s v="W"/>
    <n v="0.58139534883720934"/>
    <x v="6"/>
  </r>
  <r>
    <x v="86"/>
    <x v="6"/>
    <s v="Rockies @ Braves"/>
    <s v="Braves Moneyline"/>
    <n v="1"/>
    <n v="-172"/>
    <s v="L"/>
    <n v="-1"/>
    <x v="6"/>
  </r>
  <r>
    <x v="86"/>
    <x v="6"/>
    <s v="Indians @ Astros"/>
    <s v="Astros Moneyline"/>
    <n v="1"/>
    <n v="-124"/>
    <s v="L"/>
    <n v="-1"/>
    <x v="6"/>
  </r>
  <r>
    <x v="86"/>
    <x v="6"/>
    <s v="Reds @ Cardinals"/>
    <s v="Cardinals Moneyline"/>
    <n v="1"/>
    <n v="-152"/>
    <s v="L"/>
    <n v="-1"/>
    <x v="6"/>
  </r>
  <r>
    <x v="86"/>
    <x v="6"/>
    <s v="Rangers @ Mariners"/>
    <s v="Mariners Moneyline"/>
    <n v="1"/>
    <n v="-157"/>
    <s v="W"/>
    <n v="0.63694267515923575"/>
    <x v="6"/>
  </r>
  <r>
    <x v="86"/>
    <x v="6"/>
    <s v="Yankees @ Giants"/>
    <s v="Yankees Moneyline"/>
    <n v="1"/>
    <n v="-130"/>
    <s v="W"/>
    <n v="0.76923076923076927"/>
    <x v="6"/>
  </r>
  <r>
    <x v="86"/>
    <x v="6"/>
    <s v="Padres @ Nationals"/>
    <s v="Over 7"/>
    <n v="1"/>
    <n v="-115"/>
    <s v="Push"/>
    <n v="0"/>
    <x v="2"/>
  </r>
  <r>
    <x v="86"/>
    <x v="6"/>
    <s v="Brewers @ Mets"/>
    <s v="Over 7.5"/>
    <n v="1"/>
    <n v="105"/>
    <s v="W"/>
    <n v="1.05"/>
    <x v="2"/>
  </r>
  <r>
    <x v="86"/>
    <x v="6"/>
    <s v="Orioles @ Twins"/>
    <s v="Over 9"/>
    <n v="1"/>
    <n v="-125"/>
    <s v="L"/>
    <n v="-1"/>
    <x v="2"/>
  </r>
  <r>
    <x v="86"/>
    <x v="6"/>
    <s v="Rangers @ Mariners"/>
    <s v="Over 9"/>
    <n v="1"/>
    <n v="-115"/>
    <s v="Push"/>
    <n v="0"/>
    <x v="2"/>
  </r>
  <r>
    <x v="87"/>
    <x v="6"/>
    <s v="Cardinals @ Nationals"/>
    <s v="Nationals Moneyline"/>
    <n v="1"/>
    <s v="+140"/>
    <s v="L"/>
    <n v="-1"/>
    <x v="4"/>
  </r>
  <r>
    <x v="87"/>
    <x v="6"/>
    <s v="Athletics @ Red Sox"/>
    <s v="Athletics Moneyline"/>
    <n v="1"/>
    <n v="-155"/>
    <s v="L"/>
    <n v="-1"/>
    <x v="6"/>
  </r>
  <r>
    <x v="87"/>
    <x v="6"/>
    <s v="Padres @ Braves"/>
    <s v="Braves Moneyline"/>
    <n v="1"/>
    <s v="+120"/>
    <s v="W"/>
    <n v="1.2"/>
    <x v="4"/>
  </r>
  <r>
    <x v="87"/>
    <x v="6"/>
    <s v="Rockies @ Brewers"/>
    <s v="Brewers Moneyline"/>
    <n v="1"/>
    <s v="+165"/>
    <s v="W"/>
    <n v="1.65"/>
    <x v="4"/>
  </r>
  <r>
    <x v="87"/>
    <x v="6"/>
    <s v="Rays @ Royals"/>
    <s v="Rays Moneyline"/>
    <n v="1"/>
    <s v="+115"/>
    <s v="W"/>
    <n v="1.1499999999999999"/>
    <x v="4"/>
  </r>
  <r>
    <x v="87"/>
    <x v="6"/>
    <s v="Dodgers @ Giants"/>
    <s v="Dodgers Moneyline"/>
    <n v="1"/>
    <s v="+110"/>
    <s v="L"/>
    <n v="-1"/>
    <x v="4"/>
  </r>
  <r>
    <x v="87"/>
    <x v="6"/>
    <s v="Cardinals @ Nationals"/>
    <s v="Over 8.5"/>
    <n v="1"/>
    <n v="100"/>
    <s v="W"/>
    <n v="1"/>
    <x v="2"/>
  </r>
  <r>
    <x v="87"/>
    <x v="6"/>
    <s v="Reds @ Mets"/>
    <s v="Over 8"/>
    <n v="1"/>
    <n v="-105"/>
    <s v="W"/>
    <n v="0.95238095238095244"/>
    <x v="2"/>
  </r>
  <r>
    <x v="87"/>
    <x v="6"/>
    <s v="Padres @ Braves"/>
    <s v="Under 9"/>
    <n v="1"/>
    <n v="100"/>
    <s v="W"/>
    <n v="1"/>
    <x v="1"/>
  </r>
  <r>
    <x v="88"/>
    <x v="6"/>
    <s v="Reds @ Mets"/>
    <s v="Reds Moneyline"/>
    <n v="1"/>
    <s v="+165"/>
    <s v="W"/>
    <n v="1.65"/>
    <x v="4"/>
  </r>
  <r>
    <x v="88"/>
    <x v="6"/>
    <s v="Cardinals @ Nationals"/>
    <s v="Cardinals Moneyline"/>
    <n v="1"/>
    <s v="+130"/>
    <s v="W"/>
    <n v="1.3"/>
    <x v="4"/>
  </r>
  <r>
    <x v="88"/>
    <x v="6"/>
    <s v="Indians @ Marlins"/>
    <s v="Marlins Moneyline"/>
    <n v="1"/>
    <s v="+115"/>
    <s v="W"/>
    <n v="1.1499999999999999"/>
    <x v="4"/>
  </r>
  <r>
    <x v="88"/>
    <x v="6"/>
    <s v="Padres @ Braves"/>
    <s v="Braves Moneyline"/>
    <n v="1"/>
    <n v="-156"/>
    <s v="W"/>
    <n v="0.64102564102564097"/>
    <x v="6"/>
  </r>
  <r>
    <x v="88"/>
    <x v="6"/>
    <s v="Astros @ Twins"/>
    <s v="Astros Moneyline"/>
    <n v="1"/>
    <n v="-142"/>
    <s v="L"/>
    <n v="-1"/>
    <x v="6"/>
  </r>
  <r>
    <x v="88"/>
    <x v="6"/>
    <s v="Dodgers @ Giants"/>
    <s v="Dodgers Moneyline"/>
    <n v="1"/>
    <n v="-149"/>
    <s v="L"/>
    <n v="-1"/>
    <x v="6"/>
  </r>
  <r>
    <x v="88"/>
    <x v="6"/>
    <s v="Yankees @ Diamondbacks"/>
    <s v="Over 8"/>
    <n v="1"/>
    <n v="-115"/>
    <s v="L"/>
    <n v="-1"/>
    <x v="2"/>
  </r>
  <r>
    <x v="88"/>
    <x v="6"/>
    <s v="Orioles @ White Sox"/>
    <s v="Over 9"/>
    <n v="1"/>
    <n v="-105"/>
    <s v="Push"/>
    <n v="0"/>
    <x v="2"/>
  </r>
  <r>
    <x v="88"/>
    <x v="6"/>
    <s v="Cubs @ Mariners"/>
    <s v="Over 8.5"/>
    <n v="1"/>
    <n v="-120"/>
    <s v="W"/>
    <n v="0.83333333333333337"/>
    <x v="2"/>
  </r>
  <r>
    <x v="88"/>
    <x v="6"/>
    <s v="Reds @ Mets"/>
    <s v="Over 6.5"/>
    <n v="1"/>
    <n v="-115"/>
    <s v="L"/>
    <n v="-1"/>
    <x v="2"/>
  </r>
  <r>
    <x v="88"/>
    <x v="6"/>
    <s v="Tigers @ Phillies"/>
    <s v="Over 8"/>
    <n v="1"/>
    <n v="-105"/>
    <s v="W"/>
    <n v="0.95238095238095244"/>
    <x v="2"/>
  </r>
  <r>
    <x v="88"/>
    <x v="6"/>
    <s v="Cardinals @ Nationals"/>
    <s v="Over 8"/>
    <n v="1"/>
    <n v="-105"/>
    <s v="L"/>
    <n v="-1"/>
    <x v="2"/>
  </r>
  <r>
    <x v="88"/>
    <x v="6"/>
    <s v="Padres @ Braves"/>
    <s v="Under 9"/>
    <n v="1"/>
    <n v="100"/>
    <s v="W"/>
    <n v="1"/>
    <x v="1"/>
  </r>
  <r>
    <x v="88"/>
    <x v="6"/>
    <s v="Astros @ Twins"/>
    <s v="Over 9"/>
    <n v="1"/>
    <n v="-105"/>
    <s v="L"/>
    <n v="-1"/>
    <x v="2"/>
  </r>
  <r>
    <x v="88"/>
    <x v="6"/>
    <s v="Blue Jays @ Angels"/>
    <s v="Under 8.5"/>
    <n v="1"/>
    <n v="-110"/>
    <s v="Push"/>
    <n v="0"/>
    <x v="1"/>
  </r>
  <r>
    <x v="89"/>
    <x v="6"/>
    <s v="Rays @ Royals"/>
    <s v="Rays Moneyline"/>
    <n v="2"/>
    <n v="-172"/>
    <s v="W"/>
    <n v="1.1627906976744187"/>
    <x v="6"/>
  </r>
  <r>
    <x v="89"/>
    <x v="6"/>
    <s v="Rays @ Royals"/>
    <s v="Over 8"/>
    <n v="2"/>
    <n v="-115"/>
    <s v="L"/>
    <n v="-2"/>
    <x v="2"/>
  </r>
  <r>
    <x v="89"/>
    <x v="6"/>
    <s v="Cardinals @ Nationals"/>
    <s v="Over 9"/>
    <n v="2"/>
    <n v="-105"/>
    <s v="L"/>
    <n v="-2"/>
    <x v="2"/>
  </r>
  <r>
    <x v="89"/>
    <x v="6"/>
    <s v="Blue Jays @ Angels"/>
    <s v="Under 9"/>
    <n v="2"/>
    <n v="-120"/>
    <s v="W"/>
    <n v="1.6666666666666667"/>
    <x v="1"/>
  </r>
  <r>
    <x v="89"/>
    <x v="6"/>
    <s v="Rays @ Royals_x000a_Rays @ Royals_x000a_Cardinals @ Nationals_x000a_Blue Jays @ Angels"/>
    <s v="Rays Moneyline_x000a_Over 8_x000a_Over 9_x000a_Under 9"/>
    <n v="0.5"/>
    <n v="958"/>
    <s v="L"/>
    <n v="-0.5"/>
    <x v="7"/>
  </r>
  <r>
    <x v="90"/>
    <x v="6"/>
    <s v="White Sox @ Indians"/>
    <s v="Indians Moneyline"/>
    <n v="1"/>
    <n v="-145"/>
    <s v="L"/>
    <n v="-1"/>
    <x v="6"/>
  </r>
  <r>
    <x v="90"/>
    <x v="6"/>
    <s v="Rangers @ Pirates"/>
    <s v="Rangers Moneyline"/>
    <n v="1"/>
    <s v="+117"/>
    <s v="L"/>
    <n v="-1"/>
    <x v="4"/>
  </r>
  <r>
    <x v="90"/>
    <x v="6"/>
    <s v="Twins @ Blue Jays"/>
    <s v="Twins Moneyline"/>
    <n v="1"/>
    <n v="-135"/>
    <s v="W"/>
    <n v="0.74074074074074081"/>
    <x v="6"/>
  </r>
  <r>
    <x v="90"/>
    <x v="6"/>
    <s v="Diamondbacks @ Rays"/>
    <s v="Diamondbacks Moneyline"/>
    <n v="1"/>
    <s v="+140"/>
    <s v="L"/>
    <n v="-1"/>
    <x v="4"/>
  </r>
  <r>
    <x v="90"/>
    <x v="6"/>
    <s v="Nationals @ Brewers"/>
    <s v="Nationals Moneyline"/>
    <n v="1"/>
    <n v="-120"/>
    <s v="L"/>
    <n v="-1"/>
    <x v="6"/>
  </r>
  <r>
    <x v="90"/>
    <x v="6"/>
    <s v="Marlins @ Cubs"/>
    <s v="Cubs Moneyline"/>
    <n v="1"/>
    <n v="-166"/>
    <s v="W"/>
    <n v="0.60240963855421692"/>
    <x v="6"/>
  </r>
  <r>
    <x v="90"/>
    <x v="6"/>
    <s v="Reds @ Athletics"/>
    <s v="Reds Moneyline"/>
    <n v="1"/>
    <n v="-102"/>
    <s v="L"/>
    <n v="-1"/>
    <x v="6"/>
  </r>
  <r>
    <x v="90"/>
    <x v="6"/>
    <s v="Mets @ Padres"/>
    <s v="Padres Moneyline"/>
    <n v="1"/>
    <s v="+135"/>
    <s v="L"/>
    <n v="-1"/>
    <x v="4"/>
  </r>
  <r>
    <x v="90"/>
    <x v="6"/>
    <s v="Rangers @ Pirates"/>
    <s v="Over 8.5"/>
    <n v="1"/>
    <n v="-105"/>
    <s v="W"/>
    <n v="0.95238095238095244"/>
    <x v="2"/>
  </r>
  <r>
    <x v="90"/>
    <x v="6"/>
    <s v="Twins @ Blue Jays"/>
    <s v="Under 8.5"/>
    <n v="1"/>
    <n v="105"/>
    <s v="W"/>
    <n v="1.05"/>
    <x v="1"/>
  </r>
  <r>
    <x v="90"/>
    <x v="6"/>
    <s v="Diamondbacks @ Rays"/>
    <s v="Under 8.5"/>
    <n v="1"/>
    <n v="-105"/>
    <s v="L"/>
    <n v="-1"/>
    <x v="1"/>
  </r>
  <r>
    <x v="90"/>
    <x v="6"/>
    <s v="Nationals @ Brewers"/>
    <s v="Over 8"/>
    <n v="1"/>
    <n v="-115"/>
    <s v="L"/>
    <n v="-1"/>
    <x v="2"/>
  </r>
  <r>
    <x v="90"/>
    <x v="6"/>
    <s v="Phillies @ Cardinals"/>
    <s v="Over 8.5"/>
    <n v="1"/>
    <n v="-120"/>
    <s v="W"/>
    <n v="0.83333333333333337"/>
    <x v="2"/>
  </r>
  <r>
    <x v="90"/>
    <x v="6"/>
    <s v="Royals @ Astros"/>
    <s v="Over 9"/>
    <n v="1"/>
    <n v="-120"/>
    <s v="W"/>
    <n v="0.83333333333333337"/>
    <x v="2"/>
  </r>
  <r>
    <x v="90"/>
    <x v="6"/>
    <s v="Giants @ Rockies"/>
    <s v="Under 10.5"/>
    <n v="1"/>
    <n v="-115"/>
    <s v="L"/>
    <n v="-1"/>
    <x v="1"/>
  </r>
  <r>
    <x v="90"/>
    <x v="6"/>
    <s v="Mets @ Padres"/>
    <s v="Over 7.5"/>
    <n v="1"/>
    <n v="100"/>
    <s v="W"/>
    <n v="1"/>
    <x v="2"/>
  </r>
  <r>
    <x v="91"/>
    <x v="6"/>
    <s v="Phillies @ Cardinals"/>
    <s v="Phillies Moneyline"/>
    <n v="1"/>
    <s v="+136"/>
    <s v="W"/>
    <n v="1.36"/>
    <x v="4"/>
  </r>
  <r>
    <x v="91"/>
    <x v="6"/>
    <s v="White Sox @ Indians"/>
    <s v="Indians Moneyline"/>
    <n v="1"/>
    <n v="-200"/>
    <s v="W"/>
    <n v="0.5"/>
    <x v="6"/>
  </r>
  <r>
    <x v="91"/>
    <x v="6"/>
    <s v="Red Sox @ Orioles"/>
    <s v="Red Sox Moneyline"/>
    <n v="1"/>
    <n v="-300"/>
    <s v="W"/>
    <n v="0.33333333333333337"/>
    <x v="6"/>
  </r>
  <r>
    <x v="91"/>
    <x v="6"/>
    <s v="Twins @ Blue Jays"/>
    <s v="Twins Moneyline"/>
    <n v="1"/>
    <n v="-115"/>
    <s v="W"/>
    <n v="0.86956521739130432"/>
    <x v="6"/>
  </r>
  <r>
    <x v="91"/>
    <x v="6"/>
    <s v="Marlins @ Cubs"/>
    <s v="Cubs Moneyline"/>
    <n v="1"/>
    <n v="-260"/>
    <s v="W"/>
    <n v="0.38461538461538464"/>
    <x v="6"/>
  </r>
  <r>
    <x v="91"/>
    <x v="6"/>
    <s v="Reds @ Athletics"/>
    <s v="Reds Moneyline"/>
    <n v="1"/>
    <n v="-102"/>
    <s v="L"/>
    <n v="-1"/>
    <x v="6"/>
  </r>
  <r>
    <x v="91"/>
    <x v="6"/>
    <s v="Braves @ Dodgers"/>
    <s v="Dodgers Moneyline"/>
    <n v="1"/>
    <n v="-190"/>
    <s v="W"/>
    <n v="0.52631578947368418"/>
    <x v="6"/>
  </r>
  <r>
    <x v="91"/>
    <x v="6"/>
    <s v="Nationals @ Brewers"/>
    <s v="Over 9"/>
    <n v="1"/>
    <n v="100"/>
    <s v="W"/>
    <n v="1"/>
    <x v="2"/>
  </r>
  <r>
    <x v="91"/>
    <x v="6"/>
    <s v="Diamondbacks @ Rays"/>
    <s v="Over 7"/>
    <n v="1"/>
    <n v="-115"/>
    <s v="L"/>
    <n v="-1"/>
    <x v="2"/>
  </r>
  <r>
    <x v="91"/>
    <x v="6"/>
    <s v="Red Sox @ Orioles"/>
    <s v="Over 8.5"/>
    <n v="1"/>
    <n v="-105"/>
    <s v="L"/>
    <n v="-1"/>
    <x v="2"/>
  </r>
  <r>
    <x v="91"/>
    <x v="6"/>
    <s v="Twins @ Blue Jays"/>
    <s v="Under 9"/>
    <n v="1"/>
    <n v="-115"/>
    <s v="L"/>
    <n v="-1"/>
    <x v="1"/>
  </r>
  <r>
    <x v="91"/>
    <x v="6"/>
    <s v="Royals @ Astros"/>
    <s v="Over 9"/>
    <n v="1"/>
    <n v="-115"/>
    <s v="Push"/>
    <n v="0"/>
    <x v="2"/>
  </r>
  <r>
    <x v="91"/>
    <x v="6"/>
    <s v="Giants @ Rockies"/>
    <s v="Under 10"/>
    <n v="1"/>
    <n v="-115"/>
    <s v="Push"/>
    <n v="0"/>
    <x v="1"/>
  </r>
  <r>
    <x v="91"/>
    <x v="6"/>
    <s v="Braves @ Dodgers"/>
    <s v="Over 8"/>
    <n v="1"/>
    <n v="-105"/>
    <s v="W"/>
    <n v="0.95238095238095244"/>
    <x v="2"/>
  </r>
  <r>
    <x v="92"/>
    <x v="6"/>
    <s v="Marlins @ Cubs"/>
    <s v="Cubs Moneyline"/>
    <n v="2"/>
    <n v="-210"/>
    <s v="W"/>
    <n v="0.95238095238095244"/>
    <x v="6"/>
  </r>
  <r>
    <x v="92"/>
    <x v="6"/>
    <s v="Pirates @ Cardinals"/>
    <s v="Pirates Moneyline"/>
    <n v="2"/>
    <s v="+125"/>
    <s v="L"/>
    <n v="-2"/>
    <x v="4"/>
  </r>
  <r>
    <x v="92"/>
    <x v="6"/>
    <s v="Braves @ Diamondbacks"/>
    <s v="Braves Moneyline"/>
    <n v="2"/>
    <n v="-110"/>
    <s v="L"/>
    <n v="-2"/>
    <x v="6"/>
  </r>
  <r>
    <x v="92"/>
    <x v="6"/>
    <s v="Nationals @ Dodgers"/>
    <s v="Dodgers Moneyline"/>
    <n v="2"/>
    <n v="-147"/>
    <s v="L"/>
    <n v="-2"/>
    <x v="6"/>
  </r>
  <r>
    <x v="92"/>
    <x v="6"/>
    <s v="Marlins @ Cubs"/>
    <s v="Under 10"/>
    <n v="2"/>
    <n v="-120"/>
    <s v="W"/>
    <n v="1.6666666666666667"/>
    <x v="1"/>
  </r>
  <r>
    <x v="92"/>
    <x v="6"/>
    <s v="Reds @ Athletics"/>
    <s v="Under 8.5"/>
    <n v="2"/>
    <n v="-105"/>
    <s v="W"/>
    <n v="1.9047619047619049"/>
    <x v="1"/>
  </r>
  <r>
    <x v="92"/>
    <x v="6"/>
    <s v="Mariners @ Yankees"/>
    <s v="Over 9.5"/>
    <n v="2"/>
    <n v="-105"/>
    <s v="L"/>
    <n v="-2"/>
    <x v="2"/>
  </r>
  <r>
    <x v="92"/>
    <x v="6"/>
    <s v="Nationals @ Dodgers"/>
    <s v="Over 7"/>
    <n v="2"/>
    <n v="-120"/>
    <s v="L"/>
    <n v="-2"/>
    <x v="2"/>
  </r>
  <r>
    <x v="93"/>
    <x v="6"/>
    <s v="Mariners @ Red Sox"/>
    <s v="Mariners Moneyline"/>
    <n v="1"/>
    <s v="+165"/>
    <s v="L"/>
    <n v="-1"/>
    <x v="4"/>
  </r>
  <r>
    <x v="93"/>
    <x v="6"/>
    <s v="Tigers @ Twins"/>
    <s v="Twins Moneyline"/>
    <n v="1"/>
    <n v="-230"/>
    <s v="W"/>
    <n v="0.43478260869565216"/>
    <x v="6"/>
  </r>
  <r>
    <x v="93"/>
    <x v="6"/>
    <s v="Phillies @ Royals"/>
    <s v="Phillies Moneyline"/>
    <n v="1"/>
    <n v="-145"/>
    <s v="L"/>
    <n v="-1"/>
    <x v="6"/>
  </r>
  <r>
    <x v="93"/>
    <x v="6"/>
    <s v="Indians @ Athletics"/>
    <s v="Athletics Moneyline"/>
    <n v="1"/>
    <n v="-160"/>
    <s v="W"/>
    <n v="0.625"/>
    <x v="6"/>
  </r>
  <r>
    <x v="93"/>
    <x v="6"/>
    <s v="Reds @ Giants"/>
    <s v="Reds Moneyline"/>
    <n v="1"/>
    <n v="-140"/>
    <s v="W"/>
    <n v="0.7142857142857143"/>
    <x v="6"/>
  </r>
  <r>
    <x v="93"/>
    <x v="6"/>
    <s v="Brewers @ Cubs"/>
    <s v="Over 8"/>
    <n v="1"/>
    <n v="-105"/>
    <s v="L"/>
    <n v="-1"/>
    <x v="2"/>
  </r>
  <r>
    <x v="93"/>
    <x v="6"/>
    <s v="Rangers @ Astros"/>
    <s v="Over 8.5"/>
    <n v="1"/>
    <n v="-105"/>
    <s v="L"/>
    <n v="-1"/>
    <x v="2"/>
  </r>
  <r>
    <x v="93"/>
    <x v="6"/>
    <s v="Padres @ Rockies"/>
    <s v="Under 10"/>
    <n v="1"/>
    <n v="-115"/>
    <s v="L"/>
    <n v="-1"/>
    <x v="1"/>
  </r>
  <r>
    <x v="93"/>
    <x v="6"/>
    <s v="Braves @ Diamondbacks"/>
    <s v="Over 8.5"/>
    <n v="1"/>
    <n v="100"/>
    <s v="L"/>
    <n v="-1"/>
    <x v="2"/>
  </r>
  <r>
    <x v="93"/>
    <x v="6"/>
    <s v="Nationals @ Dodgers"/>
    <s v="Over 8"/>
    <n v="1"/>
    <n v="-120"/>
    <s v="L"/>
    <n v="-1"/>
    <x v="2"/>
  </r>
  <r>
    <x v="94"/>
    <x v="6"/>
    <s v="Brewers @ Phillies"/>
    <s v="Over 8.5"/>
    <n v="1"/>
    <n v="100"/>
    <s v="W"/>
    <n v="1"/>
    <x v="2"/>
  </r>
  <r>
    <x v="94"/>
    <x v="6"/>
    <s v="Astros @ Tigers"/>
    <s v="Astros Moneyline"/>
    <n v="1"/>
    <n v="-157"/>
    <s v="W"/>
    <n v="0.63694267515923575"/>
    <x v="6"/>
  </r>
  <r>
    <x v="94"/>
    <x v="6"/>
    <s v="Astros @ Tigers"/>
    <s v="Under 8.5"/>
    <n v="1"/>
    <n v="-105"/>
    <s v="L"/>
    <n v="-1"/>
    <x v="1"/>
  </r>
  <r>
    <x v="94"/>
    <x v="6"/>
    <s v="Angels @ Twins"/>
    <s v="Twins Moneyline"/>
    <n v="1"/>
    <n v="-139"/>
    <s v="L"/>
    <n v="-1"/>
    <x v="6"/>
  </r>
  <r>
    <x v="94"/>
    <x v="6"/>
    <s v="Indians @ White Sox"/>
    <s v="Indians Moneyline"/>
    <n v="1"/>
    <n v="-155"/>
    <s v="L"/>
    <n v="-1"/>
    <x v="6"/>
  </r>
  <r>
    <x v="94"/>
    <x v="6"/>
    <s v="Pirates @ Diamondbacks"/>
    <s v="Over 9"/>
    <n v="1"/>
    <n v="-105"/>
    <s v="W"/>
    <n v="0.95238095238095244"/>
    <x v="2"/>
  </r>
  <r>
    <x v="94"/>
    <x v="6"/>
    <s v="Pirates @ Diamondbacks"/>
    <s v="Diamondbacks Moneyline"/>
    <n v="1"/>
    <n v="-170"/>
    <s v="W"/>
    <n v="0.58823529411764708"/>
    <x v="6"/>
  </r>
  <r>
    <x v="94"/>
    <x v="6"/>
    <s v="Athletics @ Mariners"/>
    <s v="Mariners Moneyline"/>
    <n v="1"/>
    <n v="-122"/>
    <s v="W"/>
    <n v="0.81967213114754101"/>
    <x v="6"/>
  </r>
  <r>
    <x v="95"/>
    <x v="6"/>
    <s v="Indians @ White Sox"/>
    <s v="Indians Moneyline"/>
    <n v="1"/>
    <n v="-180"/>
    <s v="W"/>
    <n v="0.55555555555555558"/>
    <x v="6"/>
  </r>
  <r>
    <x v="95"/>
    <x v="6"/>
    <s v="Cubs @ Reds"/>
    <s v="Cubs Moneyline"/>
    <n v="1"/>
    <n v="-130"/>
    <s v="W"/>
    <n v="0.76923076923076927"/>
    <x v="6"/>
  </r>
  <r>
    <x v="95"/>
    <x v="6"/>
    <s v="Brewers @ Phillies"/>
    <s v="Phillies Moneyline"/>
    <n v="1"/>
    <s v="+110"/>
    <s v="L"/>
    <n v="-1"/>
    <x v="4"/>
  </r>
  <r>
    <x v="95"/>
    <x v="6"/>
    <s v="Mets @ Nationals"/>
    <s v="Over 8.5"/>
    <n v="1"/>
    <n v="-105"/>
    <s v="L"/>
    <n v="-1"/>
    <x v="2"/>
  </r>
  <r>
    <x v="95"/>
    <x v="6"/>
    <s v="Rockies @ Red Sox"/>
    <s v="Over 8"/>
    <n v="1"/>
    <n v="-115"/>
    <s v="W"/>
    <n v="0.86956521739130432"/>
    <x v="2"/>
  </r>
  <r>
    <x v="95"/>
    <x v="6"/>
    <s v="Astros @ Tigers"/>
    <s v="Astros Moneyline"/>
    <n v="1"/>
    <n v="-196"/>
    <s v="W"/>
    <n v="0.51020408163265307"/>
    <x v="6"/>
  </r>
  <r>
    <x v="95"/>
    <x v="6"/>
    <s v="Rays @ Marlins"/>
    <s v="Rays Moneyline"/>
    <n v="1"/>
    <n v="-134"/>
    <s v="W"/>
    <n v="0.74626865671641784"/>
    <x v="6"/>
  </r>
  <r>
    <x v="95"/>
    <x v="6"/>
    <s v="Cardinals @ Braves"/>
    <s v="Over 8.5"/>
    <n v="1"/>
    <n v="-115"/>
    <s v="W"/>
    <n v="0.86956521739130432"/>
    <x v="2"/>
  </r>
  <r>
    <x v="95"/>
    <x v="6"/>
    <s v="Pirates @ Diamondbacks"/>
    <s v="Diamondbacks Moneyline"/>
    <n v="1"/>
    <n v="-140"/>
    <s v="L"/>
    <n v="-1"/>
    <x v="6"/>
  </r>
  <r>
    <x v="96"/>
    <x v="6"/>
    <s v="Angels @ Twins"/>
    <s v="Twins Moneyline"/>
    <n v="1.4"/>
    <n v="-140"/>
    <s v="W"/>
    <n v="1"/>
    <x v="6"/>
  </r>
  <r>
    <x v="96"/>
    <x v="6"/>
    <s v="Brewers @ Phillies"/>
    <s v="Brewers Moneyline"/>
    <n v="1.05"/>
    <n v="-105"/>
    <s v="W"/>
    <n v="1"/>
    <x v="6"/>
  </r>
  <r>
    <x v="96"/>
    <x v="6"/>
    <s v="Rockies @ Red Sox"/>
    <s v="Rockies Moneyline"/>
    <n v="1"/>
    <s v="+133"/>
    <s v="L"/>
    <n v="-1"/>
    <x v="4"/>
  </r>
  <r>
    <x v="96"/>
    <x v="6"/>
    <s v="Cardinals @ Braves"/>
    <s v="Braves Moneyline"/>
    <n v="1.4"/>
    <n v="-140"/>
    <s v="W"/>
    <n v="1"/>
    <x v="6"/>
  </r>
  <r>
    <x v="96"/>
    <x v="6"/>
    <s v="Rangers @ Royals"/>
    <s v="Rangers Moneyline"/>
    <n v="1.3"/>
    <n v="-130"/>
    <s v="W"/>
    <n v="1"/>
    <x v="6"/>
  </r>
  <r>
    <x v="96"/>
    <x v="6"/>
    <s v="Astros @ Tigers"/>
    <s v="Astros Moneyline"/>
    <n v="3.6"/>
    <n v="-360"/>
    <s v="W"/>
    <n v="1"/>
    <x v="6"/>
  </r>
  <r>
    <x v="96"/>
    <x v="6"/>
    <s v="Rays @ Marlins"/>
    <s v="Rays Moneyline"/>
    <n v="1.85"/>
    <n v="-185"/>
    <s v="W"/>
    <n v="1"/>
    <x v="6"/>
  </r>
  <r>
    <x v="97"/>
    <x v="6"/>
    <s v="Brewers @ Phillies"/>
    <s v="Under 9"/>
    <n v="2.1"/>
    <n v="-105"/>
    <s v="L"/>
    <n v="-2.1"/>
    <x v="1"/>
  </r>
  <r>
    <x v="97"/>
    <x v="6"/>
    <s v="Athletics @ Tigers"/>
    <s v="Under 8.5"/>
    <n v="2.1"/>
    <n v="-105"/>
    <s v="L"/>
    <n v="-2.1"/>
    <x v="1"/>
  </r>
  <r>
    <x v="97"/>
    <x v="6"/>
    <s v="Cubs @ Reds"/>
    <s v="Under 8.5"/>
    <n v="2"/>
    <n v="100"/>
    <s v="W"/>
    <n v="2"/>
    <x v="1"/>
  </r>
  <r>
    <x v="97"/>
    <x v="6"/>
    <s v="Cardinals @ Braves"/>
    <s v="Under 10"/>
    <n v="2.2999999999999998"/>
    <n v="-115"/>
    <s v="L"/>
    <n v="-2.2999999999999998"/>
    <x v="1"/>
  </r>
  <r>
    <x v="97"/>
    <x v="6"/>
    <s v="Twins @ Mariners"/>
    <s v="Over 9.5"/>
    <n v="2.2999999999999998"/>
    <n v="-115"/>
    <s v="W"/>
    <n v="1.9999999999999998"/>
    <x v="2"/>
  </r>
  <r>
    <x v="97"/>
    <x v="6"/>
    <s v="Pirates @ Padres"/>
    <s v="Pirates Moneyline"/>
    <n v="2"/>
    <s v="+110"/>
    <s v="L"/>
    <n v="-2"/>
    <x v="4"/>
  </r>
  <r>
    <x v="98"/>
    <x v="6"/>
    <s v="Rockies @ Phillies"/>
    <s v="Phillies Moneyline"/>
    <n v="1.22"/>
    <n v="-122"/>
    <s v="W"/>
    <n v="1"/>
    <x v="6"/>
  </r>
  <r>
    <x v="98"/>
    <x v="6"/>
    <s v="Cubs @ Nationals"/>
    <s v="Cubs Moneyline"/>
    <n v="1"/>
    <s v="+125"/>
    <s v="W"/>
    <n v="1.25"/>
    <x v="4"/>
  </r>
  <r>
    <x v="98"/>
    <x v="6"/>
    <s v="Astros @ Red Sox"/>
    <s v="Astros Moneyline"/>
    <n v="1.38"/>
    <n v="-138"/>
    <s v="W"/>
    <n v="0.99999999999999989"/>
    <x v="6"/>
  </r>
  <r>
    <x v="98"/>
    <x v="6"/>
    <s v="Dodgers @ Reds"/>
    <s v="Under 9.5"/>
    <n v="1.05"/>
    <n v="-105"/>
    <s v="W"/>
    <n v="1"/>
    <x v="1"/>
  </r>
  <r>
    <x v="98"/>
    <x v="6"/>
    <s v="Orioles @ Indians"/>
    <s v="Indians Moneyline"/>
    <n v="1.62"/>
    <n v="-162"/>
    <s v="L"/>
    <n v="-1.62"/>
    <x v="6"/>
  </r>
  <r>
    <x v="98"/>
    <x v="6"/>
    <s v="Athletics @ Tigers"/>
    <s v="Under 9"/>
    <n v="1.2"/>
    <n v="-120"/>
    <s v="Push"/>
    <n v="0"/>
    <x v="1"/>
  </r>
  <r>
    <x v="98"/>
    <x v="6"/>
    <s v="Pirates @ Padres"/>
    <s v="Pirates Moneyline"/>
    <n v="1"/>
    <s v="+138"/>
    <s v="W"/>
    <n v="1.38"/>
    <x v="4"/>
  </r>
  <r>
    <x v="99"/>
    <x v="6"/>
    <s v="Athletics @ Indians"/>
    <s v="Athletics Moneyline"/>
    <n v="1"/>
    <s v="+108"/>
    <s v="W"/>
    <n v="1.08"/>
    <x v="4"/>
  </r>
  <r>
    <x v="99"/>
    <x v="6"/>
    <s v="Athletics @ Indians"/>
    <s v="Under 8.5"/>
    <n v="1.1499999999999999"/>
    <n v="-115"/>
    <s v="W"/>
    <n v="0.99999999999999989"/>
    <x v="1"/>
  </r>
  <r>
    <x v="99"/>
    <x v="6"/>
    <s v="Rockies @ Pirates"/>
    <s v="Rockies Moneyline"/>
    <n v="1.25"/>
    <n v="-125"/>
    <s v="W"/>
    <n v="1"/>
    <x v="6"/>
  </r>
  <r>
    <x v="99"/>
    <x v="6"/>
    <s v="Yankees @ Orioles"/>
    <s v="Under 9.5"/>
    <n v="1.2"/>
    <n v="-120"/>
    <s v="L"/>
    <n v="-1.2"/>
    <x v="1"/>
  </r>
  <r>
    <x v="99"/>
    <x v="6"/>
    <s v="Marlins @ Tigers"/>
    <s v="Under 7.5"/>
    <n v="1.25"/>
    <n v="-125"/>
    <s v="L"/>
    <n v="-1.25"/>
    <x v="1"/>
  </r>
  <r>
    <x v="99"/>
    <x v="6"/>
    <s v="Nationals @ Mets"/>
    <s v="Nationals Moneyline"/>
    <n v="1"/>
    <s v="+125"/>
    <s v="L"/>
    <n v="-1"/>
    <x v="4"/>
  </r>
  <r>
    <x v="99"/>
    <x v="6"/>
    <s v="Dodgers @ Rays"/>
    <s v="Rays Moneyline"/>
    <n v="1"/>
    <s v="+127"/>
    <s v="L"/>
    <n v="-1"/>
    <x v="4"/>
  </r>
  <r>
    <x v="99"/>
    <x v="6"/>
    <s v="Reds @ Brewers"/>
    <s v="Under 9"/>
    <n v="1.2"/>
    <n v="-120"/>
    <s v="W"/>
    <n v="1"/>
    <x v="1"/>
  </r>
  <r>
    <x v="99"/>
    <x v="6"/>
    <s v="Braves @ Giants"/>
    <s v="Braves Moneyline"/>
    <n v="1.1200000000000001"/>
    <n v="-112"/>
    <s v="L"/>
    <n v="-1.1200000000000001"/>
    <x v="6"/>
  </r>
  <r>
    <x v="99"/>
    <x v="6"/>
    <s v="Twins @ Angels"/>
    <s v="Twins Moneyline"/>
    <n v="1.05"/>
    <n v="-105"/>
    <s v="W"/>
    <n v="1"/>
    <x v="6"/>
  </r>
  <r>
    <x v="99"/>
    <x v="6"/>
    <s v="Diamondbacks @ Padres"/>
    <s v="Diamondbacks Moneyline"/>
    <n v="1.1000000000000001"/>
    <n v="-110"/>
    <s v="L"/>
    <n v="-1.1000000000000001"/>
    <x v="6"/>
  </r>
  <r>
    <x v="100"/>
    <x v="6"/>
    <s v="Yankees @ Orioles"/>
    <s v="Under 9.5"/>
    <n v="1.1499999999999999"/>
    <n v="-115"/>
    <s v="L"/>
    <n v="-1.1499999999999999"/>
    <x v="1"/>
  </r>
  <r>
    <x v="100"/>
    <x v="6"/>
    <s v="Rockies @ Pirates"/>
    <s v="Over 9"/>
    <n v="1.05"/>
    <n v="-105"/>
    <s v="W"/>
    <n v="1"/>
    <x v="2"/>
  </r>
  <r>
    <x v="100"/>
    <x v="6"/>
    <s v="Red Sox @ Blue Jays"/>
    <s v="Red Sox Moneyline"/>
    <n v="1.3"/>
    <n v="-130"/>
    <s v="W"/>
    <n v="1"/>
    <x v="6"/>
  </r>
  <r>
    <x v="100"/>
    <x v="6"/>
    <s v="Red Sox @ Blue Jays"/>
    <s v="Under 10"/>
    <n v="1.05"/>
    <n v="-105"/>
    <s v="Push"/>
    <n v="0"/>
    <x v="1"/>
  </r>
  <r>
    <x v="100"/>
    <x v="6"/>
    <s v="Marlins @ Tigers"/>
    <s v="Under 9"/>
    <n v="1.1499999999999999"/>
    <n v="-115"/>
    <s v="W"/>
    <n v="0.99999999999999989"/>
    <x v="1"/>
  </r>
  <r>
    <x v="100"/>
    <x v="6"/>
    <s v="Phillies @ Cubs"/>
    <s v="Cubs Moneyline"/>
    <n v="1.25"/>
    <n v="-125"/>
    <s v="L"/>
    <n v="-1.25"/>
    <x v="6"/>
  </r>
  <r>
    <x v="100"/>
    <x v="6"/>
    <s v="Braves @ Giants"/>
    <s v="Braves Moneyline"/>
    <n v="1.3"/>
    <n v="-130"/>
    <s v="W"/>
    <n v="1"/>
    <x v="6"/>
  </r>
  <r>
    <x v="100"/>
    <x v="6"/>
    <s v="Rays @ Indians"/>
    <s v="Indians Moneyline"/>
    <n v="1"/>
    <s v="+105"/>
    <s v="L"/>
    <n v="-1"/>
    <x v="4"/>
  </r>
  <r>
    <x v="101"/>
    <x v="6"/>
    <s v="Padres @ Yankees"/>
    <s v="Under 9.5"/>
    <n v="1.1499999999999999"/>
    <n v="-115"/>
    <s v="W"/>
    <n v="0.99999999999999989"/>
    <x v="1"/>
  </r>
  <r>
    <x v="101"/>
    <x v="6"/>
    <s v="Pirates @ Reds"/>
    <s v="Under 10"/>
    <n v="1.1000000000000001"/>
    <n v="-110"/>
    <s v="L"/>
    <n v="-1.1000000000000001"/>
    <x v="1"/>
  </r>
  <r>
    <x v="101"/>
    <x v="6"/>
    <s v="Tigers @ Orioles"/>
    <s v="Under 9"/>
    <n v="1.2"/>
    <n v="-120"/>
    <s v="W"/>
    <n v="1"/>
    <x v="1"/>
  </r>
  <r>
    <x v="101"/>
    <x v="6"/>
    <s v="Cardinals @ Phillies"/>
    <s v="Cardinals Moneyline"/>
    <n v="1"/>
    <s v="+105"/>
    <s v="L"/>
    <n v="-1"/>
    <x v="4"/>
  </r>
  <r>
    <x v="101"/>
    <x v="6"/>
    <s v="Giants @ Marlins"/>
    <s v="Giants Moneyline"/>
    <n v="1.1000000000000001"/>
    <n v="-110"/>
    <s v="L"/>
    <n v="-1.1000000000000001"/>
    <x v="6"/>
  </r>
  <r>
    <x v="101"/>
    <x v="6"/>
    <s v="Blue Jays @ Rays"/>
    <s v="Under 8.5"/>
    <n v="1.2"/>
    <n v="-120"/>
    <s v="W"/>
    <n v="1"/>
    <x v="1"/>
  </r>
  <r>
    <x v="101"/>
    <x v="6"/>
    <s v="Diamondbacks @ Rockies"/>
    <s v="Diamondbacks Moneyline"/>
    <n v="1"/>
    <s v="+118"/>
    <s v="L"/>
    <n v="-1"/>
    <x v="4"/>
  </r>
  <r>
    <x v="101"/>
    <x v="6"/>
    <s v="Diamondbacks @ Rockies"/>
    <s v="Under 11.5"/>
    <n v="1"/>
    <n v="100"/>
    <s v="W"/>
    <n v="1"/>
    <x v="1"/>
  </r>
  <r>
    <x v="102"/>
    <x v="6"/>
    <s v="Angels @ Athletics"/>
    <s v="Athletics Moneyline"/>
    <n v="1.36"/>
    <n v="-136"/>
    <s v="L"/>
    <n v="-1.36"/>
    <x v="6"/>
  </r>
  <r>
    <x v="102"/>
    <x v="6"/>
    <s v="Rangers @ Mariners"/>
    <s v="Over 9.5"/>
    <n v="1.05"/>
    <n v="-105"/>
    <s v="W"/>
    <n v="1"/>
    <x v="2"/>
  </r>
  <r>
    <x v="102"/>
    <x v="6"/>
    <s v="Rangers @ Mariners"/>
    <s v="Mariners Moneyline"/>
    <n v="1.35"/>
    <n v="-135"/>
    <s v="L"/>
    <n v="-1.35"/>
    <x v="6"/>
  </r>
  <r>
    <x v="102"/>
    <x v="6"/>
    <s v="Indians @ Red Sox"/>
    <s v="Red Sox Moneyline"/>
    <n v="1.1200000000000001"/>
    <n v="-112"/>
    <s v="L"/>
    <n v="-1.1200000000000001"/>
    <x v="6"/>
  </r>
  <r>
    <x v="102"/>
    <x v="6"/>
    <s v="Tigers @ Orioles"/>
    <s v="Orioles Moneyline"/>
    <n v="1.2"/>
    <n v="-120"/>
    <s v="L"/>
    <n v="-1.2"/>
    <x v="6"/>
  </r>
  <r>
    <x v="102"/>
    <x v="6"/>
    <s v="Diamondbacks @ Rockies"/>
    <s v="Diamondbacks Moneyline"/>
    <n v="1.1200000000000001"/>
    <n v="-112"/>
    <s v="L"/>
    <n v="-1.1200000000000001"/>
    <x v="6"/>
  </r>
  <r>
    <x v="102"/>
    <x v="6"/>
    <s v="Mets @ Dodgers"/>
    <s v="Over 7.5"/>
    <n v="1.1499999999999999"/>
    <n v="-115"/>
    <s v="W"/>
    <n v="0.99999999999999989"/>
    <x v="2"/>
  </r>
  <r>
    <x v="103"/>
    <x v="6"/>
    <s v="Red Sox @ Yankees"/>
    <s v="Yankees Moneyline"/>
    <n v="1"/>
    <n v="120"/>
    <s v="W"/>
    <n v="1.2"/>
    <x v="4"/>
  </r>
  <r>
    <x v="103"/>
    <x v="6"/>
    <s v="Brewers @ Pirates"/>
    <s v="Brewers Moneyline"/>
    <n v="1.2"/>
    <n v="-120"/>
    <s v="L"/>
    <n v="-1.2"/>
    <x v="6"/>
  </r>
  <r>
    <x v="103"/>
    <x v="6"/>
    <s v="Tigers @ Braves"/>
    <s v="Braves Moneyline"/>
    <n v="1.64"/>
    <n v="-164"/>
    <s v="L"/>
    <n v="-1.64"/>
    <x v="6"/>
  </r>
  <r>
    <x v="103"/>
    <x v="6"/>
    <s v="Indians @ White Sox"/>
    <s v="Indians Moneyline"/>
    <n v="1.72"/>
    <n v="-172"/>
    <s v="L"/>
    <n v="-1.72"/>
    <x v="6"/>
  </r>
  <r>
    <x v="103"/>
    <x v="6"/>
    <s v="Astros @ Athletics"/>
    <s v="Astros Moneyline"/>
    <n v="1.24"/>
    <n v="-124"/>
    <s v="W"/>
    <n v="1"/>
    <x v="6"/>
  </r>
  <r>
    <x v="103"/>
    <x v="6"/>
    <s v="Phillies @ Dodgers"/>
    <s v="Dodgers Moneyline"/>
    <n v="1.6"/>
    <n v="-160"/>
    <s v="W"/>
    <n v="1"/>
    <x v="6"/>
  </r>
  <r>
    <x v="103"/>
    <x v="6"/>
    <s v="Marlins @ Padres"/>
    <s v="Marlins Moneyline"/>
    <n v="1"/>
    <n v="143"/>
    <s v="L"/>
    <n v="-1"/>
    <x v="4"/>
  </r>
  <r>
    <x v="104"/>
    <x v="6"/>
    <s v="Angels @ Cubs"/>
    <s v="Angels Moneyline"/>
    <n v="5"/>
    <n v="151"/>
    <s v="L"/>
    <n v="-5"/>
    <x v="4"/>
  </r>
  <r>
    <x v="104"/>
    <x v="6"/>
    <s v="Dodgers @ Arizona"/>
    <s v="Dodgers Moneyline"/>
    <n v="3.48"/>
    <n v="-145"/>
    <s v="W"/>
    <n v="2.4"/>
    <x v="6"/>
  </r>
  <r>
    <x v="105"/>
    <x v="6"/>
    <s v="Dodgers @ Rockies"/>
    <s v="Dodgers Moneyline"/>
    <n v="2"/>
    <n v="-200"/>
    <s v="W"/>
    <n v="1"/>
    <x v="6"/>
  </r>
  <r>
    <x v="105"/>
    <x v="6"/>
    <s v="Diamondbacks @ Giants"/>
    <s v="Diamondbacks Moneyline"/>
    <n v="1.1000000000000001"/>
    <n v="-110"/>
    <s v="W"/>
    <n v="1"/>
    <x v="6"/>
  </r>
  <r>
    <x v="105"/>
    <x v="6"/>
    <s v="Athletics @ Angels"/>
    <s v="Athletics Moneyline"/>
    <n v="1"/>
    <s v="+141"/>
    <s v="L"/>
    <n v="-1"/>
    <x v="4"/>
  </r>
  <r>
    <x v="105"/>
    <x v="7"/>
    <s v="Brazil vs Paraguay"/>
    <s v="Brazil -1.5"/>
    <n v="1.78"/>
    <n v="-145"/>
    <s v="L"/>
    <n v="-1.78"/>
    <x v="0"/>
  </r>
  <r>
    <x v="106"/>
    <x v="6"/>
    <s v="Nationals @ Tigers"/>
    <s v="Nationals Moneyline"/>
    <n v="1"/>
    <n v="-153"/>
    <s v="W"/>
    <n v="0.65359477124183007"/>
    <x v="6"/>
  </r>
  <r>
    <x v="106"/>
    <x v="6"/>
    <s v="Braves @ Mets"/>
    <s v="Braves Moneyline"/>
    <n v="1"/>
    <s v="+116"/>
    <s v="W"/>
    <n v="1.1599999999999999"/>
    <x v="4"/>
  </r>
  <r>
    <x v="106"/>
    <x v="6"/>
    <s v="Rangers @ Rays"/>
    <s v="Rays Moneyline"/>
    <n v="1"/>
    <n v="-135"/>
    <s v="L"/>
    <n v="-1"/>
    <x v="6"/>
  </r>
  <r>
    <x v="106"/>
    <x v="6"/>
    <s v="Dodgers @ Rockies"/>
    <s v="Dodgers Moneyline"/>
    <n v="1"/>
    <n v="-200"/>
    <s v="L"/>
    <n v="-1"/>
    <x v="6"/>
  </r>
  <r>
    <x v="106"/>
    <x v="6"/>
    <s v="Diamondbacks @ Giants"/>
    <s v="Diamondbacks Moneyline"/>
    <n v="1"/>
    <n v="-110"/>
    <s v="L"/>
    <n v="-1"/>
    <x v="6"/>
  </r>
  <r>
    <x v="107"/>
    <x v="6"/>
    <s v="Giants @ Padres"/>
    <s v="Padres -1.5"/>
    <n v="3.91"/>
    <n v="120"/>
    <s v="L"/>
    <n v="-3.91"/>
    <x v="0"/>
  </r>
  <r>
    <x v="108"/>
    <x v="6"/>
    <s v="Braves @ Nationals"/>
    <s v="Nationals Moneyline"/>
    <n v="12.65"/>
    <s v="+118"/>
    <s v="L"/>
    <n v="-12.65"/>
    <x v="4"/>
  </r>
  <r>
    <x v="108"/>
    <x v="6"/>
    <s v="Pirates @ Reds"/>
    <s v="Pirates Moneyline"/>
    <n v="12.15"/>
    <s v="+188"/>
    <s v="L"/>
    <n v="-12.15"/>
    <x v="4"/>
  </r>
  <r>
    <x v="108"/>
    <x v="6"/>
    <s v="Diamondbacks @ Yankees"/>
    <s v="Diamondbacks Moneyline"/>
    <n v="19.72"/>
    <s v="+118"/>
    <s v="L"/>
    <n v="-19.72"/>
    <x v="4"/>
  </r>
  <r>
    <x v="108"/>
    <x v="6"/>
    <s v="Blue Jays @ Royals"/>
    <s v="Blue Jays Moneyline"/>
    <n v="13.43"/>
    <s v="+114"/>
    <s v="W"/>
    <n v="15.310199999999998"/>
    <x v="4"/>
  </r>
  <r>
    <x v="108"/>
    <x v="6"/>
    <s v="Dodgers @ Rockies"/>
    <s v="Dodgers Moneyline"/>
    <n v="16.809999999999999"/>
    <n v="-134"/>
    <s v="W"/>
    <n v="12.544776119402984"/>
    <x v="6"/>
  </r>
  <r>
    <x v="108"/>
    <x v="6"/>
    <s v="Rays @ Red Sox"/>
    <s v="Rays Moneyline"/>
    <n v="12.97"/>
    <s v="+128"/>
    <s v="W"/>
    <n v="16.601600000000001"/>
    <x v="4"/>
  </r>
  <r>
    <x v="108"/>
    <x v="6"/>
    <s v="Astros @ Indians"/>
    <s v="Indians Moneyline"/>
    <n v="12.27"/>
    <s v="+128"/>
    <s v="W"/>
    <n v="15.7056"/>
    <x v="4"/>
  </r>
  <r>
    <x v="108"/>
    <x v="6"/>
    <s v="Diamondbacks @ Yankees"/>
    <s v="Under 9"/>
    <n v="32.9"/>
    <n v="-105"/>
    <s v="L"/>
    <n v="-32.9"/>
    <x v="1"/>
  </r>
  <r>
    <x v="108"/>
    <x v="6"/>
    <s v="Blue Jays @ Royals"/>
    <s v="Over 9.5"/>
    <n v="21.58"/>
    <n v="-112"/>
    <s v="L"/>
    <n v="-21.58"/>
    <x v="2"/>
  </r>
  <r>
    <x v="108"/>
    <x v="6"/>
    <s v="Giants @ Phillies"/>
    <s v="Under 9.5"/>
    <n v="20.57"/>
    <n v="-115"/>
    <s v="W"/>
    <n v="17.88695652173913"/>
    <x v="1"/>
  </r>
  <r>
    <x v="108"/>
    <x v="6"/>
    <s v="Astros @ Indians"/>
    <s v="Under 10"/>
    <n v="24.95"/>
    <n v="-117"/>
    <s v="L"/>
    <n v="-24.95"/>
    <x v="1"/>
  </r>
  <r>
    <x v="109"/>
    <x v="6"/>
    <s v="Twins @ Marlins"/>
    <s v="Twins Moneyline"/>
    <n v="20.5"/>
    <n v="-180"/>
    <s v="L"/>
    <n v="-20.5"/>
    <x v="6"/>
  </r>
  <r>
    <x v="109"/>
    <x v="6"/>
    <s v="Giants @ Phillies"/>
    <s v="Giants Moneyline"/>
    <n v="16.440000000000001"/>
    <s v="+133"/>
    <s v="L"/>
    <n v="-16.440000000000001"/>
    <x v="4"/>
  </r>
  <r>
    <x v="109"/>
    <x v="6"/>
    <s v="Mets @ White Sox"/>
    <s v="Mets Moneyline"/>
    <n v="21.21"/>
    <n v="-195"/>
    <s v="W"/>
    <n v="10.876923076923077"/>
    <x v="6"/>
  </r>
  <r>
    <x v="109"/>
    <x v="6"/>
    <s v="Padres @ Dodgers"/>
    <s v="Dodgers Moneyline"/>
    <n v="21.85"/>
    <n v="-225"/>
    <s v="W"/>
    <n v="9.7111111111111121"/>
    <x v="6"/>
  </r>
  <r>
    <x v="109"/>
    <x v="6"/>
    <s v="Blue Jays @ Orioles"/>
    <s v="Under 10.5"/>
    <n v="19.97"/>
    <n v="-109"/>
    <s v="L"/>
    <n v="-19.97"/>
    <x v="1"/>
  </r>
  <r>
    <x v="109"/>
    <x v="6"/>
    <s v="Rays @ Red Sox"/>
    <s v="Under 10.5"/>
    <n v="20.03"/>
    <n v="102"/>
    <s v="L"/>
    <n v="-20.03"/>
    <x v="1"/>
  </r>
  <r>
    <x v="109"/>
    <x v="0"/>
    <s v="Broncos @ Falcons"/>
    <s v="Under 34.5"/>
    <n v="20"/>
    <n v="-118"/>
    <s v="W"/>
    <n v="16.949152542372879"/>
    <x v="1"/>
  </r>
  <r>
    <x v="110"/>
    <x v="6"/>
    <s v="Reds @ Braves"/>
    <s v="Reds Moneyline"/>
    <n v="15.8"/>
    <s v="+148"/>
    <s v="W"/>
    <n v="23.384"/>
    <x v="4"/>
  </r>
  <r>
    <x v="110"/>
    <x v="6"/>
    <s v="Tigers @ Rangers"/>
    <s v="Rangers Moneyline"/>
    <n v="21.16"/>
    <n v="-250"/>
    <s v="W"/>
    <n v="8.4640000000000004"/>
    <x v="6"/>
  </r>
  <r>
    <x v="110"/>
    <x v="6"/>
    <s v="Mariners @ Astros"/>
    <s v="Astros Moneyline"/>
    <n v="21.74"/>
    <n v="-286"/>
    <s v="W"/>
    <n v="7.6013986013986017"/>
    <x v="6"/>
  </r>
  <r>
    <x v="110"/>
    <x v="6"/>
    <s v="Royals @ Twins"/>
    <s v="Twins Moneyline"/>
    <n v="21.3"/>
    <n v="-235"/>
    <s v="W"/>
    <n v="9.0638297872340434"/>
    <x v="6"/>
  </r>
  <r>
    <x v="110"/>
    <x v="6"/>
    <s v="Red Sox @ Yankees"/>
    <s v="Over 10.5"/>
    <n v="19.3"/>
    <n v="-106"/>
    <s v="L"/>
    <n v="-19.3"/>
    <x v="2"/>
  </r>
  <r>
    <x v="110"/>
    <x v="6"/>
    <s v="Tigers @ Rangers"/>
    <s v="Under 10"/>
    <n v="20.7"/>
    <n v="-106"/>
    <s v="W"/>
    <n v="19.528301886792452"/>
    <x v="1"/>
  </r>
  <r>
    <x v="111"/>
    <x v="6"/>
    <s v="White Sox @ Phillies"/>
    <s v="Phillies Moneyline"/>
    <n v="20"/>
    <n v="-265"/>
    <s v="W"/>
    <n v="7.5471698113207548"/>
    <x v="6"/>
  </r>
  <r>
    <x v="111"/>
    <x v="6"/>
    <s v="Royals @ Twins"/>
    <s v="Twins Moneyline"/>
    <n v="20"/>
    <n v="-225"/>
    <s v="W"/>
    <n v="8.8888888888888893"/>
    <x v="6"/>
  </r>
  <r>
    <x v="111"/>
    <x v="6"/>
    <s v="Tigers @ Rangers"/>
    <s v="Rangers Moneyline"/>
    <n v="20"/>
    <n v="-107"/>
    <s v="W"/>
    <n v="18.691588785046729"/>
    <x v="6"/>
  </r>
  <r>
    <x v="111"/>
    <x v="6"/>
    <s v="Tigers @ Rangers"/>
    <s v="Under 9.5"/>
    <n v="20"/>
    <n v="-110"/>
    <s v="W"/>
    <n v="18.181818181818183"/>
    <x v="1"/>
  </r>
  <r>
    <x v="111"/>
    <x v="6"/>
    <s v="Cardinals @ Athletics"/>
    <s v="Over 9"/>
    <n v="20"/>
    <n v="-118"/>
    <s v="W"/>
    <n v="16.949152542372879"/>
    <x v="2"/>
  </r>
  <r>
    <x v="111"/>
    <x v="6"/>
    <s v="Mets @ Pirates"/>
    <s v="Mets Moneyline"/>
    <n v="20"/>
    <n v="-137"/>
    <s v="W"/>
    <n v="14.5985401459854"/>
    <x v="6"/>
  </r>
  <r>
    <x v="112"/>
    <x v="6"/>
    <s v="Tigers @ Rangers"/>
    <s v="Rangers Moneyline"/>
    <n v="25.13"/>
    <n v="-200"/>
    <s v="W"/>
    <n v="12.564999999999998"/>
    <x v="6"/>
  </r>
  <r>
    <x v="112"/>
    <x v="6"/>
    <s v="Cardinals @ Athletics"/>
    <s v="Athletics Moneyline"/>
    <n v="19.54"/>
    <n v="-136"/>
    <s v="W"/>
    <n v="14.367647058823529"/>
    <x v="6"/>
  </r>
  <r>
    <x v="112"/>
    <x v="6"/>
    <s v="Nationals @ Diamondbacks"/>
    <s v="Diamondbacks Moneyline"/>
    <n v="15.32"/>
    <s v="+140"/>
    <s v="W"/>
    <n v="21.448"/>
    <x v="4"/>
  </r>
  <r>
    <x v="112"/>
    <x v="6"/>
    <s v="Tigers @ Rangers"/>
    <s v="Under 11"/>
    <n v="17.23"/>
    <n v="-117"/>
    <s v="L"/>
    <n v="-17.23"/>
    <x v="1"/>
  </r>
  <r>
    <x v="112"/>
    <x v="6"/>
    <s v="Giants @ Rockies"/>
    <s v="Under 13.5"/>
    <n v="22.78"/>
    <n v="-114"/>
    <s v="W"/>
    <n v="19.98245614035088"/>
    <x v="1"/>
  </r>
  <r>
    <x v="113"/>
    <x v="6"/>
    <s v="Marlins @ Mets"/>
    <s v="Mets Moneyline"/>
    <n v="22.34"/>
    <n v="-305"/>
    <s v="W"/>
    <n v="7.3245901639344257"/>
    <x v="6"/>
  </r>
  <r>
    <x v="113"/>
    <x v="6"/>
    <s v="Brewers @ Pirates"/>
    <s v="Pirates Moneyline"/>
    <n v="17.670000000000002"/>
    <s v="+123"/>
    <s v="L"/>
    <n v="-17.670000000000002"/>
    <x v="4"/>
  </r>
  <r>
    <x v="113"/>
    <x v="6"/>
    <s v="Royals @ Red Sox"/>
    <s v="Red Sox Moneyline"/>
    <n v="21.84"/>
    <n v="-265"/>
    <s v="W"/>
    <n v="8.2415094339622641"/>
    <x v="6"/>
  </r>
  <r>
    <x v="113"/>
    <x v="6"/>
    <s v="Marlins @ Mets"/>
    <s v="Mets Moneyline"/>
    <n v="21.43"/>
    <n v="-180"/>
    <s v="W"/>
    <n v="11.905555555555555"/>
    <x v="6"/>
  </r>
  <r>
    <x v="113"/>
    <x v="6"/>
    <s v="Blue Jays @ Rays"/>
    <s v="Rays Moneyline"/>
    <n v="22.98"/>
    <n v="-240"/>
    <s v="L"/>
    <n v="-22.98"/>
    <x v="6"/>
  </r>
  <r>
    <x v="113"/>
    <x v="6"/>
    <s v="Athletics @ Cubs"/>
    <s v="Athletics Moneyline"/>
    <n v="17.02"/>
    <s v="+130"/>
    <s v="L"/>
    <n v="-17.02"/>
    <x v="4"/>
  </r>
  <r>
    <x v="113"/>
    <x v="6"/>
    <s v="Cardinals @ Dodgers"/>
    <s v="Cardinals Moneyline"/>
    <n v="16.72"/>
    <s v="+140"/>
    <s v="L"/>
    <n v="-16.72"/>
    <x v="4"/>
  </r>
  <r>
    <x v="113"/>
    <x v="6"/>
    <s v="Rangers @ Indians"/>
    <s v="Under 10.5"/>
    <n v="20"/>
    <n v="-115"/>
    <s v="W"/>
    <n v="17.391304347826086"/>
    <x v="1"/>
  </r>
  <r>
    <x v="114"/>
    <x v="6"/>
    <s v="Yankees @ Orioles"/>
    <s v="Yankees Moneyline"/>
    <n v="22.54"/>
    <n v="-220"/>
    <s v="W"/>
    <n v="10.245454545454544"/>
    <x v="6"/>
  </r>
  <r>
    <x v="114"/>
    <x v="6"/>
    <s v="Royals @ Red Sox"/>
    <s v="Red Sox Moneyline"/>
    <n v="25.29"/>
    <n v="-190"/>
    <s v="L"/>
    <n v="-25.29"/>
    <x v="6"/>
  </r>
  <r>
    <x v="114"/>
    <x v="6"/>
    <s v="Angels @ Reds"/>
    <s v="Angels Moneyline"/>
    <n v="15.76"/>
    <s v="+138"/>
    <s v="L"/>
    <n v="-15.76"/>
    <x v="4"/>
  </r>
  <r>
    <x v="114"/>
    <x v="6"/>
    <s v="Rangers @ Indians"/>
    <s v="Indians Moneyline"/>
    <n v="20.07"/>
    <n v="-190"/>
    <s v="Push"/>
    <n v="0"/>
    <x v="6"/>
  </r>
  <r>
    <x v="114"/>
    <x v="6"/>
    <s v="White Sox @ Tigers"/>
    <s v="White Sox Moneyline"/>
    <n v="21.58"/>
    <n v="-109"/>
    <s v="L"/>
    <n v="-21.58"/>
    <x v="6"/>
  </r>
  <r>
    <x v="114"/>
    <x v="6"/>
    <s v="Marlins @ Mets"/>
    <s v="Marlins Moneyline"/>
    <n v="13.92"/>
    <s v="+220"/>
    <s v="L"/>
    <n v="-13.92"/>
    <x v="4"/>
  </r>
  <r>
    <x v="114"/>
    <x v="6"/>
    <s v="Blue Jays @ Rays"/>
    <s v="Rays Moneyline"/>
    <n v="20.16"/>
    <n v="-195"/>
    <s v="W"/>
    <n v="10.338461538461537"/>
    <x v="6"/>
  </r>
  <r>
    <x v="114"/>
    <x v="6"/>
    <s v="Rockies @ Astros"/>
    <s v="Astros Moneyline"/>
    <n v="20.69"/>
    <n v="-205"/>
    <s v="W"/>
    <n v="10.092682926829269"/>
    <x v="6"/>
  </r>
  <r>
    <x v="114"/>
    <x v="6"/>
    <s v="Braves @ Twins"/>
    <s v="Twins Moneyline"/>
    <n v="20"/>
    <n v="-155"/>
    <s v="L"/>
    <n v="-20"/>
    <x v="6"/>
  </r>
  <r>
    <x v="114"/>
    <x v="6"/>
    <s v="Angels @ Reds"/>
    <s v="Under 10.5"/>
    <n v="22.8"/>
    <n v="-115"/>
    <s v="L"/>
    <n v="-22.8"/>
    <x v="1"/>
  </r>
  <r>
    <x v="114"/>
    <x v="6"/>
    <s v="White Sox @ Tigers"/>
    <s v="Over 10.5"/>
    <n v="19.14"/>
    <n v="-110"/>
    <s v="W"/>
    <n v="17.400000000000002"/>
    <x v="2"/>
  </r>
  <r>
    <x v="114"/>
    <x v="6"/>
    <s v="Rockies @ Astros"/>
    <s v="Over 8.5"/>
    <n v="18.059999999999999"/>
    <n v="-104"/>
    <s v="W"/>
    <n v="17.365384615384613"/>
    <x v="2"/>
  </r>
  <r>
    <x v="115"/>
    <x v="6"/>
    <s v="Marlins @ Mets"/>
    <s v="Marlins Moneyline"/>
    <n v="14.19"/>
    <s v="+175"/>
    <s v="L"/>
    <n v="-14.19"/>
    <x v="4"/>
  </r>
  <r>
    <x v="115"/>
    <x v="6"/>
    <s v="Blue Jays @ Rays"/>
    <s v="Rays Moneyline"/>
    <n v="20.100000000000001"/>
    <n v="-230"/>
    <s v="L"/>
    <n v="-20.100000000000001"/>
    <x v="6"/>
  </r>
  <r>
    <x v="115"/>
    <x v="6"/>
    <s v="Rockies @ Astros"/>
    <s v="Astros Moneyline"/>
    <n v="22.81"/>
    <n v="-360"/>
    <s v="W"/>
    <n v="6.3361111111111104"/>
    <x v="6"/>
  </r>
  <r>
    <x v="115"/>
    <x v="6"/>
    <s v="Athletics @ Cubs"/>
    <s v="Athletics Moneyline"/>
    <n v="17.55"/>
    <s v="+125"/>
    <s v="L"/>
    <n v="-17.55"/>
    <x v="4"/>
  </r>
  <r>
    <x v="115"/>
    <x v="6"/>
    <s v="Nationals @ Giants"/>
    <s v="Giants Moneyline"/>
    <n v="21"/>
    <n v="-103"/>
    <s v="L"/>
    <n v="-21"/>
    <x v="6"/>
  </r>
  <r>
    <x v="115"/>
    <x v="6"/>
    <s v="Padres @ Mariners"/>
    <s v="Padres Moneyline"/>
    <n v="20.010000000000002"/>
    <n v="-159"/>
    <s v="L"/>
    <n v="-20.010000000000002"/>
    <x v="6"/>
  </r>
  <r>
    <x v="115"/>
    <x v="6"/>
    <s v="Yankees @ Orioles"/>
    <s v="Yankees Moneyline"/>
    <n v="21.51"/>
    <n v="-250"/>
    <s v="W"/>
    <n v="8.604000000000001"/>
    <x v="6"/>
  </r>
  <r>
    <x v="115"/>
    <x v="6"/>
    <s v="Royals @ Red Sox"/>
    <s v="Red Sox Moneyline"/>
    <n v="22.83"/>
    <n v="-315"/>
    <s v="Push"/>
    <n v="0"/>
    <x v="6"/>
  </r>
  <r>
    <x v="115"/>
    <x v="6"/>
    <s v="Rockies @ Astros"/>
    <s v="Over 8.5"/>
    <n v="19"/>
    <n v="-115"/>
    <s v="W"/>
    <n v="16.521739130434781"/>
    <x v="2"/>
  </r>
  <r>
    <x v="115"/>
    <x v="6"/>
    <s v="Nationals @ Giants"/>
    <s v="Over 9"/>
    <n v="23.92"/>
    <n v="-115"/>
    <s v="L"/>
    <n v="-23.92"/>
    <x v="2"/>
  </r>
  <r>
    <x v="115"/>
    <x v="6"/>
    <s v="Yankees @ Orioles"/>
    <s v="Over 9.5"/>
    <n v="17.09"/>
    <n v="-115"/>
    <s v="W"/>
    <n v="14.86086956521739"/>
    <x v="2"/>
  </r>
  <r>
    <x v="116"/>
    <x v="6"/>
    <s v="Yankees @ Blue Jays"/>
    <s v="Yankees Moneyline"/>
    <n v="23.32"/>
    <n v="-200"/>
    <s v="W"/>
    <n v="11.66"/>
    <x v="6"/>
  </r>
  <r>
    <x v="116"/>
    <x v="6"/>
    <s v="Angels @ Red Sox"/>
    <s v="Angels Moneyline"/>
    <n v="14.62"/>
    <s v="+210"/>
    <s v="L"/>
    <n v="-14.62"/>
    <x v="4"/>
  </r>
  <r>
    <x v="116"/>
    <x v="6"/>
    <s v="Braves @ Marlins"/>
    <s v="Braves Moneyline"/>
    <n v="23"/>
    <n v="-200"/>
    <s v="L"/>
    <n v="-23"/>
    <x v="6"/>
  </r>
  <r>
    <x v="116"/>
    <x v="6"/>
    <s v="Rockies @ Padres"/>
    <s v="Rockies Moneyline"/>
    <n v="19.059999999999999"/>
    <s v="+100"/>
    <s v="L"/>
    <n v="-19.059999999999999"/>
    <x v="4"/>
  </r>
  <r>
    <x v="116"/>
    <x v="6"/>
    <s v="Yankees @ Blue Jays"/>
    <s v="Over 10.5"/>
    <n v="19.559999999999999"/>
    <n v="-112"/>
    <s v="W"/>
    <n v="17.464285714285712"/>
    <x v="2"/>
  </r>
  <r>
    <x v="116"/>
    <x v="6"/>
    <s v="Cubs @ Reds"/>
    <s v="Under 9.5"/>
    <n v="19.72"/>
    <n v="-117"/>
    <s v="L"/>
    <n v="-19.72"/>
    <x v="1"/>
  </r>
  <r>
    <x v="116"/>
    <x v="6"/>
    <s v="Phillies @ Giants"/>
    <s v="Over 7.5"/>
    <n v="19.2"/>
    <n v="-103"/>
    <s v="L"/>
    <n v="-19.2"/>
    <x v="2"/>
  </r>
  <r>
    <x v="116"/>
    <x v="6"/>
    <s v="Rockies @ Padres"/>
    <s v="Over 8"/>
    <n v="21.52"/>
    <n v="-115"/>
    <s v="W"/>
    <n v="18.713043478260868"/>
    <x v="2"/>
  </r>
  <r>
    <x v="117"/>
    <x v="6"/>
    <s v="Braves @ Rockies"/>
    <s v="Rockies Moneyline"/>
    <n v="17.21"/>
    <s v="+138"/>
    <s v="W"/>
    <n v="23.7498"/>
    <x v="4"/>
  </r>
  <r>
    <x v="117"/>
    <x v="6"/>
    <s v="Reds @ Marlins"/>
    <s v="Reds Moneyline"/>
    <n v="22.13"/>
    <n v="-165"/>
    <s v="W"/>
    <n v="13.412121212121212"/>
    <x v="6"/>
  </r>
  <r>
    <x v="117"/>
    <x v="6"/>
    <s v="Dodgers @ Padres"/>
    <s v="Dodgers Moneyline"/>
    <n v="20.66"/>
    <n v="-148"/>
    <s v="L"/>
    <n v="-20.66"/>
    <x v="6"/>
  </r>
  <r>
    <x v="117"/>
    <x v="6"/>
    <s v="Braves @ Rockies"/>
    <s v="Under 13"/>
    <n v="20"/>
    <n v="100"/>
    <s v="W"/>
    <n v="20"/>
    <x v="1"/>
  </r>
  <r>
    <x v="118"/>
    <x v="6"/>
    <s v="Pirates @ Phillies"/>
    <s v="Pirates Moneyline"/>
    <n v="18.260000000000002"/>
    <s v="+123"/>
    <s v="W"/>
    <n v="22.459800000000001"/>
    <x v="4"/>
  </r>
  <r>
    <x v="118"/>
    <x v="6"/>
    <s v="Orioles @ Nationals"/>
    <s v="Nationals Moneyline"/>
    <n v="23.17"/>
    <n v="-335"/>
    <s v="L"/>
    <n v="-23.17"/>
    <x v="6"/>
  </r>
  <r>
    <x v="118"/>
    <x v="6"/>
    <s v="Indians @ Tigers"/>
    <s v="Indians Moneyline"/>
    <n v="21.42"/>
    <n v="-143"/>
    <s v="W"/>
    <n v="14.97902097902098"/>
    <x v="6"/>
  </r>
  <r>
    <x v="118"/>
    <x v="6"/>
    <s v="Reds @ Marlins"/>
    <s v="Reds Moneyline"/>
    <n v="21.39"/>
    <n v="-155"/>
    <s v="W"/>
    <n v="13.8"/>
    <x v="6"/>
  </r>
  <r>
    <x v="118"/>
    <x v="6"/>
    <s v="Cardinals @ Brewers"/>
    <s v="Cardinals Moneyline"/>
    <n v="18"/>
    <s v="+130"/>
    <s v="W"/>
    <n v="23.400000000000002"/>
    <x v="4"/>
  </r>
  <r>
    <x v="118"/>
    <x v="6"/>
    <s v="Twins @ White Sox"/>
    <s v="Twins Moneyline"/>
    <n v="19.16"/>
    <n v="-115"/>
    <s v="W"/>
    <n v="16.660869565217393"/>
    <x v="6"/>
  </r>
  <r>
    <x v="118"/>
    <x v="6"/>
    <s v="Rays @ Astros"/>
    <s v="Rays Moneyline"/>
    <n v="14.38"/>
    <s v="+175"/>
    <s v="L"/>
    <n v="-14.38"/>
    <x v="4"/>
  </r>
  <r>
    <x v="118"/>
    <x v="6"/>
    <s v="Athletics @ Royals"/>
    <s v="Athletics Moneyline"/>
    <n v="25.87"/>
    <n v="-182"/>
    <s v="W"/>
    <n v="14.214285714285715"/>
    <x v="6"/>
  </r>
  <r>
    <x v="118"/>
    <x v="6"/>
    <s v="Rangers @ Angels"/>
    <s v="Rangers Moneyline"/>
    <n v="16.87"/>
    <s v="+135"/>
    <s v="L"/>
    <n v="-16.87"/>
    <x v="4"/>
  </r>
  <r>
    <x v="118"/>
    <x v="6"/>
    <s v="Dodgers @ Padres"/>
    <s v="Dodgers Moneyline"/>
    <n v="20.63"/>
    <n v="-186"/>
    <s v="W"/>
    <n v="11.091397849462364"/>
    <x v="6"/>
  </r>
  <r>
    <x v="118"/>
    <x v="6"/>
    <s v="Yankees @ Mariners"/>
    <s v="Yankees Moneyline"/>
    <n v="20.85"/>
    <n v="-190"/>
    <s v="W"/>
    <n v="10.973684210526317"/>
    <x v="6"/>
  </r>
  <r>
    <x v="118"/>
    <x v="6"/>
    <s v="Athletics @ Royals"/>
    <s v="Over 10"/>
    <n v="20"/>
    <n v="-106"/>
    <s v="L"/>
    <n v="-20"/>
    <x v="2"/>
  </r>
  <r>
    <x v="119"/>
    <x v="6"/>
    <s v="Cardinals @ Brewers"/>
    <s v="Cardinals Moneyline"/>
    <n v="18.66"/>
    <n v="-129"/>
    <s v="L"/>
    <n v="-18.66"/>
    <x v="6"/>
  </r>
  <r>
    <x v="119"/>
    <x v="6"/>
    <s v="Yankees @ Mariners"/>
    <s v="Yankees Moneyline"/>
    <n v="21.42"/>
    <n v="-245"/>
    <s v="W"/>
    <n v="8.7428571428571438"/>
    <x v="6"/>
  </r>
  <r>
    <x v="119"/>
    <x v="6"/>
    <s v="Indians @ Tigers"/>
    <s v="Indians Moneyline"/>
    <n v="22.49"/>
    <n v="-195"/>
    <s v="W"/>
    <n v="11.533333333333333"/>
    <x v="6"/>
  </r>
  <r>
    <x v="119"/>
    <x v="6"/>
    <s v="Reds @ Marlins"/>
    <s v="Reds Moneyline"/>
    <n v="19.38"/>
    <n v="-157"/>
    <s v="W"/>
    <n v="12.343949044585987"/>
    <x v="6"/>
  </r>
  <r>
    <x v="119"/>
    <x v="6"/>
    <s v="Cubs @ Mets"/>
    <s v="Cubs Moneyline"/>
    <n v="16.75"/>
    <s v="+102"/>
    <s v="W"/>
    <n v="17.085000000000001"/>
    <x v="4"/>
  </r>
  <r>
    <x v="119"/>
    <x v="6"/>
    <s v="Twins @ White Sox"/>
    <s v="Twins Moneyline"/>
    <n v="20.04"/>
    <n v="-195"/>
    <s v="W"/>
    <n v="10.276923076923076"/>
    <x v="6"/>
  </r>
  <r>
    <x v="119"/>
    <x v="6"/>
    <s v="Rays @ Astros"/>
    <s v="Astros Moneyline"/>
    <n v="20.68"/>
    <n v="-235"/>
    <s v="W"/>
    <n v="8.7999999999999989"/>
    <x v="6"/>
  </r>
  <r>
    <x v="119"/>
    <x v="6"/>
    <s v="Athletics @ Royals"/>
    <s v="Athletics Moneyline"/>
    <n v="21.96"/>
    <n v="-165"/>
    <s v="L"/>
    <n v="-21.96"/>
    <x v="6"/>
  </r>
  <r>
    <x v="119"/>
    <x v="6"/>
    <s v="Red Sox @ Rockies"/>
    <s v="Red Sox Moneyline"/>
    <n v="22.88"/>
    <n v="-177"/>
    <s v="W"/>
    <n v="12.926553672316384"/>
    <x v="6"/>
  </r>
  <r>
    <x v="119"/>
    <x v="6"/>
    <s v="Dodgers @ Padres"/>
    <s v="Dodgers Moneyline"/>
    <n v="19.03"/>
    <n v="-182"/>
    <s v="W"/>
    <n v="10.456043956043956"/>
    <x v="6"/>
  </r>
  <r>
    <x v="119"/>
    <x v="6"/>
    <s v="Rangers @ Angels"/>
    <s v="Rangers Moneyline"/>
    <n v="16.72"/>
    <s v="+155"/>
    <s v="W"/>
    <n v="25.916"/>
    <x v="4"/>
  </r>
  <r>
    <x v="119"/>
    <x v="6"/>
    <s v="Yankees @ Mariners"/>
    <s v="Over 9"/>
    <n v="18.87"/>
    <n v="-117"/>
    <s v="L"/>
    <n v="-18.87"/>
    <x v="2"/>
  </r>
  <r>
    <x v="119"/>
    <x v="6"/>
    <s v="Cubs @ Mets"/>
    <s v="Over 7.5"/>
    <n v="18.23"/>
    <n v="-117"/>
    <s v="W"/>
    <n v="15.581196581196583"/>
    <x v="2"/>
  </r>
  <r>
    <x v="119"/>
    <x v="6"/>
    <s v="Rays @ Astros"/>
    <s v="Under 8"/>
    <n v="18.579999999999998"/>
    <n v="-108"/>
    <s v="L"/>
    <n v="-18.579999999999998"/>
    <x v="1"/>
  </r>
  <r>
    <x v="119"/>
    <x v="6"/>
    <s v="Red Sox @ Rockies"/>
    <s v="Under 13.5"/>
    <n v="24.32"/>
    <n v="-109"/>
    <s v="W"/>
    <n v="22.311926605504588"/>
    <x v="1"/>
  </r>
  <r>
    <x v="120"/>
    <x v="6"/>
    <s v="Indians @ Tigers"/>
    <s v="Indians Moneyline"/>
    <n v="20.43"/>
    <n v="-240"/>
    <s v="W"/>
    <n v="8.5124999999999993"/>
    <x v="6"/>
  </r>
  <r>
    <x v="120"/>
    <x v="6"/>
    <s v="Athletics @ Royals"/>
    <s v="Athletics Moneyline"/>
    <n v="21.42"/>
    <n v="-195"/>
    <s v="W"/>
    <n v="10.984615384615386"/>
    <x v="6"/>
  </r>
  <r>
    <x v="120"/>
    <x v="6"/>
    <s v="Twins @ White Sox"/>
    <s v="Twins Moneyline"/>
    <n v="18.489999999999998"/>
    <n v="-190"/>
    <s v="W"/>
    <n v="9.7315789473684209"/>
    <x v="6"/>
  </r>
  <r>
    <x v="120"/>
    <x v="6"/>
    <s v="Rays @ Astros"/>
    <s v="Astros Moneyline"/>
    <n v="21.74"/>
    <n v="-250"/>
    <s v="L"/>
    <n v="-21.74"/>
    <x v="6"/>
  </r>
  <r>
    <x v="120"/>
    <x v="6"/>
    <s v="Reds @ Marlins"/>
    <s v="Reds Moneyline"/>
    <n v="19.46"/>
    <n v="-186"/>
    <s v="L"/>
    <n v="-19.46"/>
    <x v="6"/>
  </r>
  <r>
    <x v="120"/>
    <x v="6"/>
    <s v="Dodgers @ Diamondbacks"/>
    <s v="Dodgers Moneyline"/>
    <n v="18.45"/>
    <n v="-190"/>
    <s v="L"/>
    <n v="-18.45"/>
    <x v="6"/>
  </r>
  <r>
    <x v="120"/>
    <x v="6"/>
    <s v="Reds @ Marlins"/>
    <s v="Over 8.5"/>
    <n v="20.010000000000002"/>
    <n v="-106"/>
    <s v="L"/>
    <n v="-20.010000000000002"/>
    <x v="2"/>
  </r>
  <r>
    <x v="120"/>
    <x v="6"/>
    <s v="Cubs @ Mets"/>
    <s v="Over 7.5"/>
    <n v="19.29"/>
    <n v="102"/>
    <s v="L"/>
    <n v="-19.29"/>
    <x v="2"/>
  </r>
  <r>
    <x v="120"/>
    <x v="6"/>
    <s v="Pirates @ Rockies"/>
    <s v="Under 14.5"/>
    <n v="20.7"/>
    <n v="-106"/>
    <s v="L"/>
    <n v="-20.7"/>
    <x v="1"/>
  </r>
  <r>
    <x v="121"/>
    <x v="6"/>
    <s v="Brewers @ Marlins"/>
    <s v="Marlins Moneyline"/>
    <n v="19.13"/>
    <s v="+175"/>
    <s v="L"/>
    <n v="-19.13"/>
    <x v="4"/>
  </r>
  <r>
    <x v="121"/>
    <x v="6"/>
    <s v="Diamondbacks @ Mets"/>
    <s v="Diamondbacks Moneyline"/>
    <n v="17.170000000000002"/>
    <s v="+205"/>
    <s v="L"/>
    <n v="-17.170000000000002"/>
    <x v="4"/>
  </r>
  <r>
    <x v="121"/>
    <x v="6"/>
    <s v="Indians @ Angels"/>
    <s v="Indians Moneyline"/>
    <n v="23.7"/>
    <n v="-165"/>
    <s v="W"/>
    <n v="14.363636363636365"/>
    <x v="6"/>
  </r>
  <r>
    <x v="121"/>
    <x v="6"/>
    <s v="Braves @ Phillies"/>
    <s v="Over 8.5"/>
    <n v="20"/>
    <n v="-117"/>
    <s v="W"/>
    <n v="17.094017094017094"/>
    <x v="2"/>
  </r>
  <r>
    <x v="122"/>
    <x v="6"/>
    <s v="Dodgers @ Orioles"/>
    <s v="Dodgers Moneyline"/>
    <n v="21.54"/>
    <n v="-315"/>
    <s v="W"/>
    <n v="6.8380952380952378"/>
    <x v="6"/>
  </r>
  <r>
    <x v="122"/>
    <x v="6"/>
    <s v="Diamondbacks @ Mets"/>
    <s v="Diamondbacks Moneyline"/>
    <n v="16.510000000000002"/>
    <s v="+116"/>
    <s v="L"/>
    <n v="-16.510000000000002"/>
    <x v="4"/>
  </r>
  <r>
    <x v="122"/>
    <x v="6"/>
    <s v="Cardinals @ Rockies"/>
    <s v="Cardinals Moneyline"/>
    <n v="18.239999999999998"/>
    <n v="-150"/>
    <s v="L"/>
    <n v="-18.239999999999998"/>
    <x v="6"/>
  </r>
  <r>
    <x v="122"/>
    <x v="6"/>
    <s v="Indians @ Angels"/>
    <s v="Indians Moneyline"/>
    <n v="23.71"/>
    <n v="-148"/>
    <s v="W"/>
    <n v="16.02027027027027"/>
    <x v="6"/>
  </r>
  <r>
    <x v="122"/>
    <x v="6"/>
    <s v="Cardinals @ Rockies"/>
    <s v="Under 13.5"/>
    <n v="18.170000000000002"/>
    <n v="-117"/>
    <s v="W"/>
    <n v="15.529914529914532"/>
    <x v="1"/>
  </r>
  <r>
    <x v="122"/>
    <x v="6"/>
    <s v="Pirates @ Giants"/>
    <s v="Over 8.5"/>
    <n v="22.32"/>
    <n v="-112"/>
    <s v="W"/>
    <n v="19.928571428571431"/>
    <x v="2"/>
  </r>
  <r>
    <x v="122"/>
    <x v="6"/>
    <s v="Indians @ Angels"/>
    <s v="Over 9.5"/>
    <n v="19.510000000000002"/>
    <n v="-115"/>
    <s v="L"/>
    <n v="-19.510000000000002"/>
    <x v="2"/>
  </r>
  <r>
    <x v="123"/>
    <x v="6"/>
    <s v="Yankees @ Tigers"/>
    <s v="Yankees Moneyline"/>
    <n v="21.05"/>
    <n v="-220"/>
    <s v="Push"/>
    <n v="0"/>
    <x v="6"/>
  </r>
  <r>
    <x v="123"/>
    <x v="6"/>
    <s v="Dodgers @ Orioles"/>
    <s v="Dodgers Moneyline"/>
    <n v="20.89"/>
    <n v="-182"/>
    <s v="L"/>
    <n v="-20.89"/>
    <x v="6"/>
  </r>
  <r>
    <x v="123"/>
    <x v="6"/>
    <s v="Nationals @ Twins"/>
    <s v="Twins Moneyline"/>
    <n v="15.85"/>
    <s v="+130"/>
    <s v="L"/>
    <n v="-15.85"/>
    <x v="4"/>
  </r>
  <r>
    <x v="123"/>
    <x v="6"/>
    <s v="Rays @ Rangers"/>
    <s v="Rays Moneyline"/>
    <n v="18.79"/>
    <n v="-155"/>
    <s v="L"/>
    <n v="-18.79"/>
    <x v="6"/>
  </r>
  <r>
    <x v="123"/>
    <x v="6"/>
    <s v="Indians @ Angels"/>
    <s v="Indians Moneyline"/>
    <n v="22.2"/>
    <n v="-125"/>
    <s v="W"/>
    <n v="17.760000000000002"/>
    <x v="6"/>
  </r>
  <r>
    <x v="123"/>
    <x v="6"/>
    <s v="Cardinals @ Rockies"/>
    <s v="Cardinals Moneyline"/>
    <n v="21.21"/>
    <n v="-150"/>
    <s v="L"/>
    <n v="-21.21"/>
    <x v="6"/>
  </r>
  <r>
    <x v="123"/>
    <x v="6"/>
    <s v="Rays @ Rangers"/>
    <s v="Under 10.5"/>
    <n v="17.68"/>
    <n v="-115"/>
    <s v="L"/>
    <n v="-17.68"/>
    <x v="1"/>
  </r>
  <r>
    <x v="123"/>
    <x v="6"/>
    <s v="Cardinals @ Rockies"/>
    <s v="Under 13.5"/>
    <n v="22.32"/>
    <n v="-114"/>
    <s v="W"/>
    <n v="19.578947368421055"/>
    <x v="1"/>
  </r>
  <r>
    <x v="124"/>
    <x v="8"/>
    <s v="Washington State @ Houston"/>
    <s v="Washington State - 8"/>
    <n v="10"/>
    <s v="-110"/>
    <s v="L"/>
    <n v="-10"/>
    <x v="0"/>
  </r>
  <r>
    <x v="125"/>
    <x v="8"/>
    <s v="Pittsburgh @ Penn State"/>
    <s v="Pittsburgh +21.5"/>
    <n v="60"/>
    <n v="-118"/>
    <s v="W"/>
    <n v="50.847457627118644"/>
    <x v="3"/>
  </r>
  <r>
    <x v="125"/>
    <x v="8"/>
    <s v="Pittsburgh @ Penn State"/>
    <s v="2nd Half Under 26.5"/>
    <n v="20"/>
    <n v="-109"/>
    <s v="W"/>
    <n v="18.348623853211009"/>
    <x v="1"/>
  </r>
  <r>
    <x v="125"/>
    <x v="8"/>
    <s v="Florida Atlantic @ Ball State"/>
    <s v="Florida Atlantic -3"/>
    <n v="60"/>
    <n v="-110"/>
    <s v="W"/>
    <n v="54.54545454545454"/>
    <x v="0"/>
  </r>
  <r>
    <x v="126"/>
    <x v="0"/>
    <s v="Bears @ Broncos"/>
    <s v="Under 41"/>
    <n v="20"/>
    <n v="-118"/>
    <s v="W"/>
    <n v="16.949152542372879"/>
    <x v="1"/>
  </r>
  <r>
    <x v="126"/>
    <x v="0"/>
    <s v="Eagles @ Falcons"/>
    <s v="Under 50.5"/>
    <n v="20"/>
    <n v="-105"/>
    <s v="W"/>
    <n v="19.047619047619047"/>
    <x v="1"/>
  </r>
  <r>
    <x v="127"/>
    <x v="6"/>
    <s v="White Sox @ Twins"/>
    <s v="Twins Moneyline"/>
    <n v="22.86"/>
    <n v="-250"/>
    <s v="W"/>
    <n v="9.1440000000000001"/>
    <x v="6"/>
  </r>
  <r>
    <x v="127"/>
    <x v="6"/>
    <s v="Nationals @ Cardinals"/>
    <s v="Cardinals Moneyline"/>
    <n v="17.11"/>
    <s v="+125"/>
    <s v="W"/>
    <n v="21.387499999999999"/>
    <x v="4"/>
  </r>
  <r>
    <x v="127"/>
    <x v="6"/>
    <s v="Reds @ Cubs"/>
    <s v="Reds Moneyline"/>
    <n v="15.14"/>
    <s v="+163"/>
    <s v="L"/>
    <n v="-15.14"/>
    <x v="4"/>
  </r>
  <r>
    <x v="127"/>
    <x v="6"/>
    <s v="Mets @ Rockies"/>
    <s v="Mets Moneyline"/>
    <n v="20.95"/>
    <n v="-155"/>
    <s v="L"/>
    <n v="-20.95"/>
    <x v="6"/>
  </r>
  <r>
    <x v="127"/>
    <x v="6"/>
    <s v="Royals @ Athletics"/>
    <s v="Athletics Moneyline"/>
    <n v="23.94"/>
    <n v="-286"/>
    <s v="L"/>
    <n v="-23.94"/>
    <x v="6"/>
  </r>
  <r>
    <x v="127"/>
    <x v="0"/>
    <s v="Browns @ Jets"/>
    <s v="Under 46"/>
    <n v="20"/>
    <n v="-110"/>
    <s v="W"/>
    <n v="18.181818181818183"/>
    <x v="1"/>
  </r>
  <r>
    <x v="127"/>
    <x v="0"/>
    <s v="Browns @ Jets"/>
    <s v="Jets +6.5"/>
    <n v="20"/>
    <n v="-103"/>
    <s v="L"/>
    <n v="-20"/>
    <x v="3"/>
  </r>
  <r>
    <x v="127"/>
    <x v="0"/>
    <s v="Browns @ Jets"/>
    <s v="Jets Moneyline"/>
    <n v="10"/>
    <s v="+235"/>
    <s v="L"/>
    <n v="-10"/>
    <x v="4"/>
  </r>
  <r>
    <x v="128"/>
    <x v="0"/>
    <s v="Titans @ Jaguars"/>
    <s v="Titans -1.5"/>
    <n v="20.41"/>
    <n v="-110"/>
    <s v="L"/>
    <n v="-20.41"/>
    <x v="0"/>
  </r>
  <r>
    <x v="128"/>
    <x v="0"/>
    <s v="Titans @ Jaguars"/>
    <s v="Over 39"/>
    <n v="18.84"/>
    <n v="-110"/>
    <s v="L"/>
    <n v="-18.84"/>
    <x v="2"/>
  </r>
  <r>
    <x v="128"/>
    <x v="0"/>
    <s v="Titans @ Jaguars"/>
    <s v="Jaguars Moneyline_x000a_Minshew 2+ TDs"/>
    <n v="25"/>
    <n v="275"/>
    <s v="W"/>
    <n v="68.75"/>
    <x v="7"/>
  </r>
  <r>
    <x v="129"/>
    <x v="8"/>
    <s v="Pittsburgh @ UCF"/>
    <s v="UCF -10.5"/>
    <n v="20"/>
    <n v="-110"/>
    <s v="L"/>
    <n v="-20"/>
    <x v="0"/>
  </r>
  <r>
    <x v="129"/>
    <x v="8"/>
    <s v="Washington @ BYU"/>
    <s v="Washington -6.5"/>
    <n v="20"/>
    <n v="-118"/>
    <s v="W"/>
    <n v="16.949152542372879"/>
    <x v="0"/>
  </r>
  <r>
    <x v="129"/>
    <x v="8"/>
    <s v="Nebraska @ Illinois"/>
    <s v="Nebraska -12"/>
    <n v="20"/>
    <n v="-110"/>
    <s v="L"/>
    <n v="-20"/>
    <x v="0"/>
  </r>
  <r>
    <x v="130"/>
    <x v="0"/>
    <s v="Rams @ Browns"/>
    <s v="Under 32.5"/>
    <n v="20"/>
    <n v="-105"/>
    <s v="L"/>
    <n v="-20"/>
    <x v="1"/>
  </r>
  <r>
    <x v="131"/>
    <x v="0"/>
    <s v="Bears @ Redskins"/>
    <s v="Redskins -5.5"/>
    <n v="20"/>
    <n v="-110"/>
    <s v="L"/>
    <n v="-20"/>
    <x v="0"/>
  </r>
  <r>
    <x v="132"/>
    <x v="0"/>
    <s v="Eagles @ Packers"/>
    <s v="Eagles -4"/>
    <n v="20"/>
    <n v="-110"/>
    <s v="W"/>
    <n v="18.181818181818183"/>
    <x v="0"/>
  </r>
  <r>
    <x v="132"/>
    <x v="0"/>
    <s v="Eagles @ Packers"/>
    <s v="Eagles Moneyline_x000a_Nelson Agholor 1+ TD"/>
    <n v="20"/>
    <n v="550"/>
    <s v="L"/>
    <n v="-20"/>
    <x v="7"/>
  </r>
  <r>
    <x v="133"/>
    <x v="8"/>
    <s v="Ohio State @ Nebrasksa"/>
    <s v="Ohio State -17"/>
    <n v="25"/>
    <n v="-110"/>
    <s v="W"/>
    <n v="22.727272727272727"/>
    <x v="0"/>
  </r>
  <r>
    <x v="133"/>
    <x v="8"/>
    <s v="Virginia @ Notre Dame"/>
    <s v="Virginia +10.5"/>
    <n v="20"/>
    <n v="-110"/>
    <s v="L"/>
    <n v="-20"/>
    <x v="3"/>
  </r>
  <r>
    <x v="134"/>
    <x v="0"/>
    <s v="Chiefs @ Lions"/>
    <s v="Lions +7"/>
    <n v="10"/>
    <n v="100"/>
    <s v="W"/>
    <n v="10"/>
    <x v="3"/>
  </r>
  <r>
    <x v="134"/>
    <x v="0"/>
    <s v="Cowboys @ Saints"/>
    <s v="Cowobys -2.5"/>
    <n v="20"/>
    <n v="-118"/>
    <s v="L"/>
    <n v="-20"/>
    <x v="0"/>
  </r>
  <r>
    <x v="134"/>
    <x v="0"/>
    <s v="3 Team Parlay"/>
    <s v="Bears Moneyline_x000a_Jaguars Moneyline_x000a_Rams Moneyline"/>
    <n v="20"/>
    <n v="450"/>
    <s v="L"/>
    <n v="-20"/>
    <x v="7"/>
  </r>
  <r>
    <x v="135"/>
    <x v="0"/>
    <s v="Bengals @ Steelers"/>
    <s v="Over 44.5"/>
    <n v="20"/>
    <n v="-110"/>
    <s v="L"/>
    <n v="-20"/>
    <x v="2"/>
  </r>
  <r>
    <x v="135"/>
    <x v="0"/>
    <s v="Bengals @ Steelers"/>
    <s v="Steelers -3.5"/>
    <n v="20"/>
    <n v="100"/>
    <s v="W"/>
    <n v="20"/>
    <x v="0"/>
  </r>
  <r>
    <x v="136"/>
    <x v="0"/>
    <s v="Rams @ Seahawks"/>
    <s v="Under 49"/>
    <n v="19.98"/>
    <n v="-110"/>
    <s v="L"/>
    <n v="-19.98"/>
    <x v="1"/>
  </r>
  <r>
    <x v="137"/>
    <x v="8"/>
    <s v="Michigan State @ Ohio State"/>
    <s v="Ohio State -19.5"/>
    <n v="20"/>
    <n v="-113"/>
    <s v="W"/>
    <n v="17.699115044247787"/>
    <x v="0"/>
  </r>
  <r>
    <x v="138"/>
    <x v="0"/>
    <s v="Cardinals @ Bengals"/>
    <s v="Cardinals +3"/>
    <n v="18.940000000000001"/>
    <n v="-115"/>
    <s v="W"/>
    <n v="16.469565217391306"/>
    <x v="3"/>
  </r>
  <r>
    <x v="138"/>
    <x v="0"/>
    <s v="Cardinals @ Bengals"/>
    <s v="Under 46.5"/>
    <n v="20.010000000000002"/>
    <n v="-110"/>
    <s v="L"/>
    <n v="-20.010000000000002"/>
    <x v="1"/>
  </r>
  <r>
    <x v="138"/>
    <x v="0"/>
    <s v="Falcons @ Texans"/>
    <s v="Under 49"/>
    <n v="19.5"/>
    <n v="-110"/>
    <s v="L"/>
    <n v="-19.5"/>
    <x v="1"/>
  </r>
  <r>
    <x v="138"/>
    <x v="0"/>
    <s v="Ravens @ Steelers"/>
    <s v="Ravens -3"/>
    <n v="18.97"/>
    <n v="-120"/>
    <s v="Push"/>
    <n v="0"/>
    <x v="0"/>
  </r>
  <r>
    <x v="138"/>
    <x v="0"/>
    <s v="Ravens @ Steelers"/>
    <s v="Over 43.5"/>
    <n v="19.53"/>
    <n v="-110"/>
    <s v="W"/>
    <n v="17.754545454545458"/>
    <x v="2"/>
  </r>
  <r>
    <x v="138"/>
    <x v="0"/>
    <s v="Bills @ Titans"/>
    <s v="Bills +3.5"/>
    <n v="19.25"/>
    <n v="-114"/>
    <s v="W"/>
    <n v="16.885964912280702"/>
    <x v="3"/>
  </r>
  <r>
    <x v="138"/>
    <x v="0"/>
    <s v="Jaguars @ Panthers"/>
    <s v="Jaguars +3.5"/>
    <n v="18.64"/>
    <n v="-110"/>
    <s v="L"/>
    <n v="-18.64"/>
    <x v="3"/>
  </r>
  <r>
    <x v="138"/>
    <x v="0"/>
    <s v="Vikings @ Giants"/>
    <s v="Giants +5.5"/>
    <n v="18.66"/>
    <n v="-110"/>
    <s v="L"/>
    <n v="-18.66"/>
    <x v="3"/>
  </r>
  <r>
    <x v="138"/>
    <x v="0"/>
    <s v="Vikings @ Giants"/>
    <s v="Over 43.5"/>
    <n v="19.73"/>
    <n v="-110"/>
    <s v="L"/>
    <n v="-19.73"/>
    <x v="2"/>
  </r>
  <r>
    <x v="138"/>
    <x v="0"/>
    <s v="Buccaneers @ Saints"/>
    <s v="Buccaneers +3"/>
    <n v="19.25"/>
    <n v="-110"/>
    <s v="L"/>
    <n v="-19.25"/>
    <x v="3"/>
  </r>
  <r>
    <x v="138"/>
    <x v="0"/>
    <s v="Colts @ Chiefs"/>
    <s v="Colts +10.5"/>
    <n v="16.63"/>
    <n v="-110"/>
    <s v="W"/>
    <n v="15.118181818181817"/>
    <x v="3"/>
  </r>
  <r>
    <x v="138"/>
    <x v="0"/>
    <s v="Colts @ Chiefs"/>
    <s v="Under 55.5"/>
    <n v="21.25"/>
    <n v="-110"/>
    <s v="W"/>
    <n v="19.318181818181817"/>
    <x v="1"/>
  </r>
  <r>
    <x v="139"/>
    <x v="0"/>
    <s v="Browns @ 49ers"/>
    <s v="Browns +4.5"/>
    <n v="20"/>
    <n v="100"/>
    <s v="L"/>
    <n v="-20"/>
    <x v="3"/>
  </r>
  <r>
    <x v="140"/>
    <x v="0"/>
    <s v="Giants @ Patriots"/>
    <s v="Giants Under 14.5_x000a_Patriots Defensive TD"/>
    <n v="25"/>
    <n v="600"/>
    <s v="W"/>
    <n v="150"/>
    <x v="7"/>
  </r>
  <r>
    <x v="141"/>
    <x v="8"/>
    <s v="Washington State @ Arizona"/>
    <s v="Washington St -1.5"/>
    <n v="20"/>
    <n v="100"/>
    <s v="L"/>
    <n v="-20"/>
    <x v="0"/>
  </r>
  <r>
    <x v="141"/>
    <x v="8"/>
    <s v="Middle Tenn. @ Florida Atlantic"/>
    <s v="Florida Atlantic -11"/>
    <n v="20"/>
    <n v="100"/>
    <s v="W"/>
    <n v="20"/>
    <x v="0"/>
  </r>
  <r>
    <x v="141"/>
    <x v="8"/>
    <s v="Penn State @ Iowa"/>
    <s v="Penn State -3.5"/>
    <n v="20"/>
    <n v="100"/>
    <s v="W"/>
    <n v="20"/>
    <x v="0"/>
  </r>
  <r>
    <x v="142"/>
    <x v="0"/>
    <s v="Lions @ Packers"/>
    <s v="Lions +3.5"/>
    <n v="25"/>
    <n v="-114"/>
    <s v="W"/>
    <n v="21.929824561403507"/>
    <x v="3"/>
  </r>
  <r>
    <x v="143"/>
    <x v="8"/>
    <s v="UCLA @ Stanford"/>
    <s v="Over 50.5"/>
    <n v="20"/>
    <n v="-110"/>
    <s v="L"/>
    <n v="-20"/>
    <x v="2"/>
  </r>
  <r>
    <x v="143"/>
    <x v="8"/>
    <s v="UCLA @ Stanford"/>
    <s v="UCLA +4"/>
    <n v="20"/>
    <n v="-110"/>
    <s v="W"/>
    <n v="18.181818181818183"/>
    <x v="3"/>
  </r>
  <r>
    <x v="143"/>
    <x v="0"/>
    <s v="Chiefs @ Broncos"/>
    <s v="Broncos +3"/>
    <n v="20"/>
    <n v="-110"/>
    <s v="L"/>
    <n v="-20"/>
    <x v="3"/>
  </r>
  <r>
    <x v="143"/>
    <x v="0"/>
    <s v="Chiefs @ Broncos"/>
    <s v="Under 48.5"/>
    <n v="20"/>
    <n v="-110"/>
    <s v="W"/>
    <n v="18.181818181818183"/>
    <x v="1"/>
  </r>
  <r>
    <x v="144"/>
    <x v="8"/>
    <s v="Pittsburgh @ Syracuse"/>
    <s v="Syracuse +3.5"/>
    <n v="20"/>
    <n v="-108"/>
    <s v="L"/>
    <n v="-20"/>
    <x v="3"/>
  </r>
  <r>
    <x v="144"/>
    <x v="8"/>
    <s v="Marshall @ Florida Atlantic"/>
    <s v="Marshall +4.5"/>
    <n v="20"/>
    <n v="-110"/>
    <s v="W"/>
    <n v="18.181818181818183"/>
    <x v="3"/>
  </r>
  <r>
    <x v="145"/>
    <x v="8"/>
    <s v="Florida @ South Carolina"/>
    <s v="Florida -4"/>
    <n v="20"/>
    <n v="-110"/>
    <s v="W"/>
    <n v="18.181818181818183"/>
    <x v="0"/>
  </r>
  <r>
    <x v="145"/>
    <x v="8"/>
    <s v="Oregon @ Washington"/>
    <s v="Oregon -2.5"/>
    <n v="20"/>
    <n v="-117"/>
    <s v="W"/>
    <n v="17.094017094017094"/>
    <x v="0"/>
  </r>
  <r>
    <x v="145"/>
    <x v="8"/>
    <s v="Duke @ Virginia"/>
    <s v="Duke +3.5"/>
    <n v="20"/>
    <n v="-108"/>
    <s v="L"/>
    <n v="-20"/>
    <x v="3"/>
  </r>
  <r>
    <x v="145"/>
    <x v="8"/>
    <s v="Michigan @ Penn State"/>
    <s v="Michigan +7.5"/>
    <n v="20"/>
    <n v="-110"/>
    <s v="W"/>
    <n v="18.181818181818183"/>
    <x v="3"/>
  </r>
  <r>
    <x v="146"/>
    <x v="0"/>
    <s v="Cardinals @ Giants"/>
    <s v="Cardinals +4"/>
    <n v="20"/>
    <n v="-118"/>
    <s v="W"/>
    <n v="16.949152542372879"/>
    <x v="3"/>
  </r>
  <r>
    <x v="146"/>
    <x v="0"/>
    <s v="Chargers @ Titans"/>
    <s v="Chargers +3"/>
    <n v="20"/>
    <n v="-114"/>
    <s v="Push"/>
    <n v="0"/>
    <x v="3"/>
  </r>
  <r>
    <x v="146"/>
    <x v="0"/>
    <s v="Ravens @ Seahawks"/>
    <s v="Ravens +3.5_x000a_Under 49.5"/>
    <n v="20"/>
    <n v="235"/>
    <s v="W"/>
    <n v="47"/>
    <x v="7"/>
  </r>
  <r>
    <x v="146"/>
    <x v="0"/>
    <s v="Saints @ Bears"/>
    <s v="Saints Moneyline"/>
    <n v="20"/>
    <n v="180"/>
    <s v="W"/>
    <n v="36"/>
    <x v="4"/>
  </r>
  <r>
    <x v="146"/>
    <x v="0"/>
    <s v="Eagles @ Cowboys"/>
    <s v="Eagles +7"/>
    <n v="20"/>
    <n v="100"/>
    <s v="L"/>
    <n v="-20"/>
    <x v="3"/>
  </r>
  <r>
    <x v="147"/>
    <x v="0"/>
    <s v="Patriots @ Jets"/>
    <s v="Patriots -9.5"/>
    <n v="20"/>
    <n v="-121"/>
    <s v="W"/>
    <n v="16.528925619834713"/>
    <x v="0"/>
  </r>
  <r>
    <x v="148"/>
    <x v="0"/>
    <s v="Redskins @ Vikings"/>
    <s v="Redskins 2+ Turnovers_x000a_Vikings Moneyline"/>
    <n v="20"/>
    <n v="-120"/>
    <s v="W"/>
    <n v="16.666666666666664"/>
    <x v="7"/>
  </r>
  <r>
    <x v="148"/>
    <x v="0"/>
    <s v="Redskins @ Vikings"/>
    <s v="Redskins +16.5"/>
    <n v="20"/>
    <n v="-110"/>
    <s v="W"/>
    <n v="18.181818181818183"/>
    <x v="3"/>
  </r>
  <r>
    <x v="149"/>
    <x v="0"/>
    <s v="Packers @ Chiefs"/>
    <s v="Packers -5.5"/>
    <n v="20"/>
    <n v="-110"/>
    <s v="W"/>
    <n v="18.181818181818183"/>
    <x v="0"/>
  </r>
  <r>
    <x v="150"/>
    <x v="0"/>
    <s v="Dolphins @ Steelers"/>
    <s v="JuJu 100+ Receiving Yards_x000a_JuJu 1+ TD"/>
    <n v="10"/>
    <n v="400"/>
    <s v="W"/>
    <n v="40"/>
    <x v="7"/>
  </r>
  <r>
    <x v="151"/>
    <x v="6"/>
    <s v="Nationals @ Astros"/>
    <s v="Astros -1.5"/>
    <n v="20"/>
    <n v="155"/>
    <s v="L"/>
    <n v="-20"/>
    <x v="0"/>
  </r>
  <r>
    <x v="152"/>
    <x v="8"/>
    <s v="Georgia Southern @ Appalachian State"/>
    <s v="Appalachian State -15"/>
    <n v="20"/>
    <n v="-110"/>
    <s v="L"/>
    <n v="-20"/>
    <x v="0"/>
  </r>
  <r>
    <x v="152"/>
    <x v="8"/>
    <s v="Georgia Southern @ Appalachian State"/>
    <s v="Over 44.5"/>
    <n v="20"/>
    <n v="-110"/>
    <s v="W"/>
    <n v="18.181818181818183"/>
    <x v="2"/>
  </r>
  <r>
    <x v="152"/>
    <x v="8"/>
    <s v="West Virginia @ Baylor"/>
    <s v="Baylor -19"/>
    <n v="20"/>
    <n v="-110"/>
    <s v="L"/>
    <n v="-20"/>
    <x v="0"/>
  </r>
  <r>
    <x v="152"/>
    <x v="0"/>
    <s v="49ers @ Cardinals"/>
    <s v="Over 49.5_x000a_Kittle over 49.5 Receiving Yards"/>
    <n v="25"/>
    <n v="250"/>
    <s v="W"/>
    <n v="62.5"/>
    <x v="7"/>
  </r>
  <r>
    <x v="152"/>
    <x v="0"/>
    <s v="49ers @ Cardinals"/>
    <s v="49ers -10"/>
    <n v="20"/>
    <n v="-118"/>
    <s v="L"/>
    <n v="-20"/>
    <x v="0"/>
  </r>
  <r>
    <x v="153"/>
    <x v="8"/>
    <s v="SMU @ Memphis"/>
    <s v="SMU +5.5"/>
    <n v="20"/>
    <n v="-110"/>
    <s v="L"/>
    <n v="-20"/>
    <x v="3"/>
  </r>
  <r>
    <x v="153"/>
    <x v="8"/>
    <s v="Oregon @ USC"/>
    <s v="Oregon -3.5"/>
    <n v="20"/>
    <n v="-110"/>
    <s v="W"/>
    <n v="18.181818181818183"/>
    <x v="0"/>
  </r>
  <r>
    <x v="154"/>
    <x v="0"/>
    <s v="Bears @ Eagles_x000a_Colts @ Steelers_x000a_Jets @ Dolphins_x000a_Vikings @ Chiefs_x000a_Titans @ Panthers_x000a_Redskins @ Bills"/>
    <s v="Bears Moneyline_x000a_Steelers Moneyline_x000a_Jets Moneyline_x000a_Vikings Moneyline_x000a_Titans Moneyline_x000a_Bills Moneyline"/>
    <n v="20"/>
    <n v="3430"/>
    <s v="L"/>
    <n v="-20"/>
    <x v="7"/>
  </r>
  <r>
    <x v="154"/>
    <x v="0"/>
    <s v="Lions @ Raiders_x000a_Buccaneers @ Seahawks_x000a_Packers @ Chargers"/>
    <s v="Lions Moneyline_x000a_Seahawks Moneyline_x000a_Packers Moneyline"/>
    <n v="20"/>
    <n v="372"/>
    <s v="L"/>
    <n v="-20"/>
    <x v="7"/>
  </r>
  <r>
    <x v="154"/>
    <x v="0"/>
    <s v="Patriots @ Ravens"/>
    <s v="Patriots -3"/>
    <n v="50"/>
    <n v="-115"/>
    <s v="L"/>
    <n v="-50"/>
    <x v="0"/>
  </r>
  <r>
    <x v="154"/>
    <x v="0"/>
    <s v="Colts @ Steelers"/>
    <s v="Colts +1.5"/>
    <n v="20"/>
    <n v="-110"/>
    <s v="L"/>
    <n v="-20"/>
    <x v="3"/>
  </r>
  <r>
    <x v="154"/>
    <x v="0"/>
    <s v="Colts @ Steelers"/>
    <s v="Over 40.5"/>
    <n v="20"/>
    <n v="-110"/>
    <s v="W"/>
    <n v="18.181818181818183"/>
    <x v="2"/>
  </r>
  <r>
    <x v="154"/>
    <x v="0"/>
    <s v="Titans @ Panthers"/>
    <s v="Titans +3.5"/>
    <n v="20"/>
    <n v="-118"/>
    <s v="L"/>
    <n v="-20"/>
    <x v="3"/>
  </r>
  <r>
    <x v="154"/>
    <x v="0"/>
    <s v="Vikings @ Chiefs"/>
    <s v="Chiefs +6"/>
    <n v="20"/>
    <n v="-118"/>
    <s v="W"/>
    <n v="16.949152542372879"/>
    <x v="3"/>
  </r>
  <r>
    <x v="154"/>
    <x v="0"/>
    <s v="Titans @ Panthers"/>
    <s v="Over 43"/>
    <n v="20"/>
    <n v="100"/>
    <s v="W"/>
    <n v="20"/>
    <x v="2"/>
  </r>
  <r>
    <x v="154"/>
    <x v="0"/>
    <s v="Redskins @ Bills"/>
    <s v="Redskins +10.5"/>
    <n v="20"/>
    <n v="-110"/>
    <s v="L"/>
    <n v="-20"/>
    <x v="3"/>
  </r>
  <r>
    <x v="154"/>
    <x v="0"/>
    <s v="Bears @ Eagles"/>
    <s v="Bears +5.5"/>
    <n v="20"/>
    <n v="-105"/>
    <s v="L"/>
    <n v="-20"/>
    <x v="3"/>
  </r>
  <r>
    <x v="154"/>
    <x v="0"/>
    <s v="_x000a_Colts @ Steelers_x000a_Lions @ Raiders_x000a_Browns @ Broncos_x000a_Packers @ Chargers_x000a_Patriots @ Ravens"/>
    <s v="At least 3 of 5 to cover_x000a_Colts -1.5_x000a_Raiders -2.5_x000a_Browns -3.5_x000a_Packers -3.5_x000a_Patriots -3"/>
    <n v="20"/>
    <n v="100"/>
    <s v="L"/>
    <n v="-20"/>
    <x v="7"/>
  </r>
  <r>
    <x v="154"/>
    <x v="0"/>
    <s v="Lions @ Raiders"/>
    <s v="Lions +2.5"/>
    <n v="20"/>
    <n v="100"/>
    <s v="L"/>
    <n v="-20"/>
    <x v="3"/>
  </r>
  <r>
    <x v="154"/>
    <x v="0"/>
    <s v="Buccaneers @ Seahawks"/>
    <s v="Buccaneers +4"/>
    <n v="20"/>
    <n v="-118"/>
    <s v="L"/>
    <n v="-20"/>
    <x v="3"/>
  </r>
  <r>
    <x v="154"/>
    <x v="0"/>
    <s v="Browns @ Broncos"/>
    <s v="Broncos +3.5"/>
    <n v="20"/>
    <n v="-110"/>
    <s v="W"/>
    <n v="18.181818181818183"/>
    <x v="3"/>
  </r>
  <r>
    <x v="154"/>
    <x v="0"/>
    <s v="Packers @ Chargers"/>
    <s v="Packers -4"/>
    <n v="20"/>
    <n v="-110"/>
    <s v="L"/>
    <n v="-20"/>
    <x v="0"/>
  </r>
  <r>
    <x v="154"/>
    <x v="0"/>
    <s v="Patriots @ Ravens"/>
    <s v="Patriots -3"/>
    <n v="50"/>
    <n v="-110"/>
    <s v="L"/>
    <n v="-50"/>
    <x v="0"/>
  </r>
  <r>
    <x v="155"/>
    <x v="1"/>
    <s v="Pistons @ Wizards"/>
    <s v="Over 225"/>
    <n v="21.28"/>
    <n v="-112"/>
    <s v="L"/>
    <n v="-21.28"/>
    <x v="2"/>
  </r>
  <r>
    <x v="155"/>
    <x v="1"/>
    <s v="Pelicans @ Nets"/>
    <s v="Pelicans +3.5"/>
    <n v="20.803757607963668"/>
    <n v="-109"/>
    <s v="L"/>
    <n v="-20.803757607963668"/>
    <x v="3"/>
  </r>
  <r>
    <x v="155"/>
    <x v="1"/>
    <s v="Pelicans @ Nets"/>
    <s v="Under 237"/>
    <n v="19.282428078307824"/>
    <n v="-113"/>
    <s v="L"/>
    <n v="-19.282428078307824"/>
    <x v="1"/>
  </r>
  <r>
    <x v="155"/>
    <x v="1"/>
    <s v="Bucks @ Timberwolves"/>
    <s v="Timberwolves +6"/>
    <n v="19.196242392036332"/>
    <n v="-109"/>
    <s v="L"/>
    <n v="-19.196242392036332"/>
    <x v="3"/>
  </r>
  <r>
    <x v="155"/>
    <x v="1"/>
    <s v="76ers @ Suns"/>
    <s v="Under 224"/>
    <n v="19.341687590238344"/>
    <n v="-109"/>
    <s v="W"/>
    <n v="17.744667513980129"/>
    <x v="1"/>
  </r>
  <r>
    <x v="156"/>
    <x v="1"/>
    <s v="Celtics @ Cavaliers"/>
    <s v="Celtics -6"/>
    <n v="19.193997834288691"/>
    <n v="-110"/>
    <s v="Push"/>
    <n v="0"/>
    <x v="0"/>
  </r>
  <r>
    <x v="156"/>
    <x v="1"/>
    <s v="Spurs @ Hawks"/>
    <s v="Hawks +4.5"/>
    <n v="17.463975967530157"/>
    <n v="-113"/>
    <s v="W"/>
    <n v="15.454845988964742"/>
    <x v="3"/>
  </r>
  <r>
    <x v="156"/>
    <x v="1"/>
    <s v="Lakers @ Bulls"/>
    <s v="Lakers -7"/>
    <n v="19.498391548361479"/>
    <n v="-110"/>
    <s v="L"/>
    <n v="-19.498391548361479"/>
    <x v="0"/>
  </r>
  <r>
    <x v="156"/>
    <x v="1"/>
    <s v="Lakers @ Bulls"/>
    <s v="Under 214.5"/>
    <n v="20.008327059165168"/>
    <n v="-109"/>
    <s v="L"/>
    <n v="-20.008327059165168"/>
    <x v="1"/>
  </r>
  <r>
    <x v="156"/>
    <x v="1"/>
    <s v="Magic @ Thunder"/>
    <s v="Thunder -3"/>
    <n v="16.318370686039696"/>
    <n v="-112"/>
    <s v="W"/>
    <n v="14.569973826821156"/>
    <x v="0"/>
  </r>
  <r>
    <x v="156"/>
    <x v="1"/>
    <s v="Magic @ Thunder"/>
    <s v="Over 201.5"/>
    <n v="19.991672940834832"/>
    <n v="-112"/>
    <s v="L"/>
    <n v="-19.991672940834832"/>
    <x v="2"/>
  </r>
  <r>
    <x v="156"/>
    <x v="1"/>
    <s v="Heat @ Nuggets"/>
    <s v="Heat +4.5"/>
    <n v="27.525263963779985"/>
    <n v="-109"/>
    <s v="L"/>
    <n v="-27.525263963779985"/>
    <x v="3"/>
  </r>
  <r>
    <x v="156"/>
    <x v="1"/>
    <s v="Celtics @ Cavaliers_x000a_Lakers @ Bulls_x000a_Magic @ Thunder_x000a_Heat @ Nuggets"/>
    <s v="Celtics Moneyline_x000a_Lakers Moneyline_x000a_Thunder Moneyline_x000a_Heat Moneyline"/>
    <n v="10"/>
    <n v="709"/>
    <s v="L"/>
    <n v="-10"/>
    <x v="7"/>
  </r>
  <r>
    <x v="156"/>
    <x v="2"/>
    <s v="Kansas @ Duke"/>
    <s v="Kansas -1.5"/>
    <n v="20"/>
    <n v="-118"/>
    <s v="L"/>
    <n v="-20"/>
    <x v="0"/>
  </r>
  <r>
    <x v="156"/>
    <x v="8"/>
    <s v="Ball State @ Western Michigan"/>
    <s v="Ball State +6.5"/>
    <n v="20"/>
    <n v="-110"/>
    <s v="W"/>
    <n v="18.181818181818183"/>
    <x v="3"/>
  </r>
  <r>
    <x v="157"/>
    <x v="0"/>
    <s v="Bills @ Browns"/>
    <s v="Bills +3"/>
    <n v="20"/>
    <n v="-110"/>
    <s v="Push"/>
    <n v="0"/>
    <x v="3"/>
  </r>
  <r>
    <x v="158"/>
    <x v="2"/>
    <s v="Southern @ Wright State"/>
    <s v="Over 143.5"/>
    <n v="20"/>
    <n v="-110"/>
    <s v="W"/>
    <n v="18.181818181818183"/>
    <x v="2"/>
  </r>
  <r>
    <x v="158"/>
    <x v="2"/>
    <s v="Austin Peay @ West Virginia"/>
    <s v="Austin Peay +15.5"/>
    <n v="20"/>
    <n v="-109"/>
    <s v="L"/>
    <n v="-20"/>
    <x v="3"/>
  </r>
  <r>
    <x v="158"/>
    <x v="2"/>
    <s v="Iowa @ Iowa State"/>
    <s v="Iowa +4"/>
    <n v="20"/>
    <n v="-112"/>
    <s v="W"/>
    <n v="17.857142857142858"/>
    <x v="3"/>
  </r>
  <r>
    <x v="158"/>
    <x v="2"/>
    <s v="Iowa @ Iowa State"/>
    <s v="Under 157.5"/>
    <n v="20"/>
    <n v="-109"/>
    <s v="W"/>
    <n v="18.348623853211009"/>
    <x v="1"/>
  </r>
  <r>
    <x v="158"/>
    <x v="2"/>
    <s v="Northern Iowa @ Grand Canyon"/>
    <s v="Northern Iowa -7"/>
    <n v="20"/>
    <n v="-110"/>
    <s v="W"/>
    <n v="18.181818181818183"/>
    <x v="0"/>
  </r>
  <r>
    <x v="158"/>
    <x v="0"/>
    <s v="Jets @ Ravens"/>
    <s v="Ravens -17"/>
    <n v="21.2"/>
    <n v="-106"/>
    <s v="W"/>
    <n v="20"/>
    <x v="0"/>
  </r>
  <r>
    <x v="159"/>
    <x v="1"/>
    <s v="76ers @ Magic_x000a_Wizards @ Celtics_x000a_Warriors @ Lakers_x000a_Raptors @ Trail Blazers"/>
    <s v="76ers Moneyline (120) L_x000a_Celtics Moneyline (-400) W_x000a_Lakers Moneyline (-450) W_x000a_Raptors Moneyline (115) W"/>
    <n v="10"/>
    <s v="623"/>
    <s v="L"/>
    <n v="-10"/>
    <x v="7"/>
  </r>
  <r>
    <x v="160"/>
    <x v="1"/>
    <s v="Clippers @ Pelicans"/>
    <s v="Clippers -4.5"/>
    <n v="19.59249486735839"/>
    <n v="-112"/>
    <s v="L"/>
    <n v="-19.59249486735839"/>
    <x v="0"/>
  </r>
  <r>
    <x v="160"/>
    <x v="1"/>
    <s v="Bulls @ Bucks"/>
    <s v="Over 229.5"/>
    <n v="19.205978240580794"/>
    <n v="-109"/>
    <s v="W"/>
    <n v="17.620163523468619"/>
    <x v="2"/>
  </r>
  <r>
    <x v="160"/>
    <x v="1"/>
    <s v="Mavericks @ Knicks"/>
    <s v="Mavericks -7.5"/>
    <n v="19.660350133837273"/>
    <n v="-110"/>
    <s v="L"/>
    <n v="-19.660350133837273"/>
    <x v="0"/>
  </r>
  <r>
    <x v="160"/>
    <x v="1"/>
    <s v="Mavericks @ Knicks"/>
    <s v="Over 215.5"/>
    <n v="22.228097637606808"/>
    <n v="-112"/>
    <s v="L"/>
    <n v="-22.228097637606808"/>
    <x v="2"/>
  </r>
  <r>
    <x v="160"/>
    <x v="1"/>
    <s v="Nets @ Nuggets"/>
    <s v="Over 222.5"/>
    <n v="20.615886518713555"/>
    <n v="-108"/>
    <s v="L"/>
    <n v="-20.615886518713555"/>
    <x v="2"/>
  </r>
  <r>
    <x v="160"/>
    <x v="1"/>
    <s v="Heat @ Cavaliers"/>
    <s v="Heat -4.5"/>
    <n v="20.747154998804334"/>
    <n v="-112"/>
    <s v="W"/>
    <n v="18.524245534646727"/>
    <x v="0"/>
  </r>
  <r>
    <x v="160"/>
    <x v="1"/>
    <s v="Heat @ Cavaliers"/>
    <s v="Over 215"/>
    <n v="17.950037603098835"/>
    <n v="-108"/>
    <s v="L"/>
    <n v="-17.950037603098835"/>
    <x v="2"/>
  </r>
  <r>
    <x v="160"/>
    <x v="8"/>
    <s v="Buffalo @ Kent State"/>
    <s v="Buffalo -5"/>
    <n v="19.71"/>
    <n v="-110"/>
    <s v="L"/>
    <n v="-19.71"/>
    <x v="0"/>
  </r>
  <r>
    <x v="160"/>
    <x v="8"/>
    <s v="North Carolina @ Pitt"/>
    <s v="North Carolina +4"/>
    <n v="20.29"/>
    <n v="-118"/>
    <s v="L"/>
    <n v="-20.29"/>
    <x v="3"/>
  </r>
  <r>
    <x v="160"/>
    <x v="8"/>
    <s v="North Carolina @ Pitt"/>
    <s v="Under 49.5"/>
    <n v="20"/>
    <n v="-110"/>
    <s v="L"/>
    <n v="-20"/>
    <x v="1"/>
  </r>
  <r>
    <x v="160"/>
    <x v="0"/>
    <s v="Steelers @ Browns"/>
    <s v="Steelers +3"/>
    <n v="20"/>
    <n v="-110"/>
    <s v="L"/>
    <n v="-20"/>
    <x v="3"/>
  </r>
  <r>
    <x v="161"/>
    <x v="1"/>
    <s v="Jazz @ Grizzlies_x000a_Celtics @ Warriors_x000a_Kings @ Lakers"/>
    <s v="Jazz Moneyline (-315)_x000a_Celtics Moneyline (-305)_x000a_Lakers Moneyline (-625)"/>
    <n v="20"/>
    <n v="104"/>
    <s v="L"/>
    <n v="-20"/>
    <x v="7"/>
  </r>
  <r>
    <x v="162"/>
    <x v="8"/>
    <s v="Indiana @ Penn state"/>
    <s v="Penn State -15"/>
    <n v="20"/>
    <n v="-110"/>
    <s v="L"/>
    <n v="-20"/>
    <x v="0"/>
  </r>
  <r>
    <x v="162"/>
    <x v="8"/>
    <s v="Wisconsin @ Nebraska"/>
    <s v="Nebraska +14"/>
    <n v="20"/>
    <n v="-110"/>
    <s v="L"/>
    <n v="-20"/>
    <x v="3"/>
  </r>
  <r>
    <x v="162"/>
    <x v="8"/>
    <s v="Kansas @ Oklahoma State"/>
    <s v="Kansas +17.5"/>
    <n v="20"/>
    <n v="-110"/>
    <s v="L"/>
    <n v="-20"/>
    <x v="3"/>
  </r>
  <r>
    <x v="162"/>
    <x v="8"/>
    <s v="Michigan State @ Michigan"/>
    <s v="Michigan State +13.5"/>
    <n v="20"/>
    <n v="-110"/>
    <s v="L"/>
    <n v="-20"/>
    <x v="3"/>
  </r>
  <r>
    <x v="162"/>
    <x v="8"/>
    <s v="Florida @ Missouri"/>
    <s v="Florida -6.5"/>
    <n v="20"/>
    <n v="-110"/>
    <s v="W"/>
    <n v="18.181818181818183"/>
    <x v="0"/>
  </r>
  <r>
    <x v="162"/>
    <x v="8"/>
    <s v="Tulane @ Temple"/>
    <s v="Tulane -6.5"/>
    <n v="20"/>
    <n v="-110"/>
    <s v="L"/>
    <n v="-20"/>
    <x v="0"/>
  </r>
  <r>
    <x v="162"/>
    <x v="8"/>
    <s v="Alabama @ Mississippi State"/>
    <s v="Mississippi State +20"/>
    <n v="20"/>
    <n v="-110"/>
    <s v="L"/>
    <n v="-20"/>
    <x v="3"/>
  </r>
  <r>
    <x v="162"/>
    <x v="8"/>
    <s v="Georgia @ Auburn"/>
    <s v="Georgia -2.5"/>
    <n v="20"/>
    <n v="-125"/>
    <s v="W"/>
    <n v="16"/>
    <x v="0"/>
  </r>
  <r>
    <x v="162"/>
    <x v="8"/>
    <s v="Kentucky @ Vanderbilt"/>
    <s v="Kentucky -9.5"/>
    <n v="20"/>
    <n v="-110"/>
    <s v="W"/>
    <n v="18.181818181818183"/>
    <x v="0"/>
  </r>
  <r>
    <x v="162"/>
    <x v="8"/>
    <s v="Memphis @ Houston"/>
    <s v="Memphis -9.5"/>
    <n v="20"/>
    <n v="-112"/>
    <s v="W"/>
    <n v="17.857142857142858"/>
    <x v="0"/>
  </r>
  <r>
    <x v="162"/>
    <x v="8"/>
    <s v="Texas @ Iowa State"/>
    <s v="Iowa State -6.5"/>
    <n v="20"/>
    <n v="-121"/>
    <s v="L"/>
    <n v="-20"/>
    <x v="0"/>
  </r>
  <r>
    <x v="162"/>
    <x v="8"/>
    <s v="Virginia Tech @ Georgia Tech"/>
    <s v="Virginia Tech -6"/>
    <n v="20"/>
    <n v="-110"/>
    <s v="W"/>
    <n v="18.181818181818183"/>
    <x v="0"/>
  </r>
  <r>
    <x v="162"/>
    <x v="8"/>
    <s v="West Virginia @ Kansas State"/>
    <s v="West Virginia +14"/>
    <n v="20"/>
    <n v="-110"/>
    <s v="W"/>
    <n v="18.181818181818183"/>
    <x v="3"/>
  </r>
  <r>
    <x v="162"/>
    <x v="8"/>
    <s v="Minnesota @ Iowa"/>
    <s v="Iowa -3.5"/>
    <n v="20"/>
    <n v="-107"/>
    <s v="W"/>
    <n v="18.691588785046729"/>
    <x v="0"/>
  </r>
  <r>
    <x v="162"/>
    <x v="8"/>
    <s v="Wake Forest @ Clemson"/>
    <s v="Waker Forest +34.5"/>
    <n v="20"/>
    <n v="-112"/>
    <s v="L"/>
    <n v="-20"/>
    <x v="3"/>
  </r>
  <r>
    <x v="162"/>
    <x v="8"/>
    <s v="Arizona State @ Oregon State"/>
    <s v="Arizona State -1"/>
    <n v="20"/>
    <n v="-121"/>
    <s v="L"/>
    <n v="-20"/>
    <x v="0"/>
  </r>
  <r>
    <x v="162"/>
    <x v="8"/>
    <s v="Oklahoma @ Baylor"/>
    <s v="Oklahoma -10.5"/>
    <n v="20"/>
    <n v="-110"/>
    <s v="L"/>
    <n v="-20"/>
    <x v="0"/>
  </r>
  <r>
    <x v="162"/>
    <x v="8"/>
    <s v="South Carolina @ Texas A&amp;M"/>
    <s v="Texas A&amp;M -10.5"/>
    <n v="20"/>
    <n v="-110"/>
    <s v="W"/>
    <n v="18.181818181818183"/>
    <x v="0"/>
  </r>
  <r>
    <x v="162"/>
    <x v="8"/>
    <s v="UCLA @ Utah_x000a_USC @ California"/>
    <s v="UCLA +27.5 (L)_x000a_USC +2 (W)"/>
    <n v="40"/>
    <n v="-103"/>
    <s v="L"/>
    <n v="-40"/>
    <x v="7"/>
  </r>
  <r>
    <x v="163"/>
    <x v="0"/>
    <s v="Patriots @ Eagles"/>
    <s v="Brady &amp; Wentz 1 Passing TD Each"/>
    <n v="20"/>
    <n v="100"/>
    <s v="L"/>
    <n v="-20"/>
    <x v="5"/>
  </r>
  <r>
    <x v="163"/>
    <x v="0"/>
    <s v="Bears @ Rams"/>
    <s v="Bears Moneyline"/>
    <n v="20"/>
    <n v="210"/>
    <s v="L"/>
    <n v="-20"/>
    <x v="4"/>
  </r>
  <r>
    <x v="163"/>
    <x v="0"/>
    <s v="Bears @ Rams"/>
    <s v="Bears 17_x000a_Rams 28"/>
    <n v="2.59"/>
    <n v="10000"/>
    <s v="L"/>
    <n v="-2.59"/>
    <x v="7"/>
  </r>
  <r>
    <x v="164"/>
    <x v="1"/>
    <s v="Trail Blazers @ Bucks_x000a_Pelicans @ Suns"/>
    <s v="Bucks Moneyline (W)_x000a_Suns Moneyline (L)"/>
    <n v="20"/>
    <n v="-130"/>
    <s v="L"/>
    <n v="-20"/>
    <x v="7"/>
  </r>
  <r>
    <x v="164"/>
    <x v="0"/>
    <s v="Patriots @ Cowboys"/>
    <s v="Patriots -6"/>
    <n v="15"/>
    <n v="-110"/>
    <s v="L"/>
    <n v="-15"/>
    <x v="0"/>
  </r>
  <r>
    <x v="165"/>
    <x v="0"/>
    <s v="Panthers @ Saints"/>
    <s v="Panthers +9.5"/>
    <n v="20"/>
    <n v="-103"/>
    <s v="W"/>
    <n v="19.417475728155338"/>
    <x v="3"/>
  </r>
  <r>
    <x v="165"/>
    <x v="0"/>
    <s v="Lions @ Redskins"/>
    <s v="Lions -4"/>
    <n v="20"/>
    <n v="-110"/>
    <s v="L"/>
    <n v="-20"/>
    <x v="0"/>
  </r>
  <r>
    <x v="165"/>
    <x v="0"/>
    <s v="Lions @ Redskins"/>
    <s v="Over 39.5"/>
    <n v="20"/>
    <n v="-110"/>
    <s v="L"/>
    <n v="-20"/>
    <x v="2"/>
  </r>
  <r>
    <x v="165"/>
    <x v="0"/>
    <s v="Gaints @ Bears"/>
    <s v="Bears -6"/>
    <n v="20"/>
    <n v="-110"/>
    <s v="L"/>
    <n v="-20"/>
    <x v="0"/>
  </r>
  <r>
    <x v="165"/>
    <x v="0"/>
    <s v="Raiders @ Jets"/>
    <s v="Raiders -3.5"/>
    <n v="20"/>
    <n v="-105"/>
    <s v="L"/>
    <n v="-20"/>
    <x v="0"/>
  </r>
  <r>
    <x v="165"/>
    <x v="0"/>
    <s v="Steelers @ Bengals"/>
    <s v="Under 37"/>
    <n v="20"/>
    <n v="-110"/>
    <s v="W"/>
    <n v="18.181818181818183"/>
    <x v="1"/>
  </r>
  <r>
    <x v="165"/>
    <x v="0"/>
    <s v="Seahawks @ Eagles"/>
    <s v="Seahawks -2"/>
    <n v="20"/>
    <n v="-110"/>
    <s v="W"/>
    <n v="18.181818181818183"/>
    <x v="0"/>
  </r>
  <r>
    <x v="165"/>
    <x v="0"/>
    <s v="Buccaneers @ Falcons"/>
    <s v="Buccaneers +3.5"/>
    <n v="20"/>
    <n v="-110"/>
    <s v="W"/>
    <n v="18.181818181818183"/>
    <x v="3"/>
  </r>
  <r>
    <x v="166"/>
    <x v="0"/>
    <s v="Ravens @ Rams"/>
    <s v="Ravens -3.5"/>
    <n v="20"/>
    <n v="-103"/>
    <s v="W"/>
    <n v="19.417475728155338"/>
    <x v="0"/>
  </r>
  <r>
    <x v="166"/>
    <x v="0"/>
    <s v="Ravens @ Rams"/>
    <s v="Over 46.5"/>
    <n v="20"/>
    <n v="-110"/>
    <s v="W"/>
    <n v="18.181818181818183"/>
    <x v="2"/>
  </r>
  <r>
    <x v="167"/>
    <x v="0"/>
    <s v="Bears @ Lions"/>
    <s v="Bears -4.5"/>
    <n v="50"/>
    <n v="-110"/>
    <s v="L"/>
    <n v="-50"/>
    <x v="0"/>
  </r>
  <r>
    <x v="167"/>
    <x v="0"/>
    <s v="Bears @ Lions"/>
    <s v="Bears -5.5_x000a_Under 37"/>
    <n v="20"/>
    <n v="300"/>
    <s v="L"/>
    <n v="-20"/>
    <x v="7"/>
  </r>
  <r>
    <x v="167"/>
    <x v="0"/>
    <s v="Bills @ Cowboys"/>
    <s v="Bills +6.5_x000a_Under 47.5"/>
    <n v="20"/>
    <n v="225"/>
    <s v="W"/>
    <n v="45"/>
    <x v="7"/>
  </r>
  <r>
    <x v="168"/>
    <x v="0"/>
    <s v="Patriots @ Texans"/>
    <s v="Patriots -3"/>
    <n v="20"/>
    <n v="-118"/>
    <s v="L"/>
    <n v="-20"/>
    <x v="0"/>
  </r>
  <r>
    <x v="168"/>
    <x v="0"/>
    <s v="Raiders @ Chiefs"/>
    <s v="Raiders +12"/>
    <n v="40"/>
    <n v="-121"/>
    <s v="L"/>
    <n v="-40"/>
    <x v="3"/>
  </r>
  <r>
    <x v="169"/>
    <x v="0"/>
    <s v="Cowboys @ Bears"/>
    <s v="Bears Moneyline"/>
    <n v="20"/>
    <n v="245"/>
    <s v="W"/>
    <n v="49"/>
    <x v="4"/>
  </r>
  <r>
    <x v="170"/>
    <x v="0"/>
    <s v="Steelers @ Cardinals_x000a_Lions @ Vikings_x000a_Redskins @ Packers"/>
    <s v="Steelers Moneyline_x000a_Vikings Moneyline_x000a_Packers Moneyline"/>
    <n v="20"/>
    <n v="124"/>
    <s v="W"/>
    <n v="24.8"/>
    <x v="7"/>
  </r>
  <r>
    <x v="170"/>
    <x v="0"/>
    <s v="Ravens @ Bills"/>
    <s v="Under 44"/>
    <n v="21.98"/>
    <n v="-110"/>
    <s v="W"/>
    <n v="19.981818181818181"/>
    <x v="1"/>
  </r>
  <r>
    <x v="170"/>
    <x v="0"/>
    <s v="Seahawks @ Rams"/>
    <s v="Over 47.5"/>
    <n v="21.98"/>
    <n v="-110"/>
    <s v="L"/>
    <n v="-21.98"/>
    <x v="2"/>
  </r>
  <r>
    <x v="171"/>
    <x v="2"/>
    <s v="Yale @ Massachusetts"/>
    <s v="Yale -4"/>
    <n v="20"/>
    <n v="-112"/>
    <s v="L"/>
    <n v="-20"/>
    <x v="0"/>
  </r>
  <r>
    <x v="171"/>
    <x v="2"/>
    <s v="Dartmouth @ Maine"/>
    <s v="Over 118.5"/>
    <n v="20"/>
    <n v="-113"/>
    <s v="W"/>
    <n v="17.699115044247787"/>
    <x v="2"/>
  </r>
  <r>
    <x v="171"/>
    <x v="2"/>
    <s v="Texas-Arlington @ Houston"/>
    <s v="Texas-Arlington +12.5"/>
    <n v="20"/>
    <n v="-109"/>
    <s v="W"/>
    <n v="18.348623853211009"/>
    <x v="3"/>
  </r>
  <r>
    <x v="171"/>
    <x v="2"/>
    <s v="Alabama State @ Kansas State"/>
    <s v="Alabama State +19.5"/>
    <n v="20"/>
    <n v="-110"/>
    <s v="L"/>
    <n v="-20"/>
    <x v="3"/>
  </r>
  <r>
    <x v="171"/>
    <x v="2"/>
    <s v="Alabama State @ Kansas State"/>
    <s v="Over 126.5"/>
    <n v="20"/>
    <n v="-108"/>
    <s v="W"/>
    <n v="18.518518518518519"/>
    <x v="2"/>
  </r>
  <r>
    <x v="171"/>
    <x v="2"/>
    <s v="Winthrop @ Texas Christian"/>
    <s v="Winthrop +12"/>
    <n v="20"/>
    <n v="-110"/>
    <s v="W"/>
    <n v="18.181818181818183"/>
    <x v="3"/>
  </r>
  <r>
    <x v="171"/>
    <x v="2"/>
    <s v="Winthrop @ Texas Christian"/>
    <s v="Over 135.5"/>
    <n v="20"/>
    <n v="-113"/>
    <s v="L"/>
    <n v="-20"/>
    <x v="2"/>
  </r>
  <r>
    <x v="171"/>
    <x v="2"/>
    <s v="Boise State @ Tulsa"/>
    <s v="Boise State +2.5"/>
    <n v="20"/>
    <n v="-112"/>
    <s v="L"/>
    <n v="-20"/>
    <x v="3"/>
  </r>
  <r>
    <x v="171"/>
    <x v="2"/>
    <s v="Troy @ Jacksonville State"/>
    <s v="Troy +4.5"/>
    <n v="20"/>
    <n v="-108"/>
    <s v="W"/>
    <n v="18.518518518518519"/>
    <x v="3"/>
  </r>
  <r>
    <x v="171"/>
    <x v="2"/>
    <s v="Prairie View @ Arizona State"/>
    <s v="Prairie View +19.5"/>
    <n v="20"/>
    <n v="-109"/>
    <s v="W"/>
    <n v="18.348623853211009"/>
    <x v="3"/>
  </r>
  <r>
    <x v="171"/>
    <x v="2"/>
    <s v="Fresno State @ University of California"/>
    <s v="Over 128"/>
    <n v="20"/>
    <n v="-108"/>
    <s v="W"/>
    <n v="18.518518518518519"/>
    <x v="2"/>
  </r>
  <r>
    <x v="171"/>
    <x v="2"/>
    <s v="Fairleigh Dickinson @ Saint Peter's"/>
    <s v="Over 131"/>
    <n v="20"/>
    <n v="-108"/>
    <s v="W"/>
    <n v="18.518518518518519"/>
    <x v="2"/>
  </r>
  <r>
    <x v="172"/>
    <x v="2"/>
    <s v="Colorado @ Colorado State"/>
    <s v="Colorado -5.5"/>
    <n v="20"/>
    <n v="-113"/>
    <s v="W"/>
    <n v="17.699115044247787"/>
    <x v="0"/>
  </r>
  <r>
    <x v="172"/>
    <x v="2"/>
    <s v="Colorado @ Colorado State"/>
    <s v="Under 140"/>
    <n v="20"/>
    <n v="-112"/>
    <s v="W"/>
    <n v="17.857142857142858"/>
    <x v="1"/>
  </r>
  <r>
    <x v="172"/>
    <x v="2"/>
    <s v="Texas-Rio Grande Valley @ Creighton"/>
    <s v="Under 140.5"/>
    <n v="20"/>
    <n v="-110"/>
    <s v="L"/>
    <n v="-20"/>
    <x v="1"/>
  </r>
  <r>
    <x v="172"/>
    <x v="2"/>
    <s v="Prairie View @ Loyola Marymount"/>
    <s v="Over 134"/>
    <n v="20"/>
    <n v="-112"/>
    <s v="W"/>
    <n v="17.857142857142858"/>
    <x v="2"/>
  </r>
  <r>
    <x v="173"/>
    <x v="2"/>
    <s v="Xavier @ Wake Forest"/>
    <s v="Under 142.5"/>
    <n v="20"/>
    <n v="-113"/>
    <s v="L"/>
    <n v="-20"/>
    <x v="1"/>
  </r>
  <r>
    <x v="173"/>
    <x v="2"/>
    <s v="Saint Louis @ Auburn"/>
    <s v="Over 140"/>
    <n v="20"/>
    <n v="-108"/>
    <s v="L"/>
    <n v="-20"/>
    <x v="2"/>
  </r>
  <r>
    <x v="173"/>
    <x v="2"/>
    <s v="UC-Santa Barbara @ Southern Utah"/>
    <s v="Over 135"/>
    <n v="20"/>
    <n v="-112"/>
    <s v="L"/>
    <n v="-20"/>
    <x v="2"/>
  </r>
  <r>
    <x v="173"/>
    <x v="2"/>
    <s v="Weber State @ Utah"/>
    <s v="Over 143"/>
    <n v="20"/>
    <n v="-109"/>
    <s v="L"/>
    <n v="-20"/>
    <x v="2"/>
  </r>
  <r>
    <x v="173"/>
    <x v="2"/>
    <s v="Georgia Tech @ Kentucky"/>
    <s v="Georgia Tech +14.5"/>
    <n v="20"/>
    <n v="-109"/>
    <s v="W"/>
    <n v="18.348623853211009"/>
    <x v="3"/>
  </r>
  <r>
    <x v="173"/>
    <x v="2"/>
    <s v="Georgia Tech @ Kentucky"/>
    <s v="Over 135"/>
    <n v="20"/>
    <n v="-109"/>
    <s v="L"/>
    <n v="-20"/>
    <x v="2"/>
  </r>
  <r>
    <x v="173"/>
    <x v="2"/>
    <s v="Sacramento State @ Santa Clara"/>
    <s v="Under 133"/>
    <n v="20"/>
    <n v="-113"/>
    <s v="W"/>
    <n v="17.699115044247787"/>
    <x v="1"/>
  </r>
  <r>
    <x v="173"/>
    <x v="2"/>
    <s v="Alabama State @ Boise State"/>
    <s v="Over 136"/>
    <n v="20"/>
    <n v="-108"/>
    <s v="W"/>
    <n v="18.518518518518519"/>
    <x v="2"/>
  </r>
  <r>
    <x v="173"/>
    <x v="2"/>
    <s v="Colgate @ Cincinnati"/>
    <s v="Colgate +12"/>
    <n v="20"/>
    <n v="-109"/>
    <s v="W"/>
    <n v="18.348623853211009"/>
    <x v="3"/>
  </r>
  <r>
    <x v="173"/>
    <x v="2"/>
    <s v="Drake @ Dayton"/>
    <s v="Drake +15.5"/>
    <n v="20"/>
    <n v="-109"/>
    <s v="L"/>
    <n v="-20"/>
    <x v="3"/>
  </r>
  <r>
    <x v="173"/>
    <x v="2"/>
    <s v="Drake @ Dayton"/>
    <s v="Over 139.5"/>
    <n v="20"/>
    <n v="-108"/>
    <s v="L"/>
    <n v="-20"/>
    <x v="2"/>
  </r>
  <r>
    <x v="173"/>
    <x v="2"/>
    <s v="Western Michigan @ Manhattan"/>
    <s v="Western Michigan +4"/>
    <n v="10"/>
    <n v="-114"/>
    <s v="W"/>
    <n v="8.7719298245614024"/>
    <x v="3"/>
  </r>
  <r>
    <x v="173"/>
    <x v="2"/>
    <s v="Niagara @ Albany (NY)"/>
    <s v="Niagara +9"/>
    <n v="10"/>
    <n v="-110"/>
    <s v="W"/>
    <n v="9.0909090909090917"/>
    <x v="3"/>
  </r>
  <r>
    <x v="173"/>
    <x v="2"/>
    <s v="Evansville @ Green Bay"/>
    <s v="Under 164.5"/>
    <n v="10"/>
    <n v="-109"/>
    <s v="W"/>
    <n v="9.1743119266055047"/>
    <x v="1"/>
  </r>
  <r>
    <x v="173"/>
    <x v="2"/>
    <s v="New Mexico State @ New Mexico"/>
    <s v="Under 145.5"/>
    <n v="10"/>
    <n v="-112"/>
    <s v="W"/>
    <n v="8.9285714285714288"/>
    <x v="1"/>
  </r>
  <r>
    <x v="173"/>
    <x v="2"/>
    <s v="Cal State Bakersfield @ Idaho"/>
    <s v="Over 131.5"/>
    <n v="20"/>
    <n v="-112"/>
    <s v="W"/>
    <n v="17.857142857142858"/>
    <x v="2"/>
  </r>
  <r>
    <x v="173"/>
    <x v="2"/>
    <s v="Stanford @ San Jose State"/>
    <s v="Under 135"/>
    <n v="10"/>
    <n v="-110"/>
    <s v="L"/>
    <n v="-10"/>
    <x v="1"/>
  </r>
  <r>
    <x v="173"/>
    <x v="2"/>
    <s v="Stony Brook @ Providence"/>
    <s v="Stony Brook +13"/>
    <n v="10"/>
    <n v="-109"/>
    <s v="W"/>
    <n v="9.1743119266055047"/>
    <x v="3"/>
  </r>
  <r>
    <x v="173"/>
    <x v="2"/>
    <s v="Georgia @ Arizona State"/>
    <s v="Georgia +5"/>
    <n v="10"/>
    <n v="-109"/>
    <s v="L"/>
    <n v="-10"/>
    <x v="3"/>
  </r>
  <r>
    <x v="173"/>
    <x v="2"/>
    <s v="Georgia @ Arizona State"/>
    <s v="Under 155.5"/>
    <n v="10"/>
    <n v="-112"/>
    <s v="W"/>
    <n v="8.9285714285714288"/>
    <x v="1"/>
  </r>
  <r>
    <x v="173"/>
    <x v="2"/>
    <s v="Louisiana-Monroe @ Stephen F. Austin"/>
    <s v="Stephen F. Austin -10"/>
    <n v="10"/>
    <n v="-107"/>
    <s v="L"/>
    <n v="-10"/>
    <x v="0"/>
  </r>
  <r>
    <x v="173"/>
    <x v="2"/>
    <s v="Northern Colorado @ Wyoming"/>
    <s v="Northern Colorado -6"/>
    <n v="10"/>
    <n v="-113"/>
    <s v="W"/>
    <n v="8.8495575221238933"/>
    <x v="0"/>
  </r>
  <r>
    <x v="173"/>
    <x v="2"/>
    <s v="Northern Colorado @ Wyoming"/>
    <s v="Under 127"/>
    <n v="10"/>
    <n v="-108"/>
    <s v="Push"/>
    <n v="0"/>
    <x v="1"/>
  </r>
  <r>
    <x v="173"/>
    <x v="2"/>
    <s v="Northern Arizona @ Utah Valley"/>
    <s v="Under 143.5"/>
    <n v="10"/>
    <n v="-108"/>
    <s v="L"/>
    <n v="-10"/>
    <x v="1"/>
  </r>
  <r>
    <x v="173"/>
    <x v="2"/>
    <s v="UC-Davis @ San Diego"/>
    <s v="UC-Davis +7.5"/>
    <n v="20"/>
    <n v="-113"/>
    <s v="W"/>
    <n v="17.699115044247787"/>
    <x v="3"/>
  </r>
  <r>
    <x v="173"/>
    <x v="2"/>
    <s v="Saint Mary's (CA) @ University of California"/>
    <s v="Over 123.5"/>
    <n v="20"/>
    <n v="-108"/>
    <s v="W"/>
    <n v="18.518518518518519"/>
    <x v="2"/>
  </r>
  <r>
    <x v="174"/>
    <x v="0"/>
    <s v="Bills @ Steelers"/>
    <s v="Steelers Moneyline"/>
    <n v="20"/>
    <n v="135"/>
    <s v="L"/>
    <n v="-20"/>
    <x v="4"/>
  </r>
  <r>
    <x v="175"/>
    <x v="2"/>
    <s v="Charleston Southern @ James Madison"/>
    <s v="Under 152.5"/>
    <n v="40"/>
    <n v="-107"/>
    <s v="W"/>
    <n v="37.383177570093459"/>
    <x v="1"/>
  </r>
  <r>
    <x v="175"/>
    <x v="2"/>
    <s v="Marshall @ Morehead State"/>
    <s v="Under 146.5"/>
    <n v="40"/>
    <n v="-112"/>
    <s v="L"/>
    <n v="-40"/>
    <x v="1"/>
  </r>
  <r>
    <x v="175"/>
    <x v="2"/>
    <s v="Valparaiso @ Charlotte"/>
    <s v="Over 137.5"/>
    <n v="40"/>
    <n v="-108"/>
    <s v="L"/>
    <n v="-40"/>
    <x v="2"/>
  </r>
  <r>
    <x v="175"/>
    <x v="2"/>
    <s v="Southern Mississippi @ Texas Tech"/>
    <s v="Southern Mississippi +22"/>
    <n v="40"/>
    <n v="-110"/>
    <s v="W"/>
    <n v="36.363636363636367"/>
    <x v="3"/>
  </r>
  <r>
    <x v="175"/>
    <x v="2"/>
    <s v="Delaware State @ Delaware"/>
    <s v="Over 148"/>
    <n v="40"/>
    <n v="-109"/>
    <s v="W"/>
    <n v="36.697247706422019"/>
    <x v="2"/>
  </r>
  <r>
    <x v="175"/>
    <x v="2"/>
    <s v="Kennesaw State @ Murray State"/>
    <s v="Over 137.5"/>
    <n v="40"/>
    <n v="-110"/>
    <s v="L"/>
    <n v="-40"/>
    <x v="2"/>
  </r>
  <r>
    <x v="175"/>
    <x v="2"/>
    <s v="Eastern Illinois @ Western Illinois"/>
    <s v="Under 153"/>
    <n v="40"/>
    <n v="-110"/>
    <s v="W"/>
    <n v="36.363636363636367"/>
    <x v="1"/>
  </r>
  <r>
    <x v="175"/>
    <x v="2"/>
    <s v="Evansville @ Jacksonville State"/>
    <s v="Evansville -4.5"/>
    <n v="40"/>
    <n v="-112"/>
    <s v="L"/>
    <n v="-40"/>
    <x v="0"/>
  </r>
  <r>
    <x v="175"/>
    <x v="2"/>
    <s v="UC-Santa Barbara @ Idaho State"/>
    <s v="Over 134.5"/>
    <n v="40"/>
    <n v="-113"/>
    <s v="W"/>
    <n v="35.398230088495573"/>
    <x v="2"/>
  </r>
  <r>
    <x v="175"/>
    <x v="2"/>
    <s v="Florida A&amp;M @ Portland"/>
    <s v="Portland -11.5"/>
    <n v="40"/>
    <n v="-110"/>
    <s v="L"/>
    <n v="-40"/>
    <x v="0"/>
  </r>
  <r>
    <x v="176"/>
    <x v="2"/>
    <s v="North Texas @ Dayton"/>
    <s v="North Texas +16"/>
    <n v="20"/>
    <n v="-110"/>
    <s v="W"/>
    <n v="18.181818181818183"/>
    <x v="3"/>
  </r>
  <r>
    <x v="176"/>
    <x v="2"/>
    <s v="North Texas @ Dayton"/>
    <s v="Over 133.5"/>
    <n v="20"/>
    <n v="-109"/>
    <s v="L"/>
    <n v="-20"/>
    <x v="2"/>
  </r>
  <r>
    <x v="176"/>
    <x v="2"/>
    <s v="Florida @ Providence"/>
    <s v="Providence +5"/>
    <n v="20"/>
    <n v="-109"/>
    <s v="L"/>
    <n v="-20"/>
    <x v="3"/>
  </r>
  <r>
    <x v="176"/>
    <x v="2"/>
    <s v="Florida @ Providence"/>
    <s v="Over 132.5"/>
    <n v="20"/>
    <n v="-107"/>
    <s v="W"/>
    <n v="18.691588785046729"/>
    <x v="2"/>
  </r>
  <r>
    <x v="176"/>
    <x v="2"/>
    <s v="Southeast Missouri State @ Ohio State"/>
    <s v="Southeast Missouri State +29.5"/>
    <n v="20"/>
    <n v="-109"/>
    <s v="L"/>
    <n v="-20"/>
    <x v="3"/>
  </r>
  <r>
    <x v="176"/>
    <x v="2"/>
    <s v="Mississippi Valley State @ Wright State"/>
    <s v="Over 154.5"/>
    <n v="20"/>
    <n v="-113"/>
    <s v="L"/>
    <n v="-20"/>
    <x v="2"/>
  </r>
  <r>
    <x v="176"/>
    <x v="2"/>
    <s v="American @ Mount St. Mary's"/>
    <s v="American +1.5"/>
    <n v="20"/>
    <n v="-109"/>
    <s v="W"/>
    <n v="18.348623853211009"/>
    <x v="3"/>
  </r>
  <r>
    <x v="176"/>
    <x v="2"/>
    <s v="Maryland-Eastern Shore @ East Carolina"/>
    <s v="Maryland-Eastern Shore +16"/>
    <n v="20"/>
    <n v="-109"/>
    <s v="W"/>
    <n v="18.348623853211009"/>
    <x v="3"/>
  </r>
  <r>
    <x v="176"/>
    <x v="2"/>
    <s v="Tennessee Tech @ Lipscomb"/>
    <s v="Tennessee Tech +13.5"/>
    <n v="20"/>
    <n v="-109"/>
    <s v="L"/>
    <n v="-20"/>
    <x v="3"/>
  </r>
  <r>
    <x v="176"/>
    <x v="2"/>
    <s v="North Carolina Central @ Louisiana Tech"/>
    <s v="North Carolina Central +22.5"/>
    <n v="20"/>
    <n v="-109"/>
    <s v="W"/>
    <n v="18.348623853211009"/>
    <x v="3"/>
  </r>
  <r>
    <x v="176"/>
    <x v="2"/>
    <s v="North Carolina Central @ Louisiana Tech"/>
    <s v="Over 136.5"/>
    <n v="20"/>
    <n v="-107"/>
    <s v="L"/>
    <n v="-20"/>
    <x v="2"/>
  </r>
  <r>
    <x v="176"/>
    <x v="2"/>
    <s v="North Alabama @ Alabama-Birmingham"/>
    <s v="North Alabama +9.5"/>
    <n v="20"/>
    <n v="-110"/>
    <s v="W"/>
    <n v="18.181818181818183"/>
    <x v="3"/>
  </r>
  <r>
    <x v="176"/>
    <x v="2"/>
    <s v="North Alabama @ Alabama-Birmingham"/>
    <s v="Over 125"/>
    <n v="20"/>
    <n v="-113"/>
    <s v="L"/>
    <n v="-20"/>
    <x v="2"/>
  </r>
  <r>
    <x v="176"/>
    <x v="2"/>
    <s v="Oral Roberts @ Chicago State"/>
    <s v="Oral Roberts -16"/>
    <n v="20"/>
    <n v="-110"/>
    <s v="W"/>
    <n v="18.181818181818183"/>
    <x v="0"/>
  </r>
  <r>
    <x v="176"/>
    <x v="2"/>
    <s v="Toledo @ Missouri-Kansas City"/>
    <s v="Toledo -7.5"/>
    <n v="20"/>
    <n v="-110"/>
    <s v="L"/>
    <n v="-20"/>
    <x v="0"/>
  </r>
  <r>
    <x v="176"/>
    <x v="2"/>
    <s v="Oklahoma @ Creighton"/>
    <s v="Oklahoma +3"/>
    <n v="20"/>
    <n v="-108"/>
    <s v="L"/>
    <n v="-20"/>
    <x v="3"/>
  </r>
  <r>
    <x v="176"/>
    <x v="2"/>
    <s v="Oklahoma @ Creighton"/>
    <s v="Under 153"/>
    <n v="20"/>
    <n v="-110"/>
    <s v="L"/>
    <n v="-20"/>
    <x v="1"/>
  </r>
  <r>
    <x v="176"/>
    <x v="2"/>
    <s v="Portland State @ Pepperdine"/>
    <s v="Under 163"/>
    <n v="20"/>
    <n v="-113"/>
    <s v="W"/>
    <n v="17.699115044247787"/>
    <x v="1"/>
  </r>
  <r>
    <x v="176"/>
    <x v="2"/>
    <s v="Seattle @ Washington"/>
    <s v="Seattle +16"/>
    <n v="20"/>
    <n v="-110"/>
    <s v="L"/>
    <n v="-20"/>
    <x v="3"/>
  </r>
  <r>
    <x v="177"/>
    <x v="2"/>
    <s v="Canisius @ Buffalo"/>
    <s v="Under 155.5"/>
    <n v="10"/>
    <n v="-112"/>
    <s v="W"/>
    <n v="8.9285714285714288"/>
    <x v="1"/>
  </r>
  <r>
    <x v="177"/>
    <x v="2"/>
    <s v="Virginia Commonwealth @ College of Charleston"/>
    <s v="Virginia Commonwealth -5"/>
    <n v="10"/>
    <n v="-108"/>
    <s v="L"/>
    <n v="-10"/>
    <x v="0"/>
  </r>
  <r>
    <x v="177"/>
    <x v="2"/>
    <s v="DePaul @ Cleveland State"/>
    <s v="Under 136.5"/>
    <n v="10"/>
    <n v="-110"/>
    <s v="L"/>
    <n v="-10"/>
    <x v="1"/>
  </r>
  <r>
    <x v="177"/>
    <x v="2"/>
    <s v="Tennessee State @ Indiana State"/>
    <s v="Tennessee State +9"/>
    <n v="10"/>
    <n v="-110"/>
    <s v="W"/>
    <n v="9.0909090909090917"/>
    <x v="3"/>
  </r>
  <r>
    <x v="177"/>
    <x v="2"/>
    <s v="Wagner @ La Salle"/>
    <s v="Over 141"/>
    <n v="10"/>
    <n v="-108"/>
    <s v="L"/>
    <n v="-10"/>
    <x v="2"/>
  </r>
  <r>
    <x v="177"/>
    <x v="2"/>
    <s v="Valparaiso @ High Point"/>
    <s v="Valparaiso -10.5"/>
    <n v="10"/>
    <n v="-110"/>
    <s v="W"/>
    <n v="9.0909090909090917"/>
    <x v="0"/>
  </r>
  <r>
    <x v="177"/>
    <x v="2"/>
    <s v="Valparaiso @ High Point"/>
    <s v="Over 137"/>
    <n v="10"/>
    <n v="-107"/>
    <s v="W"/>
    <n v="9.3457943925233646"/>
    <x v="2"/>
  </r>
  <r>
    <x v="177"/>
    <x v="2"/>
    <s v="Illinois-Chicago @ Illinois State"/>
    <s v="Illinois State -5"/>
    <n v="10"/>
    <n v="-112"/>
    <s v="L"/>
    <n v="-10"/>
    <x v="0"/>
  </r>
  <r>
    <x v="177"/>
    <x v="2"/>
    <s v="Kennesaw State @ Belmont"/>
    <s v="Over 142"/>
    <n v="10"/>
    <n v="-113"/>
    <s v="L"/>
    <n v="-10"/>
    <x v="2"/>
  </r>
  <r>
    <x v="177"/>
    <x v="2"/>
    <s v="Alabama @ Samford"/>
    <s v="Under 160"/>
    <n v="10"/>
    <n v="-112"/>
    <s v="L"/>
    <n v="-10"/>
    <x v="1"/>
  </r>
  <r>
    <x v="177"/>
    <x v="2"/>
    <s v="Binghamton @ Youngstown State"/>
    <s v="Binghamton +9.5"/>
    <n v="10"/>
    <n v="-110"/>
    <s v="L"/>
    <n v="-10"/>
    <x v="3"/>
  </r>
  <r>
    <x v="177"/>
    <x v="2"/>
    <s v="Binghamton @ Youngstown State"/>
    <s v="Over 140.5"/>
    <n v="10"/>
    <n v="-107"/>
    <s v="L"/>
    <n v="-10"/>
    <x v="2"/>
  </r>
  <r>
    <x v="177"/>
    <x v="2"/>
    <s v="Utah State @ South Florida"/>
    <s v="Utah State -8.5"/>
    <n v="10"/>
    <n v="-110"/>
    <s v="L"/>
    <n v="-10"/>
    <x v="0"/>
  </r>
  <r>
    <x v="177"/>
    <x v="2"/>
    <s v="Radford @ Mississippi State"/>
    <s v="Radford +12"/>
    <n v="10"/>
    <n v="-110"/>
    <s v="W"/>
    <n v="9.0909090909090917"/>
    <x v="3"/>
  </r>
  <r>
    <x v="177"/>
    <x v="2"/>
    <s v="Abilene Christian @ New Orleans"/>
    <s v="Over 134"/>
    <n v="10"/>
    <n v="-108"/>
    <s v="W"/>
    <n v="9.2592592592592595"/>
    <x v="2"/>
  </r>
  <r>
    <x v="177"/>
    <x v="2"/>
    <s v="Texas A&amp;M-Corpus Christi @ Nicholls State"/>
    <s v="Nicholls State -8"/>
    <n v="10"/>
    <n v="-110"/>
    <s v="L"/>
    <n v="-10"/>
    <x v="0"/>
  </r>
  <r>
    <x v="177"/>
    <x v="2"/>
    <s v="Hampton @ Southern Illinois"/>
    <s v="Hampton +9"/>
    <n v="10"/>
    <n v="-110"/>
    <s v="L"/>
    <n v="-10"/>
    <x v="3"/>
  </r>
  <r>
    <x v="177"/>
    <x v="2"/>
    <s v="Hampton @ Southern Illinois"/>
    <s v="Over 132.5"/>
    <n v="10"/>
    <n v="-112"/>
    <s v="L"/>
    <n v="-10"/>
    <x v="2"/>
  </r>
  <r>
    <x v="177"/>
    <x v="2"/>
    <s v="Florida Gulf Coast @ South Dakota State"/>
    <s v="Over 132"/>
    <n v="10"/>
    <n v="-107"/>
    <s v="L"/>
    <n v="-10"/>
    <x v="2"/>
  </r>
  <r>
    <x v="177"/>
    <x v="2"/>
    <s v="Louisiana @ Arkansas State"/>
    <s v="Over 146.5"/>
    <n v="10"/>
    <n v="-109"/>
    <s v="L"/>
    <n v="-10"/>
    <x v="2"/>
  </r>
  <r>
    <x v="177"/>
    <x v="2"/>
    <s v="Miami (OH) @ Louisville"/>
    <s v="Miami (OH) +22.5"/>
    <n v="10"/>
    <n v="-109"/>
    <s v="L"/>
    <n v="-10"/>
    <x v="3"/>
  </r>
  <r>
    <x v="177"/>
    <x v="2"/>
    <s v="Miami (OH) @ Louisville"/>
    <s v="Over 141.5"/>
    <n v="10"/>
    <n v="-108"/>
    <s v="L"/>
    <n v="-10"/>
    <x v="2"/>
  </r>
  <r>
    <x v="177"/>
    <x v="2"/>
    <s v="Albany (NY) @ St. John's (NY)"/>
    <s v="St. John's (NY) -9"/>
    <n v="10"/>
    <n v="-110"/>
    <s v="W"/>
    <n v="9.0909090909090917"/>
    <x v="0"/>
  </r>
  <r>
    <x v="177"/>
    <x v="2"/>
    <s v="Delaware State @ Jacksonville State"/>
    <s v="Over 144.5"/>
    <n v="10"/>
    <n v="-108"/>
    <s v="W"/>
    <n v="9.2592592592592595"/>
    <x v="2"/>
  </r>
  <r>
    <x v="177"/>
    <x v="2"/>
    <s v="Arkansas-Pine Bluff @ New Mexico State"/>
    <s v="Arkansas-Pine Bluff +24.5"/>
    <n v="10"/>
    <n v="-109"/>
    <s v="L"/>
    <n v="-10"/>
    <x v="3"/>
  </r>
  <r>
    <x v="177"/>
    <x v="2"/>
    <s v="Arkansas-Pine Bluff @ New Mexico State"/>
    <s v="Over 125"/>
    <n v="10"/>
    <n v="-113"/>
    <s v="L"/>
    <n v="-10"/>
    <x v="2"/>
  </r>
  <r>
    <x v="177"/>
    <x v="2"/>
    <s v="Texas Southern @ Nevada"/>
    <s v="Texas Southern +16.5"/>
    <n v="10"/>
    <n v="-109"/>
    <s v="L"/>
    <n v="-10"/>
    <x v="3"/>
  </r>
  <r>
    <x v="177"/>
    <x v="2"/>
    <s v="Texas Southern @ Nevada"/>
    <s v="Under 156.5"/>
    <n v="10"/>
    <n v="-109"/>
    <s v="L"/>
    <n v="-10"/>
    <x v="1"/>
  </r>
  <r>
    <x v="177"/>
    <x v="2"/>
    <s v="Southern @ California Baptist"/>
    <s v="Over 145"/>
    <n v="10"/>
    <n v="-109"/>
    <s v="L"/>
    <n v="-10"/>
    <x v="2"/>
  </r>
  <r>
    <x v="177"/>
    <x v="2"/>
    <s v="Cal Poly @ Sacramento State"/>
    <s v="Sacramento State -10.5"/>
    <n v="10"/>
    <n v="-109"/>
    <s v="L"/>
    <n v="-10"/>
    <x v="0"/>
  </r>
  <r>
    <x v="177"/>
    <x v="2"/>
    <s v="Cal Poly @ Sacramento State"/>
    <s v="Over 125"/>
    <n v="10"/>
    <n v="-113"/>
    <s v="L"/>
    <n v="-10"/>
    <x v="2"/>
  </r>
  <r>
    <x v="177"/>
    <x v="2"/>
    <s v="Montana @ Oregon"/>
    <s v="Montana +19"/>
    <n v="10"/>
    <n v="-109"/>
    <s v="L"/>
    <n v="-10"/>
    <x v="3"/>
  </r>
  <r>
    <x v="177"/>
    <x v="2"/>
    <s v="Montana @ Oregon"/>
    <s v="Over 132"/>
    <n v="10"/>
    <n v="-108"/>
    <s v="L"/>
    <n v="-10"/>
    <x v="2"/>
  </r>
  <r>
    <x v="177"/>
    <x v="2"/>
    <s v="Kentucky @ Utah"/>
    <s v="Over 139"/>
    <n v="10"/>
    <n v="-108"/>
    <s v="L"/>
    <n v="-10"/>
    <x v="2"/>
  </r>
  <r>
    <x v="178"/>
    <x v="8"/>
    <s v="Utah State @ Kent State"/>
    <s v="Kent State +7.5"/>
    <n v="20"/>
    <n v="-110"/>
    <s v="W"/>
    <n v="18.181818181818183"/>
    <x v="3"/>
  </r>
  <r>
    <x v="179"/>
    <x v="1"/>
    <s v="Hawks @ Celtics"/>
    <s v="Under 223.5"/>
    <n v="19"/>
    <n v="-105"/>
    <s v="W"/>
    <n v="18.095238095238095"/>
    <x v="1"/>
  </r>
  <r>
    <x v="179"/>
    <x v="1"/>
    <s v="Heat @ Magic"/>
    <s v="Heat -1.5"/>
    <n v="19"/>
    <n v="-110"/>
    <s v="L"/>
    <n v="-19"/>
    <x v="0"/>
  </r>
  <r>
    <x v="179"/>
    <x v="1"/>
    <s v="Trail Blazers @ Wizards"/>
    <s v="Wizards +6.5"/>
    <n v="19"/>
    <n v="-105"/>
    <s v="L"/>
    <n v="-19"/>
    <x v="3"/>
  </r>
  <r>
    <x v="179"/>
    <x v="1"/>
    <s v="Knicks @ Suns"/>
    <s v="Under 225.5"/>
    <n v="19"/>
    <n v="-125"/>
    <s v="L"/>
    <n v="-19"/>
    <x v="1"/>
  </r>
  <r>
    <x v="179"/>
    <x v="1"/>
    <s v="Pelicans @ Lakers"/>
    <s v="Lakers -10.5"/>
    <n v="19"/>
    <n v="-118"/>
    <s v="L"/>
    <n v="-19"/>
    <x v="0"/>
  </r>
  <r>
    <x v="180"/>
    <x v="0"/>
    <s v="Titans @ Patriots"/>
    <s v="Under 45"/>
    <n v="21.98"/>
    <n v="-110"/>
    <s v="W"/>
    <n v="19.981818181818181"/>
    <x v="1"/>
  </r>
  <r>
    <x v="180"/>
    <x v="0"/>
    <s v="Titans @ Patriots"/>
    <s v="Patriots -4.5"/>
    <n v="21.05"/>
    <n v="-106"/>
    <s v="L"/>
    <n v="-21.05"/>
    <x v="0"/>
  </r>
  <r>
    <x v="180"/>
    <x v="0"/>
    <s v="Bills @ Texans"/>
    <s v="Bills +2.5"/>
    <n v="40"/>
    <n v="100"/>
    <s v="L"/>
    <n v="-40"/>
    <x v="3"/>
  </r>
  <r>
    <x v="181"/>
    <x v="0"/>
    <s v="Seahawks @ Eagles"/>
    <s v="Seahawks +1"/>
    <n v="21.98"/>
    <n v="-109"/>
    <s v="W"/>
    <n v="20.165137614678898"/>
    <x v="3"/>
  </r>
  <r>
    <x v="181"/>
    <x v="0"/>
    <s v="Seahawks @ Eagles"/>
    <s v="Over 44"/>
    <n v="22"/>
    <n v="-110"/>
    <s v="L"/>
    <n v="-22"/>
    <x v="2"/>
  </r>
  <r>
    <x v="181"/>
    <x v="0"/>
    <s v="Vikings @ Saints"/>
    <s v="Saints -7.5"/>
    <n v="21.05"/>
    <n v="-106"/>
    <s v="L"/>
    <n v="-21.05"/>
    <x v="0"/>
  </r>
  <r>
    <x v="182"/>
    <x v="2"/>
    <s v="Colgate @ Army"/>
    <s v="Colgate -7"/>
    <n v="15"/>
    <n v="-110"/>
    <s v="L"/>
    <n v="-15"/>
    <x v="0"/>
  </r>
  <r>
    <x v="182"/>
    <x v="2"/>
    <s v="Louisiana-Monroe @ Coastal Carolina"/>
    <s v="Coastal Carolina -8.5"/>
    <n v="15"/>
    <n v="-110"/>
    <s v="W"/>
    <n v="13.636363636363635"/>
    <x v="0"/>
  </r>
  <r>
    <x v="182"/>
    <x v="2"/>
    <s v="Florida A&amp;M @ North Carolina A&amp;T"/>
    <s v="Florida A&amp;M +3.5"/>
    <n v="15"/>
    <n v="-108"/>
    <s v="L"/>
    <n v="-15"/>
    <x v="3"/>
  </r>
  <r>
    <x v="182"/>
    <x v="2"/>
    <s v="Florida A&amp;M @ North Carolina A&amp;T"/>
    <s v="Over 128.5"/>
    <n v="15"/>
    <n v="-107"/>
    <s v="W"/>
    <n v="14.018691588785046"/>
    <x v="2"/>
  </r>
  <r>
    <x v="182"/>
    <x v="2"/>
    <s v="Georgia State @ Arkansas State"/>
    <s v="Under 145"/>
    <n v="15"/>
    <n v="-112"/>
    <s v="L"/>
    <n v="-15"/>
    <x v="1"/>
  </r>
  <r>
    <x v="182"/>
    <x v="2"/>
    <s v="Alabama State @ Grambling"/>
    <s v="Under 138"/>
    <n v="15"/>
    <n v="-107"/>
    <s v="W"/>
    <n v="14.018691588785046"/>
    <x v="1"/>
  </r>
  <r>
    <x v="182"/>
    <x v="2"/>
    <s v="Alcorn State @ Texas Southern"/>
    <s v="Alcorn State +12"/>
    <n v="15"/>
    <n v="-109"/>
    <s v="W"/>
    <n v="13.761467889908257"/>
    <x v="3"/>
  </r>
  <r>
    <x v="182"/>
    <x v="2"/>
    <s v="West Virginia @ Oklahoma State"/>
    <s v="Under 138"/>
    <n v="15"/>
    <n v="-112"/>
    <s v="W"/>
    <n v="13.392857142857142"/>
    <x v="1"/>
  </r>
  <r>
    <x v="182"/>
    <x v="2"/>
    <s v="Southern @ Prairie View"/>
    <s v="Southern +9.5"/>
    <n v="15"/>
    <n v="-110"/>
    <s v="L"/>
    <n v="-15"/>
    <x v="3"/>
  </r>
  <r>
    <x v="183"/>
    <x v="2"/>
    <s v="Buffalo @ Ball State"/>
    <s v="Over 147.5"/>
    <n v="10"/>
    <n v="-108"/>
    <s v="W"/>
    <n v="9.2592592592592595"/>
    <x v="2"/>
  </r>
  <r>
    <x v="183"/>
    <x v="2"/>
    <s v="Northern Illinois @ Central Michigan"/>
    <s v="Central Michigan -4.5"/>
    <n v="10"/>
    <n v="-112"/>
    <s v="L"/>
    <n v="-10"/>
    <x v="0"/>
  </r>
  <r>
    <x v="183"/>
    <x v="2"/>
    <s v="Ohio State @ Maryland"/>
    <s v="Ohio State +2.5"/>
    <n v="10"/>
    <n v="-113"/>
    <s v="L"/>
    <n v="-10"/>
    <x v="3"/>
  </r>
  <r>
    <x v="183"/>
    <x v="2"/>
    <s v="Eastern Michigan @ Ohio"/>
    <s v="Ohio -5"/>
    <n v="10"/>
    <n v="-112"/>
    <s v="W"/>
    <n v="8.9285714285714288"/>
    <x v="0"/>
  </r>
  <r>
    <x v="183"/>
    <x v="2"/>
    <s v="Eastern Michigan @ Ohio"/>
    <s v="Under 125.5"/>
    <n v="10"/>
    <n v="-112"/>
    <s v="L"/>
    <n v="-10"/>
    <x v="1"/>
  </r>
  <r>
    <x v="183"/>
    <x v="2"/>
    <s v="Florida @ South Carolina"/>
    <s v="South Carolina +4.5"/>
    <n v="10"/>
    <n v="-108"/>
    <s v="L"/>
    <n v="-10"/>
    <x v="3"/>
  </r>
  <r>
    <x v="183"/>
    <x v="2"/>
    <s v="Tennessee @ Missouri"/>
    <s v="Tennessee +5"/>
    <n v="10"/>
    <n v="-109"/>
    <s v="W"/>
    <n v="9.1743119266055047"/>
    <x v="3"/>
  </r>
  <r>
    <x v="183"/>
    <x v="2"/>
    <s v="Tennessee @ Missouri"/>
    <s v="Over 122"/>
    <n v="10"/>
    <n v="-112"/>
    <s v="W"/>
    <n v="8.9285714285714288"/>
    <x v="2"/>
  </r>
  <r>
    <x v="183"/>
    <x v="2"/>
    <s v="Virginia @ Boston College"/>
    <s v="Boston College +8.5"/>
    <n v="10"/>
    <n v="-110"/>
    <s v="W"/>
    <n v="9.0909090909090917"/>
    <x v="3"/>
  </r>
  <r>
    <x v="183"/>
    <x v="2"/>
    <s v="Virginia @ Boston College"/>
    <s v="Under 111.5"/>
    <n v="10"/>
    <n v="-113"/>
    <s v="L"/>
    <n v="-10"/>
    <x v="1"/>
  </r>
  <r>
    <x v="183"/>
    <x v="2"/>
    <s v="Providence @ Marquette"/>
    <s v="Over 144.5"/>
    <n v="10"/>
    <n v="-109"/>
    <s v="W"/>
    <n v="9.1743119266055047"/>
    <x v="2"/>
  </r>
  <r>
    <x v="183"/>
    <x v="2"/>
    <s v="South Florida @ East Carolina"/>
    <s v="East Carolina +4.5"/>
    <n v="10"/>
    <n v="-108"/>
    <s v="W"/>
    <n v="9.2592592592592595"/>
    <x v="3"/>
  </r>
  <r>
    <x v="183"/>
    <x v="2"/>
    <s v="Villanova @ Creighton"/>
    <s v="Under 148.5"/>
    <n v="9"/>
    <n v="-110"/>
    <s v="W"/>
    <n v="8.1818181818181817"/>
    <x v="1"/>
  </r>
  <r>
    <x v="183"/>
    <x v="2"/>
    <s v="Utah State @ Air Force"/>
    <s v="Under 146"/>
    <n v="9"/>
    <n v="-113"/>
    <s v="W"/>
    <n v="7.9646017699115044"/>
    <x v="1"/>
  </r>
  <r>
    <x v="183"/>
    <x v="2"/>
    <s v="Rider @ Quinnipiac"/>
    <s v="Rider -2.5"/>
    <n v="8.92"/>
    <n v="-112"/>
    <s v="L"/>
    <n v="-8.92"/>
    <x v="0"/>
  </r>
  <r>
    <x v="184"/>
    <x v="2"/>
    <s v="Northwestern @ Indiana"/>
    <s v="Under 139"/>
    <n v="10"/>
    <n v="-113"/>
    <s v="W"/>
    <n v="8.8495575221238933"/>
    <x v="1"/>
  </r>
  <r>
    <x v="184"/>
    <x v="2"/>
    <s v="American @ Army"/>
    <s v="Over 144"/>
    <n v="10"/>
    <n v="-109"/>
    <s v="L"/>
    <n v="-10"/>
    <x v="2"/>
  </r>
  <r>
    <x v="184"/>
    <x v="2"/>
    <s v="Davidson @ Rhode Island"/>
    <s v="Over 143"/>
    <n v="10"/>
    <n v="-108"/>
    <s v="L"/>
    <n v="-10"/>
    <x v="2"/>
  </r>
  <r>
    <x v="184"/>
    <x v="2"/>
    <s v="Hartford @ Massachusetts-Lowell"/>
    <s v="Massachusetts-Lowell -6"/>
    <n v="10"/>
    <n v="-110"/>
    <s v="L"/>
    <n v="-10"/>
    <x v="0"/>
  </r>
  <r>
    <x v="184"/>
    <x v="2"/>
    <s v="Northwestern State @ Incarnate Word"/>
    <s v="Over 143"/>
    <n v="10"/>
    <n v="-109"/>
    <s v="L"/>
    <n v="-10"/>
    <x v="2"/>
  </r>
  <r>
    <x v="184"/>
    <x v="2"/>
    <s v="St. Bonaventure @ George Mason"/>
    <s v="Under 130"/>
    <n v="10"/>
    <n v="-113"/>
    <s v="W"/>
    <n v="8.8495575221238933"/>
    <x v="1"/>
  </r>
  <r>
    <x v="184"/>
    <x v="2"/>
    <s v="Longwood @ Charleston Southern"/>
    <s v="Over 141"/>
    <n v="10"/>
    <n v="-108"/>
    <s v="L"/>
    <n v="-10"/>
    <x v="2"/>
  </r>
  <r>
    <x v="184"/>
    <x v="2"/>
    <s v="Purdue-Fort Wayne @ Western Illinois"/>
    <s v="Over 151"/>
    <n v="10"/>
    <n v="-109"/>
    <s v="L"/>
    <n v="-10"/>
    <x v="2"/>
  </r>
  <r>
    <x v="184"/>
    <x v="2"/>
    <s v="Omaha @ North Dakota"/>
    <s v="North Dakota -2.5"/>
    <n v="10"/>
    <n v="-112"/>
    <s v="L"/>
    <n v="-10"/>
    <x v="0"/>
  </r>
  <r>
    <x v="184"/>
    <x v="2"/>
    <s v="San Diego State @ Wyoming"/>
    <s v="Under 120"/>
    <n v="10"/>
    <n v="-112"/>
    <s v="L"/>
    <n v="-10"/>
    <x v="1"/>
  </r>
  <r>
    <x v="184"/>
    <x v="2"/>
    <s v="Northwestern @ Indiana"/>
    <s v="Indiana -13"/>
    <n v="10"/>
    <n v="-110"/>
    <s v="L"/>
    <n v="-10"/>
    <x v="0"/>
  </r>
  <r>
    <x v="184"/>
    <x v="2"/>
    <s v="Pittsburgh @ North Carolina"/>
    <s v="Over 138.5"/>
    <n v="10"/>
    <n v="-114"/>
    <s v="L"/>
    <n v="-10"/>
    <x v="2"/>
  </r>
  <r>
    <x v="184"/>
    <x v="2"/>
    <s v="George Washington @ Saint Louis"/>
    <s v="Under 133.5"/>
    <n v="10"/>
    <n v="-113"/>
    <s v="W"/>
    <n v="8.8495575221238933"/>
    <x v="1"/>
  </r>
  <r>
    <x v="184"/>
    <x v="2"/>
    <s v="Purdue-Fort Wayne @ Western Illinois"/>
    <s v="Western Illinois +2.5"/>
    <n v="10"/>
    <n v="-109"/>
    <s v="L"/>
    <n v="-10"/>
    <x v="3"/>
  </r>
  <r>
    <x v="184"/>
    <x v="2"/>
    <s v="San Diego State @ Wyoming"/>
    <s v="Wyoming +17"/>
    <n v="10"/>
    <n v="-110"/>
    <s v="L"/>
    <n v="-10"/>
    <x v="3"/>
  </r>
  <r>
    <x v="184"/>
    <x v="2"/>
    <s v="Campbell @ North Carolina-Asheville"/>
    <s v="North Carolina-Asheville -4"/>
    <n v="10"/>
    <n v="-112"/>
    <s v="L"/>
    <n v="-10"/>
    <x v="0"/>
  </r>
  <r>
    <x v="185"/>
    <x v="2"/>
    <s v="Louisiana-Monroe @ Georgia Southern"/>
    <s v="Louisiana-Monroe +11"/>
    <n v="5"/>
    <n v="-110"/>
    <s v="Push"/>
    <n v="0"/>
    <x v="3"/>
  </r>
  <r>
    <x v="185"/>
    <x v="2"/>
    <s v="North Alabama @ Liberty"/>
    <s v="Over 123.5"/>
    <n v="5"/>
    <n v="-108"/>
    <s v="L"/>
    <n v="-5"/>
    <x v="2"/>
  </r>
  <r>
    <x v="185"/>
    <x v="2"/>
    <s v="Memphis @ Wichita State"/>
    <s v="Memphis +6"/>
    <n v="5"/>
    <n v="-109"/>
    <s v="L"/>
    <n v="-5"/>
    <x v="3"/>
  </r>
  <r>
    <x v="185"/>
    <x v="2"/>
    <s v="Eastern Illinois @ Eastern Kentucky"/>
    <s v="Eastern Illinois -4"/>
    <n v="5"/>
    <n v="-112"/>
    <s v="L"/>
    <n v="-5"/>
    <x v="0"/>
  </r>
  <r>
    <x v="185"/>
    <x v="2"/>
    <s v="Arkansas State @ South Alabama"/>
    <s v="Arkansas State +7"/>
    <n v="5"/>
    <n v="-110"/>
    <s v="L"/>
    <n v="-5"/>
    <x v="3"/>
  </r>
  <r>
    <x v="185"/>
    <x v="2"/>
    <s v="Tennessee State @ Tennessee-Martin"/>
    <s v="Tennessee State -2.5"/>
    <n v="5"/>
    <n v="-112"/>
    <s v="L"/>
    <n v="-5"/>
    <x v="0"/>
  </r>
  <r>
    <x v="185"/>
    <x v="2"/>
    <s v="Southern Mississippi @ Texas-El Paso"/>
    <s v="Over 128.5"/>
    <n v="5"/>
    <n v="-112"/>
    <s v="W"/>
    <n v="4.4642857142857144"/>
    <x v="2"/>
  </r>
  <r>
    <x v="185"/>
    <x v="2"/>
    <s v="Northern Colorado @ Weber State"/>
    <s v="Northern Colorado -2.5"/>
    <n v="5"/>
    <n v="-112"/>
    <s v="L"/>
    <n v="-5"/>
    <x v="0"/>
  </r>
  <r>
    <x v="185"/>
    <x v="2"/>
    <s v="Arizona @ Oregon"/>
    <s v="Arizona +3"/>
    <n v="5"/>
    <n v="-108"/>
    <s v="W"/>
    <n v="4.6296296296296298"/>
    <x v="3"/>
  </r>
  <r>
    <x v="185"/>
    <x v="2"/>
    <s v="Washington State @ University of California"/>
    <s v="Washington State +1.5"/>
    <n v="5"/>
    <n v="-109"/>
    <s v="L"/>
    <n v="-5"/>
    <x v="3"/>
  </r>
  <r>
    <x v="185"/>
    <x v="2"/>
    <s v="Santa Clara @ San Francisco"/>
    <s v="Santa Clara +6.5"/>
    <n v="5"/>
    <n v="-110"/>
    <s v="L"/>
    <n v="-5"/>
    <x v="3"/>
  </r>
  <r>
    <x v="185"/>
    <x v="2"/>
    <s v="Brigham Young @ Saint Mary's (CA)"/>
    <s v="Brigham Young +5"/>
    <n v="5"/>
    <n v="-109"/>
    <s v="W"/>
    <n v="4.5871559633027523"/>
    <x v="3"/>
  </r>
  <r>
    <x v="186"/>
    <x v="1"/>
    <s v="Pacers @ Bulls_x000a_Hawks @ Wizards_x000a_Pelicans @ Knicks_x000a_Heat @ Nets_x000a_Magic @ Suns_x000a_Hornets @ Jazz_x000a_Bucks @ Kings_x000a_Warriors @ Clippers"/>
    <s v="Pacers Moneyline (-143)_x000a_Wizards Moneyline (-110)_x000a_Pelicans Moneyline (-200)_x000a_Heat Moneyline (-162)_x000a_Magic Moneyline (135)_x000a_Jazz Moneyline (-1000)_x000a_Bucks Moneyline (-450)_x000a_Clippers Moneyline (-1600)"/>
    <n v="0.23"/>
    <n v="2540"/>
    <s v="L"/>
    <n v="-0.23"/>
    <x v="7"/>
  </r>
  <r>
    <x v="187"/>
    <x v="0"/>
    <s v="Vikings @ 49ers"/>
    <s v="49ers -7"/>
    <n v="20"/>
    <n v="-130"/>
    <s v="W"/>
    <n v="15.384615384615385"/>
    <x v="0"/>
  </r>
  <r>
    <x v="187"/>
    <x v="0"/>
    <s v="Titans @ Ravens"/>
    <s v="Ravens -9.5"/>
    <n v="18.75"/>
    <n v="-110"/>
    <s v="L"/>
    <n v="-18.75"/>
    <x v="0"/>
  </r>
  <r>
    <x v="188"/>
    <x v="0"/>
    <s v="Texans @ Chiefs"/>
    <s v="Texans +9.5"/>
    <n v="17"/>
    <n v="-110"/>
    <s v="L"/>
    <n v="-17"/>
    <x v="3"/>
  </r>
  <r>
    <x v="188"/>
    <x v="0"/>
    <s v="Texans @ Chiefs"/>
    <s v="Under 50.5"/>
    <n v="17"/>
    <n v="-110"/>
    <s v="L"/>
    <n v="-17"/>
    <x v="1"/>
  </r>
  <r>
    <x v="188"/>
    <x v="0"/>
    <s v="Seahawks @ Packers_x000a_Seahawks @ Packers"/>
    <s v="Packers -4.5_x000a_Under 46.5"/>
    <n v="1.4"/>
    <n v="255"/>
    <s v="L"/>
    <n v="-1.4"/>
    <x v="7"/>
  </r>
  <r>
    <x v="189"/>
    <x v="1"/>
    <s v="Bulls @ Celtics"/>
    <s v="Under 215.5"/>
    <n v="20"/>
    <n v="-111"/>
    <s v="W"/>
    <n v="18.018018018018019"/>
    <x v="1"/>
  </r>
  <r>
    <x v="189"/>
    <x v="1"/>
    <s v="Thunder @ Timberwolves"/>
    <s v="Timberwolves +3.5"/>
    <n v="20"/>
    <n v="-118"/>
    <s v="L"/>
    <n v="-20"/>
    <x v="3"/>
  </r>
  <r>
    <x v="189"/>
    <x v="1"/>
    <s v="Magic @ Kings"/>
    <s v=" Kings -1.5"/>
    <n v="20"/>
    <n v="-118"/>
    <s v="L"/>
    <n v="-20"/>
    <x v="0"/>
  </r>
  <r>
    <x v="189"/>
    <x v="1"/>
    <s v="Hornets @ Trail Blazers"/>
    <s v=" Hornets +9.5"/>
    <n v="20"/>
    <n v="-120"/>
    <s v="W"/>
    <n v="16.666666666666664"/>
    <x v="3"/>
  </r>
  <r>
    <x v="189"/>
    <x v="2"/>
    <s v="Delaware State @ North Carolina A&amp;T"/>
    <s v="Under 148.5"/>
    <n v="20"/>
    <n v="-110"/>
    <s v="L"/>
    <n v="-20"/>
    <x v="1"/>
  </r>
  <r>
    <x v="189"/>
    <x v="8"/>
    <s v="Clemson @ LSU"/>
    <s v="Clemson +5"/>
    <n v="20"/>
    <n v="-110"/>
    <s v="L"/>
    <n v="-20"/>
    <x v="3"/>
  </r>
  <r>
    <x v="190"/>
    <x v="1"/>
    <s v="Suns @ Hawks"/>
    <s v="Suns -5.5"/>
    <n v="10"/>
    <n v="-105"/>
    <s v="L"/>
    <n v="-10"/>
    <x v="0"/>
  </r>
  <r>
    <x v="190"/>
    <x v="2"/>
    <s v="Maryland @ Wisconsin"/>
    <s v="Maryland +3.5"/>
    <n v="10"/>
    <n v="-118"/>
    <s v="W"/>
    <n v="8.4745762711864394"/>
    <x v="3"/>
  </r>
  <r>
    <x v="190"/>
    <x v="2"/>
    <s v="Missouri @ Mississippi State"/>
    <s v="Missouri +2.5"/>
    <n v="10"/>
    <n v="-110"/>
    <s v="L"/>
    <n v="-10"/>
    <x v="3"/>
  </r>
  <r>
    <x v="190"/>
    <x v="2"/>
    <s v="Nebraska @ Ohio State"/>
    <s v="Over 138.5"/>
    <n v="10"/>
    <n v="-110"/>
    <s v="W"/>
    <n v="9.0909090909090917"/>
    <x v="2"/>
  </r>
  <r>
    <x v="190"/>
    <x v="2"/>
    <s v="San Diego State @ Fresno State"/>
    <s v="Fresno State +7.5"/>
    <n v="10"/>
    <n v="-110"/>
    <s v="L"/>
    <n v="-10"/>
    <x v="3"/>
  </r>
  <r>
    <x v="190"/>
    <x v="5"/>
    <s v="Bruins @ Blue Jackets"/>
    <s v="Blue Jackets Moneyline"/>
    <n v="10"/>
    <n v="120"/>
    <s v="W"/>
    <n v="12"/>
    <x v="4"/>
  </r>
  <r>
    <x v="190"/>
    <x v="1"/>
    <s v="Mavericks @ Warriors"/>
    <s v="Warriors +8.5"/>
    <n v="10"/>
    <n v="-118"/>
    <s v="L"/>
    <n v="-10"/>
    <x v="3"/>
  </r>
  <r>
    <x v="191"/>
    <x v="2"/>
    <s v="Indiana @ Rutgers"/>
    <s v="Indiana +3"/>
    <n v="10"/>
    <n v="-110"/>
    <s v="L"/>
    <n v="-10"/>
    <x v="3"/>
  </r>
  <r>
    <x v="191"/>
    <x v="2"/>
    <s v="VMI @ Mercer"/>
    <s v="Mercer -6"/>
    <n v="10"/>
    <n v="-105"/>
    <s v="W"/>
    <n v="9.5238095238095237"/>
    <x v="0"/>
  </r>
  <r>
    <x v="191"/>
    <x v="2"/>
    <s v="Auburn @ Alabama"/>
    <s v="Alabama +1.5"/>
    <n v="10"/>
    <n v="-110"/>
    <s v="W"/>
    <n v="9.0909090909090917"/>
    <x v="3"/>
  </r>
  <r>
    <x v="191"/>
    <x v="2"/>
    <s v="Army @ Holy Cross"/>
    <s v="Army -3"/>
    <n v="10"/>
    <n v="-105"/>
    <s v="W"/>
    <n v="9.5238095238095237"/>
    <x v="0"/>
  </r>
  <r>
    <x v="191"/>
    <x v="1"/>
    <s v="Magic @ Lakers"/>
    <s v="Under 209.5"/>
    <n v="10"/>
    <n v="-111"/>
    <s v="L"/>
    <n v="-10"/>
    <x v="1"/>
  </r>
  <r>
    <x v="192"/>
    <x v="2"/>
    <s v="Utah @ Arizona"/>
    <s v="Over 144.5"/>
    <n v="10"/>
    <n v="-110"/>
    <s v="W"/>
    <n v="9.0909090909090917"/>
    <x v="2"/>
  </r>
  <r>
    <x v="192"/>
    <x v="2"/>
    <s v="UC-Davis @ Long Beach State"/>
    <s v="UC-Davis +1"/>
    <n v="10"/>
    <n v="-110"/>
    <s v="W"/>
    <n v="9.0909090909090917"/>
    <x v="3"/>
  </r>
  <r>
    <x v="192"/>
    <x v="2"/>
    <s v="Santa Clara @ Gonzaga"/>
    <s v="Santa Clara +20"/>
    <n v="10"/>
    <n v="-110"/>
    <s v="L"/>
    <n v="-10"/>
    <x v="3"/>
  </r>
  <r>
    <x v="192"/>
    <x v="2"/>
    <s v="New Mexico State @ Utah Valley State"/>
    <s v="Under 137"/>
    <n v="10"/>
    <n v="-110"/>
    <s v="W"/>
    <n v="9.0909090909090917"/>
    <x v="1"/>
  </r>
  <r>
    <x v="192"/>
    <x v="2"/>
    <s v="Weber State @ Idaho State"/>
    <s v="Over 133.5"/>
    <n v="10"/>
    <n v="-110"/>
    <s v="W"/>
    <n v="9.0909090909090917"/>
    <x v="2"/>
  </r>
  <r>
    <x v="192"/>
    <x v="2"/>
    <s v="North Carolina-Charlotte @ Marshall"/>
    <s v="Charlotte +5.5"/>
    <n v="10"/>
    <n v="-118"/>
    <s v="W"/>
    <n v="8.4745762711864394"/>
    <x v="3"/>
  </r>
  <r>
    <x v="192"/>
    <x v="5"/>
    <s v="Penguins @ Bruins"/>
    <s v="Penguins Moneyline"/>
    <n v="10"/>
    <n v="115"/>
    <s v="L"/>
    <n v="-10"/>
    <x v="4"/>
  </r>
  <r>
    <x v="192"/>
    <x v="1"/>
    <s v="Nuggets @ Warriors"/>
    <s v="Warriors +3.5"/>
    <n v="10"/>
    <n v="-110"/>
    <s v="W"/>
    <n v="9.0909090909090917"/>
    <x v="3"/>
  </r>
  <r>
    <x v="192"/>
    <x v="2"/>
    <s v="Colorado @ Arizona State"/>
    <s v="Under 140.5"/>
    <n v="10"/>
    <n v="-110"/>
    <s v="W"/>
    <n v="9.0909090909090917"/>
    <x v="1"/>
  </r>
  <r>
    <x v="193"/>
    <x v="2"/>
    <s v="Furman @ Wofford"/>
    <s v="Wofford +3.5"/>
    <n v="10"/>
    <n v="-118"/>
    <s v="W"/>
    <n v="8.4745762711864394"/>
    <x v="3"/>
  </r>
  <r>
    <x v="193"/>
    <x v="2"/>
    <s v="Rider @ Niagra"/>
    <s v="Over 146"/>
    <n v="10"/>
    <n v="-105"/>
    <s v="L"/>
    <n v="-10"/>
    <x v="2"/>
  </r>
  <r>
    <x v="193"/>
    <x v="2"/>
    <s v="Fairmont @ Iona"/>
    <s v="Fairmont +4"/>
    <n v="10"/>
    <n v="-111"/>
    <s v="L"/>
    <n v="-10"/>
    <x v="3"/>
  </r>
  <r>
    <x v="193"/>
    <x v="2"/>
    <s v="Wisconsin @ Michigan State"/>
    <s v="Wisonsin +9.5"/>
    <n v="10"/>
    <n v="-118"/>
    <s v="L"/>
    <n v="-10"/>
    <x v="3"/>
  </r>
  <r>
    <x v="193"/>
    <x v="2"/>
    <s v="Brown @ Yale"/>
    <s v="Brown +11"/>
    <n v="10"/>
    <n v="-105"/>
    <s v="L"/>
    <n v="-10"/>
    <x v="3"/>
  </r>
  <r>
    <x v="193"/>
    <x v="5"/>
    <s v="Ducks @ Hurricans"/>
    <s v="Ducks Moneyline"/>
    <n v="10"/>
    <n v="188"/>
    <s v="W"/>
    <n v="18.799999999999997"/>
    <x v="4"/>
  </r>
  <r>
    <x v="193"/>
    <x v="1"/>
    <s v="Cavaliers @ Grizzlies"/>
    <s v="Over 228.5"/>
    <n v="10"/>
    <n v="-125"/>
    <s v="W"/>
    <n v="8"/>
    <x v="2"/>
  </r>
  <r>
    <x v="193"/>
    <x v="1"/>
    <s v="Cavaliers @ Grizzlies"/>
    <s v="Cavaliers +8.5"/>
    <n v="10"/>
    <n v="-120"/>
    <s v="W"/>
    <n v="8.3333333333333321"/>
    <x v="3"/>
  </r>
  <r>
    <x v="193"/>
    <x v="5"/>
    <s v="Lightning @ Jets"/>
    <s v="Jets Moneyline"/>
    <n v="10"/>
    <n v="120"/>
    <s v="L"/>
    <n v="-10"/>
    <x v="4"/>
  </r>
  <r>
    <x v="193"/>
    <x v="1"/>
    <s v="Hawks @ Spurs"/>
    <s v="Over 230.5"/>
    <n v="10"/>
    <n v="100"/>
    <s v="W"/>
    <n v="10"/>
    <x v="2"/>
  </r>
  <r>
    <x v="194"/>
    <x v="2"/>
    <s v="Miami (OH) @ Ball State"/>
    <s v="Ball State -8.5"/>
    <n v="10"/>
    <n v="-105"/>
    <s v="W"/>
    <n v="9.5238095238095237"/>
    <x v="0"/>
  </r>
  <r>
    <x v="194"/>
    <x v="2"/>
    <s v="South Carolina @ Texas A&amp;M"/>
    <s v="South Carolina +1.5"/>
    <n v="10"/>
    <n v="-105"/>
    <s v="W"/>
    <n v="9.5238095238095237"/>
    <x v="3"/>
  </r>
  <r>
    <x v="194"/>
    <x v="2"/>
    <s v="Florida State @ Miami"/>
    <s v="Miami +6.5"/>
    <n v="10"/>
    <n v="-110"/>
    <s v="W"/>
    <n v="9.0909090909090917"/>
    <x v="3"/>
  </r>
  <r>
    <x v="194"/>
    <x v="2"/>
    <s v="St. Peters @ Quinnipiac"/>
    <s v="Quinnipiac -5.5"/>
    <n v="10"/>
    <n v="-110"/>
    <s v="L"/>
    <n v="-10"/>
    <x v="0"/>
  </r>
  <r>
    <x v="194"/>
    <x v="2"/>
    <s v="Alcorn State @ Misssissippi Valley State"/>
    <s v="Over 155"/>
    <n v="10"/>
    <n v="-105"/>
    <s v="W"/>
    <n v="9.5238095238095237"/>
    <x v="2"/>
  </r>
  <r>
    <x v="194"/>
    <x v="2"/>
    <s v="Murray State @ Southeast Missouri State"/>
    <s v="Southeast Missouri State +10.5"/>
    <n v="10"/>
    <n v="-110"/>
    <s v="W"/>
    <n v="9.0909090909090917"/>
    <x v="3"/>
  </r>
  <r>
    <x v="194"/>
    <x v="1"/>
    <s v="76ers @ Knicks"/>
    <s v="76ers -4.5"/>
    <n v="10"/>
    <n v="-110"/>
    <s v="L"/>
    <n v="-10"/>
    <x v="0"/>
  </r>
  <r>
    <x v="194"/>
    <x v="5"/>
    <s v="Sabres @ Predators"/>
    <s v="Sabres Moneyline"/>
    <n v="10"/>
    <n v="175"/>
    <s v="L"/>
    <n v="-10"/>
    <x v="4"/>
  </r>
  <r>
    <x v="195"/>
    <x v="0"/>
    <s v="Titans @ Chiefs"/>
    <s v="Under 53"/>
    <n v="20"/>
    <n v="-110"/>
    <s v="L"/>
    <n v="-20"/>
    <x v="1"/>
  </r>
  <r>
    <x v="195"/>
    <x v="0"/>
    <s v="Titans @ Chiefs"/>
    <s v="Titans +7.5"/>
    <n v="20"/>
    <n v="-110"/>
    <s v="L"/>
    <n v="-20"/>
    <x v="3"/>
  </r>
  <r>
    <x v="195"/>
    <x v="0"/>
    <s v="Packers @ 49ers"/>
    <s v="Under 46.5"/>
    <n v="20"/>
    <n v="-110"/>
    <s v="L"/>
    <n v="-20"/>
    <x v="1"/>
  </r>
  <r>
    <x v="195"/>
    <x v="0"/>
    <s v="Packers @ 49ers"/>
    <s v="Packers +7"/>
    <n v="20"/>
    <n v="-110"/>
    <s v="L"/>
    <n v="-20"/>
    <x v="3"/>
  </r>
  <r>
    <x v="196"/>
    <x v="1"/>
    <s v="Raptors @ Hawks"/>
    <s v="Over 229.5"/>
    <n v="10"/>
    <n v="-105"/>
    <s v="W"/>
    <n v="9.5238095238095237"/>
    <x v="2"/>
  </r>
  <r>
    <x v="196"/>
    <x v="1"/>
    <s v="Kings @ Heat"/>
    <s v="Kings +6.5"/>
    <n v="10"/>
    <n v="-105"/>
    <s v="W"/>
    <n v="9.5238095238095237"/>
    <x v="3"/>
  </r>
  <r>
    <x v="196"/>
    <x v="2"/>
    <s v="North Carolina-Asheville @ Longwood"/>
    <s v="Under 147.5"/>
    <n v="10"/>
    <n v="-110"/>
    <s v="W"/>
    <n v="9.0909090909090917"/>
    <x v="1"/>
  </r>
  <r>
    <x v="196"/>
    <x v="2"/>
    <s v="North Carolina State @ Virginia"/>
    <s v="North Carolina State +4.5"/>
    <n v="10"/>
    <n v="-105"/>
    <s v="W"/>
    <n v="9.5238095238095237"/>
    <x v="3"/>
  </r>
  <r>
    <x v="196"/>
    <x v="2"/>
    <s v="North Carolina-A&amp;T @ Morgan State"/>
    <s v="North Carolina-A&amp;T +4"/>
    <n v="10"/>
    <n v="-111"/>
    <s v="W"/>
    <n v="9.0090090090090094"/>
    <x v="3"/>
  </r>
  <r>
    <x v="196"/>
    <x v="2"/>
    <s v="Oklahoma @ Baylor"/>
    <s v="Over 135"/>
    <n v="10"/>
    <n v="-110"/>
    <s v="L"/>
    <n v="-10"/>
    <x v="2"/>
  </r>
  <r>
    <x v="196"/>
    <x v="1"/>
    <s v="Pacers @ Jazz"/>
    <s v="Pacers +7.5"/>
    <n v="10"/>
    <n v="-111"/>
    <s v="L"/>
    <n v="-10"/>
    <x v="3"/>
  </r>
  <r>
    <x v="196"/>
    <x v="1"/>
    <s v="Warriors @ Trailblazers"/>
    <s v="Trailblazers -6.5"/>
    <n v="10"/>
    <n v="-105"/>
    <s v="L"/>
    <n v="-10"/>
    <x v="0"/>
  </r>
  <r>
    <x v="197"/>
    <x v="2"/>
    <s v="Northern Illinois @ Kent State"/>
    <s v="Kent State -9.5"/>
    <n v="10"/>
    <n v="-105"/>
    <s v="L"/>
    <n v="-10"/>
    <x v="0"/>
  </r>
  <r>
    <x v="197"/>
    <x v="2"/>
    <s v="Eastern Michigan @ Bowling Green State"/>
    <s v="Over 133.5"/>
    <n v="10"/>
    <n v="-110"/>
    <s v="L"/>
    <n v="-10"/>
    <x v="2"/>
  </r>
  <r>
    <x v="197"/>
    <x v="2"/>
    <s v="Eastern Michigan @ Bowling Green State"/>
    <s v="Eastern Michigan +8.5"/>
    <n v="10"/>
    <n v="-109"/>
    <s v="W"/>
    <n v="9.1743119266055047"/>
    <x v="3"/>
  </r>
  <r>
    <x v="197"/>
    <x v="2"/>
    <s v="Georgia @ Kentucky"/>
    <s v="Georgia +11.5"/>
    <n v="10"/>
    <n v="-113"/>
    <s v="W"/>
    <n v="8.8495575221238933"/>
    <x v="3"/>
  </r>
  <r>
    <x v="197"/>
    <x v="5"/>
    <s v="Jets @ Hurricanes"/>
    <s v="Jets Moneyline"/>
    <n v="10"/>
    <n v="-188"/>
    <s v="W"/>
    <n v="5.3191489361702127"/>
    <x v="6"/>
  </r>
  <r>
    <x v="197"/>
    <x v="2"/>
    <s v="Oklahoma State @ Iowa State"/>
    <s v="Oklahoma State +5.5"/>
    <n v="10"/>
    <n v="-109"/>
    <s v="L"/>
    <n v="-10"/>
    <x v="3"/>
  </r>
  <r>
    <x v="197"/>
    <x v="5"/>
    <s v="Panthers @ Blackhawks"/>
    <s v="Panthers Moneyline"/>
    <n v="10"/>
    <n v="105"/>
    <s v="W"/>
    <n v="10.5"/>
    <x v="4"/>
  </r>
  <r>
    <x v="197"/>
    <x v="2"/>
    <s v="Mississippi @ Tennessee"/>
    <s v="Over 127"/>
    <n v="10"/>
    <n v="-112"/>
    <s v="L"/>
    <n v="-10"/>
    <x v="2"/>
  </r>
  <r>
    <x v="198"/>
    <x v="2"/>
    <s v="Manhattan @ Marist"/>
    <s v="Manhattan -5"/>
    <n v="10"/>
    <n v="-105"/>
    <s v="L"/>
    <n v="-10"/>
    <x v="0"/>
  </r>
  <r>
    <x v="198"/>
    <x v="2"/>
    <s v="Binghamton @ Stoney Brook"/>
    <s v="Binghamton +17"/>
    <n v="10"/>
    <n v="-110"/>
    <s v="W"/>
    <n v="9.0909090909090917"/>
    <x v="3"/>
  </r>
  <r>
    <x v="198"/>
    <x v="2"/>
    <s v="Massachusetts @ George Mason"/>
    <s v="Under 141.5"/>
    <n v="10"/>
    <n v="-110"/>
    <s v="W"/>
    <n v="9.0909090909090917"/>
    <x v="1"/>
  </r>
  <r>
    <x v="198"/>
    <x v="2"/>
    <s v="Massachusetts @ George Mason"/>
    <s v="Massachusetts +6.5"/>
    <n v="10"/>
    <n v="-118"/>
    <s v="L"/>
    <n v="-10"/>
    <x v="3"/>
  </r>
  <r>
    <x v="198"/>
    <x v="2"/>
    <s v="Citadel @ Chattanooga"/>
    <s v="Under 151.5"/>
    <n v="10"/>
    <n v="-110"/>
    <s v="L"/>
    <n v="-10"/>
    <x v="1"/>
  </r>
  <r>
    <x v="198"/>
    <x v="2"/>
    <s v="Penn State @ Michigan"/>
    <s v="Under 147.5"/>
    <n v="10"/>
    <n v="-115"/>
    <s v="W"/>
    <n v="8.695652173913043"/>
    <x v="1"/>
  </r>
  <r>
    <x v="198"/>
    <x v="2"/>
    <s v="Arkansas @ Mississippi State"/>
    <s v="Arkansas +4"/>
    <n v="10"/>
    <n v="-110"/>
    <s v="L"/>
    <n v="-10"/>
    <x v="3"/>
  </r>
  <r>
    <x v="198"/>
    <x v="2"/>
    <s v="Western Carolina @ Mercer"/>
    <s v="Western Carolina +2"/>
    <n v="10"/>
    <n v="-105"/>
    <s v="L"/>
    <n v="-10"/>
    <x v="3"/>
  </r>
  <r>
    <x v="198"/>
    <x v="2"/>
    <s v="Lehigh @ Holy Cross"/>
    <s v="Lehigh -3.5"/>
    <n v="10"/>
    <n v="-110"/>
    <s v="L"/>
    <n v="-10"/>
    <x v="0"/>
  </r>
  <r>
    <x v="198"/>
    <x v="2"/>
    <s v="Stephen F. Austin @ Northwestern State"/>
    <s v="Stephen F. Austin -10.5"/>
    <n v="10"/>
    <n v="-110"/>
    <s v="L"/>
    <n v="-10"/>
    <x v="0"/>
  </r>
  <r>
    <x v="198"/>
    <x v="1"/>
    <s v="Nuggets @ Rockets"/>
    <s v="Nuggets +8.5"/>
    <n v="10"/>
    <n v="-110"/>
    <s v="L"/>
    <n v="-10"/>
    <x v="3"/>
  </r>
  <r>
    <x v="198"/>
    <x v="2"/>
    <s v="Northern Iowa @ Southern Illinois"/>
    <s v="Over 126.5"/>
    <n v="10"/>
    <n v="-110"/>
    <s v="W"/>
    <n v="9.0909090909090917"/>
    <x v="2"/>
  </r>
  <r>
    <x v="198"/>
    <x v="2"/>
    <s v="Creighton @ Depaul"/>
    <s v="Creighton +1.5"/>
    <n v="10"/>
    <n v="-110"/>
    <s v="W"/>
    <n v="9.0909090909090917"/>
    <x v="3"/>
  </r>
  <r>
    <x v="198"/>
    <x v="1"/>
    <s v="Pacers @ Suns"/>
    <s v="Over 221.5"/>
    <n v="10"/>
    <n v="-112"/>
    <s v="L"/>
    <n v="-10"/>
    <x v="2"/>
  </r>
  <r>
    <x v="198"/>
    <x v="2"/>
    <s v="UC-Irvine @ Cal State Long Beach"/>
    <s v="UC-Irvine -9"/>
    <n v="10"/>
    <n v="-118"/>
    <s v="L"/>
    <n v="-10"/>
    <x v="0"/>
  </r>
  <r>
    <x v="198"/>
    <x v="1"/>
    <s v="Jazz @ Warriors"/>
    <s v="Under 218.5"/>
    <n v="10"/>
    <n v="-118"/>
    <s v="L"/>
    <n v="-10"/>
    <x v="1"/>
  </r>
  <r>
    <x v="199"/>
    <x v="2"/>
    <s v="Campbell @ Hampton"/>
    <s v="Campbell PK"/>
    <n v="10"/>
    <n v="-110"/>
    <s v="L"/>
    <n v="-10"/>
    <x v="5"/>
  </r>
  <r>
    <x v="199"/>
    <x v="2"/>
    <s v="Belmont @ Murray State"/>
    <s v="Under 148.5"/>
    <n v="10"/>
    <n v="-105"/>
    <s v="L"/>
    <n v="-10"/>
    <x v="1"/>
  </r>
  <r>
    <x v="199"/>
    <x v="2"/>
    <s v="Green Bay @ Cleveland State"/>
    <s v="Under 154"/>
    <n v="10"/>
    <n v="-110"/>
    <s v="W"/>
    <n v="9.0909090909090917"/>
    <x v="1"/>
  </r>
  <r>
    <x v="199"/>
    <x v="2"/>
    <s v="Western Illinois @ Omaha"/>
    <s v="Western Illinois +11"/>
    <n v="10"/>
    <n v="-110"/>
    <s v="W"/>
    <n v="9.0909090909090917"/>
    <x v="3"/>
  </r>
  <r>
    <x v="199"/>
    <x v="2"/>
    <s v="Montana State @ Weber State"/>
    <s v="Montana state +3.5"/>
    <n v="10"/>
    <n v="-110"/>
    <s v="W"/>
    <n v="9.0909090909090917"/>
    <x v="3"/>
  </r>
  <r>
    <x v="199"/>
    <x v="2"/>
    <s v="UCLA @ Oregon State"/>
    <s v="Over 135.5"/>
    <n v="10"/>
    <n v="-111"/>
    <s v="L"/>
    <n v="-10"/>
    <x v="2"/>
  </r>
  <r>
    <x v="200"/>
    <x v="2"/>
    <s v="Kent State @ Buffalo"/>
    <s v="Kent State +3.5"/>
    <n v="10"/>
    <n v="-110"/>
    <s v="W"/>
    <n v="9.0909090909090917"/>
    <x v="3"/>
  </r>
  <r>
    <x v="200"/>
    <x v="2"/>
    <s v="Cansius @ Iona"/>
    <s v="Under 148.5"/>
    <n v="10"/>
    <n v="-110"/>
    <s v="W"/>
    <n v="9.0909090909090917"/>
    <x v="1"/>
  </r>
  <r>
    <x v="200"/>
    <x v="2"/>
    <s v="Cansius @ Iona"/>
    <s v="Cansius +3"/>
    <n v="10"/>
    <n v="-110"/>
    <s v="Push"/>
    <n v="0"/>
    <x v="3"/>
  </r>
  <r>
    <x v="200"/>
    <x v="1"/>
    <s v="Raptors @ Knicks"/>
    <s v="Over 218"/>
    <n v="10"/>
    <n v="-110"/>
    <s v="W"/>
    <n v="9.0909090909090917"/>
    <x v="2"/>
  </r>
  <r>
    <x v="200"/>
    <x v="1"/>
    <s v="Suns @ Spurs"/>
    <s v="Over 227.5"/>
    <n v="10"/>
    <n v="-110"/>
    <s v="L"/>
    <n v="-10"/>
    <x v="2"/>
  </r>
  <r>
    <x v="201"/>
    <x v="2"/>
    <s v="Mississippi Valley State @ Providence"/>
    <s v="Under 153.5"/>
    <n v="10"/>
    <n v="-110"/>
    <m/>
    <s v=""/>
    <x v="1"/>
  </r>
  <r>
    <x v="201"/>
    <x v="2"/>
    <s v="Northern Colorado @ Eastern Washington"/>
    <s v="Under 148.5"/>
    <n v="10"/>
    <n v="-110"/>
    <m/>
    <s v=""/>
    <x v="1"/>
  </r>
  <r>
    <x v="201"/>
    <x v="2"/>
    <s v="Kansas @ Oklahoma State"/>
    <s v="Kansas -7"/>
    <n v="10"/>
    <n v="-110"/>
    <m/>
    <s v=""/>
    <x v="0"/>
  </r>
  <r>
    <x v="201"/>
    <x v="2"/>
    <s v="Bethune-Cookman @ South Carolina State"/>
    <s v="Under 153.5"/>
    <n v="10"/>
    <n v="-110"/>
    <m/>
    <s v=""/>
    <x v="1"/>
  </r>
  <r>
    <x v="201"/>
    <x v="1"/>
    <s v="Magic @ Heat"/>
    <s v="Magic +5.5"/>
    <n v="10"/>
    <n v="-110"/>
    <m/>
    <s v=""/>
    <x v="3"/>
  </r>
  <r>
    <x v="201"/>
    <x v="1"/>
    <s v="Cavaliers @ Pistons"/>
    <s v="Cavaliers +7"/>
    <n v="10"/>
    <n v="-110"/>
    <m/>
    <s v=""/>
    <x v="3"/>
  </r>
  <r>
    <x v="201"/>
    <x v="5"/>
    <s v="Ducks @ Sharks"/>
    <s v="Ducks Moneyline"/>
    <n v="10"/>
    <n v="120"/>
    <m/>
    <s v=""/>
    <x v="4"/>
  </r>
  <r>
    <x v="201"/>
    <x v="5"/>
    <s v="Maple Leafs @ Predators"/>
    <s v="Predators Moneyline"/>
    <n v="10"/>
    <n v="-118"/>
    <m/>
    <s v="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2:G42" firstHeaderRow="0" firstDataRow="1" firstDataCol="1" rowPageCount="2" colPageCount="1"/>
  <pivotFields count="9">
    <pivotField axis="axisPage" numFmtId="16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xis="axisRow" showAll="0">
      <items count="10">
        <item x="4"/>
        <item x="3"/>
        <item x="6"/>
        <item x="1"/>
        <item x="2"/>
        <item x="8"/>
        <item x="0"/>
        <item x="5"/>
        <item x="7"/>
        <item t="default"/>
      </items>
    </pivotField>
    <pivotField dataField="1" showAll="0"/>
    <pivotField showAll="0"/>
    <pivotField dataField="1" numFmtId="165" showAll="0"/>
    <pivotField showAll="0"/>
    <pivotField dataField="1" showAll="0"/>
    <pivotField dataField="1" showAll="0"/>
    <pivotField axis="axisPage" showAll="0">
      <items count="9">
        <item x="5"/>
        <item x="3"/>
        <item x="0"/>
        <item x="4"/>
        <item x="6"/>
        <item x="2"/>
        <item x="7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8" hier="-1"/>
  </pageFields>
  <dataFields count="4">
    <dataField name="Total Bets" fld="2" subtotal="count" baseField="1" baseItem="0"/>
    <dataField name="Total Risked" fld="4" baseField="1" baseItem="0" numFmtId="165"/>
    <dataField name="Net" fld="7" baseField="1" baseItem="0" numFmtId="165"/>
    <dataField name="Count of Result" fld="6" subtotal="count" showDataAs="runTotal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">
  <location ref="A53:D71" firstHeaderRow="0" firstDataRow="1" firstDataCol="1"/>
  <pivotFields count="11">
    <pivotField axis="axisRow" numFmtId="15" showAll="0" sortType="ascending" countASubtotal="1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countA" sd="0"/>
      </items>
    </pivotField>
    <pivotField showAll="0"/>
    <pivotField showAll="0"/>
    <pivotField showAll="0"/>
    <pivotField dataField="1" numFmtId="165" showAll="0"/>
    <pivotField showAll="0"/>
    <pivotField showAll="0"/>
    <pivotField dataField="1" showAll="0" defaultSubtota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sortType="ascending">
      <items count="6">
        <item sd="0" x="0"/>
        <item x="4"/>
        <item x="1"/>
        <item x="2"/>
        <item x="3"/>
        <item t="default" sd="0"/>
      </items>
    </pivotField>
  </pivotFields>
  <rowFields count="2">
    <field x="10"/>
    <field x="0"/>
  </rowFields>
  <rowItems count="18">
    <i>
      <x v="2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isk" fld="4" baseField="0" baseItem="1" numFmtId="165"/>
    <dataField name="Sum of Profit" fld="7" baseField="0" baseItem="1" numFmtId="165"/>
    <dataField name="Sum of Profit2" fld="7" showDataAs="runTotal" baseField="10" baseItem="2"/>
  </dataFields>
  <chartFormats count="3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K29:P48" firstHeaderRow="1" firstDataRow="2" firstDataCol="1"/>
  <pivotFields count="11">
    <pivotField axis="axisRow" numFmtId="1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numFmtId="165" showAll="0"/>
    <pivotField showAll="0"/>
    <pivotField axis="axisCol" showAll="0">
      <items count="6">
        <item x="1"/>
        <item x="0"/>
        <item x="2"/>
        <item m="1" x="4"/>
        <item x="3"/>
        <item t="default"/>
      </items>
    </pivotField>
    <pivotField showAll="0" defaultSubtota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10"/>
    <field x="0"/>
  </rowFields>
  <rowItems count="18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t="grand">
      <x/>
    </i>
  </rowItems>
  <colFields count="1">
    <field x="6"/>
  </colFields>
  <colItems count="5">
    <i>
      <x/>
    </i>
    <i>
      <x v="1"/>
    </i>
    <i>
      <x v="2"/>
    </i>
    <i>
      <x v="4"/>
    </i>
    <i t="grand">
      <x/>
    </i>
  </colItems>
  <dataFields count="1">
    <dataField name="Record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29:F40" firstHeaderRow="1" firstDataRow="2" firstDataCol="1"/>
  <pivotFields count="11">
    <pivotField numFmtId="16" showAll="0"/>
    <pivotField axis="axisRow" showAll="0">
      <items count="12">
        <item x="4"/>
        <item x="3"/>
        <item x="6"/>
        <item x="1"/>
        <item x="2"/>
        <item x="8"/>
        <item x="0"/>
        <item x="5"/>
        <item x="7"/>
        <item m="1" x="9"/>
        <item m="1" x="10"/>
        <item t="default"/>
      </items>
    </pivotField>
    <pivotField showAll="0"/>
    <pivotField dataField="1" showAll="0"/>
    <pivotField numFmtId="165" showAll="0"/>
    <pivotField showAll="0"/>
    <pivotField axis="axisCol" showAll="0">
      <items count="6">
        <item x="1"/>
        <item x="0"/>
        <item x="2"/>
        <item m="1" x="4"/>
        <item x="3"/>
        <item t="default"/>
      </items>
    </pivotField>
    <pivotField showAll="0" defaultSubtotal="0"/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4"/>
    </i>
    <i t="grand">
      <x/>
    </i>
  </colItems>
  <dataFields count="1">
    <dataField name="Record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9" dataPosition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:U23" firstHeaderRow="1" firstDataRow="3" firstDataCol="1" rowPageCount="1" colPageCount="1"/>
  <pivotFields count="11">
    <pivotField axis="axisRow" numFmtId="1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2">
        <item x="4"/>
        <item x="3"/>
        <item x="6"/>
        <item x="1"/>
        <item x="2"/>
        <item x="8"/>
        <item x="0"/>
        <item x="5"/>
        <item x="7"/>
        <item m="1" x="9"/>
        <item m="1" x="10"/>
        <item t="default"/>
      </items>
    </pivotField>
    <pivotField showAll="0"/>
    <pivotField showAll="0"/>
    <pivotField dataField="1" numFmtId="165" showAll="0"/>
    <pivotField showAll="0"/>
    <pivotField showAll="0"/>
    <pivotField dataField="1" showAll="0" defaultSubtotal="0"/>
    <pivotField axis="axisPage" showAll="0">
      <items count="9">
        <item x="5"/>
        <item x="3"/>
        <item x="0"/>
        <item x="4"/>
        <item x="6"/>
        <item x="2"/>
        <item x="7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10"/>
    <field x="0"/>
  </rowFields>
  <rowItems count="18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t="grand">
      <x/>
    </i>
  </rowItems>
  <colFields count="2">
    <field x="-2"/>
    <field x="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/>
    </i>
  </colItems>
  <pageFields count="1">
    <pageField fld="8" hier="-1"/>
  </pageFields>
  <dataFields count="2">
    <dataField name="Sum of Risk" fld="4" baseField="10" baseItem="2" numFmtId="165"/>
    <dataField name="Sum of Profit" fld="7" baseField="10" baseItem="1" numFmtId="165"/>
  </dataFields>
  <formats count="116">
    <format dxfId="145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10" count="1">
            <x v="1"/>
          </reference>
        </references>
      </pivotArea>
    </format>
    <format dxfId="144">
      <pivotArea collapsedLevelsAreSubtotals="1" fieldPosition="0">
        <references count="4">
          <reference field="4294967294" count="1" selected="0">
            <x v="0"/>
          </reference>
          <reference field="0" count="1">
            <x v="12"/>
          </reference>
          <reference field="1" count="0" selected="0"/>
          <reference field="10" count="1" selected="0">
            <x v="1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10" count="1">
            <x v="2"/>
          </reference>
        </references>
      </pivotArea>
    </format>
    <format dxfId="142">
      <pivotArea collapsedLevelsAreSubtotals="1" fieldPosition="0">
        <references count="4">
          <reference field="4294967294" count="1" selected="0">
            <x v="0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0" selected="0"/>
          <reference field="10" count="1" selected="0">
            <x v="2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0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5">
      <pivotArea collapsedLevelsAreSubtotals="1" fieldPosition="0">
        <references count="3">
          <reference field="4294967294" count="1" selected="0">
            <x v="1"/>
          </reference>
          <reference field="1" count="0" selected="0"/>
          <reference field="10" count="1">
            <x v="1"/>
          </reference>
        </references>
      </pivotArea>
    </format>
    <format dxfId="134">
      <pivotArea collapsedLevelsAreSubtotals="1" fieldPosition="0">
        <references count="4">
          <reference field="4294967294" count="1" selected="0">
            <x v="1"/>
          </reference>
          <reference field="0" count="1">
            <x v="12"/>
          </reference>
          <reference field="1" count="0" selected="0"/>
          <reference field="10" count="1" selected="0">
            <x v="1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1"/>
          </reference>
          <reference field="1" count="0" selected="0"/>
          <reference field="10" count="1">
            <x v="2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1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0" selected="0"/>
          <reference field="10" count="1" selected="0">
            <x v="2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-2" type="button" dataOnly="0" labelOnly="1" outline="0" axis="axisCol" fieldPosition="0"/>
    </format>
    <format dxfId="127">
      <pivotArea field="1" type="button" dataOnly="0" labelOnly="1" outline="0" axis="axisCol" fieldPosition="1"/>
    </format>
    <format dxfId="126">
      <pivotArea type="topRight" dataOnly="0" labelOnly="1" outline="0" fieldPosition="0"/>
    </format>
    <format dxfId="125">
      <pivotArea field="10" type="button" dataOnly="0" labelOnly="1" outline="0" axis="axisRow" fieldPosition="0"/>
    </format>
    <format dxfId="12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2">
          <reference field="0" count="1">
            <x v="12"/>
          </reference>
          <reference field="10" count="1" selected="0">
            <x v="1"/>
          </reference>
        </references>
      </pivotArea>
    </format>
    <format dxfId="121">
      <pivotArea dataOnly="0" labelOnly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18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17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16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1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14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13">
      <pivotArea collapsedLevelsAreSubtotals="1" fieldPosition="0">
        <references count="4">
          <reference field="4294967294" count="1" selected="0">
            <x v="0"/>
          </reference>
          <reference field="0" count="1">
            <x v="4"/>
          </reference>
          <reference field="1" count="1" selected="0">
            <x v="2"/>
          </reference>
          <reference field="10" count="1" selected="0">
            <x v="2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-2" type="button" dataOnly="0" labelOnly="1" outline="0" axis="axisCol" fieldPosition="0"/>
    </format>
    <format dxfId="108">
      <pivotArea field="1" type="button" dataOnly="0" labelOnly="1" outline="0" axis="axisCol" fieldPosition="1"/>
    </format>
    <format dxfId="107">
      <pivotArea type="topRight" dataOnly="0" labelOnly="1" outline="0" fieldPosition="0"/>
    </format>
    <format dxfId="106">
      <pivotArea field="10" type="button" dataOnly="0" labelOnly="1" outline="0" axis="axisRow" fieldPosition="0"/>
    </format>
    <format dxfId="10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0" count="1">
            <x v="12"/>
          </reference>
          <reference field="10" count="1" selected="0">
            <x v="1"/>
          </reference>
        </references>
      </pivotArea>
    </format>
    <format dxfId="102">
      <pivotArea dataOnly="0" labelOnly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1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0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9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98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7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96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5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94">
      <pivotArea type="origin" dataOnly="0" labelOnly="1" outline="0" offset="A1" fieldPosition="0"/>
    </format>
    <format dxfId="93">
      <pivotArea field="-2" type="button" dataOnly="0" labelOnly="1" outline="0" axis="axisCol" fieldPosition="0"/>
    </format>
    <format dxfId="92">
      <pivotArea field="1" type="button" dataOnly="0" labelOnly="1" outline="0" axis="axisCol" fieldPosition="1"/>
    </format>
    <format dxfId="91">
      <pivotArea type="topRight" dataOnly="0" labelOnly="1" outline="0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field="10" grandCol="1" collapsedLevelsAreSubtotals="1" axis="axisRow" fieldPosition="0">
        <references count="2">
          <reference field="4294967294" count="2" selected="0">
            <x v="0"/>
            <x v="1"/>
          </reference>
          <reference field="10" count="1">
            <x v="1"/>
          </reference>
        </references>
      </pivotArea>
    </format>
    <format dxfId="87">
      <pivotArea field="10" grandCol="1" collapsedLevelsAreSubtotals="1" axis="axisRow" fieldPosition="0">
        <references count="3">
          <reference field="4294967294" count="2" selected="0">
            <x v="0"/>
            <x v="1"/>
          </reference>
          <reference field="0" count="1">
            <x v="12"/>
          </reference>
          <reference field="10" count="1" selected="0">
            <x v="1"/>
          </reference>
        </references>
      </pivotArea>
    </format>
    <format dxfId="86">
      <pivotArea field="10" grandCol="1" collapsedLevelsAreSubtotals="1" axis="axisRow" fieldPosition="0">
        <references count="2">
          <reference field="4294967294" count="2" selected="0">
            <x v="0"/>
            <x v="1"/>
          </reference>
          <reference field="10" count="1">
            <x v="2"/>
          </reference>
        </references>
      </pivotArea>
    </format>
    <format dxfId="85">
      <pivotArea field="10" grandCol="1" collapsedLevelsAreSubtotals="1" axis="axisRow" fieldPosition="0">
        <references count="3">
          <reference field="4294967294" count="2" selected="0">
            <x v="0"/>
            <x v="1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84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3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2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81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80">
      <pivotArea field="10" grandCol="1" collapsedLevelsAreSubtotals="1" axis="axisRow" fieldPosition="0">
        <references count="2">
          <reference field="4294967294" count="2" selected="0">
            <x v="0"/>
            <x v="1"/>
          </reference>
          <reference field="10" count="1">
            <x v="1"/>
          </reference>
        </references>
      </pivotArea>
    </format>
    <format dxfId="79">
      <pivotArea field="10" grandCol="1" collapsedLevelsAreSubtotals="1" axis="axisRow" fieldPosition="0">
        <references count="3">
          <reference field="4294967294" count="2" selected="0">
            <x v="0"/>
            <x v="1"/>
          </reference>
          <reference field="0" count="1">
            <x v="12"/>
          </reference>
          <reference field="10" count="1" selected="0">
            <x v="1"/>
          </reference>
        </references>
      </pivotArea>
    </format>
    <format dxfId="78">
      <pivotArea field="10" grandCol="1" collapsedLevelsAreSubtotals="1" axis="axisRow" fieldPosition="0">
        <references count="2">
          <reference field="4294967294" count="2" selected="0">
            <x v="0"/>
            <x v="1"/>
          </reference>
          <reference field="10" count="1">
            <x v="2"/>
          </reference>
        </references>
      </pivotArea>
    </format>
    <format dxfId="77">
      <pivotArea field="10" grandCol="1" collapsedLevelsAreSubtotals="1" axis="axisRow" fieldPosition="0">
        <references count="3">
          <reference field="4294967294" count="2" selected="0">
            <x v="0"/>
            <x v="1"/>
          </reference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field="1" type="button" dataOnly="0" labelOnly="1" outline="0" axis="axisCol" fieldPosition="1"/>
    </format>
    <format dxfId="73">
      <pivotArea type="topRight" dataOnly="0" labelOnly="1" outline="0" fieldPosition="0"/>
    </format>
    <format dxfId="72">
      <pivotArea field="10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9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68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7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66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65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6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0" count="1">
            <x v="12"/>
          </reference>
          <reference field="10" count="1" selected="0">
            <x v="1"/>
          </reference>
        </references>
      </pivotArea>
    </format>
    <format dxfId="61">
      <pivotArea dataOnly="0" labelOnly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60">
      <pivotArea grandRow="1" outline="0" collapsedLevelsAreSubtotals="1" fieldPosition="0"/>
    </format>
    <format dxfId="59">
      <pivotArea dataOnly="0" labelOnly="1" grandRow="1" outline="0" fieldPosition="0"/>
    </format>
    <format dxfId="58">
      <pivotArea type="origin" dataOnly="0" labelOnly="1" outline="0" offset="A2" fieldPosition="0"/>
    </format>
    <format dxfId="57">
      <pivotArea field="10" type="button" dataOnly="0" labelOnly="1" outline="0" axis="axisRow" fieldPosition="0"/>
    </format>
    <format dxfId="56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5">
      <pivotArea dataOnly="0" labelOnly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54">
      <pivotArea dataOnly="0" labelOnly="1" fieldPosition="0">
        <references count="2">
          <reference field="0" count="1">
            <x v="12"/>
          </reference>
          <reference field="10" count="1" selected="0">
            <x v="1"/>
          </reference>
        </references>
      </pivotArea>
    </format>
    <format dxfId="53">
      <pivotArea collapsedLevelsAreSubtotals="1" fieldPosition="0">
        <references count="1">
          <reference field="10" count="1">
            <x v="1"/>
          </reference>
        </references>
      </pivotArea>
    </format>
    <format dxfId="52">
      <pivotArea collapsedLevelsAreSubtotals="1" fieldPosition="0">
        <references count="2">
          <reference field="0" count="1">
            <x v="12"/>
          </reference>
          <reference field="10" count="1" selected="0">
            <x v="1"/>
          </reference>
        </references>
      </pivotArea>
    </format>
    <format dxfId="51">
      <pivotArea collapsedLevelsAreSubtotals="1" fieldPosition="0">
        <references count="1">
          <reference field="10" count="1">
            <x v="2"/>
          </reference>
        </references>
      </pivotArea>
    </format>
    <format dxfId="50">
      <pivotArea collapsedLevelsAreSubtotals="1" fieldPosition="0">
        <references count="2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0" count="1" selected="0">
            <x v="2"/>
          </reference>
        </references>
      </pivotArea>
    </format>
    <format dxfId="49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8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7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6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4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3">
      <pivotArea dataOnly="0" labelOnly="1" fieldPosition="0">
        <references count="2">
          <reference field="0" count="1">
            <x v="11"/>
          </reference>
          <reference field="10" count="1" selected="0">
            <x v="2"/>
          </reference>
        </references>
      </pivotArea>
    </format>
    <format dxfId="42">
      <pivotArea collapsedLevelsAreSubtotals="1" fieldPosition="0">
        <references count="4">
          <reference field="4294967294" count="1" selected="0">
            <x v="0"/>
          </reference>
          <reference field="0" count="1">
            <x v="11"/>
          </reference>
          <reference field="1" count="1" selected="0">
            <x v="0"/>
          </reference>
          <reference field="10" count="1" selected="0">
            <x v="2"/>
          </reference>
        </references>
      </pivotArea>
    </format>
    <format dxfId="41">
      <pivotArea dataOnly="0" labelOnly="1" fieldPosition="0">
        <references count="2">
          <reference field="0" count="1">
            <x v="12"/>
          </reference>
          <reference field="10" count="1" selected="0">
            <x v="2"/>
          </reference>
        </references>
      </pivotArea>
    </format>
    <format dxfId="40">
      <pivotArea collapsedLevelsAreSubtotals="1" fieldPosition="0">
        <references count="4">
          <reference field="4294967294" count="1" selected="0">
            <x v="1"/>
          </reference>
          <reference field="0" count="2">
            <x v="11"/>
            <x v="12"/>
          </reference>
          <reference field="1" count="0" selected="0"/>
          <reference field="10" count="1" selected="0">
            <x v="2"/>
          </reference>
        </references>
      </pivotArea>
    </format>
    <format dxfId="39">
      <pivotArea field="10" grandCol="1" collapsedLevelsAreSubtotals="1" axis="axisRow" fieldPosition="0">
        <references count="3">
          <reference field="4294967294" count="2" selected="0">
            <x v="0"/>
            <x v="1"/>
          </reference>
          <reference field="0" count="2">
            <x v="11"/>
            <x v="12"/>
          </reference>
          <reference field="10" count="1" selected="0">
            <x v="2"/>
          </reference>
        </references>
      </pivotArea>
    </format>
    <format dxfId="38">
      <pivotArea collapsedLevelsAreSubtotals="1" fieldPosition="0">
        <references count="4">
          <reference field="4294967294" count="1" selected="0">
            <x v="0"/>
          </reference>
          <reference field="0" count="2">
            <x v="11"/>
            <x v="12"/>
          </reference>
          <reference field="1" count="0" selected="0"/>
          <reference field="10" count="1" selected="0">
            <x v="2"/>
          </reference>
        </references>
      </pivotArea>
    </format>
    <format dxfId="37">
      <pivotArea collapsedLevelsAreSubtotals="1" fieldPosition="0">
        <references count="1">
          <reference field="10" count="1">
            <x v="3"/>
          </reference>
        </references>
      </pivotArea>
    </format>
    <format dxfId="36">
      <pivotArea collapsedLevelsAreSubtotals="1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  <format dxfId="35">
      <pivotArea dataOnly="0" labelOnly="1" fieldPosition="0">
        <references count="1">
          <reference field="10" count="1">
            <x v="3"/>
          </reference>
        </references>
      </pivotArea>
    </format>
    <format dxfId="34">
      <pivotArea dataOnly="0" labelOnly="1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  <format dxfId="22">
      <pivotArea collapsedLevelsAreSubtotals="1" fieldPosition="0">
        <references count="1">
          <reference field="10" count="1">
            <x v="3"/>
          </reference>
        </references>
      </pivotArea>
    </format>
    <format dxfId="21">
      <pivotArea collapsedLevelsAreSubtotals="1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  <format dxfId="20">
      <pivotArea collapsedLevelsAreSubtotals="1" fieldPosition="0">
        <references count="1">
          <reference field="10" count="1">
            <x v="3"/>
          </reference>
        </references>
      </pivotArea>
    </format>
    <format dxfId="19">
      <pivotArea collapsedLevelsAreSubtotals="1" fieldPosition="0">
        <references count="2">
          <reference field="0" count="1">
            <x v="1"/>
          </reference>
          <reference field="10" count="1" selected="0">
            <x v="3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ets" displayName="Bets" ref="B3:J1666" totalsRowShown="0" headerRowDxfId="33" dataDxfId="32">
  <autoFilter ref="B3:J1666"/>
  <sortState ref="B4:J1578">
    <sortCondition ref="B3:B1578"/>
  </sortState>
  <tableColumns count="9">
    <tableColumn id="1" name="Date" dataDxfId="31"/>
    <tableColumn id="8" name="Sport" dataDxfId="30"/>
    <tableColumn id="2" name="Game" dataDxfId="29"/>
    <tableColumn id="3" name="Bet" dataDxfId="28"/>
    <tableColumn id="5" name="Risk" dataDxfId="27" dataCellStyle="Currency"/>
    <tableColumn id="4" name="Odds" dataDxfId="26" dataCellStyle="Currency"/>
    <tableColumn id="6" name="Result" dataDxfId="25"/>
    <tableColumn id="7" name="Profit" dataDxfId="24" dataCellStyle="Currency">
      <calculatedColumnFormula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calculatedColumnFormula>
    </tableColumn>
    <tableColumn id="9" name="Bet Type" dataDxfId="23">
      <calculatedColumnFormula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2"/>
  <sheetViews>
    <sheetView workbookViewId="0">
      <selection activeCell="F18" sqref="F18"/>
    </sheetView>
  </sheetViews>
  <sheetFormatPr defaultRowHeight="15" x14ac:dyDescent="0.25"/>
  <cols>
    <col min="3" max="3" width="18.7109375" bestFit="1" customWidth="1"/>
    <col min="4" max="4" width="11.7109375" bestFit="1" customWidth="1"/>
    <col min="5" max="5" width="16.140625" bestFit="1" customWidth="1"/>
    <col min="6" max="6" width="17.28515625" bestFit="1" customWidth="1"/>
    <col min="7" max="7" width="14.7109375" bestFit="1" customWidth="1"/>
    <col min="8" max="8" width="7.7109375" bestFit="1" customWidth="1"/>
    <col min="10" max="10" width="7.28515625" bestFit="1" customWidth="1"/>
    <col min="11" max="11" width="9.7109375" bestFit="1" customWidth="1"/>
    <col min="12" max="12" width="11.7109375" bestFit="1" customWidth="1"/>
    <col min="13" max="13" width="17.28515625" bestFit="1" customWidth="1"/>
    <col min="14" max="14" width="10.42578125" bestFit="1" customWidth="1"/>
    <col min="15" max="15" width="7.140625" bestFit="1" customWidth="1"/>
    <col min="17" max="17" width="0" hidden="1" customWidth="1"/>
    <col min="18" max="18" width="10.85546875" bestFit="1" customWidth="1"/>
    <col min="19" max="19" width="9.7109375" bestFit="1" customWidth="1"/>
    <col min="20" max="20" width="11.7109375" bestFit="1" customWidth="1"/>
    <col min="21" max="21" width="17.28515625" bestFit="1" customWidth="1"/>
    <col min="22" max="22" width="11.42578125" bestFit="1" customWidth="1"/>
    <col min="23" max="23" width="6.5703125" bestFit="1" customWidth="1"/>
  </cols>
  <sheetData>
    <row r="1" spans="2:23" x14ac:dyDescent="0.25">
      <c r="B1" s="127">
        <v>43466</v>
      </c>
      <c r="C1" s="127">
        <v>43830</v>
      </c>
    </row>
    <row r="5" spans="2:23" x14ac:dyDescent="0.25">
      <c r="C5" s="117" t="s">
        <v>2232</v>
      </c>
      <c r="D5" s="117"/>
      <c r="E5" s="117"/>
      <c r="F5" s="117"/>
      <c r="G5" s="117"/>
      <c r="J5" s="117" t="s">
        <v>2233</v>
      </c>
      <c r="K5" s="117"/>
      <c r="L5" s="117"/>
      <c r="M5" s="117"/>
      <c r="N5" s="117"/>
      <c r="O5" s="117"/>
      <c r="R5" s="117" t="s">
        <v>2234</v>
      </c>
      <c r="S5" s="117"/>
      <c r="T5" s="117"/>
      <c r="U5" s="117"/>
      <c r="V5" s="117"/>
      <c r="W5" s="117"/>
    </row>
    <row r="6" spans="2:23" x14ac:dyDescent="0.25">
      <c r="C6" s="112" t="s">
        <v>2229</v>
      </c>
      <c r="D6" s="112" t="s">
        <v>2230</v>
      </c>
      <c r="E6" s="112" t="s">
        <v>1222</v>
      </c>
      <c r="F6" s="112" t="s">
        <v>132</v>
      </c>
      <c r="G6" s="112" t="s">
        <v>2231</v>
      </c>
      <c r="J6" s="112" t="s">
        <v>1178</v>
      </c>
      <c r="K6" s="112" t="s">
        <v>2229</v>
      </c>
      <c r="L6" s="112" t="s">
        <v>2230</v>
      </c>
      <c r="M6" s="112" t="s">
        <v>1222</v>
      </c>
      <c r="N6" s="112" t="s">
        <v>132</v>
      </c>
      <c r="O6" s="112" t="s">
        <v>2231</v>
      </c>
      <c r="R6" s="112" t="s">
        <v>1221</v>
      </c>
      <c r="S6" s="112" t="s">
        <v>2229</v>
      </c>
      <c r="T6" s="112" t="s">
        <v>2230</v>
      </c>
      <c r="U6" s="112" t="s">
        <v>1222</v>
      </c>
      <c r="V6" s="112" t="s">
        <v>132</v>
      </c>
      <c r="W6" s="112" t="s">
        <v>2231</v>
      </c>
    </row>
    <row r="7" spans="2:23" x14ac:dyDescent="0.25">
      <c r="C7" s="112">
        <f>COUNTIFS(Bets[Date],"&gt;="&amp;$B$1,Bets[Date],"&lt;="&amp;$C$1)</f>
        <v>1381</v>
      </c>
      <c r="D7" s="129">
        <f>SUMIFS(Bets[Risk],Bets[Date],"&gt;="&amp;$B$1,Bets[Date],"&lt;="&amp;$C$1)</f>
        <v>11915.654115668547</v>
      </c>
      <c r="E7" s="130" t="str">
        <f>TEXT(ROUND(SUMIFS(Bets[Profit],Bets[Date],"&gt;="&amp;$B$1,Bets[Date],"&lt;="&amp;$C$1),2),"$#,##0.00")&amp;" ("&amp;ROUND(SUMIFS(Bets[Profit],Bets[Date],"&gt;="&amp;$B$1,Bets[Date],"&lt;="&amp;$C$1)/D7*100,2)&amp;"%)"</f>
        <v>-$530.64 (-4.45%)</v>
      </c>
      <c r="F7" s="112" t="str">
        <f>COUNTIFS(Bets[Date],"&gt;="&amp;$B$1,Bets[Date],"&lt;="&amp;$C$1,Bets[Result],"W")&amp;"-"&amp;COUNTIFS(Bets[Date],"&gt;="&amp;$B$1,Bets[Date],"&lt;="&amp;$C$1,Bets[Result],"L")&amp;"-"&amp;COUNTIFS(Bets[Date],"&gt;="&amp;$B$1,Bets[Date],"&lt;="&amp;$C$1,Bets[Result],"Push")</f>
        <v>667-682-32</v>
      </c>
      <c r="G7" s="128">
        <f>COUNTIFS(Bets[Date],"&gt;="&amp;$B$1,Bets[Date],"&lt;="&amp;$C$1,Bets[Result],"W")/(COUNTIFS(Bets[Date],"&gt;="&amp;$B$1,Bets[Date],"&lt;="&amp;$C$1,Bets[Result],"W")+COUNTIFS(Bets[Date],"&gt;="&amp;$B$1,Bets[Date],"&lt;="&amp;$C$1,Bets[Result],"L"))</f>
        <v>0.49444032616753153</v>
      </c>
      <c r="J7" t="s">
        <v>1182</v>
      </c>
      <c r="K7" s="112">
        <f>COUNTIFS(Bets[Date],"&gt;="&amp;$B$1,Bets[Date],"&lt;="&amp;$C$1,Bets[Sport],$J7)</f>
        <v>4</v>
      </c>
      <c r="L7" s="129">
        <f>SUMIFS(Bets[Risk],Bets[Date],"&gt;="&amp;$B$1,Bets[Date],"&lt;="&amp;$C$1,Bets[Sport],$J7)</f>
        <v>8</v>
      </c>
      <c r="M7" s="130" t="str">
        <f>TEXT(ROUND(SUMIFS(Bets[Profit],Bets[Date],"&gt;="&amp;$B$1,Bets[Date],"&lt;="&amp;$C$1,Bets[Sport],$J7),2),"$#,##0.00")&amp;" ("&amp;ROUND(SUMIFS(Bets[Profit],Bets[Date],"&gt;="&amp;$B$1,Bets[Date],"&lt;="&amp;$C$1,Bets[Sport],$J7)/L7*100,2)&amp;"%)"</f>
        <v>-$4.18 (-52.27%)</v>
      </c>
      <c r="N7" s="112" t="str">
        <f>COUNTIFS(Bets[Date],"&gt;="&amp;$B$1,Bets[Date],"&lt;="&amp;$C$1,Bets[Result],"W",Bets[Sport],$J7)&amp;"-"&amp;COUNTIFS(Bets[Date],"&gt;="&amp;$B$1,Bets[Date],"&lt;="&amp;$C$1,Bets[Result],"L",Bets[Sport],$J7)&amp;"-"&amp;COUNTIFS(Bets[Date],"&gt;="&amp;$B$1,Bets[Date],"&lt;="&amp;$C$1,Bets[Result],"Push",Bets[Sport],$J7)</f>
        <v>1-3-0</v>
      </c>
      <c r="O7" s="128">
        <f>COUNTIFS(Bets[Date],"&gt;="&amp;$B$1,Bets[Date],"&lt;="&amp;$C$1,Bets[Result],"W",Bets[Sport],$J7)/(COUNTIFS(Bets[Date],"&gt;="&amp;$B$1,Bets[Date],"&lt;="&amp;$C$1,Bets[Result],"W",Bets[Sport],$J7)+COUNTIFS(Bets[Date],"&gt;="&amp;$B$1,Bets[Date],"&lt;="&amp;$C$1,Bets[Result],"L",Bets[Sport],$J7))</f>
        <v>0.25</v>
      </c>
      <c r="Q7" s="127">
        <v>43466</v>
      </c>
      <c r="R7" s="112" t="s">
        <v>2235</v>
      </c>
      <c r="S7" s="112">
        <f>COUNTIFS(Bets[Date],"&gt;="&amp;$Q7,Bets[Date],"&lt;"&amp;$Q8)</f>
        <v>323</v>
      </c>
      <c r="T7" s="129">
        <f>SUMIFS(Bets[Risk],Bets[Date],"&gt;="&amp;$Q7,Bets[Date],"&lt;"&amp;$Q8)</f>
        <v>1567.48</v>
      </c>
      <c r="U7" s="130" t="str">
        <f>TEXT(ROUND(SUMIFS(Bets[Profit],Bets[Date],"&gt;="&amp;$Q7,Bets[Date],"&lt;"&amp;$Q8),2),"$#,##0.00")&amp;" ("&amp;ROUND(SUMIFS(Bets[Profit],Bets[Date],"&gt;="&amp;$Q7,Bets[Date],"&lt;"&amp;$Q8)/T7*100,2)&amp;"%)"</f>
        <v>$39.91 (2.55%)</v>
      </c>
      <c r="V7" s="112" t="str">
        <f>COUNTIFS(Bets[Date],"&gt;="&amp;$Q7,Bets[Date],"&lt;"&amp;$Q8,Bets[Result],"W")&amp;"-"&amp;COUNTIFS(Bets[Date],"&gt;="&amp;$Q7,Bets[Date],"&lt;"&amp;$Q8,Bets[Result],"L")&amp;"-"&amp;COUNTIFS(Bets[Date],"&gt;="&amp;$Q7,Bets[Date],"&lt;"&amp;$Q8,Bets[Result],"Push")</f>
        <v>168-148-7</v>
      </c>
      <c r="W7" s="128">
        <f>COUNTIFS(Bets[Date],"&gt;="&amp;$Q7,Bets[Date],"&lt;"&amp;$Q8,Bets[Result],"W")/(COUNTIFS(Bets[Date],"&gt;="&amp;$Q7,Bets[Date],"&lt;"&amp;$Q8,Bets[Result],"W")+COUNTIFS(Bets[Date],"&gt;="&amp;$Q7,Bets[Date],"&lt;"&amp;$Q8,Bets[Result],"L"))</f>
        <v>0.53164556962025311</v>
      </c>
    </row>
    <row r="8" spans="2:23" x14ac:dyDescent="0.25">
      <c r="J8" t="s">
        <v>1181</v>
      </c>
      <c r="K8" s="112">
        <f>COUNTIFS(Bets[Date],"&gt;="&amp;$B$1,Bets[Date],"&lt;="&amp;$C$1,Bets[Sport],$J8)</f>
        <v>1</v>
      </c>
      <c r="L8" s="129">
        <f>SUMIFS(Bets[Risk],Bets[Date],"&gt;="&amp;$B$1,Bets[Date],"&lt;="&amp;$C$1,Bets[Sport],$J8)</f>
        <v>12.5</v>
      </c>
      <c r="M8" s="130" t="str">
        <f>TEXT(ROUND(SUMIFS(Bets[Profit],Bets[Date],"&gt;="&amp;$B$1,Bets[Date],"&lt;="&amp;$C$1,Bets[Sport],$J8),2),"$#,##0.00")&amp;" ("&amp;ROUND(SUMIFS(Bets[Profit],Bets[Date],"&gt;="&amp;$B$1,Bets[Date],"&lt;="&amp;$C$1,Bets[Sport],$J8)/L8*100,2)&amp;"%)"</f>
        <v>$10.00 (80%)</v>
      </c>
      <c r="N8" s="112" t="str">
        <f>COUNTIFS(Bets[Date],"&gt;="&amp;$B$1,Bets[Date],"&lt;="&amp;$C$1,Bets[Result],"W",Bets[Sport],$J8)&amp;"-"&amp;COUNTIFS(Bets[Date],"&gt;="&amp;$B$1,Bets[Date],"&lt;="&amp;$C$1,Bets[Result],"L",Bets[Sport],$J8)&amp;"-"&amp;COUNTIFS(Bets[Date],"&gt;="&amp;$B$1,Bets[Date],"&lt;="&amp;$C$1,Bets[Result],"Push",Bets[Sport],$J8)</f>
        <v>1-0-0</v>
      </c>
      <c r="O8" s="128">
        <f>COUNTIFS(Bets[Date],"&gt;="&amp;$B$1,Bets[Date],"&lt;="&amp;$C$1,Bets[Result],"W",Bets[Sport],$J8)/(COUNTIFS(Bets[Date],"&gt;="&amp;$B$1,Bets[Date],"&lt;="&amp;$C$1,Bets[Result],"W",Bets[Sport],$J8)+COUNTIFS(Bets[Date],"&gt;="&amp;$B$1,Bets[Date],"&lt;="&amp;$C$1,Bets[Result],"L",Bets[Sport],$J8))</f>
        <v>1</v>
      </c>
      <c r="Q8" s="127">
        <v>43497</v>
      </c>
      <c r="R8" s="112" t="s">
        <v>2236</v>
      </c>
      <c r="S8" s="112">
        <f>COUNTIFS(Bets[Date],"&gt;="&amp;$Q8,Bets[Date],"&lt;"&amp;$Q9)</f>
        <v>282</v>
      </c>
      <c r="T8" s="129">
        <f>SUMIFS(Bets[Risk],Bets[Date],"&gt;="&amp;$Q8,Bets[Date],"&lt;"&amp;$Q9)</f>
        <v>818.59999999999991</v>
      </c>
      <c r="U8" s="130" t="str">
        <f>TEXT(ROUND(SUMIFS(Bets[Profit],Bets[Date],"&gt;="&amp;$Q8,Bets[Date],"&lt;"&amp;$Q9),2),"$#,##0.00")&amp;" ("&amp;ROUND(SUMIFS(Bets[Profit],Bets[Date],"&gt;="&amp;$Q8,Bets[Date],"&lt;"&amp;$Q9)/T8*100,2)&amp;"%)"</f>
        <v>-$109.29 (-13.35%)</v>
      </c>
      <c r="V8" s="112" t="str">
        <f>COUNTIFS(Bets[Date],"&gt;="&amp;$Q8,Bets[Date],"&lt;"&amp;$Q9,Bets[Result],"W")&amp;"-"&amp;COUNTIFS(Bets[Date],"&gt;="&amp;$Q8,Bets[Date],"&lt;"&amp;$Q9,Bets[Result],"L")&amp;"-"&amp;COUNTIFS(Bets[Date],"&gt;="&amp;$Q8,Bets[Date],"&lt;"&amp;$Q9,Bets[Result],"Push")</f>
        <v>129-148-5</v>
      </c>
      <c r="W8" s="128">
        <f>COUNTIFS(Bets[Date],"&gt;="&amp;$Q8,Bets[Date],"&lt;"&amp;$Q9,Bets[Result],"W")/(COUNTIFS(Bets[Date],"&gt;="&amp;$Q8,Bets[Date],"&lt;"&amp;$Q9,Bets[Result],"W")+COUNTIFS(Bets[Date],"&gt;="&amp;$Q8,Bets[Date],"&lt;"&amp;$Q9,Bets[Result],"L"))</f>
        <v>0.46570397111913359</v>
      </c>
    </row>
    <row r="9" spans="2:23" x14ac:dyDescent="0.25">
      <c r="C9" s="117" t="s">
        <v>2247</v>
      </c>
      <c r="D9" s="117"/>
      <c r="E9" s="117"/>
      <c r="F9" s="117"/>
      <c r="G9" s="117"/>
      <c r="H9" s="117"/>
      <c r="J9" t="s">
        <v>1186</v>
      </c>
      <c r="K9" s="112">
        <f>COUNTIFS(Bets[Date],"&gt;="&amp;$B$1,Bets[Date],"&lt;="&amp;$C$1,Bets[Sport],$J9)</f>
        <v>314</v>
      </c>
      <c r="L9" s="129">
        <f>SUMIFS(Bets[Risk],Bets[Date],"&gt;="&amp;$B$1,Bets[Date],"&lt;="&amp;$C$1,Bets[Sport],$J9)</f>
        <v>2957.9399999999996</v>
      </c>
      <c r="M9" s="130" t="str">
        <f>TEXT(ROUND(SUMIFS(Bets[Profit],Bets[Date],"&gt;="&amp;$B$1,Bets[Date],"&lt;="&amp;$C$1,Bets[Sport],$J9),2),"$#,##0.00")&amp;" ("&amp;ROUND(SUMIFS(Bets[Profit],Bets[Date],"&gt;="&amp;$B$1,Bets[Date],"&lt;="&amp;$C$1,Bets[Sport],$J9)/L9*100,2)&amp;"%)"</f>
        <v>-$165.87 (-5.61%)</v>
      </c>
      <c r="N9" s="112" t="str">
        <f>COUNTIFS(Bets[Date],"&gt;="&amp;$B$1,Bets[Date],"&lt;="&amp;$C$1,Bets[Result],"W",Bets[Sport],$J9)&amp;"-"&amp;COUNTIFS(Bets[Date],"&gt;="&amp;$B$1,Bets[Date],"&lt;="&amp;$C$1,Bets[Result],"L",Bets[Sport],$J9)&amp;"-"&amp;COUNTIFS(Bets[Date],"&gt;="&amp;$B$1,Bets[Date],"&lt;="&amp;$C$1,Bets[Result],"Push",Bets[Sport],$J9)</f>
        <v>160-143-11</v>
      </c>
      <c r="O9" s="128">
        <f>COUNTIFS(Bets[Date],"&gt;="&amp;$B$1,Bets[Date],"&lt;="&amp;$C$1,Bets[Result],"W",Bets[Sport],$J9)/(COUNTIFS(Bets[Date],"&gt;="&amp;$B$1,Bets[Date],"&lt;="&amp;$C$1,Bets[Result],"W",Bets[Sport],$J9)+COUNTIFS(Bets[Date],"&gt;="&amp;$B$1,Bets[Date],"&lt;="&amp;$C$1,Bets[Result],"L",Bets[Sport],$J9))</f>
        <v>0.528052805280528</v>
      </c>
      <c r="Q9" s="127">
        <v>43525</v>
      </c>
      <c r="R9" s="112" t="s">
        <v>2237</v>
      </c>
      <c r="S9" s="112">
        <f>COUNTIFS(Bets[Date],"&gt;="&amp;$Q9,Bets[Date],"&lt;"&amp;$Q10)</f>
        <v>151</v>
      </c>
      <c r="T9" s="129">
        <f>SUMIFS(Bets[Risk],Bets[Date],"&gt;="&amp;$Q9,Bets[Date],"&lt;"&amp;$Q10)</f>
        <v>826.27</v>
      </c>
      <c r="U9" s="130" t="str">
        <f>TEXT(ROUND(SUMIFS(Bets[Profit],Bets[Date],"&gt;="&amp;$Q9,Bets[Date],"&lt;"&amp;$Q10),2),"$#,##0.00")&amp;" ("&amp;ROUND(SUMIFS(Bets[Profit],Bets[Date],"&gt;="&amp;$Q9,Bets[Date],"&lt;"&amp;$Q10)/T9*100,2)&amp;"%)"</f>
        <v>$42.47 (5.14%)</v>
      </c>
      <c r="V9" s="112" t="str">
        <f>COUNTIFS(Bets[Date],"&gt;="&amp;$Q9,Bets[Date],"&lt;"&amp;$Q10,Bets[Result],"W")&amp;"-"&amp;COUNTIFS(Bets[Date],"&gt;="&amp;$Q9,Bets[Date],"&lt;"&amp;$Q10,Bets[Result],"L")&amp;"-"&amp;COUNTIFS(Bets[Date],"&gt;="&amp;$Q9,Bets[Date],"&lt;"&amp;$Q10,Bets[Result],"Push")</f>
        <v>76-72-3</v>
      </c>
      <c r="W9" s="128">
        <f>COUNTIFS(Bets[Date],"&gt;="&amp;$Q9,Bets[Date],"&lt;"&amp;$Q10,Bets[Result],"W")/(COUNTIFS(Bets[Date],"&gt;="&amp;$Q9,Bets[Date],"&lt;"&amp;$Q10,Bets[Result],"W")+COUNTIFS(Bets[Date],"&gt;="&amp;$Q9,Bets[Date],"&lt;"&amp;$Q10,Bets[Result],"L"))</f>
        <v>0.51351351351351349</v>
      </c>
    </row>
    <row r="10" spans="2:23" x14ac:dyDescent="0.25">
      <c r="C10" t="s">
        <v>461</v>
      </c>
      <c r="D10" s="112" t="s">
        <v>2229</v>
      </c>
      <c r="E10" s="112" t="s">
        <v>2230</v>
      </c>
      <c r="F10" s="112" t="s">
        <v>1222</v>
      </c>
      <c r="G10" s="112" t="s">
        <v>132</v>
      </c>
      <c r="H10" s="112" t="s">
        <v>2231</v>
      </c>
      <c r="I10" s="112"/>
      <c r="J10" t="s">
        <v>134</v>
      </c>
      <c r="K10" s="112">
        <f>COUNTIFS(Bets[Date],"&gt;="&amp;$B$1,Bets[Date],"&lt;="&amp;$C$1,Bets[Sport],$J10)</f>
        <v>450</v>
      </c>
      <c r="L10" s="129">
        <f>SUMIFS(Bets[Risk],Bets[Date],"&gt;="&amp;$B$1,Bets[Date],"&lt;="&amp;$C$1,Bets[Sport],$J10)</f>
        <v>2479.6741156685457</v>
      </c>
      <c r="M10" s="130" t="str">
        <f>TEXT(ROUND(SUMIFS(Bets[Profit],Bets[Date],"&gt;="&amp;$B$1,Bets[Date],"&lt;="&amp;$C$1,Bets[Sport],$J10),2),"$#,##0.00")&amp;" ("&amp;ROUND(SUMIFS(Bets[Profit],Bets[Date],"&gt;="&amp;$B$1,Bets[Date],"&lt;="&amp;$C$1,Bets[Sport],$J10)/L10*100,2)&amp;"%)"</f>
        <v>-$366.20 (-14.77%)</v>
      </c>
      <c r="N10" s="112" t="str">
        <f>COUNTIFS(Bets[Date],"&gt;="&amp;$B$1,Bets[Date],"&lt;="&amp;$C$1,Bets[Result],"W",Bets[Sport],$J10)&amp;"-"&amp;COUNTIFS(Bets[Date],"&gt;="&amp;$B$1,Bets[Date],"&lt;="&amp;$C$1,Bets[Result],"L",Bets[Sport],$J10)&amp;"-"&amp;COUNTIFS(Bets[Date],"&gt;="&amp;$B$1,Bets[Date],"&lt;="&amp;$C$1,Bets[Result],"Push",Bets[Sport],$J10)</f>
        <v>215-227-8</v>
      </c>
      <c r="O10" s="128">
        <f>COUNTIFS(Bets[Date],"&gt;="&amp;$B$1,Bets[Date],"&lt;="&amp;$C$1,Bets[Result],"W",Bets[Sport],$J10)/(COUNTIFS(Bets[Date],"&gt;="&amp;$B$1,Bets[Date],"&lt;="&amp;$C$1,Bets[Result],"W",Bets[Sport],$J10)+COUNTIFS(Bets[Date],"&gt;="&amp;$B$1,Bets[Date],"&lt;="&amp;$C$1,Bets[Result],"L",Bets[Sport],$J10))</f>
        <v>0.48642533936651583</v>
      </c>
      <c r="Q10" s="127">
        <v>43556</v>
      </c>
      <c r="R10" s="112" t="s">
        <v>2238</v>
      </c>
      <c r="S10" s="112">
        <f>COUNTIFS(Bets[Date],"&gt;="&amp;$Q10,Bets[Date],"&lt;"&amp;$Q11)</f>
        <v>54</v>
      </c>
      <c r="T10" s="129">
        <f>SUMIFS(Bets[Risk],Bets[Date],"&gt;="&amp;$Q10,Bets[Date],"&lt;"&amp;$Q11)</f>
        <v>375.34000000000003</v>
      </c>
      <c r="U10" s="130" t="str">
        <f>TEXT(ROUND(SUMIFS(Bets[Profit],Bets[Date],"&gt;="&amp;$Q10,Bets[Date],"&lt;"&amp;$Q11),2),"$#,##0.00")&amp;" ("&amp;ROUND(SUMIFS(Bets[Profit],Bets[Date],"&gt;="&amp;$Q10,Bets[Date],"&lt;"&amp;$Q11)/T10*100,2)&amp;"%)"</f>
        <v>-$15.17 (-4.04%)</v>
      </c>
      <c r="V10" s="112" t="str">
        <f>COUNTIFS(Bets[Date],"&gt;="&amp;$Q10,Bets[Date],"&lt;"&amp;$Q11,Bets[Result],"W")&amp;"-"&amp;COUNTIFS(Bets[Date],"&gt;="&amp;$Q10,Bets[Date],"&lt;"&amp;$Q11,Bets[Result],"L")&amp;"-"&amp;COUNTIFS(Bets[Date],"&gt;="&amp;$Q10,Bets[Date],"&lt;"&amp;$Q11,Bets[Result],"Push")</f>
        <v>24-27-3</v>
      </c>
      <c r="W10" s="128">
        <f>COUNTIFS(Bets[Date],"&gt;="&amp;$Q10,Bets[Date],"&lt;"&amp;$Q11,Bets[Result],"W")/(COUNTIFS(Bets[Date],"&gt;="&amp;$Q10,Bets[Date],"&lt;"&amp;$Q11,Bets[Result],"W")+COUNTIFS(Bets[Date],"&gt;="&amp;$Q10,Bets[Date],"&lt;"&amp;$Q11,Bets[Result],"L"))</f>
        <v>0.47058823529411764</v>
      </c>
    </row>
    <row r="11" spans="2:23" x14ac:dyDescent="0.25">
      <c r="B11" s="2" t="s">
        <v>459</v>
      </c>
      <c r="C11" s="162" t="s">
        <v>45</v>
      </c>
      <c r="D11" s="131">
        <f>COUNTIFS(Bets[Date],"&gt;="&amp;$B$1,Bets[Date],"&lt;="&amp;$C$1,Bets[Bet Type],B11)</f>
        <v>296</v>
      </c>
      <c r="E11" s="132">
        <f>SUMIFS(Bets[Risk],Bets[Date],"&gt;="&amp;$B$1,Bets[Date],"&lt;="&amp;$C$1,Bets[Bet Type],B11)</f>
        <v>2558.19076006869</v>
      </c>
      <c r="F11" s="133" t="str">
        <f>TEXT(ROUND(SUMIFS(Bets[Profit],Bets[Date],"&gt;="&amp;$B$1,Bets[Date],"&lt;="&amp;$C$1,Bets[Bet Type],B11),2),"$#,##0.00")&amp;" ("&amp;ROUND(SUMIFS(Bets[Profit],Bets[Date],"&gt;="&amp;$B$1,Bets[Date],"&lt;="&amp;$C$1,Bets[Bet Type],B11)/E11*100,2)&amp;"%)"</f>
        <v>-$121.11 (-4.73%)</v>
      </c>
      <c r="G11" s="131" t="str">
        <f>COUNTIFS(Bets[Date],"&gt;="&amp;$B$1,Bets[Date],"&lt;="&amp;$C$1,Bets[Result],"W",Bets[Bet Type],B11)&amp;"-"&amp;COUNTIFS(Bets[Date],"&gt;="&amp;$B$1,Bets[Date],"&lt;="&amp;$C$1,Bets[Result],"L",Bets[Bet Type],B11)&amp;"-"&amp;COUNTIFS(Bets[Date],"&gt;="&amp;$B$1,Bets[Date],"&lt;="&amp;$C$1,Bets[Result],"Push",Bets[Bet Type],B11)</f>
        <v>152-137-7</v>
      </c>
      <c r="H11" s="134">
        <f>COUNTIFS(Bets[Date],"&gt;="&amp;$B$1,Bets[Date],"&lt;="&amp;$C$1,Bets[Result],"W",Bets[Bet Type],B11)/(COUNTIFS(Bets[Date],"&gt;="&amp;$B$1,Bets[Date],"&lt;="&amp;$C$1,Bets[Result],"W",Bets[Bet Type],B11)+COUNTIFS(Bets[Date],"&gt;="&amp;$B$1,Bets[Date],"&lt;="&amp;$C$1,Bets[Result],"L",Bets[Bet Type],B11))</f>
        <v>0.52595155709342556</v>
      </c>
      <c r="J11" t="s">
        <v>419</v>
      </c>
      <c r="K11" s="112">
        <f>COUNTIFS(Bets[Date],"&gt;="&amp;$B$1,Bets[Date],"&lt;="&amp;$C$1,Bets[Sport],$J11)</f>
        <v>452</v>
      </c>
      <c r="L11" s="129">
        <f>SUMIFS(Bets[Risk],Bets[Date],"&gt;="&amp;$B$1,Bets[Date],"&lt;="&amp;$C$1,Bets[Sport],$J11)</f>
        <v>3275.6</v>
      </c>
      <c r="M11" s="130" t="str">
        <f>TEXT(ROUND(SUMIFS(Bets[Profit],Bets[Date],"&gt;="&amp;$B$1,Bets[Date],"&lt;="&amp;$C$1,Bets[Sport],$J11),2),"$#,##0.00")&amp;" ("&amp;ROUND(SUMIFS(Bets[Profit],Bets[Date],"&gt;="&amp;$B$1,Bets[Date],"&lt;="&amp;$C$1,Bets[Sport],$J11)/L11*100,2)&amp;"%)"</f>
        <v>-$26.14 (-0.8%)</v>
      </c>
      <c r="N11" s="112" t="str">
        <f>COUNTIFS(Bets[Date],"&gt;="&amp;$B$1,Bets[Date],"&lt;="&amp;$C$1,Bets[Result],"W",Bets[Sport],$J11)&amp;"-"&amp;COUNTIFS(Bets[Date],"&gt;="&amp;$B$1,Bets[Date],"&lt;="&amp;$C$1,Bets[Result],"L",Bets[Sport],$J11)&amp;"-"&amp;COUNTIFS(Bets[Date],"&gt;="&amp;$B$1,Bets[Date],"&lt;="&amp;$C$1,Bets[Result],"Push",Bets[Sport],$J11)</f>
        <v>219-225-8</v>
      </c>
      <c r="O11" s="128">
        <f>COUNTIFS(Bets[Date],"&gt;="&amp;$B$1,Bets[Date],"&lt;="&amp;$C$1,Bets[Result],"W",Bets[Sport],$J11)/(COUNTIFS(Bets[Date],"&gt;="&amp;$B$1,Bets[Date],"&lt;="&amp;$C$1,Bets[Result],"W",Bets[Sport],$J11)+COUNTIFS(Bets[Date],"&gt;="&amp;$B$1,Bets[Date],"&lt;="&amp;$C$1,Bets[Result],"L",Bets[Sport],$J11))</f>
        <v>0.49324324324324326</v>
      </c>
      <c r="Q11" s="127">
        <v>43586</v>
      </c>
      <c r="R11" s="112" t="s">
        <v>1491</v>
      </c>
      <c r="S11" s="112">
        <f>COUNTIFS(Bets[Date],"&gt;="&amp;$Q11,Bets[Date],"&lt;"&amp;$Q12)</f>
        <v>146</v>
      </c>
      <c r="T11" s="129">
        <f>SUMIFS(Bets[Risk],Bets[Date],"&gt;="&amp;$Q11,Bets[Date],"&lt;"&amp;$Q12)</f>
        <v>177.44</v>
      </c>
      <c r="U11" s="130" t="str">
        <f>TEXT(ROUND(SUMIFS(Bets[Profit],Bets[Date],"&gt;="&amp;$Q11,Bets[Date],"&lt;"&amp;$Q12),2),"$#,##0.00")&amp;" ("&amp;ROUND(SUMIFS(Bets[Profit],Bets[Date],"&gt;="&amp;$Q11,Bets[Date],"&lt;"&amp;$Q12)/T11*100,2)&amp;"%)"</f>
        <v>-$12.78 (-7.2%)</v>
      </c>
      <c r="V11" s="112" t="str">
        <f>COUNTIFS(Bets[Date],"&gt;="&amp;$Q11,Bets[Date],"&lt;"&amp;$Q12,Bets[Result],"W")&amp;"-"&amp;COUNTIFS(Bets[Date],"&gt;="&amp;$Q11,Bets[Date],"&lt;"&amp;$Q12,Bets[Result],"L")&amp;"-"&amp;COUNTIFS(Bets[Date],"&gt;="&amp;$Q11,Bets[Date],"&lt;"&amp;$Q12,Bets[Result],"Push")</f>
        <v>72-68-6</v>
      </c>
      <c r="W11" s="128">
        <f>COUNTIFS(Bets[Date],"&gt;="&amp;$Q11,Bets[Date],"&lt;"&amp;$Q12,Bets[Result],"W")/(COUNTIFS(Bets[Date],"&gt;="&amp;$Q11,Bets[Date],"&lt;"&amp;$Q12,Bets[Result],"W")+COUNTIFS(Bets[Date],"&gt;="&amp;$Q11,Bets[Date],"&lt;"&amp;$Q12,Bets[Result],"L"))</f>
        <v>0.51428571428571423</v>
      </c>
    </row>
    <row r="12" spans="2:23" x14ac:dyDescent="0.25">
      <c r="B12" s="2" t="s">
        <v>434</v>
      </c>
      <c r="C12" s="162" t="s">
        <v>46</v>
      </c>
      <c r="D12" s="131">
        <f>COUNTIFS(Bets[Date],"&gt;="&amp;$B$1,Bets[Date],"&lt;="&amp;$C$1,Bets[Bet Type],B12)</f>
        <v>238</v>
      </c>
      <c r="E12" s="132">
        <f>SUMIFS(Bets[Risk],Bets[Date],"&gt;="&amp;$B$1,Bets[Date],"&lt;="&amp;$C$1,Bets[Bet Type],B12)</f>
        <v>2332.0392399313105</v>
      </c>
      <c r="F12" s="133" t="str">
        <f>TEXT(ROUND(SUMIFS(Bets[Profit],Bets[Date],"&gt;="&amp;$B$1,Bets[Date],"&lt;="&amp;$C$1,Bets[Bet Type],B12),2),"$#,##0.00")&amp;" ("&amp;ROUND(SUMIFS(Bets[Profit],Bets[Date],"&gt;="&amp;$B$1,Bets[Date],"&lt;="&amp;$C$1,Bets[Bet Type],B12)/E12*100,2)&amp;"%)"</f>
        <v>-$277.11 (-11.88%)</v>
      </c>
      <c r="G12" s="131" t="str">
        <f>COUNTIFS(Bets[Date],"&gt;="&amp;$B$1,Bets[Date],"&lt;="&amp;$C$1,Bets[Result],"W",Bets[Bet Type],B12)&amp;"-"&amp;COUNTIFS(Bets[Date],"&gt;="&amp;$B$1,Bets[Date],"&lt;="&amp;$C$1,Bets[Result],"L",Bets[Bet Type],B12)&amp;"-"&amp;COUNTIFS(Bets[Date],"&gt;="&amp;$B$1,Bets[Date],"&lt;="&amp;$C$1,Bets[Result],"Push",Bets[Bet Type],B12)</f>
        <v>107-125-6</v>
      </c>
      <c r="H12" s="134">
        <f>COUNTIFS(Bets[Date],"&gt;="&amp;$B$1,Bets[Date],"&lt;="&amp;$C$1,Bets[Result],"W",Bets[Bet Type],B12)/(COUNTIFS(Bets[Date],"&gt;="&amp;$B$1,Bets[Date],"&lt;="&amp;$C$1,Bets[Result],"W",Bets[Bet Type],B12)+COUNTIFS(Bets[Date],"&gt;="&amp;$B$1,Bets[Date],"&lt;="&amp;$C$1,Bets[Result],"L",Bets[Bet Type],B12))</f>
        <v>0.46120689655172414</v>
      </c>
      <c r="J12" t="s">
        <v>1507</v>
      </c>
      <c r="K12" s="112">
        <f>COUNTIFS(Bets[Date],"&gt;="&amp;$B$1,Bets[Date],"&lt;="&amp;$C$1,Bets[Sport],$J12)</f>
        <v>50</v>
      </c>
      <c r="L12" s="129">
        <f>SUMIFS(Bets[Risk],Bets[Date],"&gt;="&amp;$B$1,Bets[Date],"&lt;="&amp;$C$1,Bets[Sport],$J12)</f>
        <v>1095</v>
      </c>
      <c r="M12" s="130" t="str">
        <f>TEXT(ROUND(SUMIFS(Bets[Profit],Bets[Date],"&gt;="&amp;$B$1,Bets[Date],"&lt;="&amp;$C$1,Bets[Sport],$J12),2),"$#,##0.00")&amp;" ("&amp;ROUND(SUMIFS(Bets[Profit],Bets[Date],"&gt;="&amp;$B$1,Bets[Date],"&lt;="&amp;$C$1,Bets[Sport],$J12)/L12*100,2)&amp;"%)"</f>
        <v>$17.12 (1.56%)</v>
      </c>
      <c r="N12" s="112" t="str">
        <f>COUNTIFS(Bets[Date],"&gt;="&amp;$B$1,Bets[Date],"&lt;="&amp;$C$1,Bets[Result],"W",Bets[Sport],$J12)&amp;"-"&amp;COUNTIFS(Bets[Date],"&gt;="&amp;$B$1,Bets[Date],"&lt;="&amp;$C$1,Bets[Result],"L",Bets[Sport],$J12)&amp;"-"&amp;COUNTIFS(Bets[Date],"&gt;="&amp;$B$1,Bets[Date],"&lt;="&amp;$C$1,Bets[Result],"Push",Bets[Sport],$J12)</f>
        <v>25-25-0</v>
      </c>
      <c r="O12" s="128">
        <f>COUNTIFS(Bets[Date],"&gt;="&amp;$B$1,Bets[Date],"&lt;="&amp;$C$1,Bets[Result],"W",Bets[Sport],$J12)/(COUNTIFS(Bets[Date],"&gt;="&amp;$B$1,Bets[Date],"&lt;="&amp;$C$1,Bets[Result],"W",Bets[Sport],$J12)+COUNTIFS(Bets[Date],"&gt;="&amp;$B$1,Bets[Date],"&lt;="&amp;$C$1,Bets[Result],"L",Bets[Sport],$J12))</f>
        <v>0.5</v>
      </c>
      <c r="Q12" s="127">
        <v>43617</v>
      </c>
      <c r="R12" s="112" t="s">
        <v>2239</v>
      </c>
      <c r="S12" s="112">
        <f>COUNTIFS(Bets[Date],"&gt;="&amp;$Q12,Bets[Date],"&lt;"&amp;$Q13)</f>
        <v>11</v>
      </c>
      <c r="T12" s="129">
        <f>SUMIFS(Bets[Risk],Bets[Date],"&gt;="&amp;$Q12,Bets[Date],"&lt;"&amp;$Q13)</f>
        <v>19.36</v>
      </c>
      <c r="U12" s="130" t="str">
        <f>TEXT(ROUND(SUMIFS(Bets[Profit],Bets[Date],"&gt;="&amp;$Q12,Bets[Date],"&lt;"&amp;$Q13),2),"$#,##0.00")&amp;" ("&amp;ROUND(SUMIFS(Bets[Profit],Bets[Date],"&gt;="&amp;$Q12,Bets[Date],"&lt;"&amp;$Q13)/T12*100,2)&amp;"%)"</f>
        <v>-$4.57 (-23.59%)</v>
      </c>
      <c r="V12" s="112" t="str">
        <f>COUNTIFS(Bets[Date],"&gt;="&amp;$Q12,Bets[Date],"&lt;"&amp;$Q13,Bets[Result],"W")&amp;"-"&amp;COUNTIFS(Bets[Date],"&gt;="&amp;$Q12,Bets[Date],"&lt;"&amp;$Q13,Bets[Result],"L")&amp;"-"&amp;COUNTIFS(Bets[Date],"&gt;="&amp;$Q12,Bets[Date],"&lt;"&amp;$Q13,Bets[Result],"Push")</f>
        <v>5-6-0</v>
      </c>
      <c r="W12" s="128">
        <f>COUNTIFS(Bets[Date],"&gt;="&amp;$Q12,Bets[Date],"&lt;"&amp;$Q13,Bets[Result],"W")/(COUNTIFS(Bets[Date],"&gt;="&amp;$Q12,Bets[Date],"&lt;"&amp;$Q13,Bets[Result],"W")+COUNTIFS(Bets[Date],"&gt;="&amp;$Q12,Bets[Date],"&lt;"&amp;$Q13,Bets[Result],"L"))</f>
        <v>0.45454545454545453</v>
      </c>
    </row>
    <row r="13" spans="2:23" x14ac:dyDescent="0.25">
      <c r="B13" s="2"/>
      <c r="C13" s="159" t="s">
        <v>2250</v>
      </c>
      <c r="D13" s="147">
        <f>SUM(D11:D12)</f>
        <v>534</v>
      </c>
      <c r="E13" s="148">
        <f>SUM(E11:E12)</f>
        <v>4890.2300000000005</v>
      </c>
      <c r="F13" s="149" t="str">
        <f>TEXT(ROUND(SUMIFS(Bets[Profit],Bets[Date],"&gt;="&amp;$B$1,Bets[Date],"&lt;="&amp;$C$1,Bets[Bet Type],B11)+SUMIFS(Bets[Profit],Bets[Date],"&gt;="&amp;$B$1,Bets[Date],"&lt;="&amp;$C$1,Bets[Bet Type],B12),2),"$#,##0.00")&amp;" ("&amp;ROUND((SUMIFS(Bets[Profit],Bets[Date],"&gt;="&amp;$B$1,Bets[Date],"&lt;="&amp;$C$1,Bets[Bet Type],B11)+SUMIFS(Bets[Profit],Bets[Date],"&gt;="&amp;$B$1,Bets[Date],"&lt;="&amp;$C$1,Bets[Bet Type],B12))/E13*100,2)&amp;"%)"</f>
        <v>-$398.22 (-8.14%)</v>
      </c>
      <c r="G13" s="147" t="str">
        <f>COUNTIFS(Bets[Date],"&gt;="&amp;$B$1,Bets[Date],"&lt;="&amp;$C$1,Bets[Result],"W",Bets[Bet Type],B11)+COUNTIFS(Bets[Date],"&gt;="&amp;$B$1,Bets[Date],"&lt;="&amp;$C$1,Bets[Result],"W",Bets[Bet Type],B12)&amp;"-"&amp;COUNTIFS(Bets[Date],"&gt;="&amp;$B$1,Bets[Date],"&lt;="&amp;$C$1,Bets[Result],"L",Bets[Bet Type],B11)+COUNTIFS(Bets[Date],"&gt;="&amp;$B$1,Bets[Date],"&lt;="&amp;$C$1,Bets[Result],"L",Bets[Bet Type],B12)&amp;"-"&amp;COUNTIFS(Bets[Date],"&gt;="&amp;$B$1,Bets[Date],"&lt;="&amp;$C$1,Bets[Result],"Push",Bets[Bet Type],B11)+COUNTIFS(Bets[Date],"&gt;="&amp;$B$1,Bets[Date],"&lt;="&amp;$C$1,Bets[Result],"Push",Bets[Bet Type],B12)</f>
        <v>259-262-13</v>
      </c>
      <c r="H13" s="150">
        <f>(COUNTIFS(Bets[Date],"&gt;="&amp;$B$1,Bets[Date],"&lt;="&amp;$C$1,Bets[Result],"W",Bets[Bet Type],B11)+COUNTIFS(Bets[Date],"&gt;="&amp;$B$1,Bets[Date],"&lt;="&amp;$C$1,Bets[Result],"W",Bets[Bet Type],B12))/(COUNTIFS(Bets[Date],"&gt;="&amp;$B$1,Bets[Date],"&lt;="&amp;$C$1,Bets[Result],"W",Bets[Bet Type],B11)+COUNTIFS(Bets[Date],"&gt;="&amp;$B$1,Bets[Date],"&lt;="&amp;$C$1,Bets[Result],"L",Bets[Bet Type],B11)+COUNTIFS(Bets[Date],"&gt;="&amp;$B$1,Bets[Date],"&lt;="&amp;$C$1,Bets[Result],"W",Bets[Bet Type],B12)+COUNTIFS(Bets[Date],"&gt;="&amp;$B$1,Bets[Date],"&lt;="&amp;$C$1,Bets[Result],"L",Bets[Bet Type],B12))</f>
        <v>0.49712092130518232</v>
      </c>
      <c r="J13" t="s">
        <v>133</v>
      </c>
      <c r="K13" s="112">
        <f>COUNTIFS(Bets[Date],"&gt;="&amp;$B$1,Bets[Date],"&lt;="&amp;$C$1,Bets[Sport],$J13)</f>
        <v>106</v>
      </c>
      <c r="L13" s="129">
        <f>SUMIFS(Bets[Risk],Bets[Date],"&gt;="&amp;$B$1,Bets[Date],"&lt;="&amp;$C$1,Bets[Sport],$J13)</f>
        <v>2046.6599999999999</v>
      </c>
      <c r="M13" s="130" t="str">
        <f>TEXT(ROUND(SUMIFS(Bets[Profit],Bets[Date],"&gt;="&amp;$B$1,Bets[Date],"&lt;="&amp;$C$1,Bets[Sport],$J13),2),"$#,##0.00")&amp;" ("&amp;ROUND(SUMIFS(Bets[Profit],Bets[Date],"&gt;="&amp;$B$1,Bets[Date],"&lt;="&amp;$C$1,Bets[Sport],$J13)/L13*100,2)&amp;"%)"</f>
        <v>$36.42 (1.78%)</v>
      </c>
      <c r="N13" s="112" t="str">
        <f>COUNTIFS(Bets[Date],"&gt;="&amp;$B$1,Bets[Date],"&lt;="&amp;$C$1,Bets[Result],"W",Bets[Sport],$J13)&amp;"-"&amp;COUNTIFS(Bets[Date],"&gt;="&amp;$B$1,Bets[Date],"&lt;="&amp;$C$1,Bets[Result],"L",Bets[Sport],$J13)&amp;"-"&amp;COUNTIFS(Bets[Date],"&gt;="&amp;$B$1,Bets[Date],"&lt;="&amp;$C$1,Bets[Result],"Push",Bets[Sport],$J13)</f>
        <v>46-56-4</v>
      </c>
      <c r="O13" s="128">
        <f>COUNTIFS(Bets[Date],"&gt;="&amp;$B$1,Bets[Date],"&lt;="&amp;$C$1,Bets[Result],"W",Bets[Sport],$J13)/(COUNTIFS(Bets[Date],"&gt;="&amp;$B$1,Bets[Date],"&lt;="&amp;$C$1,Bets[Result],"W",Bets[Sport],$J13)+COUNTIFS(Bets[Date],"&gt;="&amp;$B$1,Bets[Date],"&lt;="&amp;$C$1,Bets[Result],"L",Bets[Sport],$J13))</f>
        <v>0.45098039215686275</v>
      </c>
      <c r="Q13" s="127">
        <v>43647</v>
      </c>
      <c r="R13" s="112" t="s">
        <v>2240</v>
      </c>
      <c r="S13" s="112">
        <f>COUNTIFS(Bets[Date],"&gt;="&amp;$Q13,Bets[Date],"&lt;"&amp;$Q14)</f>
        <v>12</v>
      </c>
      <c r="T13" s="129">
        <f>SUMIFS(Bets[Risk],Bets[Date],"&gt;="&amp;$Q13,Bets[Date],"&lt;"&amp;$Q14)</f>
        <v>203.90999999999997</v>
      </c>
      <c r="U13" s="130" t="str">
        <f>TEXT(ROUND(SUMIFS(Bets[Profit],Bets[Date],"&gt;="&amp;$Q13,Bets[Date],"&lt;"&amp;$Q14),2),"$#,##0.00")&amp;" ("&amp;ROUND(SUMIFS(Bets[Profit],Bets[Date],"&gt;="&amp;$Q13,Bets[Date],"&lt;"&amp;$Q14)/T13*100,2)&amp;"%)"</f>
        <v>-$49.81 (-24.43%)</v>
      </c>
      <c r="V13" s="112" t="str">
        <f>COUNTIFS(Bets[Date],"&gt;="&amp;$Q13,Bets[Date],"&lt;"&amp;$Q14,Bets[Result],"W")&amp;"-"&amp;COUNTIFS(Bets[Date],"&gt;="&amp;$Q13,Bets[Date],"&lt;"&amp;$Q14,Bets[Result],"L")&amp;"-"&amp;COUNTIFS(Bets[Date],"&gt;="&amp;$Q13,Bets[Date],"&lt;"&amp;$Q14,Bets[Result],"Push")</f>
        <v>5-7-0</v>
      </c>
      <c r="W13" s="128">
        <f>COUNTIFS(Bets[Date],"&gt;="&amp;$Q13,Bets[Date],"&lt;"&amp;$Q14,Bets[Result],"W")/(COUNTIFS(Bets[Date],"&gt;="&amp;$Q13,Bets[Date],"&lt;"&amp;$Q14,Bets[Result],"W")+COUNTIFS(Bets[Date],"&gt;="&amp;$Q13,Bets[Date],"&lt;"&amp;$Q14,Bets[Result],"L"))</f>
        <v>0.41666666666666669</v>
      </c>
    </row>
    <row r="14" spans="2:23" x14ac:dyDescent="0.25">
      <c r="B14" s="2" t="s">
        <v>460</v>
      </c>
      <c r="C14" s="163" t="s">
        <v>44</v>
      </c>
      <c r="D14" s="135">
        <f>COUNTIFS(Bets[Date],"&gt;="&amp;$B$1,Bets[Date],"&lt;="&amp;$C$1,Bets[Bet Type],B14)</f>
        <v>264</v>
      </c>
      <c r="E14" s="136">
        <f>SUMIFS(Bets[Risk],Bets[Date],"&gt;="&amp;$B$1,Bets[Date],"&lt;="&amp;$C$1,Bets[Bet Type],B14)</f>
        <v>2122.4716729408347</v>
      </c>
      <c r="F14" s="137" t="str">
        <f>TEXT(ROUND(SUMIFS(Bets[Profit],Bets[Date],"&gt;="&amp;$B$1,Bets[Date],"&lt;="&amp;$C$1,Bets[Bet Type],B14),2),"$#,##0.00")&amp;" ("&amp;ROUND(SUMIFS(Bets[Profit],Bets[Date],"&gt;="&amp;$B$1,Bets[Date],"&lt;="&amp;$C$1,Bets[Bet Type],B14)/E14*100,2)&amp;"%)"</f>
        <v>-$293.94 (-13.85%)</v>
      </c>
      <c r="G14" s="135" t="str">
        <f>COUNTIFS(Bets[Date],"&gt;="&amp;$B$1,Bets[Date],"&lt;="&amp;$C$1,Bets[Result],"W",Bets[Bet Type],B14)&amp;"-"&amp;COUNTIFS(Bets[Date],"&gt;="&amp;$B$1,Bets[Date],"&lt;="&amp;$C$1,Bets[Result],"L",Bets[Bet Type],B14)&amp;"-"&amp;COUNTIFS(Bets[Date],"&gt;="&amp;$B$1,Bets[Date],"&lt;="&amp;$C$1,Bets[Result],"Push",Bets[Bet Type],B14)</f>
        <v>118-139-7</v>
      </c>
      <c r="H14" s="138">
        <f>COUNTIFS(Bets[Date],"&gt;="&amp;$B$1,Bets[Date],"&lt;="&amp;$C$1,Bets[Result],"W",Bets[Bet Type],B14)/(COUNTIFS(Bets[Date],"&gt;="&amp;$B$1,Bets[Date],"&lt;="&amp;$C$1,Bets[Result],"W",Bets[Bet Type],B14)+COUNTIFS(Bets[Date],"&gt;="&amp;$B$1,Bets[Date],"&lt;="&amp;$C$1,Bets[Result],"L",Bets[Bet Type],B14))</f>
        <v>0.45914396887159531</v>
      </c>
      <c r="J14" t="s">
        <v>1210</v>
      </c>
      <c r="K14" s="112">
        <f>COUNTIFS(Bets[Date],"&gt;="&amp;$B$1,Bets[Date],"&lt;="&amp;$C$1,Bets[Sport],$J14)</f>
        <v>3</v>
      </c>
      <c r="L14" s="129">
        <f>SUMIFS(Bets[Risk],Bets[Date],"&gt;="&amp;$B$1,Bets[Date],"&lt;="&amp;$C$1,Bets[Sport],$J14)</f>
        <v>38.5</v>
      </c>
      <c r="M14" s="130" t="str">
        <f>TEXT(ROUND(SUMIFS(Bets[Profit],Bets[Date],"&gt;="&amp;$B$1,Bets[Date],"&lt;="&amp;$C$1,Bets[Sport],$J14),2),"$#,##0.00")&amp;" ("&amp;ROUND(SUMIFS(Bets[Profit],Bets[Date],"&gt;="&amp;$B$1,Bets[Date],"&lt;="&amp;$C$1,Bets[Sport],$J14)/L14*100,2)&amp;"%)"</f>
        <v>-$30.00 (-77.92%)</v>
      </c>
      <c r="N14" s="112" t="str">
        <f>COUNTIFS(Bets[Date],"&gt;="&amp;$B$1,Bets[Date],"&lt;="&amp;$C$1,Bets[Result],"W",Bets[Sport],$J14)&amp;"-"&amp;COUNTIFS(Bets[Date],"&gt;="&amp;$B$1,Bets[Date],"&lt;="&amp;$C$1,Bets[Result],"L",Bets[Sport],$J14)&amp;"-"&amp;COUNTIFS(Bets[Date],"&gt;="&amp;$B$1,Bets[Date],"&lt;="&amp;$C$1,Bets[Result],"Push",Bets[Sport],$J14)</f>
        <v>0-2-1</v>
      </c>
      <c r="O14" s="128">
        <f>COUNTIFS(Bets[Date],"&gt;="&amp;$B$1,Bets[Date],"&lt;="&amp;$C$1,Bets[Result],"W",Bets[Sport],$J14)/(COUNTIFS(Bets[Date],"&gt;="&amp;$B$1,Bets[Date],"&lt;="&amp;$C$1,Bets[Result],"W",Bets[Sport],$J14)+COUNTIFS(Bets[Date],"&gt;="&amp;$B$1,Bets[Date],"&lt;="&amp;$C$1,Bets[Result],"L",Bets[Sport],$J14))</f>
        <v>0</v>
      </c>
      <c r="Q14" s="127">
        <v>43678</v>
      </c>
      <c r="R14" s="112" t="s">
        <v>2241</v>
      </c>
      <c r="S14" s="112">
        <f>COUNTIFS(Bets[Date],"&gt;="&amp;$Q14,Bets[Date],"&lt;"&amp;$Q15)</f>
        <v>103</v>
      </c>
      <c r="T14" s="129">
        <f>SUMIFS(Bets[Risk],Bets[Date],"&gt;="&amp;$Q14,Bets[Date],"&lt;"&amp;$Q15)</f>
        <v>2060.0200000000004</v>
      </c>
      <c r="U14" s="130" t="str">
        <f>TEXT(ROUND(SUMIFS(Bets[Profit],Bets[Date],"&gt;="&amp;$Q14,Bets[Date],"&lt;"&amp;$Q15),2),"$#,##0.00")&amp;" ("&amp;ROUND(SUMIFS(Bets[Profit],Bets[Date],"&gt;="&amp;$Q14,Bets[Date],"&lt;"&amp;$Q15)/T14*100,2)&amp;"%)"</f>
        <v>$20.83 (1.01%)</v>
      </c>
      <c r="V14" s="112" t="str">
        <f>COUNTIFS(Bets[Date],"&gt;="&amp;$Q14,Bets[Date],"&lt;"&amp;$Q15,Bets[Result],"W")&amp;"-"&amp;COUNTIFS(Bets[Date],"&gt;="&amp;$Q14,Bets[Date],"&lt;"&amp;$Q15,Bets[Result],"L")&amp;"-"&amp;COUNTIFS(Bets[Date],"&gt;="&amp;$Q14,Bets[Date],"&lt;"&amp;$Q15,Bets[Result],"Push")</f>
        <v>59-42-2</v>
      </c>
      <c r="W14" s="128">
        <f>COUNTIFS(Bets[Date],"&gt;="&amp;$Q14,Bets[Date],"&lt;"&amp;$Q15,Bets[Result],"W")/(COUNTIFS(Bets[Date],"&gt;="&amp;$Q14,Bets[Date],"&lt;"&amp;$Q15,Bets[Result],"W")+COUNTIFS(Bets[Date],"&gt;="&amp;$Q14,Bets[Date],"&lt;"&amp;$Q15,Bets[Result],"L"))</f>
        <v>0.58415841584158412</v>
      </c>
    </row>
    <row r="15" spans="2:23" x14ac:dyDescent="0.25">
      <c r="B15" s="2" t="s">
        <v>458</v>
      </c>
      <c r="C15" s="163" t="s">
        <v>43</v>
      </c>
      <c r="D15" s="135">
        <f>COUNTIFS(Bets[Date],"&gt;="&amp;$B$1,Bets[Date],"&lt;="&amp;$C$1,Bets[Bet Type],B15)</f>
        <v>291</v>
      </c>
      <c r="E15" s="136">
        <f>SUMIFS(Bets[Risk],Bets[Date],"&gt;="&amp;$B$1,Bets[Date],"&lt;="&amp;$C$1,Bets[Bet Type],B15)</f>
        <v>2071.9124427277116</v>
      </c>
      <c r="F15" s="137" t="str">
        <f>TEXT(ROUND(SUMIFS(Bets[Profit],Bets[Date],"&gt;="&amp;$B$1,Bets[Date],"&lt;="&amp;$C$1,Bets[Bet Type],B15),2),"$#,##0.00")&amp;" ("&amp;ROUND(SUMIFS(Bets[Profit],Bets[Date],"&gt;="&amp;$B$1,Bets[Date],"&lt;="&amp;$C$1,Bets[Bet Type],B15)/E15*100,2)&amp;"%)"</f>
        <v>$25.74 (1.24%)</v>
      </c>
      <c r="G15" s="135" t="str">
        <f>COUNTIFS(Bets[Date],"&gt;="&amp;$B$1,Bets[Date],"&lt;="&amp;$C$1,Bets[Result],"W",Bets[Bet Type],B15)&amp;"-"&amp;COUNTIFS(Bets[Date],"&gt;="&amp;$B$1,Bets[Date],"&lt;="&amp;$C$1,Bets[Result],"L",Bets[Bet Type],B15)&amp;"-"&amp;COUNTIFS(Bets[Date],"&gt;="&amp;$B$1,Bets[Date],"&lt;="&amp;$C$1,Bets[Result],"Push",Bets[Bet Type],B15)</f>
        <v>146-136-9</v>
      </c>
      <c r="H15" s="138">
        <f>COUNTIFS(Bets[Date],"&gt;="&amp;$B$1,Bets[Date],"&lt;="&amp;$C$1,Bets[Result],"W",Bets[Bet Type],B15)/(COUNTIFS(Bets[Date],"&gt;="&amp;$B$1,Bets[Date],"&lt;="&amp;$C$1,Bets[Result],"W",Bets[Bet Type],B15)+COUNTIFS(Bets[Date],"&gt;="&amp;$B$1,Bets[Date],"&lt;="&amp;$C$1,Bets[Result],"L",Bets[Bet Type],B15))</f>
        <v>0.51773049645390068</v>
      </c>
      <c r="J15" t="s">
        <v>1400</v>
      </c>
      <c r="K15" s="112">
        <f>COUNTIFS(Bets[Date],"&gt;="&amp;$B$1,Bets[Date],"&lt;="&amp;$C$1,Bets[Sport],$J15)</f>
        <v>1</v>
      </c>
      <c r="L15" s="129">
        <f>SUMIFS(Bets[Risk],Bets[Date],"&gt;="&amp;$B$1,Bets[Date],"&lt;="&amp;$C$1,Bets[Sport],$J15)</f>
        <v>1.78</v>
      </c>
      <c r="M15" s="130" t="str">
        <f>TEXT(ROUND(SUMIFS(Bets[Profit],Bets[Date],"&gt;="&amp;$B$1,Bets[Date],"&lt;="&amp;$C$1,Bets[Sport],$J15),2),"$#,##0.00")&amp;" ("&amp;ROUND(SUMIFS(Bets[Profit],Bets[Date],"&gt;="&amp;$B$1,Bets[Date],"&lt;="&amp;$C$1,Bets[Sport],$J15)/L15*100,2)&amp;"%)"</f>
        <v>-$1.78 (-100%)</v>
      </c>
      <c r="N15" s="112" t="str">
        <f>COUNTIFS(Bets[Date],"&gt;="&amp;$B$1,Bets[Date],"&lt;="&amp;$C$1,Bets[Result],"W",Bets[Sport],$J15)&amp;"-"&amp;COUNTIFS(Bets[Date],"&gt;="&amp;$B$1,Bets[Date],"&lt;="&amp;$C$1,Bets[Result],"L",Bets[Sport],$J15)&amp;"-"&amp;COUNTIFS(Bets[Date],"&gt;="&amp;$B$1,Bets[Date],"&lt;="&amp;$C$1,Bets[Result],"Push",Bets[Sport],$J15)</f>
        <v>0-1-0</v>
      </c>
      <c r="O15" s="128">
        <f>COUNTIFS(Bets[Date],"&gt;="&amp;$B$1,Bets[Date],"&lt;="&amp;$C$1,Bets[Result],"W",Bets[Sport],$J15)/(COUNTIFS(Bets[Date],"&gt;="&amp;$B$1,Bets[Date],"&lt;="&amp;$C$1,Bets[Result],"W",Bets[Sport],$J15)+COUNTIFS(Bets[Date],"&gt;="&amp;$B$1,Bets[Date],"&lt;="&amp;$C$1,Bets[Result],"L",Bets[Sport],$J15))</f>
        <v>0</v>
      </c>
      <c r="Q15" s="127">
        <v>43709</v>
      </c>
      <c r="R15" s="112" t="s">
        <v>2242</v>
      </c>
      <c r="S15" s="112">
        <f>COUNTIFS(Bets[Date],"&gt;="&amp;$Q15,Bets[Date],"&lt;"&amp;$Q16)</f>
        <v>50</v>
      </c>
      <c r="T15" s="129">
        <f>SUMIFS(Bets[Risk],Bets[Date],"&gt;="&amp;$Q15,Bets[Date],"&lt;"&amp;$Q16)</f>
        <v>1059.2400000000002</v>
      </c>
      <c r="U15" s="130" t="str">
        <f>TEXT(ROUND(SUMIFS(Bets[Profit],Bets[Date],"&gt;="&amp;$Q15,Bets[Date],"&lt;"&amp;$Q16),2),"$#,##0.00")&amp;" ("&amp;ROUND(SUMIFS(Bets[Profit],Bets[Date],"&gt;="&amp;$Q15,Bets[Date],"&lt;"&amp;$Q16)/T15*100,2)&amp;"%)"</f>
        <v>-$12.09 (-1.14%)</v>
      </c>
      <c r="V15" s="112" t="str">
        <f>COUNTIFS(Bets[Date],"&gt;="&amp;$Q15,Bets[Date],"&lt;"&amp;$Q16,Bets[Result],"W")&amp;"-"&amp;COUNTIFS(Bets[Date],"&gt;="&amp;$Q15,Bets[Date],"&lt;"&amp;$Q16,Bets[Result],"L")&amp;"-"&amp;COUNTIFS(Bets[Date],"&gt;="&amp;$Q15,Bets[Date],"&lt;"&amp;$Q16,Bets[Result],"Push")</f>
        <v>22-27-1</v>
      </c>
      <c r="W15" s="128">
        <f>COUNTIFS(Bets[Date],"&gt;="&amp;$Q15,Bets[Date],"&lt;"&amp;$Q16,Bets[Result],"W")/(COUNTIFS(Bets[Date],"&gt;="&amp;$Q15,Bets[Date],"&lt;"&amp;$Q16,Bets[Result],"W")+COUNTIFS(Bets[Date],"&gt;="&amp;$Q15,Bets[Date],"&lt;"&amp;$Q16,Bets[Result],"L"))</f>
        <v>0.44897959183673469</v>
      </c>
    </row>
    <row r="16" spans="2:23" x14ac:dyDescent="0.25">
      <c r="B16" s="2"/>
      <c r="C16" s="160" t="s">
        <v>2251</v>
      </c>
      <c r="D16" s="151">
        <f>SUM(D14:D15)</f>
        <v>555</v>
      </c>
      <c r="E16" s="152">
        <f>SUM(E14:E15)</f>
        <v>4194.3841156685467</v>
      </c>
      <c r="F16" s="153" t="str">
        <f>TEXT(ROUND(SUMIFS(Bets[Profit],Bets[Date],"&gt;="&amp;$B$1,Bets[Date],"&lt;="&amp;$C$1,Bets[Bet Type],B14)+SUMIFS(Bets[Profit],Bets[Date],"&gt;="&amp;$B$1,Bets[Date],"&lt;="&amp;$C$1,Bets[Bet Type],B15),2),"$#,##0.00")&amp;" ("&amp;ROUND((SUMIFS(Bets[Profit],Bets[Date],"&gt;="&amp;$B$1,Bets[Date],"&lt;="&amp;$C$1,Bets[Bet Type],B14)+SUMIFS(Bets[Profit],Bets[Date],"&gt;="&amp;$B$1,Bets[Date],"&lt;="&amp;$C$1,Bets[Bet Type],B15))/E16*100,2)&amp;"%)"</f>
        <v>-$268.20 (-6.39%)</v>
      </c>
      <c r="G16" s="151" t="str">
        <f>COUNTIFS(Bets[Date],"&gt;="&amp;$B$1,Bets[Date],"&lt;="&amp;$C$1,Bets[Result],"W",Bets[Bet Type],B14)+COUNTIFS(Bets[Date],"&gt;="&amp;$B$1,Bets[Date],"&lt;="&amp;$C$1,Bets[Result],"W",Bets[Bet Type],B15)&amp;"-"&amp;COUNTIFS(Bets[Date],"&gt;="&amp;$B$1,Bets[Date],"&lt;="&amp;$C$1,Bets[Result],"L",Bets[Bet Type],B14)+COUNTIFS(Bets[Date],"&gt;="&amp;$B$1,Bets[Date],"&lt;="&amp;$C$1,Bets[Result],"L",Bets[Bet Type],B15)&amp;"-"&amp;COUNTIFS(Bets[Date],"&gt;="&amp;$B$1,Bets[Date],"&lt;="&amp;$C$1,Bets[Result],"Push",Bets[Bet Type],B14)+COUNTIFS(Bets[Date],"&gt;="&amp;$B$1,Bets[Date],"&lt;="&amp;$C$1,Bets[Result],"Push",Bets[Bet Type],B15)</f>
        <v>264-275-16</v>
      </c>
      <c r="H16" s="154">
        <f>(COUNTIFS(Bets[Date],"&gt;="&amp;$B$1,Bets[Date],"&lt;="&amp;$C$1,Bets[Result],"W",Bets[Bet Type],B14)+COUNTIFS(Bets[Date],"&gt;="&amp;$B$1,Bets[Date],"&lt;="&amp;$C$1,Bets[Result],"W",Bets[Bet Type],B15))/(COUNTIFS(Bets[Date],"&gt;="&amp;$B$1,Bets[Date],"&lt;="&amp;$C$1,Bets[Result],"W",Bets[Bet Type],B14)+COUNTIFS(Bets[Date],"&gt;="&amp;$B$1,Bets[Date],"&lt;="&amp;$C$1,Bets[Result],"L",Bets[Bet Type],B14)+COUNTIFS(Bets[Date],"&gt;="&amp;$B$1,Bets[Date],"&lt;="&amp;$C$1,Bets[Result],"W",Bets[Bet Type],B15)+COUNTIFS(Bets[Date],"&gt;="&amp;$B$1,Bets[Date],"&lt;="&amp;$C$1,Bets[Result],"L",Bets[Bet Type],B15))</f>
        <v>0.48979591836734693</v>
      </c>
      <c r="Q16" s="127">
        <v>43739</v>
      </c>
      <c r="R16" s="112" t="s">
        <v>2243</v>
      </c>
      <c r="S16" s="112">
        <f>COUNTIFS(Bets[Date],"&gt;="&amp;$Q16,Bets[Date],"&lt;"&amp;$Q17)</f>
        <v>46</v>
      </c>
      <c r="T16" s="129">
        <f>SUMIFS(Bets[Risk],Bets[Date],"&gt;="&amp;$Q16,Bets[Date],"&lt;"&amp;$Q17)</f>
        <v>915.33999999999992</v>
      </c>
      <c r="U16" s="130" t="str">
        <f>TEXT(ROUND(SUMIFS(Bets[Profit],Bets[Date],"&gt;="&amp;$Q16,Bets[Date],"&lt;"&amp;$Q17),2),"$#,##0.00")&amp;" ("&amp;ROUND(SUMIFS(Bets[Profit],Bets[Date],"&gt;="&amp;$Q16,Bets[Date],"&lt;"&amp;$Q17)/T16*100,2)&amp;"%)"</f>
        <v>$357.60 (39.07%)</v>
      </c>
      <c r="V16" s="112" t="str">
        <f>COUNTIFS(Bets[Date],"&gt;="&amp;$Q16,Bets[Date],"&lt;"&amp;$Q17,Bets[Result],"W")&amp;"-"&amp;COUNTIFS(Bets[Date],"&gt;="&amp;$Q16,Bets[Date],"&lt;"&amp;$Q17,Bets[Result],"L")&amp;"-"&amp;COUNTIFS(Bets[Date],"&gt;="&amp;$Q16,Bets[Date],"&lt;"&amp;$Q17,Bets[Result],"Push")</f>
        <v>26-18-2</v>
      </c>
      <c r="W16" s="128">
        <f>COUNTIFS(Bets[Date],"&gt;="&amp;$Q16,Bets[Date],"&lt;"&amp;$Q17,Bets[Result],"W")/(COUNTIFS(Bets[Date],"&gt;="&amp;$Q16,Bets[Date],"&lt;"&amp;$Q17,Bets[Result],"W")+COUNTIFS(Bets[Date],"&gt;="&amp;$Q16,Bets[Date],"&lt;"&amp;$Q17,Bets[Result],"L"))</f>
        <v>0.59090909090909094</v>
      </c>
    </row>
    <row r="17" spans="2:23" x14ac:dyDescent="0.25">
      <c r="B17" s="2" t="s">
        <v>882</v>
      </c>
      <c r="C17" s="164" t="s">
        <v>2249</v>
      </c>
      <c r="D17" s="139">
        <f>COUNTIFS(Bets[Date],"&gt;="&amp;$B$1,Bets[Date],"&lt;="&amp;$C$1,Bets[Bet Type],B17)</f>
        <v>87</v>
      </c>
      <c r="E17" s="140">
        <f>SUMIFS(Bets[Risk],Bets[Date],"&gt;="&amp;$B$1,Bets[Date],"&lt;="&amp;$C$1,Bets[Bet Type],B17)</f>
        <v>727.78000000000009</v>
      </c>
      <c r="F17" s="141" t="str">
        <f>TEXT(ROUND(SUMIFS(Bets[Profit],Bets[Date],"&gt;="&amp;$B$1,Bets[Date],"&lt;="&amp;$C$1,Bets[Bet Type],B17),2),"$#,##0.00")&amp;" ("&amp;ROUND(SUMIFS(Bets[Profit],Bets[Date],"&gt;="&amp;$B$1,Bets[Date],"&lt;="&amp;$C$1,Bets[Bet Type],B17)/E17*100,2)&amp;"%)"</f>
        <v>-$73.29 (-10.07%)</v>
      </c>
      <c r="G17" s="139" t="str">
        <f>COUNTIFS(Bets[Date],"&gt;="&amp;$B$1,Bets[Date],"&lt;="&amp;$C$1,Bets[Result],"W",Bets[Bet Type],B17)&amp;"-"&amp;COUNTIFS(Bets[Date],"&gt;="&amp;$B$1,Bets[Date],"&lt;="&amp;$C$1,Bets[Result],"L",Bets[Bet Type],B17)&amp;"-"&amp;COUNTIFS(Bets[Date],"&gt;="&amp;$B$1,Bets[Date],"&lt;="&amp;$C$1,Bets[Result],"Push",Bets[Bet Type],B17)</f>
        <v>33-54-0</v>
      </c>
      <c r="H17" s="142">
        <f>COUNTIFS(Bets[Date],"&gt;="&amp;$B$1,Bets[Date],"&lt;="&amp;$C$1,Bets[Result],"W",Bets[Bet Type],B17)/(COUNTIFS(Bets[Date],"&gt;="&amp;$B$1,Bets[Date],"&lt;="&amp;$C$1,Bets[Result],"W",Bets[Bet Type],B17)+COUNTIFS(Bets[Date],"&gt;="&amp;$B$1,Bets[Date],"&lt;="&amp;$C$1,Bets[Result],"L",Bets[Bet Type],B17))</f>
        <v>0.37931034482758619</v>
      </c>
      <c r="Q17" s="127">
        <v>43770</v>
      </c>
      <c r="R17" s="112" t="s">
        <v>2244</v>
      </c>
      <c r="S17" s="112">
        <f>COUNTIFS(Bets[Date],"&gt;="&amp;$Q17,Bets[Date],"&lt;"&amp;$Q18)</f>
        <v>90</v>
      </c>
      <c r="T17" s="129">
        <f>SUMIFS(Bets[Risk],Bets[Date],"&gt;="&amp;$Q17,Bets[Date],"&lt;"&amp;$Q18)</f>
        <v>1868.6941156685459</v>
      </c>
      <c r="U17" s="130" t="str">
        <f>TEXT(ROUND(SUMIFS(Bets[Profit],Bets[Date],"&gt;="&amp;$Q17,Bets[Date],"&lt;"&amp;$Q18),2),"$#,##0.00")&amp;" ("&amp;ROUND(SUMIFS(Bets[Profit],Bets[Date],"&gt;="&amp;$Q17,Bets[Date],"&lt;"&amp;$Q18)/T17*100,2)&amp;"%)"</f>
        <v>-$629.04 (-33.66%)</v>
      </c>
      <c r="V17" s="112" t="str">
        <f>COUNTIFS(Bets[Date],"&gt;="&amp;$Q17,Bets[Date],"&lt;"&amp;$Q18,Bets[Result],"W")&amp;"-"&amp;COUNTIFS(Bets[Date],"&gt;="&amp;$Q17,Bets[Date],"&lt;"&amp;$Q18,Bets[Result],"L")&amp;"-"&amp;COUNTIFS(Bets[Date],"&gt;="&amp;$Q17,Bets[Date],"&lt;"&amp;$Q18,Bets[Result],"Push")</f>
        <v>31-57-2</v>
      </c>
      <c r="W17" s="128">
        <f>COUNTIFS(Bets[Date],"&gt;="&amp;$Q17,Bets[Date],"&lt;"&amp;$Q18,Bets[Result],"W")/(COUNTIFS(Bets[Date],"&gt;="&amp;$Q17,Bets[Date],"&lt;"&amp;$Q18,Bets[Result],"W")+COUNTIFS(Bets[Date],"&gt;="&amp;$Q17,Bets[Date],"&lt;"&amp;$Q18,Bets[Result],"L"))</f>
        <v>0.35227272727272729</v>
      </c>
    </row>
    <row r="18" spans="2:23" x14ac:dyDescent="0.25">
      <c r="B18" s="2" t="s">
        <v>881</v>
      </c>
      <c r="C18" s="164" t="s">
        <v>2248</v>
      </c>
      <c r="D18" s="139">
        <f>COUNTIFS(Bets[Date],"&gt;="&amp;$B$1,Bets[Date],"&lt;="&amp;$C$1,Bets[Bet Type],B18)</f>
        <v>168</v>
      </c>
      <c r="E18" s="140">
        <f>SUMIFS(Bets[Risk],Bets[Date],"&gt;="&amp;$B$1,Bets[Date],"&lt;="&amp;$C$1,Bets[Bet Type],B18)</f>
        <v>1631.0500000000006</v>
      </c>
      <c r="F18" s="141" t="str">
        <f>TEXT(ROUND(SUMIFS(Bets[Profit],Bets[Date],"&gt;="&amp;$B$1,Bets[Date],"&lt;="&amp;$C$1,Bets[Bet Type],B18),2),"$#,##0.00")&amp;" ("&amp;ROUND(SUMIFS(Bets[Profit],Bets[Date],"&gt;="&amp;$B$1,Bets[Date],"&lt;="&amp;$C$1,Bets[Bet Type],B18)/E18*100,2)&amp;"%)"</f>
        <v>$8.09 (0.5%)</v>
      </c>
      <c r="G18" s="139" t="str">
        <f>COUNTIFS(Bets[Date],"&gt;="&amp;$B$1,Bets[Date],"&lt;="&amp;$C$1,Bets[Result],"W",Bets[Bet Type],B18)&amp;"-"&amp;COUNTIFS(Bets[Date],"&gt;="&amp;$B$1,Bets[Date],"&lt;="&amp;$C$1,Bets[Result],"L",Bets[Bet Type],B18)&amp;"-"&amp;COUNTIFS(Bets[Date],"&gt;="&amp;$B$1,Bets[Date],"&lt;="&amp;$C$1,Bets[Result],"Push",Bets[Bet Type],B18)</f>
        <v>101-64-3</v>
      </c>
      <c r="H18" s="142">
        <f>COUNTIFS(Bets[Date],"&gt;="&amp;$B$1,Bets[Date],"&lt;="&amp;$C$1,Bets[Result],"W",Bets[Bet Type],B18)/(COUNTIFS(Bets[Date],"&gt;="&amp;$B$1,Bets[Date],"&lt;="&amp;$C$1,Bets[Result],"W",Bets[Bet Type],B18)+COUNTIFS(Bets[Date],"&gt;="&amp;$B$1,Bets[Date],"&lt;="&amp;$C$1,Bets[Result],"L",Bets[Bet Type],B18))</f>
        <v>0.61212121212121207</v>
      </c>
      <c r="Q18" s="127">
        <v>43800</v>
      </c>
      <c r="R18" s="112" t="s">
        <v>2245</v>
      </c>
      <c r="S18" s="112">
        <f>COUNTIFS(Bets[Date],"&gt;="&amp;$Q18,Bets[Date],"&lt;"&amp;$Q19)</f>
        <v>113</v>
      </c>
      <c r="T18" s="129">
        <f>SUMIFS(Bets[Risk],Bets[Date],"&gt;="&amp;$Q18,Bets[Date],"&lt;"&amp;$Q19)</f>
        <v>2023.96</v>
      </c>
      <c r="U18" s="130" t="str">
        <f>TEXT(ROUND(SUMIFS(Bets[Profit],Bets[Date],"&gt;="&amp;$Q18,Bets[Date],"&lt;"&amp;$Q19),2),"$#,##0.00")&amp;" ("&amp;ROUND(SUMIFS(Bets[Profit],Bets[Date],"&gt;="&amp;$Q18,Bets[Date],"&lt;"&amp;$Q19)/T18*100,2)&amp;"%)"</f>
        <v>-$158.70 (-7.84%)</v>
      </c>
      <c r="V18" s="112" t="str">
        <f>COUNTIFS(Bets[Date],"&gt;="&amp;$Q18,Bets[Date],"&lt;"&amp;$Q19,Bets[Result],"W")&amp;"-"&amp;COUNTIFS(Bets[Date],"&gt;="&amp;$Q18,Bets[Date],"&lt;"&amp;$Q19,Bets[Result],"L")&amp;"-"&amp;COUNTIFS(Bets[Date],"&gt;="&amp;$Q18,Bets[Date],"&lt;"&amp;$Q19,Bets[Result],"Push")</f>
        <v>50-62-1</v>
      </c>
      <c r="W18" s="128">
        <f>COUNTIFS(Bets[Date],"&gt;="&amp;$Q18,Bets[Date],"&lt;"&amp;$Q19,Bets[Result],"W")/(COUNTIFS(Bets[Date],"&gt;="&amp;$Q18,Bets[Date],"&lt;"&amp;$Q19,Bets[Result],"W")+COUNTIFS(Bets[Date],"&gt;="&amp;$Q18,Bets[Date],"&lt;"&amp;$Q19,Bets[Result],"L"))</f>
        <v>0.44642857142857145</v>
      </c>
    </row>
    <row r="19" spans="2:23" x14ac:dyDescent="0.25">
      <c r="B19" s="2"/>
      <c r="C19" s="161" t="s">
        <v>2252</v>
      </c>
      <c r="D19" s="155">
        <f>SUM(D17:D18)</f>
        <v>255</v>
      </c>
      <c r="E19" s="156">
        <f>SUM(E17:E18)</f>
        <v>2358.8300000000008</v>
      </c>
      <c r="F19" s="157" t="str">
        <f>TEXT(ROUND(SUMIFS(Bets[Profit],Bets[Date],"&gt;="&amp;$B$1,Bets[Date],"&lt;="&amp;$C$1,Bets[Bet Type],B17)+SUMIFS(Bets[Profit],Bets[Date],"&gt;="&amp;$B$1,Bets[Date],"&lt;="&amp;$C$1,Bets[Bet Type],B18),2),"$#,##0.00")&amp;" ("&amp;ROUND((SUMIFS(Bets[Profit],Bets[Date],"&gt;="&amp;$B$1,Bets[Date],"&lt;="&amp;$C$1,Bets[Bet Type],B17)+SUMIFS(Bets[Profit],Bets[Date],"&gt;="&amp;$B$1,Bets[Date],"&lt;="&amp;$C$1,Bets[Bet Type],B18))/E19*100,2)&amp;"%)"</f>
        <v>-$65.20 (-2.76%)</v>
      </c>
      <c r="G19" s="155" t="str">
        <f>COUNTIFS(Bets[Date],"&gt;="&amp;$B$1,Bets[Date],"&lt;="&amp;$C$1,Bets[Result],"W",Bets[Bet Type],B17)+COUNTIFS(Bets[Date],"&gt;="&amp;$B$1,Bets[Date],"&lt;="&amp;$C$1,Bets[Result],"W",Bets[Bet Type],B18)&amp;"-"&amp;COUNTIFS(Bets[Date],"&gt;="&amp;$B$1,Bets[Date],"&lt;="&amp;$C$1,Bets[Result],"L",Bets[Bet Type],B17)+COUNTIFS(Bets[Date],"&gt;="&amp;$B$1,Bets[Date],"&lt;="&amp;$C$1,Bets[Result],"L",Bets[Bet Type],B18)&amp;"-"&amp;COUNTIFS(Bets[Date],"&gt;="&amp;$B$1,Bets[Date],"&lt;="&amp;$C$1,Bets[Result],"Push",Bets[Bet Type],B17)+COUNTIFS(Bets[Date],"&gt;="&amp;$B$1,Bets[Date],"&lt;="&amp;$C$1,Bets[Result],"Push",Bets[Bet Type],B18)</f>
        <v>134-118-3</v>
      </c>
      <c r="H19" s="158">
        <f>(COUNTIFS(Bets[Date],"&gt;="&amp;$B$1,Bets[Date],"&lt;="&amp;$C$1,Bets[Result],"W",Bets[Bet Type],B17)+COUNTIFS(Bets[Date],"&gt;="&amp;$B$1,Bets[Date],"&lt;="&amp;$C$1,Bets[Result],"W",Bets[Bet Type],B18))/(COUNTIFS(Bets[Date],"&gt;="&amp;$B$1,Bets[Date],"&lt;="&amp;$C$1,Bets[Result],"W",Bets[Bet Type],B17)+COUNTIFS(Bets[Date],"&gt;="&amp;$B$1,Bets[Date],"&lt;="&amp;$C$1,Bets[Result],"L",Bets[Bet Type],B17)+COUNTIFS(Bets[Date],"&gt;="&amp;$B$1,Bets[Date],"&lt;="&amp;$C$1,Bets[Result],"W",Bets[Bet Type],B18)+COUNTIFS(Bets[Date],"&gt;="&amp;$B$1,Bets[Date],"&lt;="&amp;$C$1,Bets[Result],"L",Bets[Bet Type],B18))</f>
        <v>0.53174603174603174</v>
      </c>
      <c r="Q19" s="127">
        <v>43831</v>
      </c>
    </row>
    <row r="20" spans="2:23" x14ac:dyDescent="0.25">
      <c r="B20" s="2" t="s">
        <v>781</v>
      </c>
      <c r="C20" s="165" t="s">
        <v>878</v>
      </c>
      <c r="D20" s="143">
        <f>COUNTIFS(Bets[Date],"&gt;="&amp;$B$1,Bets[Date],"&lt;="&amp;$C$1,Bets[Bet Type],B20)</f>
        <v>33</v>
      </c>
      <c r="E20" s="144">
        <f>SUMIFS(Bets[Risk],Bets[Date],"&gt;="&amp;$B$1,Bets[Date],"&lt;="&amp;$C$1,Bets[Bet Type],B20)</f>
        <v>432.21</v>
      </c>
      <c r="F20" s="145" t="str">
        <f>TEXT(ROUND(SUMIFS(Bets[Profit],Bets[Date],"&gt;="&amp;$B$1,Bets[Date],"&lt;="&amp;$C$1,Bets[Bet Type],B20),2),"$#,##0.00")&amp;" ("&amp;ROUND(SUMIFS(Bets[Profit],Bets[Date],"&gt;="&amp;$B$1,Bets[Date],"&lt;="&amp;$C$1,Bets[Bet Type],B20)/E20*100,2)&amp;"%)"</f>
        <v>$240.99 (55.76%)</v>
      </c>
      <c r="G20" s="143" t="str">
        <f>COUNTIFS(Bets[Date],"&gt;="&amp;$B$1,Bets[Date],"&lt;="&amp;$C$1,Bets[Result],"W",Bets[Bet Type],B20)&amp;"-"&amp;COUNTIFS(Bets[Date],"&gt;="&amp;$B$1,Bets[Date],"&lt;="&amp;$C$1,Bets[Result],"L",Bets[Bet Type],B20)&amp;"-"&amp;COUNTIFS(Bets[Date],"&gt;="&amp;$B$1,Bets[Date],"&lt;="&amp;$C$1,Bets[Result],"Push",Bets[Bet Type],B20)</f>
        <v>10-23-0</v>
      </c>
      <c r="H20" s="146">
        <f>COUNTIFS(Bets[Date],"&gt;="&amp;$B$1,Bets[Date],"&lt;="&amp;$C$1,Bets[Result],"W",Bets[Bet Type],B20)/(COUNTIFS(Bets[Date],"&gt;="&amp;$B$1,Bets[Date],"&lt;="&amp;$C$1,Bets[Result],"W",Bets[Bet Type],B20)+COUNTIFS(Bets[Date],"&gt;="&amp;$B$1,Bets[Date],"&lt;="&amp;$C$1,Bets[Result],"L",Bets[Bet Type],B20))</f>
        <v>0.30303030303030304</v>
      </c>
    </row>
    <row r="29" spans="2:23" x14ac:dyDescent="0.25">
      <c r="C29" s="76" t="s">
        <v>0</v>
      </c>
      <c r="D29" t="s">
        <v>1640</v>
      </c>
    </row>
    <row r="30" spans="2:23" x14ac:dyDescent="0.25">
      <c r="C30" s="76" t="s">
        <v>461</v>
      </c>
      <c r="D30" t="s">
        <v>1640</v>
      </c>
    </row>
    <row r="32" spans="2:23" x14ac:dyDescent="0.25">
      <c r="C32" s="76" t="s">
        <v>1495</v>
      </c>
      <c r="D32" t="s">
        <v>2229</v>
      </c>
      <c r="E32" t="s">
        <v>2230</v>
      </c>
      <c r="F32" t="s">
        <v>1222</v>
      </c>
      <c r="G32" t="s">
        <v>2246</v>
      </c>
    </row>
    <row r="33" spans="3:7" x14ac:dyDescent="0.25">
      <c r="C33" s="56" t="s">
        <v>1182</v>
      </c>
      <c r="D33" s="77">
        <v>4</v>
      </c>
      <c r="E33" s="42">
        <v>8</v>
      </c>
      <c r="F33" s="42">
        <v>-4.1818181818181817</v>
      </c>
      <c r="G33" s="77">
        <v>4</v>
      </c>
    </row>
    <row r="34" spans="3:7" x14ac:dyDescent="0.25">
      <c r="C34" s="56" t="s">
        <v>1181</v>
      </c>
      <c r="D34" s="77">
        <v>1</v>
      </c>
      <c r="E34" s="42">
        <v>12.5</v>
      </c>
      <c r="F34" s="42">
        <v>10</v>
      </c>
      <c r="G34" s="77">
        <v>5</v>
      </c>
    </row>
    <row r="35" spans="3:7" x14ac:dyDescent="0.25">
      <c r="C35" s="56" t="s">
        <v>1186</v>
      </c>
      <c r="D35" s="77">
        <v>314</v>
      </c>
      <c r="E35" s="42">
        <v>2957.9399999999996</v>
      </c>
      <c r="F35" s="42">
        <v>-165.87399076478587</v>
      </c>
      <c r="G35" s="77">
        <v>319</v>
      </c>
    </row>
    <row r="36" spans="3:7" x14ac:dyDescent="0.25">
      <c r="C36" s="56" t="s">
        <v>134</v>
      </c>
      <c r="D36" s="77">
        <v>536</v>
      </c>
      <c r="E36" s="42">
        <v>3189.9041156685466</v>
      </c>
      <c r="F36" s="42">
        <v>-533.57985100786857</v>
      </c>
      <c r="G36" s="77">
        <v>853</v>
      </c>
    </row>
    <row r="37" spans="3:7" x14ac:dyDescent="0.25">
      <c r="C37" s="56" t="s">
        <v>419</v>
      </c>
      <c r="D37" s="77">
        <v>567</v>
      </c>
      <c r="E37" s="42">
        <v>4417.5200000000004</v>
      </c>
      <c r="F37" s="42">
        <v>-105.0201328686758</v>
      </c>
      <c r="G37" s="77">
        <v>1416</v>
      </c>
    </row>
    <row r="38" spans="3:7" x14ac:dyDescent="0.25">
      <c r="C38" s="56" t="s">
        <v>1507</v>
      </c>
      <c r="D38" s="77">
        <v>51</v>
      </c>
      <c r="E38" s="42">
        <v>1115</v>
      </c>
      <c r="F38" s="42">
        <v>-2.8765385604793359</v>
      </c>
      <c r="G38" s="77">
        <v>1467</v>
      </c>
    </row>
    <row r="39" spans="3:7" x14ac:dyDescent="0.25">
      <c r="C39" s="56" t="s">
        <v>133</v>
      </c>
      <c r="D39" s="77">
        <v>177</v>
      </c>
      <c r="E39" s="42">
        <v>2998.8700000000013</v>
      </c>
      <c r="F39" s="42">
        <v>-156.37607306799538</v>
      </c>
      <c r="G39" s="77">
        <v>1644</v>
      </c>
    </row>
    <row r="40" spans="3:7" x14ac:dyDescent="0.25">
      <c r="C40" s="56" t="s">
        <v>1210</v>
      </c>
      <c r="D40" s="77">
        <v>12</v>
      </c>
      <c r="E40" s="42">
        <v>128.5</v>
      </c>
      <c r="F40" s="42">
        <v>-13.380851063829791</v>
      </c>
      <c r="G40" s="77">
        <v>1654</v>
      </c>
    </row>
    <row r="41" spans="3:7" x14ac:dyDescent="0.25">
      <c r="C41" s="56" t="s">
        <v>1400</v>
      </c>
      <c r="D41" s="77">
        <v>1</v>
      </c>
      <c r="E41" s="42">
        <v>1.78</v>
      </c>
      <c r="F41" s="42">
        <v>-1.78</v>
      </c>
      <c r="G41" s="77">
        <v>1655</v>
      </c>
    </row>
    <row r="42" spans="3:7" x14ac:dyDescent="0.25">
      <c r="C42" s="56" t="s">
        <v>1483</v>
      </c>
      <c r="D42" s="77">
        <v>1663</v>
      </c>
      <c r="E42" s="42">
        <v>14830.014115668546</v>
      </c>
      <c r="F42" s="42">
        <v>-973.06925551545294</v>
      </c>
      <c r="G42" s="77"/>
    </row>
  </sheetData>
  <mergeCells count="4">
    <mergeCell ref="C5:G5"/>
    <mergeCell ref="J5:O5"/>
    <mergeCell ref="R5:W5"/>
    <mergeCell ref="C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A25" workbookViewId="0">
      <selection activeCell="U30" sqref="U30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.5703125" bestFit="1" customWidth="1"/>
    <col min="4" max="4" width="14.140625" bestFit="1" customWidth="1"/>
    <col min="5" max="5" width="11.28515625" bestFit="1" customWidth="1"/>
    <col min="6" max="7" width="9.140625" bestFit="1" customWidth="1"/>
    <col min="8" max="8" width="9.140625" customWidth="1"/>
    <col min="9" max="9" width="11.28515625" bestFit="1" customWidth="1"/>
    <col min="10" max="10" width="14" bestFit="1" customWidth="1"/>
    <col min="11" max="11" width="12.5703125" customWidth="1"/>
    <col min="12" max="12" width="6.5703125" customWidth="1"/>
    <col min="13" max="13" width="11.28515625" bestFit="1" customWidth="1"/>
    <col min="14" max="14" width="8.28515625" customWidth="1"/>
    <col min="15" max="17" width="8.28515625" bestFit="1" customWidth="1"/>
    <col min="18" max="18" width="7.28515625" customWidth="1"/>
    <col min="19" max="19" width="6.7109375" customWidth="1"/>
    <col min="20" max="20" width="16.140625" customWidth="1"/>
    <col min="21" max="21" width="17.7109375" customWidth="1"/>
    <col min="22" max="22" width="16.140625" customWidth="1"/>
    <col min="23" max="23" width="15.85546875" customWidth="1"/>
    <col min="24" max="24" width="11.140625" customWidth="1"/>
    <col min="25" max="25" width="13.140625" customWidth="1"/>
    <col min="26" max="26" width="16.28515625" customWidth="1"/>
    <col min="27" max="27" width="4" customWidth="1"/>
    <col min="28" max="28" width="5.28515625" customWidth="1"/>
    <col min="29" max="29" width="7.28515625" customWidth="1"/>
    <col min="30" max="30" width="11.28515625" customWidth="1"/>
    <col min="31" max="31" width="12.28515625" customWidth="1"/>
    <col min="32" max="32" width="11.140625" customWidth="1"/>
    <col min="33" max="33" width="12.28515625" customWidth="1"/>
    <col min="34" max="34" width="11.140625" customWidth="1"/>
    <col min="35" max="35" width="12.28515625" customWidth="1"/>
    <col min="36" max="36" width="11.140625" customWidth="1"/>
    <col min="37" max="37" width="12.28515625" customWidth="1"/>
    <col min="38" max="38" width="11.140625" customWidth="1"/>
    <col min="39" max="39" width="12.28515625" customWidth="1"/>
    <col min="40" max="40" width="11.140625" customWidth="1"/>
    <col min="41" max="41" width="12.28515625" customWidth="1"/>
    <col min="42" max="42" width="16.140625" customWidth="1"/>
    <col min="43" max="43" width="17.42578125" bestFit="1" customWidth="1"/>
    <col min="44" max="121" width="16.28515625" bestFit="1" customWidth="1"/>
    <col min="122" max="122" width="11.28515625" bestFit="1" customWidth="1"/>
  </cols>
  <sheetData>
    <row r="1" spans="1:23" x14ac:dyDescent="0.25">
      <c r="A1" s="96" t="s">
        <v>461</v>
      </c>
      <c r="B1" s="97" t="s">
        <v>1640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23" x14ac:dyDescent="0.25">
      <c r="A2" s="113" t="s">
        <v>1646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98"/>
      <c r="W2" s="78"/>
    </row>
    <row r="3" spans="1:23" x14ac:dyDescent="0.25">
      <c r="A3" s="83"/>
      <c r="B3" s="83" t="s">
        <v>1482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78"/>
      <c r="W3" s="78"/>
    </row>
    <row r="4" spans="1:23" x14ac:dyDescent="0.25">
      <c r="A4" s="83"/>
      <c r="B4" s="84" t="s">
        <v>1641</v>
      </c>
      <c r="C4" s="84"/>
      <c r="D4" s="84"/>
      <c r="E4" s="84"/>
      <c r="F4" s="84"/>
      <c r="G4" s="84"/>
      <c r="H4" s="84"/>
      <c r="I4" s="84"/>
      <c r="J4" s="84"/>
      <c r="K4" s="85" t="s">
        <v>1644</v>
      </c>
      <c r="L4" s="85"/>
      <c r="M4" s="85"/>
      <c r="N4" s="85"/>
      <c r="O4" s="85"/>
      <c r="P4" s="85"/>
      <c r="Q4" s="85"/>
      <c r="R4" s="85"/>
      <c r="S4" s="85"/>
      <c r="T4" s="94" t="s">
        <v>1642</v>
      </c>
      <c r="U4" s="94" t="s">
        <v>1645</v>
      </c>
      <c r="V4" s="78"/>
      <c r="W4" s="78"/>
    </row>
    <row r="5" spans="1:23" x14ac:dyDescent="0.25">
      <c r="A5" s="83" t="s">
        <v>1495</v>
      </c>
      <c r="B5" s="92" t="s">
        <v>1182</v>
      </c>
      <c r="C5" s="92" t="s">
        <v>1181</v>
      </c>
      <c r="D5" s="92" t="s">
        <v>1186</v>
      </c>
      <c r="E5" s="92" t="s">
        <v>134</v>
      </c>
      <c r="F5" s="92" t="s">
        <v>419</v>
      </c>
      <c r="G5" s="92" t="s">
        <v>1507</v>
      </c>
      <c r="H5" s="92" t="s">
        <v>133</v>
      </c>
      <c r="I5" s="92" t="s">
        <v>1210</v>
      </c>
      <c r="J5" s="92" t="s">
        <v>1400</v>
      </c>
      <c r="K5" s="93" t="s">
        <v>1182</v>
      </c>
      <c r="L5" s="93" t="s">
        <v>1181</v>
      </c>
      <c r="M5" s="93" t="s">
        <v>1186</v>
      </c>
      <c r="N5" s="93" t="s">
        <v>134</v>
      </c>
      <c r="O5" s="93" t="s">
        <v>419</v>
      </c>
      <c r="P5" s="93" t="s">
        <v>1507</v>
      </c>
      <c r="Q5" s="93" t="s">
        <v>133</v>
      </c>
      <c r="R5" s="93" t="s">
        <v>1210</v>
      </c>
      <c r="S5" s="93" t="s">
        <v>1400</v>
      </c>
      <c r="T5" s="94"/>
      <c r="U5" s="94"/>
      <c r="V5" s="78"/>
      <c r="W5" s="78"/>
    </row>
    <row r="6" spans="1:23" x14ac:dyDescent="0.25">
      <c r="A6" s="86" t="s">
        <v>1484</v>
      </c>
      <c r="B6" s="89"/>
      <c r="C6" s="89"/>
      <c r="D6" s="89"/>
      <c r="E6" s="89"/>
      <c r="F6" s="89"/>
      <c r="G6" s="89"/>
      <c r="H6" s="89"/>
      <c r="I6" s="89"/>
      <c r="J6" s="89"/>
      <c r="K6" s="90"/>
      <c r="L6" s="90"/>
      <c r="M6" s="90"/>
      <c r="N6" s="90"/>
      <c r="O6" s="90"/>
      <c r="P6" s="90"/>
      <c r="Q6" s="90"/>
      <c r="R6" s="90"/>
      <c r="S6" s="90"/>
      <c r="T6" s="91"/>
      <c r="U6" s="91"/>
      <c r="V6" s="78"/>
      <c r="W6" s="78"/>
    </row>
    <row r="7" spans="1:23" x14ac:dyDescent="0.25">
      <c r="A7" s="87" t="s">
        <v>1486</v>
      </c>
      <c r="B7" s="89"/>
      <c r="C7" s="89"/>
      <c r="D7" s="89"/>
      <c r="E7" s="89">
        <v>345</v>
      </c>
      <c r="F7" s="89"/>
      <c r="G7" s="89"/>
      <c r="H7" s="89">
        <v>650</v>
      </c>
      <c r="I7" s="89"/>
      <c r="J7" s="89"/>
      <c r="K7" s="90"/>
      <c r="L7" s="90"/>
      <c r="M7" s="90"/>
      <c r="N7" s="90">
        <v>-67.490777338603408</v>
      </c>
      <c r="O7" s="90"/>
      <c r="P7" s="90"/>
      <c r="Q7" s="90">
        <v>-10.075475249388269</v>
      </c>
      <c r="R7" s="90"/>
      <c r="S7" s="90"/>
      <c r="T7" s="91">
        <v>995</v>
      </c>
      <c r="U7" s="91">
        <v>-77.56625258799167</v>
      </c>
      <c r="V7" s="78"/>
      <c r="W7" s="78"/>
    </row>
    <row r="8" spans="1:23" x14ac:dyDescent="0.25">
      <c r="A8" s="86" t="s">
        <v>1485</v>
      </c>
      <c r="B8" s="89"/>
      <c r="C8" s="89"/>
      <c r="D8" s="89"/>
      <c r="E8" s="89"/>
      <c r="F8" s="89"/>
      <c r="G8" s="89"/>
      <c r="H8" s="89"/>
      <c r="I8" s="89"/>
      <c r="J8" s="89"/>
      <c r="K8" s="90"/>
      <c r="L8" s="90"/>
      <c r="M8" s="90"/>
      <c r="N8" s="90"/>
      <c r="O8" s="90"/>
      <c r="P8" s="90"/>
      <c r="Q8" s="90"/>
      <c r="R8" s="90"/>
      <c r="S8" s="90"/>
      <c r="T8" s="91"/>
      <c r="U8" s="91"/>
      <c r="V8" s="78"/>
      <c r="W8" s="78"/>
    </row>
    <row r="9" spans="1:23" x14ac:dyDescent="0.25">
      <c r="A9" s="87" t="s">
        <v>1487</v>
      </c>
      <c r="B9" s="89"/>
      <c r="C9" s="89">
        <v>12.5</v>
      </c>
      <c r="D9" s="89"/>
      <c r="E9" s="89">
        <v>1039.98</v>
      </c>
      <c r="F9" s="89">
        <v>420</v>
      </c>
      <c r="G9" s="89"/>
      <c r="H9" s="89">
        <v>95</v>
      </c>
      <c r="I9" s="89"/>
      <c r="J9" s="89"/>
      <c r="K9" s="90"/>
      <c r="L9" s="90">
        <v>10</v>
      </c>
      <c r="M9" s="90"/>
      <c r="N9" s="90">
        <v>-17.766229437229423</v>
      </c>
      <c r="O9" s="90">
        <v>38.732919254658412</v>
      </c>
      <c r="P9" s="90"/>
      <c r="Q9" s="90">
        <v>8.9449760765550241</v>
      </c>
      <c r="R9" s="90"/>
      <c r="S9" s="90"/>
      <c r="T9" s="91">
        <v>1567.48</v>
      </c>
      <c r="U9" s="91">
        <v>39.911665893984015</v>
      </c>
      <c r="V9" s="78"/>
      <c r="W9" s="78"/>
    </row>
    <row r="10" spans="1:23" x14ac:dyDescent="0.25">
      <c r="A10" s="87" t="s">
        <v>1488</v>
      </c>
      <c r="B10" s="89">
        <v>8</v>
      </c>
      <c r="C10" s="89"/>
      <c r="D10" s="89"/>
      <c r="E10" s="89">
        <v>273.27999999999997</v>
      </c>
      <c r="F10" s="89">
        <v>478</v>
      </c>
      <c r="G10" s="89"/>
      <c r="H10" s="89">
        <v>59.32</v>
      </c>
      <c r="I10" s="89"/>
      <c r="J10" s="89"/>
      <c r="K10" s="90">
        <v>-4.1818181818181817</v>
      </c>
      <c r="L10" s="90"/>
      <c r="M10" s="90"/>
      <c r="N10" s="90">
        <v>-35.596212137722404</v>
      </c>
      <c r="O10" s="90">
        <v>-52.189695358825752</v>
      </c>
      <c r="P10" s="90"/>
      <c r="Q10" s="90">
        <v>-17.32</v>
      </c>
      <c r="R10" s="90"/>
      <c r="S10" s="90"/>
      <c r="T10" s="91">
        <v>818.6</v>
      </c>
      <c r="U10" s="91">
        <v>-109.28772567836634</v>
      </c>
      <c r="V10" s="78"/>
      <c r="W10" s="78"/>
    </row>
    <row r="11" spans="1:23" x14ac:dyDescent="0.25">
      <c r="A11" s="87" t="s">
        <v>1489</v>
      </c>
      <c r="B11" s="89"/>
      <c r="C11" s="89"/>
      <c r="D11" s="89"/>
      <c r="E11" s="89">
        <v>529.46</v>
      </c>
      <c r="F11" s="89">
        <v>296.81</v>
      </c>
      <c r="G11" s="89"/>
      <c r="H11" s="89"/>
      <c r="I11" s="89"/>
      <c r="J11" s="89"/>
      <c r="K11" s="90"/>
      <c r="L11" s="90"/>
      <c r="M11" s="90"/>
      <c r="N11" s="90">
        <v>-12.252089655641907</v>
      </c>
      <c r="O11" s="90">
        <v>54.717465522303769</v>
      </c>
      <c r="P11" s="90"/>
      <c r="Q11" s="90"/>
      <c r="R11" s="90"/>
      <c r="S11" s="90"/>
      <c r="T11" s="91">
        <v>826.27</v>
      </c>
      <c r="U11" s="91">
        <v>42.465375866661859</v>
      </c>
      <c r="V11" s="78"/>
      <c r="W11" s="78"/>
    </row>
    <row r="12" spans="1:23" x14ac:dyDescent="0.25">
      <c r="A12" s="87" t="s">
        <v>1490</v>
      </c>
      <c r="B12" s="89"/>
      <c r="C12" s="89"/>
      <c r="D12" s="89">
        <v>19</v>
      </c>
      <c r="E12" s="89">
        <v>197.05</v>
      </c>
      <c r="F12" s="89">
        <v>120.78999999999999</v>
      </c>
      <c r="G12" s="89"/>
      <c r="H12" s="89"/>
      <c r="I12" s="89">
        <v>38.5</v>
      </c>
      <c r="J12" s="89"/>
      <c r="K12" s="90"/>
      <c r="L12" s="90"/>
      <c r="M12" s="90">
        <v>2.989949745608167</v>
      </c>
      <c r="N12" s="90">
        <v>-56.868181818181824</v>
      </c>
      <c r="O12" s="90">
        <v>68.710000000000008</v>
      </c>
      <c r="P12" s="90"/>
      <c r="Q12" s="90"/>
      <c r="R12" s="90">
        <v>-30</v>
      </c>
      <c r="S12" s="90"/>
      <c r="T12" s="91">
        <v>375.34000000000003</v>
      </c>
      <c r="U12" s="91">
        <v>-15.168232072573652</v>
      </c>
      <c r="V12" s="78"/>
      <c r="W12" s="78"/>
    </row>
    <row r="13" spans="1:23" x14ac:dyDescent="0.25">
      <c r="A13" s="87" t="s">
        <v>1491</v>
      </c>
      <c r="B13" s="89"/>
      <c r="C13" s="89"/>
      <c r="D13" s="89">
        <v>177.44</v>
      </c>
      <c r="E13" s="89"/>
      <c r="F13" s="89"/>
      <c r="G13" s="89"/>
      <c r="H13" s="89"/>
      <c r="I13" s="89"/>
      <c r="J13" s="89"/>
      <c r="K13" s="90"/>
      <c r="L13" s="90"/>
      <c r="M13" s="90">
        <v>-12.779895635867481</v>
      </c>
      <c r="N13" s="90"/>
      <c r="O13" s="90"/>
      <c r="P13" s="90"/>
      <c r="Q13" s="90"/>
      <c r="R13" s="90"/>
      <c r="S13" s="90"/>
      <c r="T13" s="91">
        <v>177.44</v>
      </c>
      <c r="U13" s="91">
        <v>-12.779895635867481</v>
      </c>
      <c r="V13" s="78"/>
      <c r="W13" s="78"/>
    </row>
    <row r="14" spans="1:23" x14ac:dyDescent="0.25">
      <c r="A14" s="87" t="s">
        <v>1492</v>
      </c>
      <c r="B14" s="89"/>
      <c r="C14" s="89"/>
      <c r="D14" s="89">
        <v>17.579999999999998</v>
      </c>
      <c r="E14" s="89"/>
      <c r="F14" s="89"/>
      <c r="G14" s="89"/>
      <c r="H14" s="89"/>
      <c r="I14" s="89"/>
      <c r="J14" s="89">
        <v>1.78</v>
      </c>
      <c r="K14" s="90"/>
      <c r="L14" s="90"/>
      <c r="M14" s="90">
        <v>-2.78640522875817</v>
      </c>
      <c r="N14" s="90"/>
      <c r="O14" s="90"/>
      <c r="P14" s="90"/>
      <c r="Q14" s="90"/>
      <c r="R14" s="90"/>
      <c r="S14" s="90">
        <v>-1.78</v>
      </c>
      <c r="T14" s="91">
        <v>19.36</v>
      </c>
      <c r="U14" s="91">
        <v>-4.5664052287581702</v>
      </c>
      <c r="V14" s="78"/>
      <c r="W14" s="78"/>
    </row>
    <row r="15" spans="1:23" x14ac:dyDescent="0.25">
      <c r="A15" s="87" t="s">
        <v>1493</v>
      </c>
      <c r="B15" s="89"/>
      <c r="C15" s="89"/>
      <c r="D15" s="89">
        <v>203.90999999999997</v>
      </c>
      <c r="E15" s="89"/>
      <c r="F15" s="89"/>
      <c r="G15" s="89"/>
      <c r="H15" s="89"/>
      <c r="I15" s="89"/>
      <c r="J15" s="89"/>
      <c r="K15" s="90"/>
      <c r="L15" s="90"/>
      <c r="M15" s="90">
        <v>-49.810867358857877</v>
      </c>
      <c r="N15" s="90"/>
      <c r="O15" s="90"/>
      <c r="P15" s="90"/>
      <c r="Q15" s="90"/>
      <c r="R15" s="90"/>
      <c r="S15" s="90"/>
      <c r="T15" s="91">
        <v>203.90999999999997</v>
      </c>
      <c r="U15" s="91">
        <v>-49.810867358857877</v>
      </c>
      <c r="V15" s="78"/>
      <c r="W15" s="78"/>
    </row>
    <row r="16" spans="1:23" x14ac:dyDescent="0.25">
      <c r="A16" s="87" t="s">
        <v>1494</v>
      </c>
      <c r="B16" s="89"/>
      <c r="C16" s="89"/>
      <c r="D16" s="89">
        <v>2040.0200000000004</v>
      </c>
      <c r="E16" s="89"/>
      <c r="F16" s="89"/>
      <c r="G16" s="89"/>
      <c r="H16" s="89">
        <v>20</v>
      </c>
      <c r="I16" s="89"/>
      <c r="J16" s="89"/>
      <c r="K16" s="90"/>
      <c r="L16" s="90"/>
      <c r="M16" s="90">
        <v>3.8782754201635719</v>
      </c>
      <c r="N16" s="90"/>
      <c r="O16" s="90"/>
      <c r="P16" s="90"/>
      <c r="Q16" s="90">
        <v>16.949152542372879</v>
      </c>
      <c r="R16" s="90"/>
      <c r="S16" s="90"/>
      <c r="T16" s="91">
        <v>2060.0200000000004</v>
      </c>
      <c r="U16" s="91">
        <v>20.827427962536451</v>
      </c>
      <c r="V16" s="78"/>
      <c r="W16" s="78"/>
    </row>
    <row r="17" spans="1:23" x14ac:dyDescent="0.25">
      <c r="A17" s="87" t="s">
        <v>1559</v>
      </c>
      <c r="B17" s="89"/>
      <c r="C17" s="89"/>
      <c r="D17" s="89">
        <v>479.99</v>
      </c>
      <c r="E17" s="89"/>
      <c r="F17" s="89"/>
      <c r="G17" s="89">
        <v>255</v>
      </c>
      <c r="H17" s="89">
        <v>324.25</v>
      </c>
      <c r="I17" s="89"/>
      <c r="J17" s="89"/>
      <c r="K17" s="90"/>
      <c r="L17" s="90"/>
      <c r="M17" s="90">
        <v>-87.365047707074012</v>
      </c>
      <c r="N17" s="90"/>
      <c r="O17" s="90"/>
      <c r="P17" s="90">
        <v>93.417961295429791</v>
      </c>
      <c r="Q17" s="90">
        <v>-18.139592046371703</v>
      </c>
      <c r="R17" s="90"/>
      <c r="S17" s="90"/>
      <c r="T17" s="91">
        <v>1059.24</v>
      </c>
      <c r="U17" s="91">
        <v>-12.086678458015925</v>
      </c>
      <c r="V17" s="78"/>
      <c r="W17" s="78"/>
    </row>
    <row r="18" spans="1:23" x14ac:dyDescent="0.25">
      <c r="A18" s="87" t="s">
        <v>1583</v>
      </c>
      <c r="B18" s="89"/>
      <c r="C18" s="89"/>
      <c r="D18" s="89">
        <v>20</v>
      </c>
      <c r="E18" s="89"/>
      <c r="F18" s="89"/>
      <c r="G18" s="89">
        <v>300</v>
      </c>
      <c r="H18" s="89">
        <v>595.33999999999992</v>
      </c>
      <c r="I18" s="89"/>
      <c r="J18" s="89"/>
      <c r="K18" s="90"/>
      <c r="L18" s="90"/>
      <c r="M18" s="90">
        <v>-20</v>
      </c>
      <c r="N18" s="90"/>
      <c r="O18" s="90"/>
      <c r="P18" s="90">
        <v>45.702223047355815</v>
      </c>
      <c r="Q18" s="90">
        <v>331.89646315631342</v>
      </c>
      <c r="R18" s="90"/>
      <c r="S18" s="90"/>
      <c r="T18" s="91">
        <v>915.33999999999992</v>
      </c>
      <c r="U18" s="91">
        <v>357.59868620366922</v>
      </c>
      <c r="V18" s="78"/>
      <c r="W18" s="78"/>
    </row>
    <row r="19" spans="1:23" x14ac:dyDescent="0.25">
      <c r="A19" s="87" t="s">
        <v>1681</v>
      </c>
      <c r="B19" s="89"/>
      <c r="C19" s="104"/>
      <c r="D19" s="104"/>
      <c r="E19" s="104">
        <v>439.90411566854618</v>
      </c>
      <c r="F19" s="104">
        <v>120</v>
      </c>
      <c r="G19" s="104">
        <v>520</v>
      </c>
      <c r="H19" s="104">
        <v>788.79</v>
      </c>
      <c r="I19" s="104"/>
      <c r="J19" s="104"/>
      <c r="K19" s="90"/>
      <c r="L19" s="90"/>
      <c r="M19" s="90"/>
      <c r="N19" s="90">
        <v>-243.71905396318277</v>
      </c>
      <c r="O19" s="90">
        <v>32.56940307399023</v>
      </c>
      <c r="P19" s="90">
        <v>-140.17854108508311</v>
      </c>
      <c r="Q19" s="90">
        <v>-277.71498691040728</v>
      </c>
      <c r="R19" s="90"/>
      <c r="S19" s="90"/>
      <c r="T19" s="91">
        <v>1868.6941156685461</v>
      </c>
      <c r="U19" s="91">
        <v>-629.0431788846829</v>
      </c>
      <c r="V19" s="78"/>
      <c r="W19" s="78"/>
    </row>
    <row r="20" spans="1:23" x14ac:dyDescent="0.25">
      <c r="A20" s="87" t="s">
        <v>1486</v>
      </c>
      <c r="B20" s="104"/>
      <c r="C20" s="104"/>
      <c r="D20" s="104"/>
      <c r="E20" s="104"/>
      <c r="F20" s="104">
        <v>1840</v>
      </c>
      <c r="G20" s="104">
        <v>20</v>
      </c>
      <c r="H20" s="104">
        <v>163.96</v>
      </c>
      <c r="I20" s="104"/>
      <c r="J20" s="104"/>
      <c r="K20" s="90"/>
      <c r="L20" s="90"/>
      <c r="M20" s="90"/>
      <c r="N20" s="90"/>
      <c r="O20" s="90">
        <v>-168.68204466794307</v>
      </c>
      <c r="P20" s="90">
        <v>18.181818181818183</v>
      </c>
      <c r="Q20" s="90">
        <v>-8.1981818181818191</v>
      </c>
      <c r="R20" s="90"/>
      <c r="S20" s="90"/>
      <c r="T20" s="91">
        <v>2023.96</v>
      </c>
      <c r="U20" s="91">
        <v>-158.6984083043067</v>
      </c>
      <c r="V20" s="78"/>
      <c r="W20" s="78"/>
    </row>
    <row r="21" spans="1:23" x14ac:dyDescent="0.25">
      <c r="A21" s="87" t="s">
        <v>2092</v>
      </c>
      <c r="B21" s="104"/>
      <c r="C21" s="104"/>
      <c r="D21" s="104"/>
      <c r="E21" s="104"/>
      <c r="F21" s="104"/>
      <c r="G21" s="104"/>
      <c r="H21" s="104"/>
      <c r="I21" s="104"/>
      <c r="J21" s="104"/>
      <c r="K21" s="90"/>
      <c r="L21" s="90"/>
      <c r="M21" s="90"/>
      <c r="N21" s="90"/>
      <c r="O21" s="90"/>
      <c r="P21" s="90"/>
      <c r="Q21" s="90"/>
      <c r="R21" s="90"/>
      <c r="S21" s="90"/>
      <c r="T21" s="91"/>
      <c r="U21" s="91"/>
      <c r="V21" s="78"/>
      <c r="W21" s="78"/>
    </row>
    <row r="22" spans="1:23" x14ac:dyDescent="0.25">
      <c r="A22" s="87" t="s">
        <v>1487</v>
      </c>
      <c r="B22" s="104"/>
      <c r="C22" s="104"/>
      <c r="D22" s="104"/>
      <c r="E22" s="104">
        <v>365.23</v>
      </c>
      <c r="F22" s="104">
        <v>1141.92</v>
      </c>
      <c r="G22" s="104">
        <v>20</v>
      </c>
      <c r="H22" s="104">
        <v>302.21000000000004</v>
      </c>
      <c r="I22" s="104">
        <v>90</v>
      </c>
      <c r="J22" s="104"/>
      <c r="K22" s="90"/>
      <c r="L22" s="90"/>
      <c r="M22" s="90"/>
      <c r="N22" s="90">
        <v>-99.887306657306652</v>
      </c>
      <c r="O22" s="90">
        <v>-78.878180692859274</v>
      </c>
      <c r="P22" s="90">
        <v>-20</v>
      </c>
      <c r="Q22" s="90">
        <v>-182.71842881888756</v>
      </c>
      <c r="R22" s="90">
        <v>16.619148936170209</v>
      </c>
      <c r="S22" s="90"/>
      <c r="T22" s="91">
        <v>1919.3600000000001</v>
      </c>
      <c r="U22" s="91">
        <v>-364.86476723288325</v>
      </c>
      <c r="V22" s="78"/>
      <c r="W22" s="78"/>
    </row>
    <row r="23" spans="1:23" x14ac:dyDescent="0.25">
      <c r="A23" s="86" t="s">
        <v>1483</v>
      </c>
      <c r="B23" s="88">
        <v>8</v>
      </c>
      <c r="C23" s="88">
        <v>12.5</v>
      </c>
      <c r="D23" s="88">
        <v>2957.9400000000005</v>
      </c>
      <c r="E23" s="88">
        <v>3189.9041156685466</v>
      </c>
      <c r="F23" s="88">
        <v>4417.5200000000004</v>
      </c>
      <c r="G23" s="88">
        <v>1115</v>
      </c>
      <c r="H23" s="88">
        <v>2998.87</v>
      </c>
      <c r="I23" s="88">
        <v>128.5</v>
      </c>
      <c r="J23" s="88">
        <v>1.78</v>
      </c>
      <c r="K23" s="88">
        <v>-4.1818181818181817</v>
      </c>
      <c r="L23" s="88">
        <v>10</v>
      </c>
      <c r="M23" s="88">
        <v>-165.87399076478579</v>
      </c>
      <c r="N23" s="88">
        <v>-533.57985100786846</v>
      </c>
      <c r="O23" s="88">
        <v>-105.02013286867569</v>
      </c>
      <c r="P23" s="88">
        <v>-2.8765385604793359</v>
      </c>
      <c r="Q23" s="88">
        <v>-156.37607306799532</v>
      </c>
      <c r="R23" s="88">
        <v>-13.380851063829791</v>
      </c>
      <c r="S23" s="88">
        <v>-1.78</v>
      </c>
      <c r="T23" s="88">
        <v>14830.014115668546</v>
      </c>
      <c r="U23" s="88">
        <v>-973.06925551545237</v>
      </c>
      <c r="V23" s="78"/>
      <c r="W23" s="78"/>
    </row>
    <row r="24" spans="1:23" x14ac:dyDescent="0.25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78"/>
      <c r="W24" s="78"/>
    </row>
    <row r="25" spans="1:23" x14ac:dyDescent="0.25">
      <c r="A25" s="105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78"/>
      <c r="W25" s="78"/>
    </row>
    <row r="26" spans="1:23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</row>
    <row r="27" spans="1:23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</row>
    <row r="28" spans="1:23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</row>
    <row r="29" spans="1:23" x14ac:dyDescent="0.25">
      <c r="A29" s="76" t="s">
        <v>132</v>
      </c>
      <c r="B29" s="76" t="s">
        <v>1482</v>
      </c>
      <c r="G29" s="78"/>
      <c r="H29" s="78"/>
      <c r="I29" s="78"/>
      <c r="J29" s="78"/>
      <c r="K29" s="76" t="s">
        <v>132</v>
      </c>
      <c r="L29" s="76" t="s">
        <v>1482</v>
      </c>
      <c r="Q29" s="78"/>
      <c r="R29" s="78"/>
      <c r="S29" s="78"/>
      <c r="T29" s="78"/>
      <c r="U29" s="78"/>
      <c r="V29" s="78"/>
      <c r="W29" s="78"/>
    </row>
    <row r="30" spans="1:23" x14ac:dyDescent="0.25">
      <c r="A30" s="76" t="s">
        <v>1495</v>
      </c>
      <c r="B30" t="s">
        <v>36</v>
      </c>
      <c r="C30" t="s">
        <v>6</v>
      </c>
      <c r="D30" t="s">
        <v>65</v>
      </c>
      <c r="E30" t="s">
        <v>1920</v>
      </c>
      <c r="F30" t="s">
        <v>1483</v>
      </c>
      <c r="G30" s="78"/>
      <c r="H30" s="78"/>
      <c r="I30" s="78"/>
      <c r="J30" s="78"/>
      <c r="K30" s="76" t="s">
        <v>1495</v>
      </c>
      <c r="L30" t="s">
        <v>36</v>
      </c>
      <c r="M30" t="s">
        <v>6</v>
      </c>
      <c r="N30" t="s">
        <v>65</v>
      </c>
      <c r="O30" t="s">
        <v>1920</v>
      </c>
      <c r="P30" t="s">
        <v>1483</v>
      </c>
      <c r="Q30" s="78"/>
      <c r="R30" s="78"/>
      <c r="S30" s="78"/>
      <c r="T30" s="78"/>
      <c r="U30" s="78"/>
      <c r="V30" s="78"/>
      <c r="W30" s="78"/>
    </row>
    <row r="31" spans="1:23" x14ac:dyDescent="0.25">
      <c r="A31" s="56" t="s">
        <v>1182</v>
      </c>
      <c r="B31" s="77">
        <v>1</v>
      </c>
      <c r="C31" s="77">
        <v>3</v>
      </c>
      <c r="D31" s="77"/>
      <c r="E31" s="77"/>
      <c r="F31" s="77">
        <v>4</v>
      </c>
      <c r="G31" s="78"/>
      <c r="H31" s="78"/>
      <c r="I31" s="78"/>
      <c r="J31" s="78"/>
      <c r="K31" s="56" t="s">
        <v>1484</v>
      </c>
      <c r="L31" s="77"/>
      <c r="M31" s="77"/>
      <c r="N31" s="77"/>
      <c r="O31" s="77"/>
      <c r="P31" s="77"/>
      <c r="Q31" s="78"/>
      <c r="R31" s="78"/>
      <c r="S31" s="78"/>
      <c r="T31" s="78"/>
      <c r="U31" s="78"/>
      <c r="V31" s="78"/>
      <c r="W31" s="78"/>
    </row>
    <row r="32" spans="1:23" x14ac:dyDescent="0.25">
      <c r="A32" s="56" t="s">
        <v>1181</v>
      </c>
      <c r="B32" s="77">
        <v>1</v>
      </c>
      <c r="C32" s="77"/>
      <c r="D32" s="77"/>
      <c r="E32" s="77"/>
      <c r="F32" s="77">
        <v>1</v>
      </c>
      <c r="G32" s="78"/>
      <c r="H32" s="78"/>
      <c r="I32" s="78"/>
      <c r="J32" s="78"/>
      <c r="K32" s="102" t="s">
        <v>1486</v>
      </c>
      <c r="L32" s="77">
        <v>53</v>
      </c>
      <c r="M32" s="77">
        <v>58</v>
      </c>
      <c r="N32" s="77">
        <v>2</v>
      </c>
      <c r="O32" s="77"/>
      <c r="P32" s="77">
        <v>113</v>
      </c>
      <c r="Q32" s="78"/>
      <c r="R32" s="78"/>
      <c r="S32" s="78"/>
      <c r="T32" s="78"/>
      <c r="U32" s="78"/>
      <c r="V32" s="78"/>
      <c r="W32" s="78"/>
    </row>
    <row r="33" spans="1:23" x14ac:dyDescent="0.25">
      <c r="A33" s="56" t="s">
        <v>1186</v>
      </c>
      <c r="B33" s="77">
        <v>160</v>
      </c>
      <c r="C33" s="77">
        <v>143</v>
      </c>
      <c r="D33" s="77">
        <v>11</v>
      </c>
      <c r="E33" s="77"/>
      <c r="F33" s="77">
        <v>314</v>
      </c>
      <c r="G33" s="78"/>
      <c r="H33" s="78"/>
      <c r="I33" s="78"/>
      <c r="J33" s="78"/>
      <c r="K33" s="56" t="s">
        <v>1485</v>
      </c>
      <c r="L33" s="77"/>
      <c r="M33" s="77"/>
      <c r="N33" s="77"/>
      <c r="O33" s="77"/>
      <c r="P33" s="77"/>
      <c r="Q33" s="78"/>
      <c r="R33" s="78"/>
      <c r="S33" s="78"/>
      <c r="T33" s="78"/>
      <c r="U33" s="78"/>
      <c r="V33" s="78"/>
      <c r="W33" s="78"/>
    </row>
    <row r="34" spans="1:23" x14ac:dyDescent="0.25">
      <c r="A34" s="56" t="s">
        <v>134</v>
      </c>
      <c r="B34" s="77">
        <v>248</v>
      </c>
      <c r="C34" s="77">
        <v>278</v>
      </c>
      <c r="D34" s="77">
        <v>8</v>
      </c>
      <c r="E34" s="77">
        <v>2</v>
      </c>
      <c r="F34" s="77">
        <v>536</v>
      </c>
      <c r="G34" s="78"/>
      <c r="H34" s="78"/>
      <c r="I34" s="78"/>
      <c r="J34" s="78"/>
      <c r="K34" s="102" t="s">
        <v>1487</v>
      </c>
      <c r="L34" s="77">
        <v>168</v>
      </c>
      <c r="M34" s="77">
        <v>148</v>
      </c>
      <c r="N34" s="77">
        <v>7</v>
      </c>
      <c r="O34" s="77"/>
      <c r="P34" s="77">
        <v>323</v>
      </c>
      <c r="Q34" s="78"/>
      <c r="R34" s="78"/>
      <c r="S34" s="78"/>
      <c r="T34" s="78"/>
      <c r="U34" s="78"/>
      <c r="V34" s="78"/>
      <c r="W34" s="78"/>
    </row>
    <row r="35" spans="1:23" x14ac:dyDescent="0.25">
      <c r="A35" s="56" t="s">
        <v>419</v>
      </c>
      <c r="B35" s="77">
        <v>271</v>
      </c>
      <c r="C35" s="77">
        <v>282</v>
      </c>
      <c r="D35" s="77">
        <v>10</v>
      </c>
      <c r="E35" s="77">
        <v>4</v>
      </c>
      <c r="F35" s="77">
        <v>567</v>
      </c>
      <c r="G35" s="78"/>
      <c r="H35" s="78"/>
      <c r="I35" s="78"/>
      <c r="J35" s="78"/>
      <c r="K35" s="102" t="s">
        <v>1488</v>
      </c>
      <c r="L35" s="77">
        <v>129</v>
      </c>
      <c r="M35" s="77">
        <v>148</v>
      </c>
      <c r="N35" s="77">
        <v>5</v>
      </c>
      <c r="O35" s="77"/>
      <c r="P35" s="77">
        <v>282</v>
      </c>
      <c r="Q35" s="78"/>
      <c r="R35" s="78"/>
      <c r="S35" s="78"/>
      <c r="T35" s="78"/>
      <c r="U35" s="78"/>
      <c r="V35" s="78"/>
      <c r="W35" s="78"/>
    </row>
    <row r="36" spans="1:23" x14ac:dyDescent="0.25">
      <c r="A36" s="56" t="s">
        <v>1507</v>
      </c>
      <c r="B36" s="77">
        <v>25</v>
      </c>
      <c r="C36" s="77">
        <v>26</v>
      </c>
      <c r="D36" s="77"/>
      <c r="E36" s="77"/>
      <c r="F36" s="77">
        <v>51</v>
      </c>
      <c r="G36" s="78"/>
      <c r="H36" s="78"/>
      <c r="I36" s="78"/>
      <c r="J36" s="78"/>
      <c r="K36" s="102" t="s">
        <v>1489</v>
      </c>
      <c r="L36" s="77">
        <v>76</v>
      </c>
      <c r="M36" s="77">
        <v>72</v>
      </c>
      <c r="N36" s="77">
        <v>3</v>
      </c>
      <c r="O36" s="77"/>
      <c r="P36" s="77">
        <v>151</v>
      </c>
      <c r="Q36" s="78"/>
      <c r="R36" s="78"/>
      <c r="S36" s="78"/>
      <c r="T36" s="78"/>
      <c r="U36" s="78"/>
      <c r="V36" s="78"/>
      <c r="W36" s="78"/>
    </row>
    <row r="37" spans="1:23" x14ac:dyDescent="0.25">
      <c r="A37" s="56" t="s">
        <v>133</v>
      </c>
      <c r="B37" s="77">
        <v>79</v>
      </c>
      <c r="C37" s="77">
        <v>92</v>
      </c>
      <c r="D37" s="77">
        <v>6</v>
      </c>
      <c r="E37" s="77"/>
      <c r="F37" s="77">
        <v>177</v>
      </c>
      <c r="G37" s="78"/>
      <c r="H37" s="78"/>
      <c r="I37" s="78"/>
      <c r="J37" s="78"/>
      <c r="K37" s="102" t="s">
        <v>1490</v>
      </c>
      <c r="L37" s="77">
        <v>24</v>
      </c>
      <c r="M37" s="77">
        <v>27</v>
      </c>
      <c r="N37" s="77">
        <v>3</v>
      </c>
      <c r="O37" s="77"/>
      <c r="P37" s="77">
        <v>54</v>
      </c>
      <c r="Q37" s="78"/>
      <c r="R37" s="78"/>
      <c r="S37" s="78"/>
      <c r="T37" s="78"/>
      <c r="U37" s="78"/>
      <c r="V37" s="78"/>
      <c r="W37" s="78"/>
    </row>
    <row r="38" spans="1:23" x14ac:dyDescent="0.25">
      <c r="A38" s="56" t="s">
        <v>1210</v>
      </c>
      <c r="B38" s="77">
        <v>4</v>
      </c>
      <c r="C38" s="77">
        <v>5</v>
      </c>
      <c r="D38" s="77">
        <v>1</v>
      </c>
      <c r="E38" s="77">
        <v>2</v>
      </c>
      <c r="F38" s="77">
        <v>12</v>
      </c>
      <c r="G38" s="78"/>
      <c r="H38" s="78"/>
      <c r="I38" s="78"/>
      <c r="J38" s="78"/>
      <c r="K38" s="102" t="s">
        <v>1491</v>
      </c>
      <c r="L38" s="77">
        <v>72</v>
      </c>
      <c r="M38" s="77">
        <v>68</v>
      </c>
      <c r="N38" s="77">
        <v>6</v>
      </c>
      <c r="O38" s="77"/>
      <c r="P38" s="77">
        <v>146</v>
      </c>
      <c r="Q38" s="78"/>
      <c r="R38" s="78"/>
      <c r="S38" s="78"/>
      <c r="T38" s="78"/>
      <c r="U38" s="78"/>
      <c r="V38" s="78"/>
      <c r="W38" s="78"/>
    </row>
    <row r="39" spans="1:23" x14ac:dyDescent="0.25">
      <c r="A39" s="56" t="s">
        <v>1400</v>
      </c>
      <c r="B39" s="77"/>
      <c r="C39" s="77">
        <v>1</v>
      </c>
      <c r="D39" s="77"/>
      <c r="E39" s="77"/>
      <c r="F39" s="77">
        <v>1</v>
      </c>
      <c r="G39" s="78"/>
      <c r="H39" s="78"/>
      <c r="I39" s="78"/>
      <c r="J39" s="78"/>
      <c r="K39" s="102" t="s">
        <v>1492</v>
      </c>
      <c r="L39" s="77">
        <v>5</v>
      </c>
      <c r="M39" s="77">
        <v>6</v>
      </c>
      <c r="N39" s="77"/>
      <c r="O39" s="77"/>
      <c r="P39" s="77">
        <v>11</v>
      </c>
      <c r="Q39" s="78"/>
      <c r="R39" s="78"/>
      <c r="S39" s="78"/>
      <c r="T39" s="78"/>
      <c r="U39" s="78"/>
      <c r="V39" s="78"/>
      <c r="W39" s="78"/>
    </row>
    <row r="40" spans="1:23" x14ac:dyDescent="0.25">
      <c r="A40" s="56" t="s">
        <v>1483</v>
      </c>
      <c r="B40" s="77">
        <v>789</v>
      </c>
      <c r="C40" s="77">
        <v>830</v>
      </c>
      <c r="D40" s="77">
        <v>36</v>
      </c>
      <c r="E40" s="77">
        <v>8</v>
      </c>
      <c r="F40" s="77">
        <v>1663</v>
      </c>
      <c r="G40" s="78"/>
      <c r="H40" s="78"/>
      <c r="I40" s="78"/>
      <c r="J40" s="78"/>
      <c r="K40" s="102" t="s">
        <v>1493</v>
      </c>
      <c r="L40" s="77">
        <v>5</v>
      </c>
      <c r="M40" s="77">
        <v>7</v>
      </c>
      <c r="N40" s="77"/>
      <c r="O40" s="77"/>
      <c r="P40" s="77">
        <v>12</v>
      </c>
      <c r="Q40" s="78"/>
      <c r="R40" s="78"/>
      <c r="S40" s="78"/>
      <c r="T40" s="78"/>
      <c r="U40" s="78"/>
      <c r="V40" s="78"/>
      <c r="W40" s="78"/>
    </row>
    <row r="41" spans="1:23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02" t="s">
        <v>1494</v>
      </c>
      <c r="L41" s="77">
        <v>59</v>
      </c>
      <c r="M41" s="77">
        <v>42</v>
      </c>
      <c r="N41" s="77">
        <v>2</v>
      </c>
      <c r="O41" s="77"/>
      <c r="P41" s="77">
        <v>103</v>
      </c>
      <c r="Q41" s="78"/>
      <c r="R41" s="78"/>
      <c r="S41" s="78"/>
      <c r="T41" s="78"/>
      <c r="U41" s="78"/>
      <c r="V41" s="78"/>
      <c r="W41" s="78"/>
    </row>
    <row r="42" spans="1:23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02" t="s">
        <v>1559</v>
      </c>
      <c r="L42" s="77">
        <v>22</v>
      </c>
      <c r="M42" s="77">
        <v>27</v>
      </c>
      <c r="N42" s="77">
        <v>1</v>
      </c>
      <c r="O42" s="77"/>
      <c r="P42" s="77">
        <v>50</v>
      </c>
      <c r="Q42" s="78"/>
      <c r="R42" s="78"/>
      <c r="S42" s="78"/>
      <c r="T42" s="78"/>
      <c r="U42" s="78"/>
      <c r="V42" s="78"/>
      <c r="W42" s="78"/>
    </row>
    <row r="43" spans="1:23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02" t="s">
        <v>1583</v>
      </c>
      <c r="L43" s="77">
        <v>26</v>
      </c>
      <c r="M43" s="77">
        <v>18</v>
      </c>
      <c r="N43" s="77">
        <v>2</v>
      </c>
      <c r="O43" s="77"/>
      <c r="P43" s="77">
        <v>46</v>
      </c>
      <c r="Q43" s="78"/>
      <c r="R43" s="78"/>
      <c r="S43" s="78"/>
      <c r="T43" s="78"/>
      <c r="U43" s="78"/>
      <c r="V43" s="78"/>
      <c r="W43" s="78"/>
    </row>
    <row r="44" spans="1:23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102" t="s">
        <v>1681</v>
      </c>
      <c r="L44" s="77">
        <v>31</v>
      </c>
      <c r="M44" s="77">
        <v>57</v>
      </c>
      <c r="N44" s="77">
        <v>2</v>
      </c>
      <c r="O44" s="77"/>
      <c r="P44" s="77">
        <v>90</v>
      </c>
      <c r="Q44" s="78"/>
      <c r="R44" s="78"/>
      <c r="S44" s="78"/>
      <c r="T44" s="78"/>
      <c r="U44" s="78"/>
      <c r="V44" s="78"/>
      <c r="W44" s="78"/>
    </row>
    <row r="45" spans="1:23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02" t="s">
        <v>1486</v>
      </c>
      <c r="L45" s="77">
        <v>50</v>
      </c>
      <c r="M45" s="77">
        <v>62</v>
      </c>
      <c r="N45" s="77">
        <v>1</v>
      </c>
      <c r="O45" s="77"/>
      <c r="P45" s="77">
        <v>113</v>
      </c>
      <c r="Q45" s="78"/>
      <c r="R45" s="78"/>
      <c r="S45" s="78"/>
      <c r="T45" s="78"/>
      <c r="U45" s="78"/>
      <c r="V45" s="78"/>
      <c r="W45" s="78"/>
    </row>
    <row r="46" spans="1:23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56" t="s">
        <v>2092</v>
      </c>
      <c r="L46" s="77"/>
      <c r="M46" s="77"/>
      <c r="N46" s="77"/>
      <c r="O46" s="77"/>
      <c r="P46" s="77"/>
      <c r="Q46" s="78"/>
      <c r="R46" s="78"/>
      <c r="S46" s="78"/>
      <c r="T46" s="78"/>
      <c r="U46" s="78"/>
      <c r="V46" s="78"/>
      <c r="W46" s="78"/>
    </row>
    <row r="47" spans="1:23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02" t="s">
        <v>1487</v>
      </c>
      <c r="L47" s="77">
        <v>69</v>
      </c>
      <c r="M47" s="77">
        <v>90</v>
      </c>
      <c r="N47" s="77">
        <v>2</v>
      </c>
      <c r="O47" s="77">
        <v>8</v>
      </c>
      <c r="P47" s="77">
        <v>169</v>
      </c>
      <c r="Q47" s="78"/>
      <c r="R47" s="78"/>
      <c r="S47" s="78"/>
      <c r="T47" s="78"/>
      <c r="U47" s="78"/>
      <c r="V47" s="78"/>
      <c r="W47" s="78"/>
    </row>
    <row r="48" spans="1:23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56" t="s">
        <v>1483</v>
      </c>
      <c r="L48" s="77">
        <v>789</v>
      </c>
      <c r="M48" s="77">
        <v>830</v>
      </c>
      <c r="N48" s="77">
        <v>36</v>
      </c>
      <c r="O48" s="77">
        <v>8</v>
      </c>
      <c r="P48" s="77">
        <v>1663</v>
      </c>
      <c r="Q48" s="78"/>
      <c r="R48" s="78"/>
      <c r="S48" s="78"/>
      <c r="T48" s="78"/>
      <c r="U48" s="78"/>
      <c r="V48" s="78"/>
      <c r="W48" s="78"/>
    </row>
    <row r="49" spans="1:23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</row>
    <row r="50" spans="1:23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</row>
    <row r="51" spans="1:23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</row>
    <row r="52" spans="1:23" x14ac:dyDescent="0.25">
      <c r="A52" s="114" t="s">
        <v>1647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78"/>
    </row>
    <row r="53" spans="1:23" x14ac:dyDescent="0.25">
      <c r="A53" s="76" t="s">
        <v>1495</v>
      </c>
      <c r="B53" t="s">
        <v>1641</v>
      </c>
      <c r="C53" t="s">
        <v>1644</v>
      </c>
      <c r="D53" t="s">
        <v>2227</v>
      </c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</row>
    <row r="54" spans="1:23" x14ac:dyDescent="0.25">
      <c r="A54" s="56" t="s">
        <v>1484</v>
      </c>
      <c r="B54" s="42">
        <v>995</v>
      </c>
      <c r="C54" s="42">
        <v>-77.566252587991698</v>
      </c>
      <c r="D54" s="77">
        <v>-77.566252587991698</v>
      </c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</row>
    <row r="55" spans="1:23" x14ac:dyDescent="0.25">
      <c r="A55" s="95" t="s">
        <v>1486</v>
      </c>
      <c r="B55" s="42">
        <v>995</v>
      </c>
      <c r="C55" s="42">
        <v>-77.566252587991698</v>
      </c>
      <c r="D55" s="77">
        <v>-77.566252587991698</v>
      </c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 spans="1:23" x14ac:dyDescent="0.25">
      <c r="A56" s="56" t="s">
        <v>1485</v>
      </c>
      <c r="B56" s="42">
        <v>11915.654115668545</v>
      </c>
      <c r="C56" s="42">
        <v>-530.6382356945785</v>
      </c>
      <c r="D56" s="77">
        <v>-608.2044882825702</v>
      </c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 spans="1:23" x14ac:dyDescent="0.25">
      <c r="A57" s="95" t="s">
        <v>1487</v>
      </c>
      <c r="B57" s="42">
        <v>1567.48</v>
      </c>
      <c r="C57" s="42">
        <v>39.911665893984001</v>
      </c>
      <c r="D57" s="77">
        <v>39.911665893984001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</row>
    <row r="58" spans="1:23" x14ac:dyDescent="0.25">
      <c r="A58" s="95" t="s">
        <v>1488</v>
      </c>
      <c r="B58" s="42">
        <v>818.59999999999991</v>
      </c>
      <c r="C58" s="42">
        <v>-109.28772567836677</v>
      </c>
      <c r="D58" s="77">
        <v>-109.28772567836677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</row>
    <row r="59" spans="1:23" x14ac:dyDescent="0.25">
      <c r="A59" s="95" t="s">
        <v>1489</v>
      </c>
      <c r="B59" s="42">
        <v>826.27</v>
      </c>
      <c r="C59" s="42">
        <v>42.465375866661859</v>
      </c>
      <c r="D59" s="77">
        <v>42.465375866661859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</row>
    <row r="60" spans="1:23" x14ac:dyDescent="0.25">
      <c r="A60" s="95" t="s">
        <v>1490</v>
      </c>
      <c r="B60" s="42">
        <v>375.34000000000003</v>
      </c>
      <c r="C60" s="42">
        <v>-15.168232072573652</v>
      </c>
      <c r="D60" s="77">
        <v>-15.168232072573652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</row>
    <row r="61" spans="1:23" x14ac:dyDescent="0.25">
      <c r="A61" s="95" t="s">
        <v>1491</v>
      </c>
      <c r="B61" s="42">
        <v>177.44</v>
      </c>
      <c r="C61" s="42">
        <v>-12.779895635867481</v>
      </c>
      <c r="D61" s="77">
        <v>-12.779895635867481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</row>
    <row r="62" spans="1:23" x14ac:dyDescent="0.25">
      <c r="A62" s="95" t="s">
        <v>1492</v>
      </c>
      <c r="B62" s="42">
        <v>19.36</v>
      </c>
      <c r="C62" s="42">
        <v>-4.5664052287581702</v>
      </c>
      <c r="D62" s="77">
        <v>-4.5664052287581702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</row>
    <row r="63" spans="1:23" x14ac:dyDescent="0.25">
      <c r="A63" s="95" t="s">
        <v>1493</v>
      </c>
      <c r="B63" s="42">
        <v>203.90999999999997</v>
      </c>
      <c r="C63" s="42">
        <v>-49.810867358857877</v>
      </c>
      <c r="D63" s="77">
        <v>-49.810867358857877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</row>
    <row r="64" spans="1:23" x14ac:dyDescent="0.25">
      <c r="A64" s="95" t="s">
        <v>1494</v>
      </c>
      <c r="B64" s="42">
        <v>2060.0200000000004</v>
      </c>
      <c r="C64" s="42">
        <v>20.8274279625365</v>
      </c>
      <c r="D64" s="77">
        <v>20.8274279625365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</row>
    <row r="65" spans="1:23" x14ac:dyDescent="0.25">
      <c r="A65" s="95" t="s">
        <v>1559</v>
      </c>
      <c r="B65" s="42">
        <v>1059.2400000000002</v>
      </c>
      <c r="C65" s="42">
        <v>-12.086678458015903</v>
      </c>
      <c r="D65" s="77">
        <v>-12.086678458015903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</row>
    <row r="66" spans="1:23" x14ac:dyDescent="0.25">
      <c r="A66" s="95" t="s">
        <v>1583</v>
      </c>
      <c r="B66" s="42">
        <v>915.33999999999992</v>
      </c>
      <c r="C66" s="42">
        <v>357.59868620366922</v>
      </c>
      <c r="D66" s="77">
        <v>357.59868620366922</v>
      </c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</row>
    <row r="67" spans="1:23" x14ac:dyDescent="0.25">
      <c r="A67" s="95" t="s">
        <v>1681</v>
      </c>
      <c r="B67" s="42">
        <v>1868.6941156685459</v>
      </c>
      <c r="C67" s="42">
        <v>-629.04317888468358</v>
      </c>
      <c r="D67" s="77">
        <v>-629.04317888468358</v>
      </c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</row>
    <row r="68" spans="1:23" x14ac:dyDescent="0.25">
      <c r="A68" s="95" t="s">
        <v>1486</v>
      </c>
      <c r="B68" s="42">
        <v>2023.96</v>
      </c>
      <c r="C68" s="42">
        <v>-158.6984083043067</v>
      </c>
      <c r="D68" s="77">
        <v>-236.26466089229839</v>
      </c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</row>
    <row r="69" spans="1:23" x14ac:dyDescent="0.25">
      <c r="A69" s="56" t="s">
        <v>2092</v>
      </c>
      <c r="B69" s="42">
        <v>1919.36</v>
      </c>
      <c r="C69" s="42">
        <v>-364.86476723288371</v>
      </c>
      <c r="D69" s="77">
        <v>-973.06925551545396</v>
      </c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</row>
    <row r="70" spans="1:23" x14ac:dyDescent="0.25">
      <c r="A70" s="95" t="s">
        <v>1487</v>
      </c>
      <c r="B70" s="42">
        <v>1919.36</v>
      </c>
      <c r="C70" s="42">
        <v>-364.86476723288371</v>
      </c>
      <c r="D70" s="77">
        <v>-324.95310133889973</v>
      </c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</row>
    <row r="71" spans="1:23" x14ac:dyDescent="0.25">
      <c r="A71" s="56" t="s">
        <v>1483</v>
      </c>
      <c r="B71" s="42">
        <v>14830.014115668546</v>
      </c>
      <c r="C71" s="42">
        <v>-973.06925551545396</v>
      </c>
      <c r="D71" s="77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</row>
    <row r="72" spans="1:23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</row>
    <row r="73" spans="1:23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</row>
    <row r="74" spans="1:23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</row>
    <row r="75" spans="1:23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</row>
    <row r="76" spans="1:23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</row>
    <row r="77" spans="1:23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</row>
    <row r="78" spans="1:23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</row>
    <row r="79" spans="1:23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</row>
    <row r="80" spans="1:23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</row>
    <row r="81" spans="1:23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</row>
    <row r="82" spans="1:23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</row>
    <row r="83" spans="1:23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</row>
    <row r="84" spans="1:23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</row>
    <row r="85" spans="1:23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</row>
    <row r="86" spans="1:23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</row>
    <row r="87" spans="1:23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</row>
    <row r="88" spans="1:23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</row>
    <row r="89" spans="1:23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</row>
    <row r="90" spans="1:23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</row>
    <row r="91" spans="1:23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</row>
  </sheetData>
  <mergeCells count="2">
    <mergeCell ref="A2:U2"/>
    <mergeCell ref="A52:V52"/>
  </mergeCell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45"/>
  <sheetViews>
    <sheetView tabSelected="1" topLeftCell="A13" zoomScaleNormal="100" workbookViewId="0">
      <selection activeCell="U26" sqref="U26:U28"/>
    </sheetView>
  </sheetViews>
  <sheetFormatPr defaultRowHeight="15" x14ac:dyDescent="0.25"/>
  <cols>
    <col min="1" max="1" width="1.28515625" style="35" customWidth="1"/>
    <col min="2" max="2" width="9.7109375" bestFit="1" customWidth="1"/>
    <col min="3" max="3" width="12.7109375" bestFit="1" customWidth="1"/>
    <col min="4" max="4" width="27.85546875" style="56" customWidth="1"/>
    <col min="5" max="5" width="27" bestFit="1" customWidth="1"/>
    <col min="6" max="6" width="9.7109375" bestFit="1" customWidth="1"/>
    <col min="7" max="7" width="11.140625" bestFit="1" customWidth="1"/>
    <col min="9" max="9" width="10.5703125" customWidth="1"/>
    <col min="10" max="10" width="15.5703125" style="26" bestFit="1" customWidth="1"/>
    <col min="11" max="12" width="10.7109375" style="26" bestFit="1" customWidth="1"/>
    <col min="13" max="13" width="7.140625" style="40" customWidth="1"/>
    <col min="14" max="15" width="8.28515625" bestFit="1" customWidth="1"/>
    <col min="17" max="17" width="9.140625" style="2"/>
    <col min="18" max="18" width="3" customWidth="1"/>
    <col min="19" max="19" width="12" bestFit="1" customWidth="1"/>
    <col min="20" max="20" width="15.7109375" customWidth="1"/>
    <col min="21" max="21" width="17.7109375" customWidth="1"/>
    <col min="22" max="22" width="12.7109375" bestFit="1" customWidth="1"/>
    <col min="26" max="26" width="11" bestFit="1" customWidth="1"/>
  </cols>
  <sheetData>
    <row r="1" spans="1:27" x14ac:dyDescent="0.25">
      <c r="S1" t="s">
        <v>1178</v>
      </c>
      <c r="T1" t="s">
        <v>2228</v>
      </c>
    </row>
    <row r="2" spans="1:27" ht="3.75" customHeight="1" x14ac:dyDescent="0.25"/>
    <row r="3" spans="1:27" x14ac:dyDescent="0.25">
      <c r="B3" s="26" t="s">
        <v>0</v>
      </c>
      <c r="C3" s="40" t="s">
        <v>1178</v>
      </c>
      <c r="D3" s="40" t="s">
        <v>3</v>
      </c>
      <c r="E3" s="26" t="s">
        <v>1</v>
      </c>
      <c r="F3" s="26" t="s">
        <v>2</v>
      </c>
      <c r="G3" s="26" t="s">
        <v>105</v>
      </c>
      <c r="H3" s="26" t="s">
        <v>5</v>
      </c>
      <c r="I3" s="26" t="s">
        <v>1643</v>
      </c>
      <c r="J3" s="40" t="s">
        <v>461</v>
      </c>
      <c r="K3"/>
      <c r="L3" s="39" t="s">
        <v>0</v>
      </c>
      <c r="M3" s="115" t="s">
        <v>132</v>
      </c>
      <c r="N3" s="115"/>
      <c r="O3" s="115" t="s">
        <v>937</v>
      </c>
      <c r="P3" s="116"/>
      <c r="Q3" s="2" t="s">
        <v>1222</v>
      </c>
      <c r="T3" s="30" t="s">
        <v>938</v>
      </c>
      <c r="U3" s="30" t="s">
        <v>132</v>
      </c>
      <c r="V3" s="115" t="s">
        <v>937</v>
      </c>
      <c r="W3" s="116"/>
      <c r="Y3" t="s">
        <v>348</v>
      </c>
      <c r="Z3" t="s">
        <v>132</v>
      </c>
      <c r="AA3" t="s">
        <v>688</v>
      </c>
    </row>
    <row r="4" spans="1:27" x14ac:dyDescent="0.25">
      <c r="A4" s="35">
        <f t="shared" ref="A4:A67" si="0">IF(B4=B3,A3,A3+1)</f>
        <v>1</v>
      </c>
      <c r="B4" s="5">
        <v>43436</v>
      </c>
      <c r="C4" s="5" t="s">
        <v>133</v>
      </c>
      <c r="D4" s="57" t="s">
        <v>9</v>
      </c>
      <c r="E4" s="7" t="s">
        <v>10</v>
      </c>
      <c r="F4" s="33">
        <v>10</v>
      </c>
      <c r="G4" s="67">
        <v>-115</v>
      </c>
      <c r="H4" s="9" t="s">
        <v>6</v>
      </c>
      <c r="I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"/>
      <c r="L4" s="36">
        <f t="shared" ref="L4:L35" si="1">IFERROR(VLOOKUP(ROW()-3,A:B,2,0),0)</f>
        <v>43436</v>
      </c>
      <c r="M4" s="51" t="str">
        <f>COUNTIFS(Bets[Date],L4,Bets[Result],"W")&amp;"-"&amp;COUNTIFS(Bets[Date],L4,Bets[Result],"L")&amp;IF(COUNTIFS(Bets[Date],L4,Bets[Result],"Push")&gt;0,"-"&amp;COUNTIFS(Bets[Date],L4,Bets[Result],"Push"),"")</f>
        <v>9-7</v>
      </c>
      <c r="N4" s="52">
        <f>IFERROR(COUNTIFS(Bets[Date],L4,Bets[Result],"W")/(COUNTIFS(Bets[Date],L4,Bets[Result],"W")+COUNTIFS(Bets[Date],L4,Bets[Result],"L")),"")</f>
        <v>0.5625</v>
      </c>
      <c r="O4" s="38">
        <f>SUMIF(Bets[Date],L4,Bets[Profit])</f>
        <v>11.460568417090162</v>
      </c>
      <c r="P4" s="37" t="str">
        <f>IFERROR("("&amp;ROUND(SUMIF(Bets[Date],L4,Bets[Profit])/SUMIF(Bets[Date],L4,Bets[Risk]),2)*100&amp;"%)","")</f>
        <v>(7%)</v>
      </c>
      <c r="Q4" s="65">
        <f>O4</f>
        <v>11.460568417090162</v>
      </c>
      <c r="S4" s="2" t="s">
        <v>458</v>
      </c>
      <c r="T4" s="47" t="s">
        <v>43</v>
      </c>
      <c r="U4" s="30" t="str">
        <f>IFERROR(IF($T$1="All",COUNTIFS(Bets[Bet Type],S4,Bets[Result],"W")&amp;"-"&amp;COUNTIFS(Bets[Bet Type],S4,Bets[Result],"L")&amp;IF(COUNTIFS(Bets[Bet Type],S4,Bets[Result],"Push")&gt;0,"-"&amp;COUNTIFS(Bets[Bet Type],S4,Bets[Result],"Push"),"")&amp;" ("&amp;ROUND(COUNTIFS(Bets[Bet Type],S4,Bets[Result],"W")/(COUNTIFS(Bets[Bet Type],S4,Bets[Result],"W")+COUNTIFS(Bets[Bet Type],S4,Bets[Result],"L"))*100,1)&amp;"%)",COUNTIFS(Bets[Sport],$T$1,Bets[Bet Type],S4,Bets[Result],"W")&amp;"-"&amp;COUNTIFS(Bets[Sport],$T$1,Bets[Bet Type],S4,Bets[Result],"L")&amp;IF(COUNTIFS(Bets[Sport],$T$1,Bets[Bet Type],S4,Bets[Result],"Push")&gt;0,"-"&amp;COUNTIFS(Bets[Sport],$T$1,Bets[Bet Type],S4,Bets[Result],"Push"),"")&amp;" ("&amp;ROUND(COUNTIFS(Bets[Sport],$T$1,Bets[Bet Type],S4,Bets[Result],"W")/(COUNTIFS(Bets[Sport],$T$1,Bets[Bet Type],S4,Bets[Result],"W")+COUNTIFS(Bets[Sport],$T$1,Bets[Bet Type],S4,Bets[Result],"L"))*100,1)&amp;"%)"),"No Bets")</f>
        <v>182-157-9 (53.7%)</v>
      </c>
      <c r="V4" s="48">
        <f>IF($T$1="All",SUMIF(Bets[Bet Type],S4,Bets[Profit]),SUMIFS(Bets[Profit],Bets[Bet Type],S4,Bets[Sport],$T$1))</f>
        <v>97.03875738767708</v>
      </c>
      <c r="W4" s="49" t="str">
        <f>IF($T$1="All",IFERROR("("&amp;ROUND((SUMIF(Bets[Bet Type],S4,Bets[Profit]))/SUMIF(Bets[Bet Type],S4,Bets[Risk]),2)*100&amp;"%)",""),IFERROR("("&amp;ROUND((SUMIFS(Bets[Profit],Bets[Bet Type],S4,Bets[Sport],$T$1))/SUMIFS(Bets[Risk],Bets[Bet Type],S4,Bets[Sport],$T$1),2)*100&amp;"%)",""))</f>
        <v>(4%)</v>
      </c>
      <c r="Y4" t="s">
        <v>133</v>
      </c>
      <c r="Z4" t="str">
        <f>COUNTIFS(Bets[Sport],Y4,Bets[Result],"W")&amp;"-"&amp;COUNTIFS(Bets[Sport],Y4,Bets[Result],"L")&amp;IF(COUNTIFS(Bets[Sport],Y4,Bets[Result],"Push")&gt;0,"-"&amp;COUNTIFS(Bets[Sport],Y4,Bets[Result],"Push"),"")</f>
        <v>79-92-6</v>
      </c>
      <c r="AA4" s="45">
        <f>COUNTIFS(Bets[Sport],Y4,Bets[Result],"W")/(COUNTIFS(Bets[Sport],Y4,Bets[Result],"L")+COUNTIFS(Bets[Sport],Y4,Bets[Result],"W"))</f>
        <v>0.46198830409356723</v>
      </c>
    </row>
    <row r="5" spans="1:27" x14ac:dyDescent="0.25">
      <c r="A5" s="35">
        <f t="shared" si="0"/>
        <v>1</v>
      </c>
      <c r="B5" s="5">
        <v>43436</v>
      </c>
      <c r="C5" s="5" t="s">
        <v>133</v>
      </c>
      <c r="D5" s="57" t="s">
        <v>11</v>
      </c>
      <c r="E5" s="7" t="s">
        <v>22</v>
      </c>
      <c r="F5" s="33">
        <v>10</v>
      </c>
      <c r="G5" s="67">
        <v>-115</v>
      </c>
      <c r="H5" s="9" t="s">
        <v>6</v>
      </c>
      <c r="I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"/>
      <c r="L5" s="36">
        <f t="shared" si="1"/>
        <v>43437</v>
      </c>
      <c r="M5" s="51" t="str">
        <f>COUNTIFS(Bets[Date],L5,Bets[Result],"W")&amp;"-"&amp;COUNTIFS(Bets[Date],L5,Bets[Result],"L")&amp;IF(COUNTIFS(Bets[Date],L5,Bets[Result],"Push")&gt;0,"-"&amp;COUNTIFS(Bets[Date],L5,Bets[Result],"Push"),"")</f>
        <v>1-0</v>
      </c>
      <c r="N5" s="52">
        <f>IFERROR(COUNTIFS(Bets[Date],L5,Bets[Result],"W")/(COUNTIFS(Bets[Date],L5,Bets[Result],"W")+COUNTIFS(Bets[Date],L5,Bets[Result],"L")),"")</f>
        <v>1</v>
      </c>
      <c r="O5" s="38">
        <f>SUMIF(Bets[Date],L5,Bets[Profit])</f>
        <v>8.695652173913043</v>
      </c>
      <c r="P5" s="37" t="str">
        <f>IFERROR("("&amp;ROUND(SUMIF(Bets[Date],L5,Bets[Profit])/SUMIF(Bets[Date],L5,Bets[Risk]),2)*100&amp;"%)","")</f>
        <v>(87%)</v>
      </c>
      <c r="Q5" s="65">
        <f>IF(ISNUMBER(CODE(L4)),Q4+O5,"")</f>
        <v>20.156220591003205</v>
      </c>
      <c r="S5" s="2" t="s">
        <v>460</v>
      </c>
      <c r="T5" s="47" t="s">
        <v>44</v>
      </c>
      <c r="U5" s="30" t="str">
        <f>IFERROR(IF($T$1="All",COUNTIFS(Bets[Bet Type],S5,Bets[Result],"W")&amp;"-"&amp;COUNTIFS(Bets[Bet Type],S5,Bets[Result],"L")&amp;IF(COUNTIFS(Bets[Bet Type],S5,Bets[Result],"Push")&gt;0,"-"&amp;COUNTIFS(Bets[Bet Type],S5,Bets[Result],"Push"),"")&amp;" ("&amp;ROUND(COUNTIFS(Bets[Bet Type],S5,Bets[Result],"W")/(COUNTIFS(Bets[Bet Type],S5,Bets[Result],"W")+COUNTIFS(Bets[Bet Type],S5,Bets[Result],"L"))*100,1)&amp;"%)",COUNTIFS(Bets[Sport],$T$1,Bets[Bet Type],S5,Bets[Result],"W")&amp;"-"&amp;COUNTIFS(Bets[Sport],$T$1,Bets[Bet Type],S5,Bets[Result],"L")&amp;IF(COUNTIFS(Bets[Sport],$T$1,Bets[Bet Type],S5,Bets[Result],"Push")&gt;0,"-"&amp;COUNTIFS(Bets[Sport],$T$1,Bets[Bet Type],S5,Bets[Result],"Push"),"")&amp;" ("&amp;ROUND(COUNTIFS(Bets[Sport],$T$1,Bets[Bet Type],S5,Bets[Result],"W")/(COUNTIFS(Bets[Sport],$T$1,Bets[Bet Type],S5,Bets[Result],"W")+COUNTIFS(Bets[Sport],$T$1,Bets[Bet Type],S5,Bets[Result],"L"))*100,1)&amp;"%)"),"No Bets")</f>
        <v>141-171-8 (45.2%)</v>
      </c>
      <c r="V5" s="48">
        <f>IF($T$1="All",SUMIF(Bets[Bet Type],S5,Bets[Profit]),SUMIFS(Bets[Profit],Bets[Bet Type],S5,Bets[Sport],$T$1))</f>
        <v>-419.36887051383133</v>
      </c>
      <c r="W5" s="49" t="str">
        <f>IF($T$1="All",IFERROR("("&amp;ROUND((SUMIF(Bets[Bet Type],S5,Bets[Profit]))/SUMIF(Bets[Bet Type],S5,Bets[Risk]),2)*100&amp;"%)",""),IFERROR("("&amp;ROUND((SUMIFS(Bets[Profit],Bets[Bet Type],S5,Bets[Sport],$T$1))/SUMIFS(Bets[Risk],Bets[Bet Type],S5,Bets[Sport],$T$1),2)*100&amp;"%)",""))</f>
        <v>(-16%)</v>
      </c>
      <c r="Y5" t="s">
        <v>134</v>
      </c>
      <c r="Z5" t="str">
        <f>COUNTIFS(Bets[Sport],Y5,Bets[Result],"W")&amp;"-"&amp;COUNTIFS(Bets[Sport],Y5,Bets[Result],"L")&amp;IF(COUNTIFS(Bets[Sport],Y5,Bets[Result],"Push")&gt;0,"-"&amp;COUNTIFS(Bets[Sport],Y5,Bets[Result],"Push"),"")</f>
        <v>248-278-8</v>
      </c>
      <c r="AA5" s="45">
        <f>COUNTIFS(Bets[Sport],Y5,Bets[Result],"W")/(COUNTIFS(Bets[Sport],Y5,Bets[Result],"L")+COUNTIFS(Bets[Sport],Y5,Bets[Result],"W"))</f>
        <v>0.47148288973384028</v>
      </c>
    </row>
    <row r="6" spans="1:27" x14ac:dyDescent="0.25">
      <c r="A6" s="35">
        <f t="shared" si="0"/>
        <v>1</v>
      </c>
      <c r="B6" s="5">
        <v>43436</v>
      </c>
      <c r="C6" s="5" t="s">
        <v>133</v>
      </c>
      <c r="D6" s="57" t="s">
        <v>12</v>
      </c>
      <c r="E6" s="7" t="s">
        <v>23</v>
      </c>
      <c r="F6" s="33">
        <v>10</v>
      </c>
      <c r="G6" s="67">
        <v>-110</v>
      </c>
      <c r="H6" s="9" t="s">
        <v>36</v>
      </c>
      <c r="I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"/>
      <c r="L6" s="36">
        <f t="shared" si="1"/>
        <v>43440</v>
      </c>
      <c r="M6" s="51" t="str">
        <f>COUNTIFS(Bets[Date],L6,Bets[Result],"W")&amp;"-"&amp;COUNTIFS(Bets[Date],L6,Bets[Result],"L")&amp;IF(COUNTIFS(Bets[Date],L6,Bets[Result],"Push")&gt;0,"-"&amp;COUNTIFS(Bets[Date],L6,Bets[Result],"Push"),"")</f>
        <v>0-1</v>
      </c>
      <c r="N6" s="52">
        <f>IFERROR(COUNTIFS(Bets[Date],L6,Bets[Result],"W")/(COUNTIFS(Bets[Date],L6,Bets[Result],"W")+COUNTIFS(Bets[Date],L6,Bets[Result],"L")),"")</f>
        <v>0</v>
      </c>
      <c r="O6" s="38">
        <f>SUMIF(Bets[Date],L6,Bets[Profit])</f>
        <v>-20</v>
      </c>
      <c r="P6" s="37" t="str">
        <f>IFERROR("("&amp;ROUND(SUMIF(Bets[Date],L6,Bets[Profit])/SUMIF(Bets[Date],L6,Bets[Risk]),2)*100&amp;"%)","")</f>
        <v>(-100%)</v>
      </c>
      <c r="Q6" s="65">
        <f t="shared" ref="Q6:Q69" si="2">IF(ISNUMBER(CODE(L5)),Q5+O6,"")</f>
        <v>0.15622059100320485</v>
      </c>
      <c r="S6" s="2" t="s">
        <v>459</v>
      </c>
      <c r="T6" s="47" t="s">
        <v>45</v>
      </c>
      <c r="U6" s="30" t="str">
        <f>IFERROR(IF($T$1="All",COUNTIFS(Bets[Bet Type],S6,Bets[Result],"W")&amp;"-"&amp;COUNTIFS(Bets[Bet Type],S6,Bets[Result],"L")&amp;IF(COUNTIFS(Bets[Bet Type],S6,Bets[Result],"Push")&gt;0,"-"&amp;COUNTIFS(Bets[Bet Type],S6,Bets[Result],"Push"),"")&amp;" ("&amp;ROUND(COUNTIFS(Bets[Bet Type],S6,Bets[Result],"W")/(COUNTIFS(Bets[Bet Type],S6,Bets[Result],"W")+COUNTIFS(Bets[Bet Type],S6,Bets[Result],"L"))*100,1)&amp;"%)",COUNTIFS(Bets[Sport],$T$1,Bets[Bet Type],S6,Bets[Result],"W")&amp;"-"&amp;COUNTIFS(Bets[Sport],$T$1,Bets[Bet Type],S6,Bets[Result],"L")&amp;IF(COUNTIFS(Bets[Sport],$T$1,Bets[Bet Type],S6,Bets[Result],"Push")&gt;0,"-"&amp;COUNTIFS(Bets[Sport],$T$1,Bets[Bet Type],S6,Bets[Result],"Push"),"")&amp;" ("&amp;ROUND(COUNTIFS(Bets[Sport],$T$1,Bets[Bet Type],S6,Bets[Result],"W")/(COUNTIFS(Bets[Sport],$T$1,Bets[Bet Type],S6,Bets[Result],"W")+COUNTIFS(Bets[Sport],$T$1,Bets[Bet Type],S6,Bets[Result],"L"))*100,1)&amp;"%)"),"No Bets")</f>
        <v>177-182-8 (49.3%)</v>
      </c>
      <c r="V6" s="48">
        <f>IF($T$1="All",SUMIF(Bets[Bet Type],S6,Bets[Profit]),SUMIFS(Bets[Profit],Bets[Bet Type],S6,Bets[Sport],$T$1))</f>
        <v>-374.58005144958986</v>
      </c>
      <c r="W6" s="49" t="str">
        <f>IF($T$1="All",IFERROR("("&amp;ROUND((SUMIF(Bets[Bet Type],S6,Bets[Profit]))/SUMIF(Bets[Bet Type],S6,Bets[Risk]),2)*100&amp;"%)",""),IFERROR("("&amp;ROUND((SUMIFS(Bets[Profit],Bets[Bet Type],S6,Bets[Sport],$T$1))/SUMIFS(Bets[Risk],Bets[Bet Type],S6,Bets[Sport],$T$1),2)*100&amp;"%)",""))</f>
        <v>(-11%)</v>
      </c>
      <c r="Y6" t="s">
        <v>419</v>
      </c>
      <c r="Z6" t="str">
        <f>COUNTIFS(Bets[Sport],Y6,Bets[Result],"W")&amp;"-"&amp;COUNTIFS(Bets[Sport],Y6,Bets[Result],"L")&amp;IF(COUNTIFS(Bets[Sport],Y6,Bets[Result],"Push")&gt;0,"-"&amp;COUNTIFS(Bets[Sport],Y6,Bets[Result],"Push"),"")</f>
        <v>271-282-10</v>
      </c>
      <c r="AA6" s="45">
        <f>COUNTIFS(Bets[Sport],Y6,Bets[Result],"W")/(COUNTIFS(Bets[Sport],Y6,Bets[Result],"L")+COUNTIFS(Bets[Sport],Y6,Bets[Result],"W"))</f>
        <v>0.49005424954792043</v>
      </c>
    </row>
    <row r="7" spans="1:27" x14ac:dyDescent="0.25">
      <c r="A7" s="35">
        <f t="shared" si="0"/>
        <v>1</v>
      </c>
      <c r="B7" s="5">
        <v>43436</v>
      </c>
      <c r="C7" s="5" t="s">
        <v>133</v>
      </c>
      <c r="D7" s="57" t="s">
        <v>13</v>
      </c>
      <c r="E7" s="7" t="s">
        <v>24</v>
      </c>
      <c r="F7" s="33">
        <v>10</v>
      </c>
      <c r="G7" s="67">
        <v>-110</v>
      </c>
      <c r="H7" s="9" t="s">
        <v>6</v>
      </c>
      <c r="I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"/>
      <c r="L7" s="36">
        <f t="shared" si="1"/>
        <v>43443</v>
      </c>
      <c r="M7" s="51" t="str">
        <f>COUNTIFS(Bets[Date],L7,Bets[Result],"W")&amp;"-"&amp;COUNTIFS(Bets[Date],L7,Bets[Result],"L")&amp;IF(COUNTIFS(Bets[Date],L7,Bets[Result],"Push")&gt;0,"-"&amp;COUNTIFS(Bets[Date],L7,Bets[Result],"Push"),"")</f>
        <v>4-6-1</v>
      </c>
      <c r="N7" s="52">
        <f>IFERROR(COUNTIFS(Bets[Date],L7,Bets[Result],"W")/(COUNTIFS(Bets[Date],L7,Bets[Result],"W")+COUNTIFS(Bets[Date],L7,Bets[Result],"L")),"")</f>
        <v>0.4</v>
      </c>
      <c r="O7" s="38">
        <f>SUMIF(Bets[Date],L7,Bets[Profit])</f>
        <v>-55.021645021645007</v>
      </c>
      <c r="P7" s="37" t="str">
        <f>IFERROR("("&amp;ROUND(SUMIF(Bets[Date],L7,Bets[Profit])/SUMIF(Bets[Date],L7,Bets[Risk]),2)*100&amp;"%)","")</f>
        <v>(-29%)</v>
      </c>
      <c r="Q7" s="65">
        <f t="shared" si="2"/>
        <v>-54.865424430641802</v>
      </c>
      <c r="S7" s="2" t="s">
        <v>434</v>
      </c>
      <c r="T7" s="47" t="s">
        <v>395</v>
      </c>
      <c r="U7" s="30" t="str">
        <f>IFERROR(IF($T$1="All",COUNTIFS(Bets[Bet Type],S7,Bets[Result],"W")&amp;"-"&amp;COUNTIFS(Bets[Bet Type],S7,Bets[Result],"L")&amp;IF(COUNTIFS(Bets[Bet Type],S7,Bets[Result],"Push")&gt;0,"-"&amp;COUNTIFS(Bets[Bet Type],S7,Bets[Result],"Push"),"")&amp;" ("&amp;ROUND(COUNTIFS(Bets[Bet Type],S7,Bets[Result],"W")/(COUNTIFS(Bets[Bet Type],S7,Bets[Result],"W")+COUNTIFS(Bets[Bet Type],S7,Bets[Result],"L"))*100,1)&amp;"%)",COUNTIFS(Bets[Sport],$T$1,Bets[Bet Type],S7,Bets[Result],"W")&amp;"-"&amp;COUNTIFS(Bets[Sport],$T$1,Bets[Bet Type],S7,Bets[Result],"L")&amp;IF(COUNTIFS(Bets[Sport],$T$1,Bets[Bet Type],S7,Bets[Result],"Push")&gt;0,"-"&amp;COUNTIFS(Bets[Sport],$T$1,Bets[Bet Type],S7,Bets[Result],"Push"),"")&amp;" ("&amp;ROUND(COUNTIFS(Bets[Sport],$T$1,Bets[Bet Type],S7,Bets[Result],"W")/(COUNTIFS(Bets[Sport],$T$1,Bets[Bet Type],S7,Bets[Result],"W")+COUNTIFS(Bets[Sport],$T$1,Bets[Bet Type],S7,Bets[Result],"L"))*100,1)&amp;"%)"),"No Bets")</f>
        <v>139-164-8 (45.9%)</v>
      </c>
      <c r="V7" s="48">
        <f>IF($T$1="All",SUMIF(Bets[Bet Type],S7,Bets[Profit]),SUMIFS(Bets[Profit],Bets[Bet Type],S7,Bets[Sport],$T$1))</f>
        <v>-410.43235104140086</v>
      </c>
      <c r="W7" s="49" t="str">
        <f>IF($T$1="All",IFERROR("("&amp;ROUND((SUMIF(Bets[Bet Type],S7,Bets[Profit]))/SUMIF(Bets[Bet Type],S7,Bets[Risk]),2)*100&amp;"%)",""),IFERROR("("&amp;ROUND((SUMIFS(Bets[Profit],Bets[Bet Type],S7,Bets[Sport],$T$1))/SUMIFS(Bets[Risk],Bets[Bet Type],S7,Bets[Sport],$T$1),2)*100&amp;"%)",""))</f>
        <v>(-13%)</v>
      </c>
      <c r="Y7" t="s">
        <v>1186</v>
      </c>
      <c r="Z7" t="str">
        <f>COUNTIFS(Bets[Sport],Y7,Bets[Result],"W")&amp;"-"&amp;COUNTIFS(Bets[Sport],Y7,Bets[Result],"L")&amp;IF(COUNTIFS(Bets[Sport],Y7,Bets[Result],"Push")&gt;0,"-"&amp;COUNTIFS(Bets[Sport],Y7,Bets[Result],"Push"),"")</f>
        <v>160-143-11</v>
      </c>
      <c r="AA7" s="45">
        <f>COUNTIFS(Bets[Sport],Y7,Bets[Result],"W")/(COUNTIFS(Bets[Sport],Y7,Bets[Result],"L")+COUNTIFS(Bets[Sport],Y7,Bets[Result],"W"))</f>
        <v>0.528052805280528</v>
      </c>
    </row>
    <row r="8" spans="1:27" x14ac:dyDescent="0.25">
      <c r="A8" s="35">
        <f t="shared" si="0"/>
        <v>1</v>
      </c>
      <c r="B8" s="5">
        <v>43436</v>
      </c>
      <c r="C8" s="5" t="s">
        <v>133</v>
      </c>
      <c r="D8" s="57" t="s">
        <v>13</v>
      </c>
      <c r="E8" s="7" t="s">
        <v>25</v>
      </c>
      <c r="F8" s="33">
        <v>10</v>
      </c>
      <c r="G8" s="67">
        <v>-115</v>
      </c>
      <c r="H8" s="9" t="s">
        <v>36</v>
      </c>
      <c r="I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"/>
      <c r="L8" s="36">
        <f t="shared" si="1"/>
        <v>43444</v>
      </c>
      <c r="M8" s="51" t="str">
        <f>COUNTIFS(Bets[Date],L8,Bets[Result],"W")&amp;"-"&amp;COUNTIFS(Bets[Date],L8,Bets[Result],"L")&amp;IF(COUNTIFS(Bets[Date],L8,Bets[Result],"Push")&gt;0,"-"&amp;COUNTIFS(Bets[Date],L8,Bets[Result],"Push"),"")</f>
        <v>1-0</v>
      </c>
      <c r="N8" s="52">
        <f>IFERROR(COUNTIFS(Bets[Date],L8,Bets[Result],"W")/(COUNTIFS(Bets[Date],L8,Bets[Result],"W")+COUNTIFS(Bets[Date],L8,Bets[Result],"L")),"")</f>
        <v>1</v>
      </c>
      <c r="O8" s="38">
        <f>SUMIF(Bets[Date],L8,Bets[Profit])</f>
        <v>8.695652173913043</v>
      </c>
      <c r="P8" s="37" t="str">
        <f>IFERROR("("&amp;ROUND(SUMIF(Bets[Date],L8,Bets[Profit])/SUMIF(Bets[Date],L8,Bets[Risk]),2)*100&amp;"%)","")</f>
        <v>(87%)</v>
      </c>
      <c r="Q8" s="65">
        <f t="shared" si="2"/>
        <v>-46.169772256728763</v>
      </c>
      <c r="S8" s="2" t="s">
        <v>881</v>
      </c>
      <c r="T8" s="47" t="s">
        <v>879</v>
      </c>
      <c r="U8" s="30" t="str">
        <f>IFERROR(IF($T$1="All",COUNTIFS(Bets[Bet Type],S8,Bets[Result],"W")&amp;"-"&amp;COUNTIFS(Bets[Bet Type],S8,Bets[Result],"L")&amp;IF(COUNTIFS(Bets[Bet Type],S8,Bets[Result],"Push")&gt;0,"-"&amp;COUNTIFS(Bets[Bet Type],S8,Bets[Result],"Push"),"")&amp;" ("&amp;ROUND(COUNTIFS(Bets[Bet Type],S8,Bets[Result],"W")/(COUNTIFS(Bets[Bet Type],S8,Bets[Result],"W")+COUNTIFS(Bets[Bet Type],S8,Bets[Result],"L"))*100,1)&amp;"%)",COUNTIFS(Bets[Sport],$T$1,Bets[Bet Type],S8,Bets[Result],"W")&amp;"-"&amp;COUNTIFS(Bets[Sport],$T$1,Bets[Bet Type],S8,Bets[Result],"L")&amp;IF(COUNTIFS(Bets[Sport],$T$1,Bets[Bet Type],S8,Bets[Result],"Push")&gt;0,"-"&amp;COUNTIFS(Bets[Sport],$T$1,Bets[Bet Type],S8,Bets[Result],"Push"),"")&amp;" ("&amp;ROUND(COUNTIFS(Bets[Sport],$T$1,Bets[Bet Type],S8,Bets[Result],"W")/(COUNTIFS(Bets[Sport],$T$1,Bets[Bet Type],S8,Bets[Result],"W")+COUNTIFS(Bets[Sport],$T$1,Bets[Bet Type],S8,Bets[Result],"L"))*100,1)&amp;"%)"),"No Bets")</f>
        <v>102-64-3 (61.4%)</v>
      </c>
      <c r="V8" s="48">
        <f>IF($T$1="All",SUMIF(Bets[Bet Type],S8,Bets[Profit]),SUMIFS(Bets[Profit],Bets[Bet Type],S8,Bets[Sport],$T$1))</f>
        <v>13.409453435024957</v>
      </c>
      <c r="W8" s="49" t="str">
        <f>IF($T$1="All",IFERROR("("&amp;ROUND((SUMIF(Bets[Bet Type],S8,Bets[Profit]))/SUMIF(Bets[Bet Type],S8,Bets[Risk]),2)*100&amp;"%)",""),IFERROR("("&amp;ROUND((SUMIFS(Bets[Profit],Bets[Bet Type],S8,Bets[Sport],$T$1))/SUMIFS(Bets[Risk],Bets[Bet Type],S8,Bets[Sport],$T$1),2)*100&amp;"%)",""))</f>
        <v>(1%)</v>
      </c>
      <c r="Y8" t="s">
        <v>1182</v>
      </c>
      <c r="Z8" t="str">
        <f>COUNTIFS(Bets[Sport],Y8,Bets[Result],"W")&amp;"-"&amp;COUNTIFS(Bets[Sport],Y8,Bets[Result],"L")&amp;IF(COUNTIFS(Bets[Sport],Y8,Bets[Result],"Push")&gt;0,"-"&amp;COUNTIFS(Bets[Sport],Y8,Bets[Result],"Push"),"")</f>
        <v>1-3</v>
      </c>
      <c r="AA8" s="45">
        <f>COUNTIFS(Bets[Sport],Y8,Bets[Result],"W")/(COUNTIFS(Bets[Sport],Y8,Bets[Result],"L")+COUNTIFS(Bets[Sport],Y8,Bets[Result],"W"))</f>
        <v>0.25</v>
      </c>
    </row>
    <row r="9" spans="1:27" x14ac:dyDescent="0.25">
      <c r="A9" s="35">
        <f t="shared" si="0"/>
        <v>1</v>
      </c>
      <c r="B9" s="5">
        <v>43436</v>
      </c>
      <c r="C9" s="5" t="s">
        <v>133</v>
      </c>
      <c r="D9" s="57" t="s">
        <v>14</v>
      </c>
      <c r="E9" s="7" t="s">
        <v>26</v>
      </c>
      <c r="F9" s="33">
        <v>10</v>
      </c>
      <c r="G9" s="67">
        <v>-110</v>
      </c>
      <c r="H9" s="9" t="s">
        <v>6</v>
      </c>
      <c r="I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9"/>
      <c r="L9" s="36">
        <f t="shared" si="1"/>
        <v>43447</v>
      </c>
      <c r="M9" s="51" t="str">
        <f>COUNTIFS(Bets[Date],L9,Bets[Result],"W")&amp;"-"&amp;COUNTIFS(Bets[Date],L9,Bets[Result],"L")&amp;IF(COUNTIFS(Bets[Date],L9,Bets[Result],"Push")&gt;0,"-"&amp;COUNTIFS(Bets[Date],L9,Bets[Result],"Push"),"")</f>
        <v>2-0</v>
      </c>
      <c r="N9" s="52">
        <f>IFERROR(COUNTIFS(Bets[Date],L9,Bets[Result],"W")/(COUNTIFS(Bets[Date],L9,Bets[Result],"W")+COUNTIFS(Bets[Date],L9,Bets[Result],"L")),"")</f>
        <v>1</v>
      </c>
      <c r="O9" s="38">
        <f>SUMIF(Bets[Date],L9,Bets[Profit])</f>
        <v>17.786561264822133</v>
      </c>
      <c r="P9" s="37" t="str">
        <f>IFERROR("("&amp;ROUND(SUMIF(Bets[Date],L9,Bets[Profit])/SUMIF(Bets[Date],L9,Bets[Risk]),2)*100&amp;"%)","")</f>
        <v>(89%)</v>
      </c>
      <c r="Q9" s="65">
        <f t="shared" si="2"/>
        <v>-28.38321099190663</v>
      </c>
      <c r="S9" s="2" t="s">
        <v>882</v>
      </c>
      <c r="T9" s="47" t="s">
        <v>880</v>
      </c>
      <c r="U9" s="30" t="str">
        <f>IFERROR(IF($T$1="All",COUNTIFS(Bets[Bet Type],S9,Bets[Result],"W")&amp;"-"&amp;COUNTIFS(Bets[Bet Type],S9,Bets[Result],"L")&amp;IF(COUNTIFS(Bets[Bet Type],S9,Bets[Result],"Push")&gt;0,"-"&amp;COUNTIFS(Bets[Bet Type],S9,Bets[Result],"Push"),"")&amp;" ("&amp;ROUND(COUNTIFS(Bets[Bet Type],S9,Bets[Result],"W")/(COUNTIFS(Bets[Bet Type],S9,Bets[Result],"W")+COUNTIFS(Bets[Bet Type],S9,Bets[Result],"L"))*100,1)&amp;"%)",COUNTIFS(Bets[Sport],$T$1,Bets[Bet Type],S9,Bets[Result],"W")&amp;"-"&amp;COUNTIFS(Bets[Sport],$T$1,Bets[Bet Type],S9,Bets[Result],"L")&amp;IF(COUNTIFS(Bets[Sport],$T$1,Bets[Bet Type],S9,Bets[Result],"Push")&gt;0,"-"&amp;COUNTIFS(Bets[Sport],$T$1,Bets[Bet Type],S9,Bets[Result],"Push"),"")&amp;" ("&amp;ROUND(COUNTIFS(Bets[Sport],$T$1,Bets[Bet Type],S9,Bets[Result],"W")/(COUNTIFS(Bets[Sport],$T$1,Bets[Bet Type],S9,Bets[Result],"W")+COUNTIFS(Bets[Sport],$T$1,Bets[Bet Type],S9,Bets[Result],"L"))*100,1)&amp;"%)"),"No Bets")</f>
        <v>38-62 (38%)</v>
      </c>
      <c r="V9" s="48">
        <f>IF($T$1="All",SUMIF(Bets[Bet Type],S9,Bets[Profit]),SUMIFS(Bets[Profit],Bets[Bet Type],S9,Bets[Sport],$T$1))</f>
        <v>-68.491499999999988</v>
      </c>
      <c r="W9" s="49" t="str">
        <f>IF($T$1="All",IFERROR("("&amp;ROUND((SUMIF(Bets[Bet Type],S9,Bets[Profit]))/SUMIF(Bets[Bet Type],S9,Bets[Risk]),2)*100&amp;"%)",""),IFERROR("("&amp;ROUND((SUMIFS(Bets[Profit],Bets[Bet Type],S9,Bets[Sport],$T$1))/SUMIFS(Bets[Risk],Bets[Bet Type],S9,Bets[Sport],$T$1),2)*100&amp;"%)",""))</f>
        <v>(-8%)</v>
      </c>
      <c r="Y9" t="s">
        <v>1181</v>
      </c>
      <c r="Z9" t="str">
        <f>COUNTIFS(Bets[Sport],Y9,Bets[Result],"W")&amp;"-"&amp;COUNTIFS(Bets[Sport],Y9,Bets[Result],"L")&amp;IF(COUNTIFS(Bets[Sport],Y9,Bets[Result],"Push")&gt;0,"-"&amp;COUNTIFS(Bets[Sport],Y9,Bets[Result],"Push"),"")</f>
        <v>1-0</v>
      </c>
      <c r="AA9" s="45">
        <f>COUNTIFS(Bets[Sport],Y9,Bets[Result],"W")/(COUNTIFS(Bets[Sport],Y9,Bets[Result],"L")+COUNTIFS(Bets[Sport],Y9,Bets[Result],"W"))</f>
        <v>1</v>
      </c>
    </row>
    <row r="10" spans="1:27" x14ac:dyDescent="0.25">
      <c r="A10" s="35">
        <f t="shared" si="0"/>
        <v>1</v>
      </c>
      <c r="B10" s="5">
        <v>43436</v>
      </c>
      <c r="C10" s="5" t="s">
        <v>133</v>
      </c>
      <c r="D10" s="57" t="s">
        <v>15</v>
      </c>
      <c r="E10" s="7" t="s">
        <v>27</v>
      </c>
      <c r="F10" s="33">
        <v>10</v>
      </c>
      <c r="G10" s="67">
        <v>-110</v>
      </c>
      <c r="H10" s="9" t="s">
        <v>36</v>
      </c>
      <c r="I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0"/>
      <c r="L10" s="36">
        <f t="shared" si="1"/>
        <v>43449</v>
      </c>
      <c r="M10" s="51" t="str">
        <f>COUNTIFS(Bets[Date],L10,Bets[Result],"W")&amp;"-"&amp;COUNTIFS(Bets[Date],L10,Bets[Result],"L")&amp;IF(COUNTIFS(Bets[Date],L10,Bets[Result],"Push")&gt;0,"-"&amp;COUNTIFS(Bets[Date],L10,Bets[Result],"Push"),"")</f>
        <v>1-1-1</v>
      </c>
      <c r="N10" s="52">
        <f>IFERROR(COUNTIFS(Bets[Date],L10,Bets[Result],"W")/(COUNTIFS(Bets[Date],L10,Bets[Result],"W")+COUNTIFS(Bets[Date],L10,Bets[Result],"L")),"")</f>
        <v>0.5</v>
      </c>
      <c r="O10" s="38">
        <f>SUMIF(Bets[Date],L10,Bets[Profit])</f>
        <v>-0.90909090909090828</v>
      </c>
      <c r="P10" s="37" t="str">
        <f>IFERROR("("&amp;ROUND(SUMIF(Bets[Date],L10,Bets[Profit])/SUMIF(Bets[Date],L10,Bets[Risk]),2)*100&amp;"%)","")</f>
        <v>(-3%)</v>
      </c>
      <c r="Q10" s="65">
        <f t="shared" si="2"/>
        <v>-29.292301900997536</v>
      </c>
      <c r="S10" s="2" t="s">
        <v>781</v>
      </c>
      <c r="T10" s="47" t="s">
        <v>878</v>
      </c>
      <c r="U10" s="30" t="str">
        <f>IFERROR(IF($T$1="All",COUNTIFS(Bets[Bet Type],S10,Bets[Result],"W")&amp;"-"&amp;COUNTIFS(Bets[Bet Type],S10,Bets[Result],"L")&amp;IF(COUNTIFS(Bets[Bet Type],S10,Bets[Result],"Push")&gt;0,"-"&amp;COUNTIFS(Bets[Bet Type],S10,Bets[Result],"Push"),"")&amp;" ("&amp;ROUND(COUNTIFS(Bets[Bet Type],S10,Bets[Result],"W")/(COUNTIFS(Bets[Bet Type],S10,Bets[Result],"W")+COUNTIFS(Bets[Bet Type],S10,Bets[Result],"L"))*100,1)&amp;"%)",COUNTIFS(Bets[Sport],$T$1,Bets[Bet Type],S10,Bets[Result],"W")&amp;"-"&amp;COUNTIFS(Bets[Sport],$T$1,Bets[Bet Type],S10,Bets[Result],"L")&amp;IF(COUNTIFS(Bets[Sport],$T$1,Bets[Bet Type],S10,Bets[Result],"Push")&gt;0,"-"&amp;COUNTIFS(Bets[Sport],$T$1,Bets[Bet Type],S10,Bets[Result],"Push"),"")&amp;" ("&amp;ROUND(COUNTIFS(Bets[Sport],$T$1,Bets[Bet Type],S10,Bets[Result],"W")/(COUNTIFS(Bets[Sport],$T$1,Bets[Bet Type],S10,Bets[Result],"W")+COUNTIFS(Bets[Sport],$T$1,Bets[Bet Type],S10,Bets[Result],"L"))*100,1)&amp;"%)"),"No Bets")</f>
        <v>10-25 (28.6%)</v>
      </c>
      <c r="V10" s="48">
        <f>IF($T$1="All",SUMIF(Bets[Bet Type],S10,Bets[Profit]),SUMIFS(Bets[Profit],Bets[Bet Type],S10,Bets[Sport],$T$1))</f>
        <v>239.35530666666668</v>
      </c>
      <c r="W10" s="49" t="str">
        <f>IF($T$1="All",IFERROR("("&amp;ROUND((SUMIF(Bets[Bet Type],S10,Bets[Profit]))/SUMIF(Bets[Bet Type],S10,Bets[Risk]),2)*100&amp;"%)",""),IFERROR("("&amp;ROUND((SUMIFS(Bets[Profit],Bets[Bet Type],S10,Bets[Sport],$T$1))/SUMIFS(Bets[Risk],Bets[Bet Type],S10,Bets[Sport],$T$1),2)*100&amp;"%)",""))</f>
        <v>(55%)</v>
      </c>
      <c r="Y10" t="s">
        <v>1210</v>
      </c>
      <c r="Z10" t="str">
        <f>COUNTIFS(Bets[Sport],Y10,Bets[Result],"W")&amp;"-"&amp;COUNTIFS(Bets[Sport],Y10,Bets[Result],"L")&amp;IF(COUNTIFS(Bets[Sport],Y10,Bets[Result],"Push")&gt;0,"-"&amp;COUNTIFS(Bets[Sport],Y10,Bets[Result],"Push"),"")</f>
        <v>4-5-1</v>
      </c>
      <c r="AA10" s="45">
        <f>COUNTIFS(Bets[Sport],Y10,Bets[Result],"W")/(COUNTIFS(Bets[Sport],Y10,Bets[Result],"L")+COUNTIFS(Bets[Sport],Y10,Bets[Result],"W"))</f>
        <v>0.44444444444444442</v>
      </c>
    </row>
    <row r="11" spans="1:27" x14ac:dyDescent="0.25">
      <c r="A11" s="35">
        <f t="shared" si="0"/>
        <v>1</v>
      </c>
      <c r="B11" s="5">
        <v>43436</v>
      </c>
      <c r="C11" s="5" t="s">
        <v>133</v>
      </c>
      <c r="D11" s="57" t="s">
        <v>15</v>
      </c>
      <c r="E11" s="7" t="s">
        <v>28</v>
      </c>
      <c r="F11" s="33">
        <v>10</v>
      </c>
      <c r="G11" s="67">
        <v>-115</v>
      </c>
      <c r="H11" s="9" t="s">
        <v>36</v>
      </c>
      <c r="I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1"/>
      <c r="L11" s="36">
        <f t="shared" si="1"/>
        <v>43450</v>
      </c>
      <c r="M11" s="51" t="str">
        <f>COUNTIFS(Bets[Date],L11,Bets[Result],"W")&amp;"-"&amp;COUNTIFS(Bets[Date],L11,Bets[Result],"L")&amp;IF(COUNTIFS(Bets[Date],L11,Bets[Result],"Push")&gt;0,"-"&amp;COUNTIFS(Bets[Date],L11,Bets[Result],"Push"),"")</f>
        <v>12-6</v>
      </c>
      <c r="N11" s="52">
        <f>IFERROR(COUNTIFS(Bets[Date],L11,Bets[Result],"W")/(COUNTIFS(Bets[Date],L11,Bets[Result],"W")+COUNTIFS(Bets[Date],L11,Bets[Result],"L")),"")</f>
        <v>0.66666666666666663</v>
      </c>
      <c r="O11" s="38">
        <f>SUMIF(Bets[Date],L11,Bets[Profit])</f>
        <v>49.216826651609253</v>
      </c>
      <c r="P11" s="37" t="str">
        <f>IFERROR("("&amp;ROUND(SUMIF(Bets[Date],L11,Bets[Profit])/SUMIF(Bets[Date],L11,Bets[Risk]),2)*100&amp;"%)","")</f>
        <v>(27%)</v>
      </c>
      <c r="Q11" s="65">
        <f t="shared" si="2"/>
        <v>19.924524750611717</v>
      </c>
      <c r="Y11" t="s">
        <v>1400</v>
      </c>
      <c r="Z11" t="str">
        <f>COUNTIFS(Bets[Sport],Y11,Bets[Result],"W")&amp;"-"&amp;COUNTIFS(Bets[Sport],Y11,Bets[Result],"L")&amp;IF(COUNTIFS(Bets[Sport],Y11,Bets[Result],"Push")&gt;0,"-"&amp;COUNTIFS(Bets[Sport],Y11,Bets[Result],"Push"),"")</f>
        <v>0-1</v>
      </c>
      <c r="AA11" s="45">
        <f>COUNTIFS(Bets[Sport],Y11,Bets[Result],"W")/(COUNTIFS(Bets[Sport],Y11,Bets[Result],"L")+COUNTIFS(Bets[Sport],Y11,Bets[Result],"W"))</f>
        <v>0</v>
      </c>
    </row>
    <row r="12" spans="1:27" x14ac:dyDescent="0.25">
      <c r="A12" s="35">
        <f t="shared" si="0"/>
        <v>1</v>
      </c>
      <c r="B12" s="5">
        <v>43436</v>
      </c>
      <c r="C12" s="5" t="s">
        <v>133</v>
      </c>
      <c r="D12" s="57" t="s">
        <v>16</v>
      </c>
      <c r="E12" s="7" t="s">
        <v>29</v>
      </c>
      <c r="F12" s="33">
        <v>10</v>
      </c>
      <c r="G12" s="67">
        <v>-115</v>
      </c>
      <c r="H12" s="9" t="s">
        <v>6</v>
      </c>
      <c r="I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2"/>
      <c r="L12" s="36">
        <f t="shared" si="1"/>
        <v>43451</v>
      </c>
      <c r="M12" s="51" t="str">
        <f>COUNTIFS(Bets[Date],L12,Bets[Result],"W")&amp;"-"&amp;COUNTIFS(Bets[Date],L12,Bets[Result],"L")&amp;IF(COUNTIFS(Bets[Date],L12,Bets[Result],"Push")&gt;0,"-"&amp;COUNTIFS(Bets[Date],L12,Bets[Result],"Push"),"")</f>
        <v>4-7</v>
      </c>
      <c r="N12" s="52">
        <f>IFERROR(COUNTIFS(Bets[Date],L12,Bets[Result],"W")/(COUNTIFS(Bets[Date],L12,Bets[Result],"W")+COUNTIFS(Bets[Date],L12,Bets[Result],"L")),"")</f>
        <v>0.36363636363636365</v>
      </c>
      <c r="O12" s="38">
        <f>SUMIF(Bets[Date],L12,Bets[Profit])</f>
        <v>-21.061264822134383</v>
      </c>
      <c r="P12" s="37" t="str">
        <f>IFERROR("("&amp;ROUND(SUMIF(Bets[Date],L12,Bets[Profit])/SUMIF(Bets[Date],L12,Bets[Risk]),2)*100&amp;"%)","")</f>
        <v>(-35%)</v>
      </c>
      <c r="Q12" s="65">
        <f t="shared" si="2"/>
        <v>-1.1367400715226665</v>
      </c>
      <c r="Y12" t="s">
        <v>2228</v>
      </c>
      <c r="AA12" s="45"/>
    </row>
    <row r="13" spans="1:27" x14ac:dyDescent="0.25">
      <c r="A13" s="35">
        <f t="shared" si="0"/>
        <v>1</v>
      </c>
      <c r="B13" s="5">
        <v>43436</v>
      </c>
      <c r="C13" s="5" t="s">
        <v>133</v>
      </c>
      <c r="D13" s="57" t="s">
        <v>17</v>
      </c>
      <c r="E13" s="7" t="s">
        <v>30</v>
      </c>
      <c r="F13" s="33">
        <v>10</v>
      </c>
      <c r="G13" s="67">
        <v>-110</v>
      </c>
      <c r="H13" s="9" t="s">
        <v>36</v>
      </c>
      <c r="I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3"/>
      <c r="L13" s="36">
        <f t="shared" si="1"/>
        <v>43452</v>
      </c>
      <c r="M13" s="51" t="str">
        <f>COUNTIFS(Bets[Date],L13,Bets[Result],"W")&amp;"-"&amp;COUNTIFS(Bets[Date],L13,Bets[Result],"L")&amp;IF(COUNTIFS(Bets[Date],L13,Bets[Result],"Push")&gt;0,"-"&amp;COUNTIFS(Bets[Date],L13,Bets[Result],"Push"),"")</f>
        <v>3-2</v>
      </c>
      <c r="N13" s="52">
        <f>IFERROR(COUNTIFS(Bets[Date],L13,Bets[Result],"W")/(COUNTIFS(Bets[Date],L13,Bets[Result],"W")+COUNTIFS(Bets[Date],L13,Bets[Result],"L")),"")</f>
        <v>0.6</v>
      </c>
      <c r="O13" s="38">
        <f>SUMIF(Bets[Date],L13,Bets[Profit])</f>
        <v>3.2411067193675889</v>
      </c>
      <c r="P13" s="37" t="str">
        <f>IFERROR("("&amp;ROUND(SUMIF(Bets[Date],L13,Bets[Profit])/SUMIF(Bets[Date],L13,Bets[Risk]),2)*100&amp;"%)","")</f>
        <v>(13%)</v>
      </c>
      <c r="Q13" s="65">
        <f t="shared" si="2"/>
        <v>2.1043666478449223</v>
      </c>
      <c r="AA13" s="45"/>
    </row>
    <row r="14" spans="1:27" x14ac:dyDescent="0.25">
      <c r="A14" s="35">
        <f t="shared" si="0"/>
        <v>1</v>
      </c>
      <c r="B14" s="5">
        <v>43436</v>
      </c>
      <c r="C14" s="5" t="s">
        <v>133</v>
      </c>
      <c r="D14" s="57" t="s">
        <v>17</v>
      </c>
      <c r="E14" s="7" t="s">
        <v>31</v>
      </c>
      <c r="F14" s="33">
        <v>10</v>
      </c>
      <c r="G14" s="67">
        <v>-110</v>
      </c>
      <c r="H14" s="9" t="s">
        <v>6</v>
      </c>
      <c r="I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4"/>
      <c r="L14" s="36">
        <f t="shared" si="1"/>
        <v>43453</v>
      </c>
      <c r="M14" s="51" t="str">
        <f>COUNTIFS(Bets[Date],L14,Bets[Result],"W")&amp;"-"&amp;COUNTIFS(Bets[Date],L14,Bets[Result],"L")&amp;IF(COUNTIFS(Bets[Date],L14,Bets[Result],"Push")&gt;0,"-"&amp;COUNTIFS(Bets[Date],L14,Bets[Result],"Push"),"")</f>
        <v>5-6</v>
      </c>
      <c r="N14" s="52">
        <f>IFERROR(COUNTIFS(Bets[Date],L14,Bets[Result],"W")/(COUNTIFS(Bets[Date],L14,Bets[Result],"W")+COUNTIFS(Bets[Date],L14,Bets[Result],"L")),"")</f>
        <v>0.45454545454545453</v>
      </c>
      <c r="O14" s="38">
        <f>SUMIF(Bets[Date],L14,Bets[Profit])</f>
        <v>-8.6420101637492905</v>
      </c>
      <c r="P14" s="37" t="str">
        <f>IFERROR("("&amp;ROUND(SUMIF(Bets[Date],L14,Bets[Profit])/SUMIF(Bets[Date],L14,Bets[Risk]),2)*100&amp;"%)","")</f>
        <v>(-8%)</v>
      </c>
      <c r="Q14" s="65">
        <f t="shared" si="2"/>
        <v>-6.5376435159043682</v>
      </c>
      <c r="T14" t="s">
        <v>1221</v>
      </c>
      <c r="U14" t="s">
        <v>937</v>
      </c>
      <c r="AA14" s="45"/>
    </row>
    <row r="15" spans="1:27" x14ac:dyDescent="0.25">
      <c r="A15" s="35">
        <f t="shared" si="0"/>
        <v>1</v>
      </c>
      <c r="B15" s="5">
        <v>43436</v>
      </c>
      <c r="C15" s="5" t="s">
        <v>133</v>
      </c>
      <c r="D15" s="57" t="s">
        <v>18</v>
      </c>
      <c r="E15" s="7" t="s">
        <v>32</v>
      </c>
      <c r="F15" s="33">
        <v>10</v>
      </c>
      <c r="G15" s="67">
        <v>-110</v>
      </c>
      <c r="H15" s="9" t="s">
        <v>36</v>
      </c>
      <c r="I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5"/>
      <c r="L15" s="36">
        <f t="shared" si="1"/>
        <v>43454</v>
      </c>
      <c r="M15" s="51" t="str">
        <f>COUNTIFS(Bets[Date],L15,Bets[Result],"W")&amp;"-"&amp;COUNTIFS(Bets[Date],L15,Bets[Result],"L")&amp;IF(COUNTIFS(Bets[Date],L15,Bets[Result],"Push")&gt;0,"-"&amp;COUNTIFS(Bets[Date],L15,Bets[Result],"Push"),"")</f>
        <v>1-1</v>
      </c>
      <c r="N15" s="52">
        <f>IFERROR(COUNTIFS(Bets[Date],L15,Bets[Result],"W")/(COUNTIFS(Bets[Date],L15,Bets[Result],"W")+COUNTIFS(Bets[Date],L15,Bets[Result],"L")),"")</f>
        <v>0.5</v>
      </c>
      <c r="O15" s="38">
        <f>SUMIF(Bets[Date],L15,Bets[Profit])</f>
        <v>-1.304347826086957</v>
      </c>
      <c r="P15" s="37" t="str">
        <f>IFERROR("("&amp;ROUND(SUMIF(Bets[Date],L15,Bets[Profit])/SUMIF(Bets[Date],L15,Bets[Risk]),2)*100&amp;"%)","")</f>
        <v>(-7%)</v>
      </c>
      <c r="Q15" s="65">
        <f t="shared" si="2"/>
        <v>-7.8419913419913252</v>
      </c>
      <c r="T15" s="60">
        <v>43435</v>
      </c>
      <c r="U15" s="61">
        <f>SUMIFS(Bets[Profit],Bets[Date],"&gt;="&amp;T15,Bets[Date],"&lt;"&amp;T16)</f>
        <v>-77.566252587991698</v>
      </c>
    </row>
    <row r="16" spans="1:27" x14ac:dyDescent="0.25">
      <c r="A16" s="35">
        <f t="shared" si="0"/>
        <v>1</v>
      </c>
      <c r="B16" s="5">
        <v>43436</v>
      </c>
      <c r="C16" s="5" t="s">
        <v>133</v>
      </c>
      <c r="D16" s="57" t="s">
        <v>19</v>
      </c>
      <c r="E16" s="7" t="s">
        <v>33</v>
      </c>
      <c r="F16" s="33">
        <v>10</v>
      </c>
      <c r="G16" s="67">
        <v>-110</v>
      </c>
      <c r="H16" s="9" t="s">
        <v>36</v>
      </c>
      <c r="I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6"/>
      <c r="L16" s="36">
        <f t="shared" si="1"/>
        <v>43455</v>
      </c>
      <c r="M16" s="51" t="str">
        <f>COUNTIFS(Bets[Date],L16,Bets[Result],"W")&amp;"-"&amp;COUNTIFS(Bets[Date],L16,Bets[Result],"L")&amp;IF(COUNTIFS(Bets[Date],L16,Bets[Result],"Push")&gt;0,"-"&amp;COUNTIFS(Bets[Date],L16,Bets[Result],"Push"),"")</f>
        <v>9-8</v>
      </c>
      <c r="N16" s="52">
        <f>IFERROR(COUNTIFS(Bets[Date],L16,Bets[Result],"W")/(COUNTIFS(Bets[Date],L16,Bets[Result],"W")+COUNTIFS(Bets[Date],L16,Bets[Result],"L")),"")</f>
        <v>0.52941176470588236</v>
      </c>
      <c r="O16" s="38">
        <f>SUMIF(Bets[Date],L16,Bets[Profit])</f>
        <v>0.92791266704310615</v>
      </c>
      <c r="P16" s="37" t="str">
        <f>IFERROR("("&amp;ROUND(SUMIF(Bets[Date],L16,Bets[Profit])/SUMIF(Bets[Date],L16,Bets[Risk]),2)*100&amp;"%)","")</f>
        <v>(1%)</v>
      </c>
      <c r="Q16" s="65">
        <f t="shared" si="2"/>
        <v>-6.914078674948219</v>
      </c>
      <c r="T16" s="60">
        <v>43466</v>
      </c>
      <c r="U16" s="61">
        <f>SUMIFS(Bets[Profit],Bets[Date],"&gt;="&amp;T16,Bets[Date],"&lt;"&amp;T17)</f>
        <v>39.911665893984001</v>
      </c>
    </row>
    <row r="17" spans="1:21" x14ac:dyDescent="0.25">
      <c r="A17" s="35">
        <f t="shared" si="0"/>
        <v>1</v>
      </c>
      <c r="B17" s="5">
        <v>43436</v>
      </c>
      <c r="C17" s="5" t="s">
        <v>133</v>
      </c>
      <c r="D17" s="57" t="s">
        <v>19</v>
      </c>
      <c r="E17" s="7" t="s">
        <v>34</v>
      </c>
      <c r="F17" s="33">
        <v>10</v>
      </c>
      <c r="G17" s="67">
        <v>-115</v>
      </c>
      <c r="H17" s="9" t="s">
        <v>6</v>
      </c>
      <c r="I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7"/>
      <c r="L17" s="36">
        <f t="shared" si="1"/>
        <v>43456</v>
      </c>
      <c r="M17" s="51" t="str">
        <f>COUNTIFS(Bets[Date],L17,Bets[Result],"W")&amp;"-"&amp;COUNTIFS(Bets[Date],L17,Bets[Result],"L")&amp;IF(COUNTIFS(Bets[Date],L17,Bets[Result],"Push")&gt;0,"-"&amp;COUNTIFS(Bets[Date],L17,Bets[Result],"Push"),"")</f>
        <v>1-12</v>
      </c>
      <c r="N17" s="52">
        <f>IFERROR(COUNTIFS(Bets[Date],L17,Bets[Result],"W")/(COUNTIFS(Bets[Date],L17,Bets[Result],"W")+COUNTIFS(Bets[Date],L17,Bets[Result],"L")),"")</f>
        <v>7.6923076923076927E-2</v>
      </c>
      <c r="O17" s="38">
        <f>SUMIF(Bets[Date],L17,Bets[Profit])</f>
        <v>-60.652173913043477</v>
      </c>
      <c r="P17" s="37" t="str">
        <f>IFERROR("("&amp;ROUND(SUMIF(Bets[Date],L17,Bets[Profit])/SUMIF(Bets[Date],L17,Bets[Risk]),2)*100&amp;"%)","")</f>
        <v>(-87%)</v>
      </c>
      <c r="Q17" s="65">
        <f t="shared" si="2"/>
        <v>-67.566252587991698</v>
      </c>
      <c r="T17" s="60">
        <v>43497</v>
      </c>
      <c r="U17" s="61">
        <f>SUMIFS(Bets[Profit],Bets[Date],"&gt;="&amp;T17,Bets[Date],"&lt;"&amp;T18)</f>
        <v>-109.28772567836677</v>
      </c>
    </row>
    <row r="18" spans="1:21" x14ac:dyDescent="0.25">
      <c r="A18" s="35">
        <f t="shared" si="0"/>
        <v>1</v>
      </c>
      <c r="B18" s="5">
        <v>43436</v>
      </c>
      <c r="C18" s="5" t="s">
        <v>133</v>
      </c>
      <c r="D18" s="57" t="s">
        <v>20</v>
      </c>
      <c r="E18" s="7" t="s">
        <v>35</v>
      </c>
      <c r="F18" s="33">
        <v>10</v>
      </c>
      <c r="G18" s="67">
        <v>-105</v>
      </c>
      <c r="H18" s="9" t="s">
        <v>36</v>
      </c>
      <c r="I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8"/>
      <c r="L18" s="36">
        <f t="shared" si="1"/>
        <v>43457</v>
      </c>
      <c r="M18" s="51" t="str">
        <f>COUNTIFS(Bets[Date],L18,Bets[Result],"W")&amp;"-"&amp;COUNTIFS(Bets[Date],L18,Bets[Result],"L")&amp;IF(COUNTIFS(Bets[Date],L18,Bets[Result],"Push")&gt;0,"-"&amp;COUNTIFS(Bets[Date],L18,Bets[Result],"Push"),"")</f>
        <v>0-1</v>
      </c>
      <c r="N18" s="52">
        <f>IFERROR(COUNTIFS(Bets[Date],L18,Bets[Result],"W")/(COUNTIFS(Bets[Date],L18,Bets[Result],"W")+COUNTIFS(Bets[Date],L18,Bets[Result],"L")),"")</f>
        <v>0</v>
      </c>
      <c r="O18" s="38">
        <f>SUMIF(Bets[Date],L18,Bets[Profit])</f>
        <v>-10</v>
      </c>
      <c r="P18" s="37" t="str">
        <f>IFERROR("("&amp;ROUND(SUMIF(Bets[Date],L18,Bets[Profit])/SUMIF(Bets[Date],L18,Bets[Risk]),2)*100&amp;"%)","")</f>
        <v>(-100%)</v>
      </c>
      <c r="Q18" s="65">
        <f t="shared" si="2"/>
        <v>-77.566252587991698</v>
      </c>
      <c r="T18" s="60">
        <v>43525</v>
      </c>
      <c r="U18" s="61">
        <f>SUMIFS(Bets[Profit],Bets[Date],"&gt;="&amp;T18,Bets[Date],"&lt;"&amp;T19)</f>
        <v>42.465375866661859</v>
      </c>
    </row>
    <row r="19" spans="1:21" x14ac:dyDescent="0.25">
      <c r="A19" s="35">
        <f t="shared" si="0"/>
        <v>1</v>
      </c>
      <c r="B19" s="5">
        <v>43436</v>
      </c>
      <c r="C19" s="5" t="s">
        <v>133</v>
      </c>
      <c r="D19" s="57" t="s">
        <v>21</v>
      </c>
      <c r="E19" s="7" t="s">
        <v>4</v>
      </c>
      <c r="F19" s="33">
        <v>10</v>
      </c>
      <c r="G19" s="67">
        <v>-110</v>
      </c>
      <c r="H19" s="9" t="s">
        <v>36</v>
      </c>
      <c r="I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9" s="8"/>
      <c r="L19" s="36">
        <f t="shared" si="1"/>
        <v>43467</v>
      </c>
      <c r="M19" s="51" t="str">
        <f>COUNTIFS(Bets[Date],L19,Bets[Result],"W")&amp;"-"&amp;COUNTIFS(Bets[Date],L19,Bets[Result],"L")&amp;IF(COUNTIFS(Bets[Date],L19,Bets[Result],"Push")&gt;0,"-"&amp;COUNTIFS(Bets[Date],L19,Bets[Result],"Push"),"")</f>
        <v>7-5</v>
      </c>
      <c r="N19" s="52">
        <f>IFERROR(COUNTIFS(Bets[Date],L19,Bets[Result],"W")/(COUNTIFS(Bets[Date],L19,Bets[Result],"W")+COUNTIFS(Bets[Date],L19,Bets[Result],"L")),"")</f>
        <v>0.58333333333333337</v>
      </c>
      <c r="O19" s="38">
        <f>SUMIF(Bets[Date],L19,Bets[Profit])</f>
        <v>6.441746659137964</v>
      </c>
      <c r="P19" s="37" t="str">
        <f>IFERROR("("&amp;ROUND(SUMIF(Bets[Date],L19,Bets[Profit])/SUMIF(Bets[Date],L19,Bets[Risk]),2)*100&amp;"%)","")</f>
        <v>(11%)</v>
      </c>
      <c r="Q19" s="65">
        <f t="shared" si="2"/>
        <v>-71.124505928853736</v>
      </c>
      <c r="T19" s="60">
        <v>43556</v>
      </c>
      <c r="U19" s="61">
        <f>SUMIFS(Bets[Profit],Bets[Date],"&gt;="&amp;T19,Bets[Date],"&lt;"&amp;T20)</f>
        <v>-15.168232072573652</v>
      </c>
    </row>
    <row r="20" spans="1:21" x14ac:dyDescent="0.25">
      <c r="A20" s="35">
        <f t="shared" si="0"/>
        <v>2</v>
      </c>
      <c r="B20" s="5">
        <v>43437</v>
      </c>
      <c r="C20" s="5" t="s">
        <v>133</v>
      </c>
      <c r="D20" s="57" t="s">
        <v>37</v>
      </c>
      <c r="E20" s="7" t="s">
        <v>38</v>
      </c>
      <c r="F20" s="33">
        <v>10</v>
      </c>
      <c r="G20" s="67">
        <v>-115</v>
      </c>
      <c r="H20" s="9" t="s">
        <v>36</v>
      </c>
      <c r="I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" s="8"/>
      <c r="L20" s="36">
        <f t="shared" si="1"/>
        <v>43468</v>
      </c>
      <c r="M20" s="51" t="str">
        <f>COUNTIFS(Bets[Date],L20,Bets[Result],"W")&amp;"-"&amp;COUNTIFS(Bets[Date],L20,Bets[Result],"L")&amp;IF(COUNTIFS(Bets[Date],L20,Bets[Result],"Push")&gt;0,"-"&amp;COUNTIFS(Bets[Date],L20,Bets[Result],"Push"),"")</f>
        <v>3-2</v>
      </c>
      <c r="N20" s="52">
        <f>IFERROR(COUNTIFS(Bets[Date],L20,Bets[Result],"W")/(COUNTIFS(Bets[Date],L20,Bets[Result],"W")+COUNTIFS(Bets[Date],L20,Bets[Result],"L")),"")</f>
        <v>0.6</v>
      </c>
      <c r="O20" s="38">
        <f>SUMIF(Bets[Date],L20,Bets[Profit])</f>
        <v>3.2411067193675889</v>
      </c>
      <c r="P20" s="37" t="str">
        <f>IFERROR("("&amp;ROUND(SUMIF(Bets[Date],L20,Bets[Profit])/SUMIF(Bets[Date],L20,Bets[Risk]),2)*100&amp;"%)","")</f>
        <v>(13%)</v>
      </c>
      <c r="Q20" s="65">
        <f t="shared" si="2"/>
        <v>-67.883399209486143</v>
      </c>
      <c r="T20" s="60">
        <v>43586</v>
      </c>
      <c r="U20" s="61">
        <f>SUMIFS(Bets[Profit],Bets[Date],"&gt;="&amp;T20,Bets[Date],"&lt;"&amp;T21)</f>
        <v>-12.779895635867481</v>
      </c>
    </row>
    <row r="21" spans="1:21" x14ac:dyDescent="0.25">
      <c r="A21" s="35">
        <f t="shared" si="0"/>
        <v>3</v>
      </c>
      <c r="B21" s="5">
        <v>43440</v>
      </c>
      <c r="C21" s="5" t="s">
        <v>133</v>
      </c>
      <c r="D21" s="57" t="s">
        <v>47</v>
      </c>
      <c r="E21" s="7" t="s">
        <v>48</v>
      </c>
      <c r="F21" s="33">
        <v>20</v>
      </c>
      <c r="G21" s="67">
        <v>-110</v>
      </c>
      <c r="H21" s="9" t="s">
        <v>6</v>
      </c>
      <c r="I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1" s="8"/>
      <c r="L21" s="36">
        <f t="shared" si="1"/>
        <v>43469</v>
      </c>
      <c r="M21" s="51" t="str">
        <f>COUNTIFS(Bets[Date],L21,Bets[Result],"W")&amp;"-"&amp;COUNTIFS(Bets[Date],L21,Bets[Result],"L")&amp;IF(COUNTIFS(Bets[Date],L21,Bets[Result],"Push")&gt;0,"-"&amp;COUNTIFS(Bets[Date],L21,Bets[Result],"Push"),"")</f>
        <v>10-9</v>
      </c>
      <c r="N21" s="52">
        <f>IFERROR(COUNTIFS(Bets[Date],L21,Bets[Result],"W")/(COUNTIFS(Bets[Date],L21,Bets[Result],"W")+COUNTIFS(Bets[Date],L21,Bets[Result],"L")),"")</f>
        <v>0.52631578947368418</v>
      </c>
      <c r="O21" s="38">
        <f>SUMIF(Bets[Date],L21,Bets[Profit])</f>
        <v>1.5022629399585914</v>
      </c>
      <c r="P21" s="37" t="str">
        <f>IFERROR("("&amp;ROUND(SUMIF(Bets[Date],L21,Bets[Profit])/SUMIF(Bets[Date],L21,Bets[Risk]),2)*100&amp;"%)","")</f>
        <v>(3%)</v>
      </c>
      <c r="Q21" s="65">
        <f t="shared" si="2"/>
        <v>-66.381136269527545</v>
      </c>
      <c r="T21" s="60">
        <v>43617</v>
      </c>
      <c r="U21" s="61">
        <f>SUMIFS(Bets[Profit],Bets[Date],"&gt;="&amp;T21,Bets[Date],"&lt;"&amp;T22)</f>
        <v>-4.5664052287581702</v>
      </c>
    </row>
    <row r="22" spans="1:21" x14ac:dyDescent="0.25">
      <c r="A22" s="35">
        <f t="shared" si="0"/>
        <v>4</v>
      </c>
      <c r="B22" s="5">
        <v>43443</v>
      </c>
      <c r="C22" s="5" t="s">
        <v>133</v>
      </c>
      <c r="D22" s="57" t="s">
        <v>59</v>
      </c>
      <c r="E22" s="7" t="s">
        <v>60</v>
      </c>
      <c r="F22" s="33">
        <v>20</v>
      </c>
      <c r="G22" s="67">
        <v>-110</v>
      </c>
      <c r="H22" s="9" t="s">
        <v>6</v>
      </c>
      <c r="I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" s="8"/>
      <c r="L22" s="36">
        <f t="shared" si="1"/>
        <v>43470</v>
      </c>
      <c r="M22" s="51" t="str">
        <f>COUNTIFS(Bets[Date],L22,Bets[Result],"W")&amp;"-"&amp;COUNTIFS(Bets[Date],L22,Bets[Result],"L")&amp;IF(COUNTIFS(Bets[Date],L22,Bets[Result],"Push")&gt;0,"-"&amp;COUNTIFS(Bets[Date],L22,Bets[Result],"Push"),"")</f>
        <v>1-1-1</v>
      </c>
      <c r="N22" s="52">
        <f>IFERROR(COUNTIFS(Bets[Date],L22,Bets[Result],"W")/(COUNTIFS(Bets[Date],L22,Bets[Result],"W")+COUNTIFS(Bets[Date],L22,Bets[Result],"L")),"")</f>
        <v>0.5</v>
      </c>
      <c r="O22" s="38">
        <f>SUMIF(Bets[Date],L22,Bets[Profit])</f>
        <v>-0.90909090909090828</v>
      </c>
      <c r="P22" s="37" t="str">
        <f>IFERROR("("&amp;ROUND(SUMIF(Bets[Date],L22,Bets[Profit])/SUMIF(Bets[Date],L22,Bets[Risk]),2)*100&amp;"%)","")</f>
        <v>(-3%)</v>
      </c>
      <c r="Q22" s="65">
        <f t="shared" si="2"/>
        <v>-67.290227178618451</v>
      </c>
      <c r="T22" s="60">
        <v>43647</v>
      </c>
      <c r="U22" s="61">
        <f>SUMIFS(Bets[Profit],Bets[Date],"&gt;="&amp;T22,Bets[Date],"&lt;"&amp;T23)</f>
        <v>-49.810867358857877</v>
      </c>
    </row>
    <row r="23" spans="1:21" x14ac:dyDescent="0.25">
      <c r="A23" s="35">
        <f t="shared" si="0"/>
        <v>4</v>
      </c>
      <c r="B23" s="5">
        <v>43443</v>
      </c>
      <c r="C23" s="5" t="s">
        <v>133</v>
      </c>
      <c r="D23" s="57" t="s">
        <v>61</v>
      </c>
      <c r="E23" s="7" t="s">
        <v>62</v>
      </c>
      <c r="F23" s="33">
        <v>20</v>
      </c>
      <c r="G23" s="67">
        <v>-110</v>
      </c>
      <c r="H23" s="9" t="s">
        <v>6</v>
      </c>
      <c r="I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3" s="8"/>
      <c r="L23" s="36">
        <f t="shared" si="1"/>
        <v>43471</v>
      </c>
      <c r="M23" s="51" t="str">
        <f>COUNTIFS(Bets[Date],L23,Bets[Result],"W")&amp;"-"&amp;COUNTIFS(Bets[Date],L23,Bets[Result],"L")&amp;IF(COUNTIFS(Bets[Date],L23,Bets[Result],"Push")&gt;0,"-"&amp;COUNTIFS(Bets[Date],L23,Bets[Result],"Push"),"")</f>
        <v>3-3</v>
      </c>
      <c r="N23" s="52">
        <f>IFERROR(COUNTIFS(Bets[Date],L23,Bets[Result],"W")/(COUNTIFS(Bets[Date],L23,Bets[Result],"W")+COUNTIFS(Bets[Date],L23,Bets[Result],"L")),"")</f>
        <v>0.5</v>
      </c>
      <c r="O23" s="38">
        <f>SUMIF(Bets[Date],L23,Bets[Profit])</f>
        <v>0.76315789473684248</v>
      </c>
      <c r="P23" s="37" t="str">
        <f>IFERROR("("&amp;ROUND(SUMIF(Bets[Date],L23,Bets[Profit])/SUMIF(Bets[Date],L23,Bets[Risk]),2)*100&amp;"%)","")</f>
        <v>(1%)</v>
      </c>
      <c r="Q23" s="65">
        <f t="shared" si="2"/>
        <v>-66.527069283881616</v>
      </c>
      <c r="T23" s="60">
        <v>43678</v>
      </c>
      <c r="U23" s="61">
        <f>SUMIFS(Bets[Profit],Bets[Date],"&gt;="&amp;T23,Bets[Date],"&lt;"&amp;T24)</f>
        <v>20.8274279625365</v>
      </c>
    </row>
    <row r="24" spans="1:21" x14ac:dyDescent="0.25">
      <c r="A24" s="35">
        <f t="shared" si="0"/>
        <v>4</v>
      </c>
      <c r="B24" s="5">
        <v>43443</v>
      </c>
      <c r="C24" s="5" t="s">
        <v>133</v>
      </c>
      <c r="D24" s="57" t="s">
        <v>51</v>
      </c>
      <c r="E24" s="7" t="s">
        <v>52</v>
      </c>
      <c r="F24" s="33">
        <v>20</v>
      </c>
      <c r="G24" s="67">
        <v>-115</v>
      </c>
      <c r="H24" s="9" t="s">
        <v>65</v>
      </c>
      <c r="I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4" s="8"/>
      <c r="L24" s="36">
        <f t="shared" si="1"/>
        <v>43472</v>
      </c>
      <c r="M24" s="51" t="str">
        <f>COUNTIFS(Bets[Date],L24,Bets[Result],"W")&amp;"-"&amp;COUNTIFS(Bets[Date],L24,Bets[Result],"L")&amp;IF(COUNTIFS(Bets[Date],L24,Bets[Result],"Push")&gt;0,"-"&amp;COUNTIFS(Bets[Date],L24,Bets[Result],"Push"),"")</f>
        <v>11-3</v>
      </c>
      <c r="N24" s="52">
        <f>IFERROR(COUNTIFS(Bets[Date],L24,Bets[Result],"W")/(COUNTIFS(Bets[Date],L24,Bets[Result],"W")+COUNTIFS(Bets[Date],L24,Bets[Result],"L")),"")</f>
        <v>0.7857142857142857</v>
      </c>
      <c r="O24" s="38">
        <f>SUMIF(Bets[Date],L24,Bets[Profit])</f>
        <v>44.958639186900058</v>
      </c>
      <c r="P24" s="37" t="str">
        <f>IFERROR("("&amp;ROUND(SUMIF(Bets[Date],L24,Bets[Profit])/SUMIF(Bets[Date],L24,Bets[Risk]),2)*100&amp;"%)","")</f>
        <v>(64%)</v>
      </c>
      <c r="Q24" s="65">
        <f t="shared" si="2"/>
        <v>-21.568430096981558</v>
      </c>
      <c r="T24" s="60">
        <v>43709</v>
      </c>
      <c r="U24" s="61">
        <f>SUMIFS(Bets[Profit],Bets[Date],"&gt;="&amp;T24,Bets[Date],"&lt;"&amp;T25)</f>
        <v>-12.086678458015903</v>
      </c>
    </row>
    <row r="25" spans="1:21" x14ac:dyDescent="0.25">
      <c r="A25" s="35">
        <f t="shared" si="0"/>
        <v>4</v>
      </c>
      <c r="B25" s="5">
        <v>43443</v>
      </c>
      <c r="C25" s="5" t="s">
        <v>133</v>
      </c>
      <c r="D25" s="57" t="s">
        <v>53</v>
      </c>
      <c r="E25" s="7" t="s">
        <v>31</v>
      </c>
      <c r="F25" s="33">
        <v>20</v>
      </c>
      <c r="G25" s="67">
        <v>-115</v>
      </c>
      <c r="H25" s="9" t="s">
        <v>6</v>
      </c>
      <c r="I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5" s="8"/>
      <c r="L25" s="36">
        <f t="shared" si="1"/>
        <v>43473</v>
      </c>
      <c r="M25" s="51" t="str">
        <f>COUNTIFS(Bets[Date],L25,Bets[Result],"W")&amp;"-"&amp;COUNTIFS(Bets[Date],L25,Bets[Result],"L")&amp;IF(COUNTIFS(Bets[Date],L25,Bets[Result],"Push")&gt;0,"-"&amp;COUNTIFS(Bets[Date],L25,Bets[Result],"Push"),"")</f>
        <v>7-5</v>
      </c>
      <c r="N25" s="52">
        <f>IFERROR(COUNTIFS(Bets[Date],L25,Bets[Result],"W")/(COUNTIFS(Bets[Date],L25,Bets[Result],"W")+COUNTIFS(Bets[Date],L25,Bets[Result],"L")),"")</f>
        <v>0.58333333333333337</v>
      </c>
      <c r="O25" s="38">
        <f>SUMIF(Bets[Date],L25,Bets[Profit])</f>
        <v>7.5079992471296837</v>
      </c>
      <c r="P25" s="37" t="str">
        <f>IFERROR("("&amp;ROUND(SUMIF(Bets[Date],L25,Bets[Profit])/SUMIF(Bets[Date],L25,Bets[Risk]),2)*100&amp;"%)","")</f>
        <v>(13%)</v>
      </c>
      <c r="Q25" s="65">
        <f t="shared" si="2"/>
        <v>-14.060430849851874</v>
      </c>
      <c r="T25" s="60">
        <v>43739</v>
      </c>
      <c r="U25" s="61">
        <f>SUMIFS(Bets[Profit],Bets[Date],"&gt;="&amp;T25,Bets[Date],"&lt;"&amp;T26)</f>
        <v>357.59868620366922</v>
      </c>
    </row>
    <row r="26" spans="1:21" x14ac:dyDescent="0.25">
      <c r="A26" s="35">
        <f t="shared" si="0"/>
        <v>4</v>
      </c>
      <c r="B26" s="5">
        <v>43443</v>
      </c>
      <c r="C26" s="5" t="s">
        <v>133</v>
      </c>
      <c r="D26" s="57" t="s">
        <v>53</v>
      </c>
      <c r="E26" s="7" t="s">
        <v>63</v>
      </c>
      <c r="F26" s="33">
        <v>20</v>
      </c>
      <c r="G26" s="67">
        <v>-110</v>
      </c>
      <c r="H26" s="9" t="s">
        <v>36</v>
      </c>
      <c r="I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6" s="8"/>
      <c r="L26" s="36">
        <f t="shared" si="1"/>
        <v>43474</v>
      </c>
      <c r="M26" s="51" t="str">
        <f>COUNTIFS(Bets[Date],L26,Bets[Result],"W")&amp;"-"&amp;COUNTIFS(Bets[Date],L26,Bets[Result],"L")&amp;IF(COUNTIFS(Bets[Date],L26,Bets[Result],"Push")&gt;0,"-"&amp;COUNTIFS(Bets[Date],L26,Bets[Result],"Push"),"")</f>
        <v>10-4</v>
      </c>
      <c r="N26" s="52">
        <f>IFERROR(COUNTIFS(Bets[Date],L26,Bets[Result],"W")/(COUNTIFS(Bets[Date],L26,Bets[Result],"W")+COUNTIFS(Bets[Date],L26,Bets[Result],"L")),"")</f>
        <v>0.7142857142857143</v>
      </c>
      <c r="O26" s="38">
        <f>SUMIF(Bets[Date],L26,Bets[Profit])</f>
        <v>25.078110295501602</v>
      </c>
      <c r="P26" s="37" t="str">
        <f>IFERROR("("&amp;ROUND(SUMIF(Bets[Date],L26,Bets[Profit])/SUMIF(Bets[Date],L26,Bets[Risk]),2)*100&amp;"%)","")</f>
        <v>(36%)</v>
      </c>
      <c r="Q26" s="65">
        <f t="shared" si="2"/>
        <v>11.017679445649728</v>
      </c>
      <c r="T26" s="60">
        <v>43770</v>
      </c>
      <c r="U26" s="61">
        <f>SUMIFS(Bets[Profit],Bets[Date],"&gt;="&amp;T26,Bets[Date],"&lt;"&amp;T27)</f>
        <v>-629.04317888468358</v>
      </c>
    </row>
    <row r="27" spans="1:21" x14ac:dyDescent="0.25">
      <c r="A27" s="35">
        <f t="shared" si="0"/>
        <v>4</v>
      </c>
      <c r="B27" s="5">
        <v>43443</v>
      </c>
      <c r="C27" s="5" t="s">
        <v>133</v>
      </c>
      <c r="D27" s="57" t="s">
        <v>54</v>
      </c>
      <c r="E27" s="7" t="s">
        <v>55</v>
      </c>
      <c r="F27" s="33">
        <v>20</v>
      </c>
      <c r="G27" s="67">
        <v>-110</v>
      </c>
      <c r="H27" s="9" t="s">
        <v>36</v>
      </c>
      <c r="I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7" s="8"/>
      <c r="L27" s="36">
        <f t="shared" si="1"/>
        <v>43475</v>
      </c>
      <c r="M27" s="51" t="str">
        <f>COUNTIFS(Bets[Date],L27,Bets[Result],"W")&amp;"-"&amp;COUNTIFS(Bets[Date],L27,Bets[Result],"L")&amp;IF(COUNTIFS(Bets[Date],L27,Bets[Result],"Push")&gt;0,"-"&amp;COUNTIFS(Bets[Date],L27,Bets[Result],"Push"),"")</f>
        <v>5-4</v>
      </c>
      <c r="N27" s="52">
        <f>IFERROR(COUNTIFS(Bets[Date],L27,Bets[Result],"W")/(COUNTIFS(Bets[Date],L27,Bets[Result],"W")+COUNTIFS(Bets[Date],L27,Bets[Result],"L")),"")</f>
        <v>0.55555555555555558</v>
      </c>
      <c r="O27" s="38">
        <f>SUMIF(Bets[Date],L27,Bets[Profit])</f>
        <v>7.7294372294372344</v>
      </c>
      <c r="P27" s="37" t="str">
        <f>IFERROR("("&amp;ROUND(SUMIF(Bets[Date],L27,Bets[Profit])/SUMIF(Bets[Date],L27,Bets[Risk]),2)*100&amp;"%)","")</f>
        <v>(9%)</v>
      </c>
      <c r="Q27" s="65">
        <f t="shared" si="2"/>
        <v>18.747116675086964</v>
      </c>
      <c r="T27" s="60">
        <v>43800</v>
      </c>
      <c r="U27" s="61">
        <f>SUMIFS(Bets[Profit],Bets[Date],"&gt;="&amp;T27,Bets[Date],"&lt;"&amp;T28)</f>
        <v>-158.6984083043067</v>
      </c>
    </row>
    <row r="28" spans="1:21" x14ac:dyDescent="0.25">
      <c r="A28" s="35">
        <f t="shared" si="0"/>
        <v>4</v>
      </c>
      <c r="B28" s="5">
        <v>43443</v>
      </c>
      <c r="C28" s="5" t="s">
        <v>133</v>
      </c>
      <c r="D28" s="57" t="s">
        <v>56</v>
      </c>
      <c r="E28" s="7" t="s">
        <v>57</v>
      </c>
      <c r="F28" s="33">
        <v>20</v>
      </c>
      <c r="G28" s="67">
        <v>-110</v>
      </c>
      <c r="H28" s="9" t="s">
        <v>6</v>
      </c>
      <c r="I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8" s="8"/>
      <c r="L28" s="36">
        <f t="shared" si="1"/>
        <v>43476</v>
      </c>
      <c r="M28" s="51" t="str">
        <f>COUNTIFS(Bets[Date],L28,Bets[Result],"W")&amp;"-"&amp;COUNTIFS(Bets[Date],L28,Bets[Result],"L")&amp;IF(COUNTIFS(Bets[Date],L28,Bets[Result],"Push")&gt;0,"-"&amp;COUNTIFS(Bets[Date],L28,Bets[Result],"Push"),"")</f>
        <v>5-8</v>
      </c>
      <c r="N28" s="52">
        <f>IFERROR(COUNTIFS(Bets[Date],L28,Bets[Result],"W")/(COUNTIFS(Bets[Date],L28,Bets[Result],"W")+COUNTIFS(Bets[Date],L28,Bets[Result],"L")),"")</f>
        <v>0.38461538461538464</v>
      </c>
      <c r="O28" s="38">
        <f>SUMIF(Bets[Date],L28,Bets[Profit])</f>
        <v>-34.470167513645769</v>
      </c>
      <c r="P28" s="37" t="str">
        <f>IFERROR("("&amp;ROUND(SUMIF(Bets[Date],L28,Bets[Profit])/SUMIF(Bets[Date],L28,Bets[Risk]),2)*100&amp;"%)","")</f>
        <v>(-27%)</v>
      </c>
      <c r="Q28" s="65">
        <f t="shared" si="2"/>
        <v>-15.723050838558805</v>
      </c>
      <c r="T28" s="60">
        <v>43831</v>
      </c>
      <c r="U28" s="61">
        <f>SUMIFS(Bets[Profit],Bets[Date],"&gt;="&amp;T28,Bets[Date],"&lt;"&amp;T29)</f>
        <v>-364.86476723288371</v>
      </c>
    </row>
    <row r="29" spans="1:21" x14ac:dyDescent="0.25">
      <c r="A29" s="35">
        <f t="shared" si="0"/>
        <v>4</v>
      </c>
      <c r="B29" s="5">
        <v>43443</v>
      </c>
      <c r="C29" s="5" t="s">
        <v>133</v>
      </c>
      <c r="D29" s="57" t="s">
        <v>58</v>
      </c>
      <c r="E29" s="7" t="s">
        <v>64</v>
      </c>
      <c r="F29" s="33">
        <v>20</v>
      </c>
      <c r="G29" s="67">
        <v>-110</v>
      </c>
      <c r="H29" s="9" t="s">
        <v>6</v>
      </c>
      <c r="I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9" s="8"/>
      <c r="L29" s="36">
        <f t="shared" si="1"/>
        <v>43479</v>
      </c>
      <c r="M29" s="51" t="str">
        <f>COUNTIFS(Bets[Date],L29,Bets[Result],"W")&amp;"-"&amp;COUNTIFS(Bets[Date],L29,Bets[Result],"L")&amp;IF(COUNTIFS(Bets[Date],L29,Bets[Result],"Push")&gt;0,"-"&amp;COUNTIFS(Bets[Date],L29,Bets[Result],"Push"),"")</f>
        <v>6-6</v>
      </c>
      <c r="N29" s="52">
        <f>IFERROR(COUNTIFS(Bets[Date],L29,Bets[Result],"W")/(COUNTIFS(Bets[Date],L29,Bets[Result],"W")+COUNTIFS(Bets[Date],L29,Bets[Result],"L")),"")</f>
        <v>0.5</v>
      </c>
      <c r="O29" s="38">
        <f>SUMIF(Bets[Date],L29,Bets[Profit])</f>
        <v>-2.5078110295501563</v>
      </c>
      <c r="P29" s="37" t="str">
        <f>IFERROR("("&amp;ROUND(SUMIF(Bets[Date],L29,Bets[Profit])/SUMIF(Bets[Date],L29,Bets[Risk]),2)*100&amp;"%)","")</f>
        <v>(-2%)</v>
      </c>
      <c r="Q29" s="65">
        <f t="shared" si="2"/>
        <v>-18.23086186810896</v>
      </c>
      <c r="T29" s="60">
        <v>43862</v>
      </c>
      <c r="U29" s="61">
        <f>SUMIFS(Bets[Profit],Bets[Date],"&gt;="&amp;T29,Bets[Date],"&lt;"&amp;T30)</f>
        <v>0</v>
      </c>
    </row>
    <row r="30" spans="1:21" x14ac:dyDescent="0.25">
      <c r="A30" s="35">
        <f t="shared" si="0"/>
        <v>4</v>
      </c>
      <c r="B30" s="5">
        <v>43443</v>
      </c>
      <c r="C30" s="5" t="s">
        <v>133</v>
      </c>
      <c r="D30" s="57" t="s">
        <v>66</v>
      </c>
      <c r="E30" s="7" t="s">
        <v>67</v>
      </c>
      <c r="F30" s="33">
        <v>10</v>
      </c>
      <c r="G30" s="67">
        <v>-110</v>
      </c>
      <c r="H30" s="9" t="s">
        <v>36</v>
      </c>
      <c r="I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" s="8"/>
      <c r="L30" s="36">
        <f t="shared" si="1"/>
        <v>43480</v>
      </c>
      <c r="M30" s="51" t="str">
        <f>COUNTIFS(Bets[Date],L30,Bets[Result],"W")&amp;"-"&amp;COUNTIFS(Bets[Date],L30,Bets[Result],"L")&amp;IF(COUNTIFS(Bets[Date],L30,Bets[Result],"Push")&gt;0,"-"&amp;COUNTIFS(Bets[Date],L30,Bets[Result],"Push"),"")</f>
        <v>3-6-1</v>
      </c>
      <c r="N30" s="52">
        <f>IFERROR(COUNTIFS(Bets[Date],L30,Bets[Result],"W")/(COUNTIFS(Bets[Date],L30,Bets[Result],"W")+COUNTIFS(Bets[Date],L30,Bets[Result],"L")),"")</f>
        <v>0.33333333333333331</v>
      </c>
      <c r="O30" s="38">
        <f>SUMIF(Bets[Date],L30,Bets[Profit])</f>
        <v>-32.72727272727272</v>
      </c>
      <c r="P30" s="37" t="str">
        <f>IFERROR("("&amp;ROUND(SUMIF(Bets[Date],L30,Bets[Profit])/SUMIF(Bets[Date],L30,Bets[Risk]),2)*100&amp;"%)","")</f>
        <v>(-33%)</v>
      </c>
      <c r="Q30" s="65">
        <f t="shared" si="2"/>
        <v>-50.958134595381679</v>
      </c>
      <c r="T30" s="60">
        <v>43891</v>
      </c>
      <c r="U30" s="61">
        <f>SUMIFS(Bets[Profit],Bets[Date],"&gt;="&amp;T30,Bets[Date],"&lt;"&amp;T31)</f>
        <v>0</v>
      </c>
    </row>
    <row r="31" spans="1:21" x14ac:dyDescent="0.25">
      <c r="A31" s="35">
        <f t="shared" si="0"/>
        <v>4</v>
      </c>
      <c r="B31" s="5">
        <v>43443</v>
      </c>
      <c r="C31" s="5" t="s">
        <v>133</v>
      </c>
      <c r="D31" s="57" t="s">
        <v>68</v>
      </c>
      <c r="E31" s="7" t="s">
        <v>69</v>
      </c>
      <c r="F31" s="33">
        <v>10</v>
      </c>
      <c r="G31" s="67">
        <v>-105</v>
      </c>
      <c r="H31" s="9" t="s">
        <v>36</v>
      </c>
      <c r="I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1" s="8"/>
      <c r="L31" s="36">
        <f t="shared" si="1"/>
        <v>43481</v>
      </c>
      <c r="M31" s="51" t="str">
        <f>COUNTIFS(Bets[Date],L31,Bets[Result],"W")&amp;"-"&amp;COUNTIFS(Bets[Date],L31,Bets[Result],"L")&amp;IF(COUNTIFS(Bets[Date],L31,Bets[Result],"Push")&gt;0,"-"&amp;COUNTIFS(Bets[Date],L31,Bets[Result],"Push"),"")</f>
        <v>3-10-2</v>
      </c>
      <c r="N31" s="52">
        <f>IFERROR(COUNTIFS(Bets[Date],L31,Bets[Result],"W")/(COUNTIFS(Bets[Date],L31,Bets[Result],"W")+COUNTIFS(Bets[Date],L31,Bets[Result],"L")),"")</f>
        <v>0.23076923076923078</v>
      </c>
      <c r="O31" s="38">
        <f>SUMIF(Bets[Date],L31,Bets[Profit])</f>
        <v>-36.36363636363636</v>
      </c>
      <c r="P31" s="37" t="str">
        <f>IFERROR("("&amp;ROUND(SUMIF(Bets[Date],L31,Bets[Profit])/SUMIF(Bets[Date],L31,Bets[Risk]),2)*100&amp;"%)","")</f>
        <v>(-48%)</v>
      </c>
      <c r="Q31" s="65">
        <f t="shared" si="2"/>
        <v>-87.321770959018039</v>
      </c>
      <c r="T31" s="60">
        <v>43922</v>
      </c>
      <c r="U31" s="61">
        <f>SUMIFS(Bets[Profit],Bets[Date],"&gt;="&amp;T31,Bets[Date],"&lt;"&amp;T32)</f>
        <v>0</v>
      </c>
    </row>
    <row r="32" spans="1:21" x14ac:dyDescent="0.25">
      <c r="A32" s="35">
        <f t="shared" si="0"/>
        <v>4</v>
      </c>
      <c r="B32" s="5">
        <v>43443</v>
      </c>
      <c r="C32" s="5" t="s">
        <v>133</v>
      </c>
      <c r="D32" s="57" t="s">
        <v>68</v>
      </c>
      <c r="E32" s="7" t="s">
        <v>77</v>
      </c>
      <c r="F32" s="33">
        <v>10</v>
      </c>
      <c r="G32" s="67">
        <v>-115</v>
      </c>
      <c r="H32" s="9" t="s">
        <v>6</v>
      </c>
      <c r="I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2" s="8"/>
      <c r="L32" s="36">
        <f t="shared" si="1"/>
        <v>43482</v>
      </c>
      <c r="M32" s="51" t="str">
        <f>COUNTIFS(Bets[Date],L32,Bets[Result],"W")&amp;"-"&amp;COUNTIFS(Bets[Date],L32,Bets[Result],"L")&amp;IF(COUNTIFS(Bets[Date],L32,Bets[Result],"Push")&gt;0,"-"&amp;COUNTIFS(Bets[Date],L32,Bets[Result],"Push"),"")</f>
        <v>6-5</v>
      </c>
      <c r="N32" s="52">
        <f>IFERROR(COUNTIFS(Bets[Date],L32,Bets[Result],"W")/(COUNTIFS(Bets[Date],L32,Bets[Result],"W")+COUNTIFS(Bets[Date],L32,Bets[Result],"L")),"")</f>
        <v>0.54545454545454541</v>
      </c>
      <c r="O32" s="38">
        <f>SUMIF(Bets[Date],L32,Bets[Profit])</f>
        <v>4.0296442687747049</v>
      </c>
      <c r="P32" s="37" t="str">
        <f>IFERROR("("&amp;ROUND(SUMIF(Bets[Date],L32,Bets[Profit])/SUMIF(Bets[Date],L32,Bets[Risk]),2)*100&amp;"%)","")</f>
        <v>(7%)</v>
      </c>
      <c r="Q32" s="65">
        <f t="shared" si="2"/>
        <v>-83.292126690243336</v>
      </c>
      <c r="T32" s="60">
        <v>43952</v>
      </c>
      <c r="U32" s="61">
        <f>SUMIFS(Bets[Profit],Bets[Date],"&gt;="&amp;T32,Bets[Date],"&lt;"&amp;T33)</f>
        <v>0</v>
      </c>
    </row>
    <row r="33" spans="1:20" x14ac:dyDescent="0.25">
      <c r="A33" s="35">
        <f t="shared" si="0"/>
        <v>5</v>
      </c>
      <c r="B33" s="5">
        <v>43444</v>
      </c>
      <c r="C33" s="5" t="s">
        <v>133</v>
      </c>
      <c r="D33" s="57" t="s">
        <v>71</v>
      </c>
      <c r="E33" s="7" t="s">
        <v>72</v>
      </c>
      <c r="F33" s="33">
        <v>10</v>
      </c>
      <c r="G33" s="67">
        <v>-115</v>
      </c>
      <c r="H33" s="9" t="s">
        <v>36</v>
      </c>
      <c r="I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3" s="8"/>
      <c r="L33" s="36">
        <f t="shared" si="1"/>
        <v>43483</v>
      </c>
      <c r="M33" s="51" t="str">
        <f>COUNTIFS(Bets[Date],L33,Bets[Result],"W")&amp;"-"&amp;COUNTIFS(Bets[Date],L33,Bets[Result],"L")&amp;IF(COUNTIFS(Bets[Date],L33,Bets[Result],"Push")&gt;0,"-"&amp;COUNTIFS(Bets[Date],L33,Bets[Result],"Push"),"")</f>
        <v>11-8-1</v>
      </c>
      <c r="N33" s="52">
        <f>IFERROR(COUNTIFS(Bets[Date],L33,Bets[Result],"W")/(COUNTIFS(Bets[Date],L33,Bets[Result],"W")+COUNTIFS(Bets[Date],L33,Bets[Result],"L")),"")</f>
        <v>0.57894736842105265</v>
      </c>
      <c r="O33" s="38">
        <f>SUMIF(Bets[Date],L33,Bets[Profit])</f>
        <v>9.886128364389335E-2</v>
      </c>
      <c r="P33" s="37" t="str">
        <f>IFERROR("("&amp;ROUND(SUMIF(Bets[Date],L33,Bets[Profit])/SUMIF(Bets[Date],L33,Bets[Risk]),2)*100&amp;"%)","")</f>
        <v>(0%)</v>
      </c>
      <c r="Q33" s="65">
        <f t="shared" si="2"/>
        <v>-83.193265406599437</v>
      </c>
      <c r="T33" s="60">
        <v>43983</v>
      </c>
    </row>
    <row r="34" spans="1:20" x14ac:dyDescent="0.25">
      <c r="A34" s="35">
        <f t="shared" si="0"/>
        <v>6</v>
      </c>
      <c r="B34" s="5">
        <v>43447</v>
      </c>
      <c r="C34" s="5" t="s">
        <v>133</v>
      </c>
      <c r="D34" s="57" t="s">
        <v>73</v>
      </c>
      <c r="E34" s="7" t="s">
        <v>74</v>
      </c>
      <c r="F34" s="33">
        <v>10</v>
      </c>
      <c r="G34" s="67">
        <v>-110</v>
      </c>
      <c r="H34" s="9" t="s">
        <v>36</v>
      </c>
      <c r="I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4" s="8"/>
      <c r="L34" s="36">
        <f t="shared" si="1"/>
        <v>43485</v>
      </c>
      <c r="M34" s="51" t="str">
        <f>COUNTIFS(Bets[Date],L34,Bets[Result],"W")&amp;"-"&amp;COUNTIFS(Bets[Date],L34,Bets[Result],"L")&amp;IF(COUNTIFS(Bets[Date],L34,Bets[Result],"Push")&gt;0,"-"&amp;COUNTIFS(Bets[Date],L34,Bets[Result],"Push"),"")</f>
        <v>1-0</v>
      </c>
      <c r="N34" s="52">
        <f>IFERROR(COUNTIFS(Bets[Date],L34,Bets[Result],"W")/(COUNTIFS(Bets[Date],L34,Bets[Result],"W")+COUNTIFS(Bets[Date],L34,Bets[Result],"L")),"")</f>
        <v>1</v>
      </c>
      <c r="O34" s="38">
        <f>SUMIF(Bets[Date],L34,Bets[Profit])</f>
        <v>9.0909090909090917</v>
      </c>
      <c r="P34" s="37" t="str">
        <f>IFERROR("("&amp;ROUND(SUMIF(Bets[Date],L34,Bets[Profit])/SUMIF(Bets[Date],L34,Bets[Risk]),2)*100&amp;"%)","")</f>
        <v>(91%)</v>
      </c>
      <c r="Q34" s="65">
        <f t="shared" si="2"/>
        <v>-74.102356315690344</v>
      </c>
    </row>
    <row r="35" spans="1:20" x14ac:dyDescent="0.25">
      <c r="A35" s="35">
        <f t="shared" si="0"/>
        <v>6</v>
      </c>
      <c r="B35" s="5">
        <v>43447</v>
      </c>
      <c r="C35" s="5" t="s">
        <v>133</v>
      </c>
      <c r="D35" s="57" t="s">
        <v>73</v>
      </c>
      <c r="E35" s="7" t="s">
        <v>75</v>
      </c>
      <c r="F35" s="33">
        <v>10</v>
      </c>
      <c r="G35" s="67">
        <v>-115</v>
      </c>
      <c r="H35" s="9" t="s">
        <v>36</v>
      </c>
      <c r="I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5" s="8"/>
      <c r="L35" s="36">
        <f t="shared" si="1"/>
        <v>43486</v>
      </c>
      <c r="M35" s="51" t="str">
        <f>COUNTIFS(Bets[Date],L35,Bets[Result],"W")&amp;"-"&amp;COUNTIFS(Bets[Date],L35,Bets[Result],"L")&amp;IF(COUNTIFS(Bets[Date],L35,Bets[Result],"Push")&gt;0,"-"&amp;COUNTIFS(Bets[Date],L35,Bets[Result],"Push"),"")</f>
        <v>5-7</v>
      </c>
      <c r="N35" s="52">
        <f>IFERROR(COUNTIFS(Bets[Date],L35,Bets[Result],"W")/(COUNTIFS(Bets[Date],L35,Bets[Result],"W")+COUNTIFS(Bets[Date],L35,Bets[Result],"L")),"")</f>
        <v>0.41666666666666669</v>
      </c>
      <c r="O35" s="38">
        <f>SUMIF(Bets[Date],L35,Bets[Profit])</f>
        <v>-4.8225108225108224</v>
      </c>
      <c r="P35" s="37" t="str">
        <f>IFERROR("("&amp;ROUND(SUMIF(Bets[Date],L35,Bets[Profit])/SUMIF(Bets[Date],L35,Bets[Risk]),2)*100&amp;"%)","")</f>
        <v>(-20%)</v>
      </c>
      <c r="Q35" s="65">
        <f t="shared" si="2"/>
        <v>-78.924867138201165</v>
      </c>
    </row>
    <row r="36" spans="1:20" x14ac:dyDescent="0.25">
      <c r="A36" s="35">
        <f t="shared" si="0"/>
        <v>7</v>
      </c>
      <c r="B36" s="5">
        <v>43449</v>
      </c>
      <c r="C36" s="5" t="s">
        <v>133</v>
      </c>
      <c r="D36" s="57" t="s">
        <v>76</v>
      </c>
      <c r="E36" s="7" t="s">
        <v>77</v>
      </c>
      <c r="F36" s="33">
        <v>10</v>
      </c>
      <c r="G36" s="67">
        <v>-115</v>
      </c>
      <c r="H36" s="9" t="s">
        <v>6</v>
      </c>
      <c r="I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6" s="8"/>
      <c r="L36" s="36">
        <f t="shared" ref="L36:L67" si="3">IFERROR(VLOOKUP(ROW()-3,A:B,2,0),0)</f>
        <v>43487</v>
      </c>
      <c r="M36" s="51" t="str">
        <f>COUNTIFS(Bets[Date],L36,Bets[Result],"W")&amp;"-"&amp;COUNTIFS(Bets[Date],L36,Bets[Result],"L")&amp;IF(COUNTIFS(Bets[Date],L36,Bets[Result],"Push")&gt;0,"-"&amp;COUNTIFS(Bets[Date],L36,Bets[Result],"Push"),"")</f>
        <v>7-9</v>
      </c>
      <c r="N36" s="52">
        <f>IFERROR(COUNTIFS(Bets[Date],L36,Bets[Result],"W")/(COUNTIFS(Bets[Date],L36,Bets[Result],"W")+COUNTIFS(Bets[Date],L36,Bets[Result],"L")),"")</f>
        <v>0.4375</v>
      </c>
      <c r="O36" s="38">
        <f>SUMIF(Bets[Date],L36,Bets[Profit])</f>
        <v>-5.5098814229249014</v>
      </c>
      <c r="P36" s="37" t="str">
        <f>IFERROR("("&amp;ROUND(SUMIF(Bets[Date],L36,Bets[Profit])/SUMIF(Bets[Date],L36,Bets[Risk]),2)*100&amp;"%)","")</f>
        <v>(-17%)</v>
      </c>
      <c r="Q36" s="65">
        <f t="shared" si="2"/>
        <v>-84.434748561126071</v>
      </c>
    </row>
    <row r="37" spans="1:20" x14ac:dyDescent="0.25">
      <c r="A37" s="35">
        <f t="shared" si="0"/>
        <v>7</v>
      </c>
      <c r="B37" s="5">
        <v>43449</v>
      </c>
      <c r="C37" s="5" t="s">
        <v>133</v>
      </c>
      <c r="D37" s="57" t="s">
        <v>76</v>
      </c>
      <c r="E37" s="7" t="s">
        <v>78</v>
      </c>
      <c r="F37" s="33">
        <v>10</v>
      </c>
      <c r="G37" s="67">
        <v>-115</v>
      </c>
      <c r="H37" s="9" t="s">
        <v>65</v>
      </c>
      <c r="I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7" s="8"/>
      <c r="L37" s="36">
        <f t="shared" si="3"/>
        <v>43489</v>
      </c>
      <c r="M37" s="51" t="str">
        <f>COUNTIFS(Bets[Date],L37,Bets[Result],"W")&amp;"-"&amp;COUNTIFS(Bets[Date],L37,Bets[Result],"L")&amp;IF(COUNTIFS(Bets[Date],L37,Bets[Result],"Push")&gt;0,"-"&amp;COUNTIFS(Bets[Date],L37,Bets[Result],"Push"),"")</f>
        <v>12-8</v>
      </c>
      <c r="N37" s="52">
        <f>IFERROR(COUNTIFS(Bets[Date],L37,Bets[Result],"W")/(COUNTIFS(Bets[Date],L37,Bets[Result],"W")+COUNTIFS(Bets[Date],L37,Bets[Result],"L")),"")</f>
        <v>0.6</v>
      </c>
      <c r="O37" s="38">
        <f>SUMIF(Bets[Date],L37,Bets[Profit])</f>
        <v>6.9956709956709968</v>
      </c>
      <c r="P37" s="37" t="str">
        <f>IFERROR("("&amp;ROUND(SUMIF(Bets[Date],L37,Bets[Profit])/SUMIF(Bets[Date],L37,Bets[Risk]),2)*100&amp;"%)","")</f>
        <v>(12%)</v>
      </c>
      <c r="Q37" s="65">
        <f t="shared" si="2"/>
        <v>-77.439077565455079</v>
      </c>
    </row>
    <row r="38" spans="1:20" x14ac:dyDescent="0.25">
      <c r="A38" s="35">
        <f t="shared" si="0"/>
        <v>7</v>
      </c>
      <c r="B38" s="5">
        <v>43449</v>
      </c>
      <c r="C38" s="5" t="s">
        <v>133</v>
      </c>
      <c r="D38" s="57" t="s">
        <v>79</v>
      </c>
      <c r="E38" s="7" t="s">
        <v>80</v>
      </c>
      <c r="F38" s="33">
        <v>10</v>
      </c>
      <c r="G38" s="67">
        <v>-110</v>
      </c>
      <c r="H38" s="9" t="s">
        <v>36</v>
      </c>
      <c r="I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8" s="8"/>
      <c r="L38" s="36">
        <f t="shared" si="3"/>
        <v>43490</v>
      </c>
      <c r="M38" s="51" t="str">
        <f>COUNTIFS(Bets[Date],L38,Bets[Result],"W")&amp;"-"&amp;COUNTIFS(Bets[Date],L38,Bets[Result],"L")&amp;IF(COUNTIFS(Bets[Date],L38,Bets[Result],"Push")&gt;0,"-"&amp;COUNTIFS(Bets[Date],L38,Bets[Result],"Push"),"")</f>
        <v>9-4</v>
      </c>
      <c r="N38" s="52">
        <f>IFERROR(COUNTIFS(Bets[Date],L38,Bets[Result],"W")/(COUNTIFS(Bets[Date],L38,Bets[Result],"W")+COUNTIFS(Bets[Date],L38,Bets[Result],"L")),"")</f>
        <v>0.69230769230769229</v>
      </c>
      <c r="O38" s="38">
        <f>SUMIF(Bets[Date],L38,Bets[Profit])</f>
        <v>8.2996423865989097</v>
      </c>
      <c r="P38" s="37" t="str">
        <f>IFERROR("("&amp;ROUND(SUMIF(Bets[Date],L38,Bets[Profit])/SUMIF(Bets[Date],L38,Bets[Risk]),2)*100&amp;"%)","")</f>
        <v>(32%)</v>
      </c>
      <c r="Q38" s="65">
        <f t="shared" si="2"/>
        <v>-69.139435178856175</v>
      </c>
    </row>
    <row r="39" spans="1:20" x14ac:dyDescent="0.25">
      <c r="A39" s="35">
        <f t="shared" si="0"/>
        <v>8</v>
      </c>
      <c r="B39" s="5">
        <v>43450</v>
      </c>
      <c r="C39" s="5" t="s">
        <v>133</v>
      </c>
      <c r="D39" s="57" t="s">
        <v>81</v>
      </c>
      <c r="E39" s="7" t="s">
        <v>82</v>
      </c>
      <c r="F39" s="33">
        <v>10</v>
      </c>
      <c r="G39" s="67">
        <v>-115</v>
      </c>
      <c r="H39" s="9" t="s">
        <v>6</v>
      </c>
      <c r="I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9" s="8"/>
      <c r="L39" s="36">
        <f t="shared" si="3"/>
        <v>43491</v>
      </c>
      <c r="M39" s="51" t="str">
        <f>COUNTIFS(Bets[Date],L39,Bets[Result],"W")&amp;"-"&amp;COUNTIFS(Bets[Date],L39,Bets[Result],"L")&amp;IF(COUNTIFS(Bets[Date],L39,Bets[Result],"Push")&gt;0,"-"&amp;COUNTIFS(Bets[Date],L39,Bets[Result],"Push"),"")</f>
        <v>4-3</v>
      </c>
      <c r="N39" s="52">
        <f>IFERROR(COUNTIFS(Bets[Date],L39,Bets[Result],"W")/(COUNTIFS(Bets[Date],L39,Bets[Result],"W")+COUNTIFS(Bets[Date],L39,Bets[Result],"L")),"")</f>
        <v>0.5714285714285714</v>
      </c>
      <c r="O39" s="38">
        <f>SUMIF(Bets[Date],L39,Bets[Profit])</f>
        <v>7.5296442687747041</v>
      </c>
      <c r="P39" s="37" t="str">
        <f>IFERROR("("&amp;ROUND(SUMIF(Bets[Date],L39,Bets[Profit])/SUMIF(Bets[Date],L39,Bets[Risk]),2)*100&amp;"%)","")</f>
        <v>(19%)</v>
      </c>
      <c r="Q39" s="65">
        <f t="shared" si="2"/>
        <v>-61.609790910081472</v>
      </c>
    </row>
    <row r="40" spans="1:20" x14ac:dyDescent="0.25">
      <c r="A40" s="35">
        <f t="shared" si="0"/>
        <v>8</v>
      </c>
      <c r="B40" s="5">
        <v>43450</v>
      </c>
      <c r="C40" s="5" t="s">
        <v>133</v>
      </c>
      <c r="D40" s="57" t="s">
        <v>81</v>
      </c>
      <c r="E40" s="7" t="s">
        <v>70</v>
      </c>
      <c r="F40" s="33">
        <v>10</v>
      </c>
      <c r="G40" s="67">
        <v>-120</v>
      </c>
      <c r="H40" s="9" t="s">
        <v>36</v>
      </c>
      <c r="I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8.3333333333333321</v>
      </c>
      <c r="J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0" s="8"/>
      <c r="L40" s="36">
        <f t="shared" si="3"/>
        <v>43492</v>
      </c>
      <c r="M40" s="51" t="str">
        <f>COUNTIFS(Bets[Date],L40,Bets[Result],"W")&amp;"-"&amp;COUNTIFS(Bets[Date],L40,Bets[Result],"L")&amp;IF(COUNTIFS(Bets[Date],L40,Bets[Result],"Push")&gt;0,"-"&amp;COUNTIFS(Bets[Date],L40,Bets[Result],"Push"),"")</f>
        <v>1-0</v>
      </c>
      <c r="N40" s="52">
        <f>IFERROR(COUNTIFS(Bets[Date],L40,Bets[Result],"W")/(COUNTIFS(Bets[Date],L40,Bets[Result],"W")+COUNTIFS(Bets[Date],L40,Bets[Result],"L")),"")</f>
        <v>1</v>
      </c>
      <c r="O40" s="38">
        <f>SUMIF(Bets[Date],L40,Bets[Profit])</f>
        <v>10</v>
      </c>
      <c r="P40" s="37" t="str">
        <f>IFERROR("("&amp;ROUND(SUMIF(Bets[Date],L40,Bets[Profit])/SUMIF(Bets[Date],L40,Bets[Risk]),2)*100&amp;"%)","")</f>
        <v>(80%)</v>
      </c>
      <c r="Q40" s="65">
        <f t="shared" si="2"/>
        <v>-51.609790910081472</v>
      </c>
    </row>
    <row r="41" spans="1:20" x14ac:dyDescent="0.25">
      <c r="A41" s="35">
        <f t="shared" si="0"/>
        <v>8</v>
      </c>
      <c r="B41" s="5">
        <v>43450</v>
      </c>
      <c r="C41" s="5" t="s">
        <v>133</v>
      </c>
      <c r="D41" s="57" t="s">
        <v>83</v>
      </c>
      <c r="E41" s="7" t="s">
        <v>28</v>
      </c>
      <c r="F41" s="33">
        <v>10</v>
      </c>
      <c r="G41" s="67">
        <v>-115</v>
      </c>
      <c r="H41" s="9" t="s">
        <v>36</v>
      </c>
      <c r="I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1" s="8"/>
      <c r="L41" s="36">
        <f t="shared" si="3"/>
        <v>43493</v>
      </c>
      <c r="M41" s="51" t="str">
        <f>COUNTIFS(Bets[Date],L41,Bets[Result],"W")&amp;"-"&amp;COUNTIFS(Bets[Date],L41,Bets[Result],"L")&amp;IF(COUNTIFS(Bets[Date],L41,Bets[Result],"Push")&gt;0,"-"&amp;COUNTIFS(Bets[Date],L41,Bets[Result],"Push"),"")</f>
        <v>11-9</v>
      </c>
      <c r="N41" s="52">
        <f>IFERROR(COUNTIFS(Bets[Date],L41,Bets[Result],"W")/(COUNTIFS(Bets[Date],L41,Bets[Result],"W")+COUNTIFS(Bets[Date],L41,Bets[Result],"L")),"")</f>
        <v>0.55000000000000004</v>
      </c>
      <c r="O41" s="38">
        <f>SUMIF(Bets[Date],L41,Bets[Profit])</f>
        <v>14.94240542066629</v>
      </c>
      <c r="P41" s="37" t="str">
        <f>IFERROR("("&amp;ROUND(SUMIF(Bets[Date],L41,Bets[Profit])/SUMIF(Bets[Date],L41,Bets[Risk]),2)*100&amp;"%)","")</f>
        <v>(20%)</v>
      </c>
      <c r="Q41" s="65">
        <f t="shared" si="2"/>
        <v>-36.667385489415182</v>
      </c>
    </row>
    <row r="42" spans="1:20" x14ac:dyDescent="0.25">
      <c r="A42" s="35">
        <f t="shared" si="0"/>
        <v>8</v>
      </c>
      <c r="B42" s="5">
        <v>43450</v>
      </c>
      <c r="C42" s="5" t="s">
        <v>133</v>
      </c>
      <c r="D42" s="57" t="s">
        <v>84</v>
      </c>
      <c r="E42" s="7" t="s">
        <v>85</v>
      </c>
      <c r="F42" s="33">
        <v>10</v>
      </c>
      <c r="G42" s="67">
        <v>-120</v>
      </c>
      <c r="H42" s="9" t="s">
        <v>36</v>
      </c>
      <c r="I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8.3333333333333321</v>
      </c>
      <c r="J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" s="8"/>
      <c r="L42" s="36">
        <f t="shared" si="3"/>
        <v>43494</v>
      </c>
      <c r="M42" s="51" t="str">
        <f>COUNTIFS(Bets[Date],L42,Bets[Result],"W")&amp;"-"&amp;COUNTIFS(Bets[Date],L42,Bets[Result],"L")&amp;IF(COUNTIFS(Bets[Date],L42,Bets[Result],"Push")&gt;0,"-"&amp;COUNTIFS(Bets[Date],L42,Bets[Result],"Push"),"")</f>
        <v>7-4-1</v>
      </c>
      <c r="N42" s="52">
        <f>IFERROR(COUNTIFS(Bets[Date],L42,Bets[Result],"W")/(COUNTIFS(Bets[Date],L42,Bets[Result],"W")+COUNTIFS(Bets[Date],L42,Bets[Result],"L")),"")</f>
        <v>0.63636363636363635</v>
      </c>
      <c r="O42" s="38">
        <f>SUMIF(Bets[Date],L42,Bets[Profit])</f>
        <v>11.441746659137966</v>
      </c>
      <c r="P42" s="37" t="str">
        <f>IFERROR("("&amp;ROUND(SUMIF(Bets[Date],L42,Bets[Profit])/SUMIF(Bets[Date],L42,Bets[Risk]),2)*100&amp;"%)","")</f>
        <v>(19%)</v>
      </c>
      <c r="Q42" s="65">
        <f t="shared" si="2"/>
        <v>-25.225638830277216</v>
      </c>
    </row>
    <row r="43" spans="1:20" x14ac:dyDescent="0.25">
      <c r="A43" s="35">
        <f t="shared" si="0"/>
        <v>8</v>
      </c>
      <c r="B43" s="5">
        <v>43450</v>
      </c>
      <c r="C43" s="5" t="s">
        <v>133</v>
      </c>
      <c r="D43" s="57" t="s">
        <v>86</v>
      </c>
      <c r="E43" s="7" t="s">
        <v>38</v>
      </c>
      <c r="F43" s="33">
        <v>10</v>
      </c>
      <c r="G43" s="67">
        <v>-115</v>
      </c>
      <c r="H43" s="9" t="s">
        <v>6</v>
      </c>
      <c r="I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3" s="8"/>
      <c r="L43" s="36">
        <f t="shared" si="3"/>
        <v>43495</v>
      </c>
      <c r="M43" s="51" t="str">
        <f>COUNTIFS(Bets[Date],L43,Bets[Result],"W")&amp;"-"&amp;COUNTIFS(Bets[Date],L43,Bets[Result],"L")&amp;IF(COUNTIFS(Bets[Date],L43,Bets[Result],"Push")&gt;0,"-"&amp;COUNTIFS(Bets[Date],L43,Bets[Result],"Push"),"")</f>
        <v>14-18</v>
      </c>
      <c r="N43" s="52">
        <f>IFERROR(COUNTIFS(Bets[Date],L43,Bets[Result],"W")/(COUNTIFS(Bets[Date],L43,Bets[Result],"W")+COUNTIFS(Bets[Date],L43,Bets[Result],"L")),"")</f>
        <v>0.4375</v>
      </c>
      <c r="O43" s="38">
        <f>SUMIF(Bets[Date],L43,Bets[Profit])</f>
        <v>-4.7016751364577463</v>
      </c>
      <c r="P43" s="37" t="str">
        <f>IFERROR("("&amp;ROUND(SUMIF(Bets[Date],L43,Bets[Profit])/SUMIF(Bets[Date],L43,Bets[Risk]),2)*100&amp;"%)","")</f>
        <v>(-5%)</v>
      </c>
      <c r="Q43" s="65">
        <f t="shared" si="2"/>
        <v>-29.927313966734964</v>
      </c>
    </row>
    <row r="44" spans="1:20" x14ac:dyDescent="0.25">
      <c r="A44" s="35">
        <f t="shared" si="0"/>
        <v>8</v>
      </c>
      <c r="B44" s="5">
        <v>43450</v>
      </c>
      <c r="C44" s="5" t="s">
        <v>133</v>
      </c>
      <c r="D44" s="57" t="s">
        <v>86</v>
      </c>
      <c r="E44" s="7" t="s">
        <v>87</v>
      </c>
      <c r="F44" s="33">
        <v>10</v>
      </c>
      <c r="G44" s="67">
        <v>-105</v>
      </c>
      <c r="H44" s="9" t="s">
        <v>36</v>
      </c>
      <c r="I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4" s="8"/>
      <c r="L44" s="36">
        <f t="shared" si="3"/>
        <v>43496</v>
      </c>
      <c r="M44" s="51" t="str">
        <f>COUNTIFS(Bets[Date],L44,Bets[Result],"W")&amp;"-"&amp;COUNTIFS(Bets[Date],L44,Bets[Result],"L")&amp;IF(COUNTIFS(Bets[Date],L44,Bets[Result],"Push")&gt;0,"-"&amp;COUNTIFS(Bets[Date],L44,Bets[Result],"Push"),"")</f>
        <v>6-7-1</v>
      </c>
      <c r="N44" s="52">
        <f>IFERROR(COUNTIFS(Bets[Date],L44,Bets[Result],"W")/(COUNTIFS(Bets[Date],L44,Bets[Result],"W")+COUNTIFS(Bets[Date],L44,Bets[Result],"L")),"")</f>
        <v>0.46153846153846156</v>
      </c>
      <c r="O44" s="38">
        <f>SUMIF(Bets[Date],L44,Bets[Profit])</f>
        <v>-7.7272727272727249</v>
      </c>
      <c r="P44" s="37" t="str">
        <f>IFERROR("("&amp;ROUND(SUMIF(Bets[Date],L44,Bets[Profit])/SUMIF(Bets[Date],L44,Bets[Risk]),2)*100&amp;"%)","")</f>
        <v>(-11%)</v>
      </c>
      <c r="Q44" s="65">
        <f t="shared" si="2"/>
        <v>-37.654586694007691</v>
      </c>
    </row>
    <row r="45" spans="1:20" x14ac:dyDescent="0.25">
      <c r="A45" s="35">
        <f t="shared" si="0"/>
        <v>8</v>
      </c>
      <c r="B45" s="5">
        <v>43450</v>
      </c>
      <c r="C45" s="5" t="s">
        <v>133</v>
      </c>
      <c r="D45" s="57" t="s">
        <v>88</v>
      </c>
      <c r="E45" s="7" t="s">
        <v>89</v>
      </c>
      <c r="F45" s="33">
        <v>10</v>
      </c>
      <c r="G45" s="67">
        <v>-120</v>
      </c>
      <c r="H45" s="9" t="s">
        <v>36</v>
      </c>
      <c r="I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8.3333333333333321</v>
      </c>
      <c r="J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5" s="8"/>
      <c r="L45" s="36">
        <f t="shared" si="3"/>
        <v>43497</v>
      </c>
      <c r="M45" s="51" t="str">
        <f>COUNTIFS(Bets[Date],L45,Bets[Result],"W")&amp;"-"&amp;COUNTIFS(Bets[Date],L45,Bets[Result],"L")&amp;IF(COUNTIFS(Bets[Date],L45,Bets[Result],"Push")&gt;0,"-"&amp;COUNTIFS(Bets[Date],L45,Bets[Result],"Push"),"")</f>
        <v>8-13</v>
      </c>
      <c r="N45" s="52">
        <f>IFERROR(COUNTIFS(Bets[Date],L45,Bets[Result],"W")/(COUNTIFS(Bets[Date],L45,Bets[Result],"W")+COUNTIFS(Bets[Date],L45,Bets[Result],"L")),"")</f>
        <v>0.38095238095238093</v>
      </c>
      <c r="O45" s="38">
        <f>SUMIF(Bets[Date],L45,Bets[Profit])</f>
        <v>-28.748917748917744</v>
      </c>
      <c r="P45" s="37" t="str">
        <f>IFERROR("("&amp;ROUND(SUMIF(Bets[Date],L45,Bets[Profit])/SUMIF(Bets[Date],L45,Bets[Risk]),2)*100&amp;"%)","")</f>
        <v>(-27%)</v>
      </c>
      <c r="Q45" s="65">
        <f t="shared" si="2"/>
        <v>-66.403504442925438</v>
      </c>
    </row>
    <row r="46" spans="1:20" x14ac:dyDescent="0.25">
      <c r="A46" s="35">
        <f t="shared" si="0"/>
        <v>8</v>
      </c>
      <c r="B46" s="5">
        <v>43450</v>
      </c>
      <c r="C46" s="5" t="s">
        <v>133</v>
      </c>
      <c r="D46" s="57" t="s">
        <v>90</v>
      </c>
      <c r="E46" s="7" t="s">
        <v>29</v>
      </c>
      <c r="F46" s="33">
        <v>10</v>
      </c>
      <c r="G46" s="67">
        <v>-110</v>
      </c>
      <c r="H46" s="9" t="s">
        <v>6</v>
      </c>
      <c r="I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6" s="8"/>
      <c r="L46" s="36">
        <f t="shared" si="3"/>
        <v>43499</v>
      </c>
      <c r="M46" s="51" t="str">
        <f>COUNTIFS(Bets[Date],L46,Bets[Result],"W")&amp;"-"&amp;COUNTIFS(Bets[Date],L46,Bets[Result],"L")&amp;IF(COUNTIFS(Bets[Date],L46,Bets[Result],"Push")&gt;0,"-"&amp;COUNTIFS(Bets[Date],L46,Bets[Result],"Push"),"")</f>
        <v>1-4</v>
      </c>
      <c r="N46" s="52">
        <f>IFERROR(COUNTIFS(Bets[Date],L46,Bets[Result],"W")/(COUNTIFS(Bets[Date],L46,Bets[Result],"W")+COUNTIFS(Bets[Date],L46,Bets[Result],"L")),"")</f>
        <v>0.2</v>
      </c>
      <c r="O46" s="38">
        <f>SUMIF(Bets[Date],L46,Bets[Profit])</f>
        <v>-17.32</v>
      </c>
      <c r="P46" s="37" t="str">
        <f>IFERROR("("&amp;ROUND(SUMIF(Bets[Date],L46,Bets[Profit])/SUMIF(Bets[Date],L46,Bets[Risk]),2)*100&amp;"%)","")</f>
        <v>(-29%)</v>
      </c>
      <c r="Q46" s="65">
        <f t="shared" si="2"/>
        <v>-83.723504442925446</v>
      </c>
    </row>
    <row r="47" spans="1:20" x14ac:dyDescent="0.25">
      <c r="A47" s="35">
        <f t="shared" si="0"/>
        <v>8</v>
      </c>
      <c r="B47" s="5">
        <v>43450</v>
      </c>
      <c r="C47" s="5" t="s">
        <v>133</v>
      </c>
      <c r="D47" s="57" t="s">
        <v>91</v>
      </c>
      <c r="E47" s="7" t="s">
        <v>25</v>
      </c>
      <c r="F47" s="33">
        <v>10</v>
      </c>
      <c r="G47" s="67">
        <v>-115</v>
      </c>
      <c r="H47" s="9" t="s">
        <v>36</v>
      </c>
      <c r="I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7" s="8"/>
      <c r="L47" s="36">
        <f t="shared" si="3"/>
        <v>43500</v>
      </c>
      <c r="M47" s="51" t="str">
        <f>COUNTIFS(Bets[Date],L47,Bets[Result],"W")&amp;"-"&amp;COUNTIFS(Bets[Date],L47,Bets[Result],"L")&amp;IF(COUNTIFS(Bets[Date],L47,Bets[Result],"Push")&gt;0,"-"&amp;COUNTIFS(Bets[Date],L47,Bets[Result],"Push"),"")</f>
        <v>7-7-1</v>
      </c>
      <c r="N47" s="52">
        <f>IFERROR(COUNTIFS(Bets[Date],L47,Bets[Result],"W")/(COUNTIFS(Bets[Date],L47,Bets[Result],"W")+COUNTIFS(Bets[Date],L47,Bets[Result],"L")),"")</f>
        <v>0.5</v>
      </c>
      <c r="O47" s="38">
        <f>SUMIF(Bets[Date],L47,Bets[Profit])</f>
        <v>-6.9148001756697388</v>
      </c>
      <c r="P47" s="37" t="str">
        <f>IFERROR("("&amp;ROUND(SUMIF(Bets[Date],L47,Bets[Profit])/SUMIF(Bets[Date],L47,Bets[Risk]),2)*100&amp;"%)","")</f>
        <v>(-9%)</v>
      </c>
      <c r="Q47" s="65">
        <f t="shared" si="2"/>
        <v>-90.638304618595186</v>
      </c>
    </row>
    <row r="48" spans="1:20" x14ac:dyDescent="0.25">
      <c r="A48" s="35">
        <f t="shared" si="0"/>
        <v>8</v>
      </c>
      <c r="B48" s="5">
        <v>43450</v>
      </c>
      <c r="C48" s="5" t="s">
        <v>133</v>
      </c>
      <c r="D48" s="57" t="s">
        <v>92</v>
      </c>
      <c r="E48" s="7" t="s">
        <v>96</v>
      </c>
      <c r="F48" s="33">
        <v>10</v>
      </c>
      <c r="G48" s="67">
        <v>-110</v>
      </c>
      <c r="H48" s="9" t="s">
        <v>36</v>
      </c>
      <c r="I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8" s="8"/>
      <c r="L48" s="36">
        <f t="shared" si="3"/>
        <v>43502</v>
      </c>
      <c r="M48" s="51" t="str">
        <f>COUNTIFS(Bets[Date],L48,Bets[Result],"W")&amp;"-"&amp;COUNTIFS(Bets[Date],L48,Bets[Result],"L")&amp;IF(COUNTIFS(Bets[Date],L48,Bets[Result],"Push")&gt;0,"-"&amp;COUNTIFS(Bets[Date],L48,Bets[Result],"Push"),"")</f>
        <v>15-15</v>
      </c>
      <c r="N48" s="52">
        <f>IFERROR(COUNTIFS(Bets[Date],L48,Bets[Result],"W")/(COUNTIFS(Bets[Date],L48,Bets[Result],"W")+COUNTIFS(Bets[Date],L48,Bets[Result],"L")),"")</f>
        <v>0.5</v>
      </c>
      <c r="O48" s="38">
        <f>SUMIF(Bets[Date],L48,Bets[Profit])</f>
        <v>-9.6614659177588234</v>
      </c>
      <c r="P48" s="37" t="str">
        <f>IFERROR("("&amp;ROUND(SUMIF(Bets[Date],L48,Bets[Profit])/SUMIF(Bets[Date],L48,Bets[Risk]),2)*100&amp;"%)","")</f>
        <v>(-10%)</v>
      </c>
      <c r="Q48" s="65">
        <f t="shared" si="2"/>
        <v>-100.299770536354</v>
      </c>
    </row>
    <row r="49" spans="1:17" x14ac:dyDescent="0.25">
      <c r="A49" s="35">
        <f t="shared" si="0"/>
        <v>8</v>
      </c>
      <c r="B49" s="5">
        <v>43450</v>
      </c>
      <c r="C49" s="5" t="s">
        <v>133</v>
      </c>
      <c r="D49" s="57" t="s">
        <v>92</v>
      </c>
      <c r="E49" s="7" t="s">
        <v>97</v>
      </c>
      <c r="F49" s="33">
        <v>10</v>
      </c>
      <c r="G49" s="67">
        <v>-115</v>
      </c>
      <c r="H49" s="9" t="s">
        <v>36</v>
      </c>
      <c r="I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9" s="8"/>
      <c r="L49" s="36">
        <f t="shared" si="3"/>
        <v>43503</v>
      </c>
      <c r="M49" s="51" t="str">
        <f>COUNTIFS(Bets[Date],L49,Bets[Result],"W")&amp;"-"&amp;COUNTIFS(Bets[Date],L49,Bets[Result],"L")&amp;IF(COUNTIFS(Bets[Date],L49,Bets[Result],"Push")&gt;0,"-"&amp;COUNTIFS(Bets[Date],L49,Bets[Result],"Push"),"")</f>
        <v>4-7-1</v>
      </c>
      <c r="N49" s="52">
        <f>IFERROR(COUNTIFS(Bets[Date],L49,Bets[Result],"W")/(COUNTIFS(Bets[Date],L49,Bets[Result],"W")+COUNTIFS(Bets[Date],L49,Bets[Result],"L")),"")</f>
        <v>0.36363636363636365</v>
      </c>
      <c r="O49" s="38">
        <f>SUMIF(Bets[Date],L49,Bets[Profit])</f>
        <v>-6.5541125541125531</v>
      </c>
      <c r="P49" s="37" t="str">
        <f>IFERROR("("&amp;ROUND(SUMIF(Bets[Date],L49,Bets[Profit])/SUMIF(Bets[Date],L49,Bets[Risk]),2)*100&amp;"%)","")</f>
        <v>(-27%)</v>
      </c>
      <c r="Q49" s="65">
        <f t="shared" si="2"/>
        <v>-106.85388309046655</v>
      </c>
    </row>
    <row r="50" spans="1:17" x14ac:dyDescent="0.25">
      <c r="A50" s="35">
        <f t="shared" si="0"/>
        <v>8</v>
      </c>
      <c r="B50" s="5">
        <v>43450</v>
      </c>
      <c r="C50" s="5" t="s">
        <v>133</v>
      </c>
      <c r="D50" s="57" t="s">
        <v>93</v>
      </c>
      <c r="E50" s="7" t="s">
        <v>94</v>
      </c>
      <c r="F50" s="33">
        <v>10</v>
      </c>
      <c r="G50" s="67">
        <v>-110</v>
      </c>
      <c r="H50" s="9" t="s">
        <v>36</v>
      </c>
      <c r="I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0" s="8"/>
      <c r="L50" s="36">
        <f t="shared" si="3"/>
        <v>43504</v>
      </c>
      <c r="M50" s="51" t="str">
        <f>COUNTIFS(Bets[Date],L50,Bets[Result],"W")&amp;"-"&amp;COUNTIFS(Bets[Date],L50,Bets[Result],"L")&amp;IF(COUNTIFS(Bets[Date],L50,Bets[Result],"Push")&gt;0,"-"&amp;COUNTIFS(Bets[Date],L50,Bets[Result],"Push"),"")</f>
        <v>15-17</v>
      </c>
      <c r="N50" s="52">
        <f>IFERROR(COUNTIFS(Bets[Date],L50,Bets[Result],"W")/(COUNTIFS(Bets[Date],L50,Bets[Result],"W")+COUNTIFS(Bets[Date],L50,Bets[Result],"L")),"")</f>
        <v>0.46875</v>
      </c>
      <c r="O50" s="38">
        <f>SUMIF(Bets[Date],L50,Bets[Profit])</f>
        <v>-7.9747991921904955</v>
      </c>
      <c r="P50" s="37" t="str">
        <f>IFERROR("("&amp;ROUND(SUMIF(Bets[Date],L50,Bets[Profit])/SUMIF(Bets[Date],L50,Bets[Risk]),2)*100&amp;"%)","")</f>
        <v>(-12%)</v>
      </c>
      <c r="Q50" s="65">
        <f t="shared" si="2"/>
        <v>-114.82868228265704</v>
      </c>
    </row>
    <row r="51" spans="1:17" x14ac:dyDescent="0.25">
      <c r="A51" s="35">
        <f t="shared" si="0"/>
        <v>8</v>
      </c>
      <c r="B51" s="5">
        <v>43450</v>
      </c>
      <c r="C51" s="5" t="s">
        <v>133</v>
      </c>
      <c r="D51" s="57" t="s">
        <v>93</v>
      </c>
      <c r="E51" s="7" t="s">
        <v>98</v>
      </c>
      <c r="F51" s="33">
        <v>10</v>
      </c>
      <c r="G51" s="67">
        <v>-110</v>
      </c>
      <c r="H51" s="9" t="s">
        <v>6</v>
      </c>
      <c r="I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1" s="8"/>
      <c r="L51" s="36">
        <f t="shared" si="3"/>
        <v>43505</v>
      </c>
      <c r="M51" s="51" t="str">
        <f>COUNTIFS(Bets[Date],L51,Bets[Result],"W")&amp;"-"&amp;COUNTIFS(Bets[Date],L51,Bets[Result],"L")&amp;IF(COUNTIFS(Bets[Date],L51,Bets[Result],"Push")&gt;0,"-"&amp;COUNTIFS(Bets[Date],L51,Bets[Result],"Push"),"")</f>
        <v>0-2</v>
      </c>
      <c r="N51" s="52">
        <f>IFERROR(COUNTIFS(Bets[Date],L51,Bets[Result],"W")/(COUNTIFS(Bets[Date],L51,Bets[Result],"W")+COUNTIFS(Bets[Date],L51,Bets[Result],"L")),"")</f>
        <v>0</v>
      </c>
      <c r="O51" s="38">
        <f>SUMIF(Bets[Date],L51,Bets[Profit])</f>
        <v>-4</v>
      </c>
      <c r="P51" s="37" t="str">
        <f>IFERROR("("&amp;ROUND(SUMIF(Bets[Date],L51,Bets[Profit])/SUMIF(Bets[Date],L51,Bets[Risk]),2)*100&amp;"%)","")</f>
        <v>(-100%)</v>
      </c>
      <c r="Q51" s="65">
        <f t="shared" si="2"/>
        <v>-118.82868228265704</v>
      </c>
    </row>
    <row r="52" spans="1:17" x14ac:dyDescent="0.25">
      <c r="A52" s="35">
        <f t="shared" si="0"/>
        <v>8</v>
      </c>
      <c r="B52" s="5">
        <v>43450</v>
      </c>
      <c r="C52" s="5" t="s">
        <v>133</v>
      </c>
      <c r="D52" s="57" t="s">
        <v>95</v>
      </c>
      <c r="E52" s="7" t="s">
        <v>100</v>
      </c>
      <c r="F52" s="33">
        <v>10</v>
      </c>
      <c r="G52" s="67">
        <v>-115</v>
      </c>
      <c r="H52" s="9" t="s">
        <v>6</v>
      </c>
      <c r="I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2" s="8"/>
      <c r="L52" s="36">
        <f t="shared" si="3"/>
        <v>43506</v>
      </c>
      <c r="M52" s="51" t="str">
        <f>COUNTIFS(Bets[Date],L52,Bets[Result],"W")&amp;"-"&amp;COUNTIFS(Bets[Date],L52,Bets[Result],"L")&amp;IF(COUNTIFS(Bets[Date],L52,Bets[Result],"Push")&gt;0,"-"&amp;COUNTIFS(Bets[Date],L52,Bets[Result],"Push"),"")</f>
        <v>1-1</v>
      </c>
      <c r="N52" s="52">
        <f>IFERROR(COUNTIFS(Bets[Date],L52,Bets[Result],"W")/(COUNTIFS(Bets[Date],L52,Bets[Result],"W")+COUNTIFS(Bets[Date],L52,Bets[Result],"L")),"")</f>
        <v>0.5</v>
      </c>
      <c r="O52" s="38">
        <f>SUMIF(Bets[Date],L52,Bets[Profit])</f>
        <v>-0.18181818181818188</v>
      </c>
      <c r="P52" s="37" t="str">
        <f>IFERROR("("&amp;ROUND(SUMIF(Bets[Date],L52,Bets[Profit])/SUMIF(Bets[Date],L52,Bets[Risk]),2)*100&amp;"%)","")</f>
        <v>(-5%)</v>
      </c>
      <c r="Q52" s="65">
        <f t="shared" si="2"/>
        <v>-119.01050046447523</v>
      </c>
    </row>
    <row r="53" spans="1:17" x14ac:dyDescent="0.25">
      <c r="A53" s="35">
        <f t="shared" si="0"/>
        <v>8</v>
      </c>
      <c r="B53" s="5">
        <v>43450</v>
      </c>
      <c r="C53" s="5" t="s">
        <v>133</v>
      </c>
      <c r="D53" s="57" t="s">
        <v>95</v>
      </c>
      <c r="E53" s="7" t="s">
        <v>99</v>
      </c>
      <c r="F53" s="33">
        <v>10</v>
      </c>
      <c r="G53" s="67">
        <v>-120</v>
      </c>
      <c r="H53" s="9" t="s">
        <v>36</v>
      </c>
      <c r="I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8.3333333333333321</v>
      </c>
      <c r="J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3" s="8"/>
      <c r="L53" s="36">
        <f t="shared" si="3"/>
        <v>43507</v>
      </c>
      <c r="M53" s="51" t="str">
        <f>COUNTIFS(Bets[Date],L53,Bets[Result],"W")&amp;"-"&amp;COUNTIFS(Bets[Date],L53,Bets[Result],"L")&amp;IF(COUNTIFS(Bets[Date],L53,Bets[Result],"Push")&gt;0,"-"&amp;COUNTIFS(Bets[Date],L53,Bets[Result],"Push"),"")</f>
        <v>9-9</v>
      </c>
      <c r="N53" s="52">
        <f>IFERROR(COUNTIFS(Bets[Date],L53,Bets[Result],"W")/(COUNTIFS(Bets[Date],L53,Bets[Result],"W")+COUNTIFS(Bets[Date],L53,Bets[Result],"L")),"")</f>
        <v>0.5</v>
      </c>
      <c r="O53" s="38">
        <f>SUMIF(Bets[Date],L53,Bets[Profit])</f>
        <v>0.5512892904197273</v>
      </c>
      <c r="P53" s="37" t="str">
        <f>IFERROR("("&amp;ROUND(SUMIF(Bets[Date],L53,Bets[Profit])/SUMIF(Bets[Date],L53,Bets[Risk]),2)*100&amp;"%)","")</f>
        <v>(1%)</v>
      </c>
      <c r="Q53" s="65">
        <f t="shared" si="2"/>
        <v>-118.4592111740555</v>
      </c>
    </row>
    <row r="54" spans="1:17" x14ac:dyDescent="0.25">
      <c r="A54" s="35">
        <f t="shared" si="0"/>
        <v>8</v>
      </c>
      <c r="B54" s="5">
        <v>43450</v>
      </c>
      <c r="C54" s="5" t="s">
        <v>133</v>
      </c>
      <c r="D54" s="57" t="s">
        <v>95</v>
      </c>
      <c r="E54" s="7" t="s">
        <v>106</v>
      </c>
      <c r="F54" s="33">
        <v>10</v>
      </c>
      <c r="G54" s="67">
        <v>130</v>
      </c>
      <c r="H54" s="9" t="s">
        <v>36</v>
      </c>
      <c r="I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</v>
      </c>
      <c r="J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54" s="8"/>
      <c r="L54" s="36">
        <f t="shared" si="3"/>
        <v>43509</v>
      </c>
      <c r="M54" s="51" t="str">
        <f>COUNTIFS(Bets[Date],L54,Bets[Result],"W")&amp;"-"&amp;COUNTIFS(Bets[Date],L54,Bets[Result],"L")&amp;IF(COUNTIFS(Bets[Date],L54,Bets[Result],"Push")&gt;0,"-"&amp;COUNTIFS(Bets[Date],L54,Bets[Result],"Push"),"")</f>
        <v>4-13</v>
      </c>
      <c r="N54" s="52">
        <f>IFERROR(COUNTIFS(Bets[Date],L54,Bets[Result],"W")/(COUNTIFS(Bets[Date],L54,Bets[Result],"W")+COUNTIFS(Bets[Date],L54,Bets[Result],"L")),"")</f>
        <v>0.23529411764705882</v>
      </c>
      <c r="O54" s="38">
        <f>SUMIF(Bets[Date],L54,Bets[Profit])</f>
        <v>-46.079360060229625</v>
      </c>
      <c r="P54" s="37" t="str">
        <f>IFERROR("("&amp;ROUND(SUMIF(Bets[Date],L54,Bets[Profit])/SUMIF(Bets[Date],L54,Bets[Risk]),2)*100&amp;"%)","")</f>
        <v>(-55%)</v>
      </c>
      <c r="Q54" s="65">
        <f t="shared" si="2"/>
        <v>-164.53857123428511</v>
      </c>
    </row>
    <row r="55" spans="1:17" x14ac:dyDescent="0.25">
      <c r="A55" s="35">
        <f t="shared" si="0"/>
        <v>8</v>
      </c>
      <c r="B55" s="5">
        <v>43450</v>
      </c>
      <c r="C55" s="5" t="s">
        <v>133</v>
      </c>
      <c r="D55" s="57" t="s">
        <v>101</v>
      </c>
      <c r="E55" s="7" t="s">
        <v>4</v>
      </c>
      <c r="F55" s="33">
        <v>10</v>
      </c>
      <c r="G55" s="67">
        <v>-110</v>
      </c>
      <c r="H55" s="9" t="s">
        <v>36</v>
      </c>
      <c r="I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" s="8"/>
      <c r="L55" s="36">
        <f t="shared" si="3"/>
        <v>43510</v>
      </c>
      <c r="M55" s="51" t="str">
        <f>COUNTIFS(Bets[Date],L55,Bets[Result],"W")&amp;"-"&amp;COUNTIFS(Bets[Date],L55,Bets[Result],"L")&amp;IF(COUNTIFS(Bets[Date],L55,Bets[Result],"Push")&gt;0,"-"&amp;COUNTIFS(Bets[Date],L55,Bets[Result],"Push"),"")</f>
        <v>4-5</v>
      </c>
      <c r="N55" s="52">
        <f>IFERROR(COUNTIFS(Bets[Date],L55,Bets[Result],"W")/(COUNTIFS(Bets[Date],L55,Bets[Result],"W")+COUNTIFS(Bets[Date],L55,Bets[Result],"L")),"")</f>
        <v>0.44444444444444442</v>
      </c>
      <c r="O55" s="38">
        <f>SUMIF(Bets[Date],L55,Bets[Profit])</f>
        <v>-2.7987954074910597</v>
      </c>
      <c r="P55" s="37" t="str">
        <f>IFERROR("("&amp;ROUND(SUMIF(Bets[Date],L55,Bets[Profit])/SUMIF(Bets[Date],L55,Bets[Risk]),2)*100&amp;"%)","")</f>
        <v>(-16%)</v>
      </c>
      <c r="Q55" s="65">
        <f t="shared" si="2"/>
        <v>-167.33736664177619</v>
      </c>
    </row>
    <row r="56" spans="1:17" x14ac:dyDescent="0.25">
      <c r="A56" s="35">
        <f t="shared" si="0"/>
        <v>8</v>
      </c>
      <c r="B56" s="5">
        <v>43450</v>
      </c>
      <c r="C56" s="5" t="s">
        <v>133</v>
      </c>
      <c r="D56" s="57" t="s">
        <v>101</v>
      </c>
      <c r="E56" s="7" t="s">
        <v>102</v>
      </c>
      <c r="F56" s="33">
        <v>10</v>
      </c>
      <c r="G56" s="67">
        <v>-110</v>
      </c>
      <c r="H56" s="9" t="s">
        <v>6</v>
      </c>
      <c r="I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6" s="8"/>
      <c r="L56" s="36">
        <f t="shared" si="3"/>
        <v>43514</v>
      </c>
      <c r="M56" s="51" t="str">
        <f>COUNTIFS(Bets[Date],L56,Bets[Result],"W")&amp;"-"&amp;COUNTIFS(Bets[Date],L56,Bets[Result],"L")&amp;IF(COUNTIFS(Bets[Date],L56,Bets[Result],"Push")&gt;0,"-"&amp;COUNTIFS(Bets[Date],L56,Bets[Result],"Push"),"")</f>
        <v>5-2</v>
      </c>
      <c r="N56" s="52">
        <f>IFERROR(COUNTIFS(Bets[Date],L56,Bets[Result],"W")/(COUNTIFS(Bets[Date],L56,Bets[Result],"W")+COUNTIFS(Bets[Date],L56,Bets[Result],"L")),"")</f>
        <v>0.7142857142857143</v>
      </c>
      <c r="O56" s="38">
        <f>SUMIF(Bets[Date],L56,Bets[Profit])</f>
        <v>2.0968379446640313</v>
      </c>
      <c r="P56" s="37" t="str">
        <f>IFERROR("("&amp;ROUND(SUMIF(Bets[Date],L56,Bets[Profit])/SUMIF(Bets[Date],L56,Bets[Risk]),2)*100&amp;"%)","")</f>
        <v>(30%)</v>
      </c>
      <c r="Q56" s="65">
        <f t="shared" si="2"/>
        <v>-165.24052869711215</v>
      </c>
    </row>
    <row r="57" spans="1:17" x14ac:dyDescent="0.25">
      <c r="A57" s="35">
        <f t="shared" si="0"/>
        <v>9</v>
      </c>
      <c r="B57" s="5">
        <v>43451</v>
      </c>
      <c r="C57" s="5" t="s">
        <v>134</v>
      </c>
      <c r="D57" s="57" t="s">
        <v>108</v>
      </c>
      <c r="E57" s="7" t="s">
        <v>109</v>
      </c>
      <c r="F57" s="33">
        <v>5</v>
      </c>
      <c r="G57" s="68">
        <v>-110</v>
      </c>
      <c r="H57" s="9" t="s">
        <v>36</v>
      </c>
      <c r="I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7" s="8"/>
      <c r="L57" s="36">
        <f t="shared" si="3"/>
        <v>43515</v>
      </c>
      <c r="M57" s="51" t="str">
        <f>COUNTIFS(Bets[Date],L57,Bets[Result],"W")&amp;"-"&amp;COUNTIFS(Bets[Date],L57,Bets[Result],"L")&amp;IF(COUNTIFS(Bets[Date],L57,Bets[Result],"Push")&gt;0,"-"&amp;COUNTIFS(Bets[Date],L57,Bets[Result],"Push"),"")</f>
        <v>8-4</v>
      </c>
      <c r="N57" s="52">
        <f>IFERROR(COUNTIFS(Bets[Date],L57,Bets[Result],"W")/(COUNTIFS(Bets[Date],L57,Bets[Result],"W")+COUNTIFS(Bets[Date],L57,Bets[Result],"L")),"")</f>
        <v>0.66666666666666663</v>
      </c>
      <c r="O57" s="38">
        <f>SUMIF(Bets[Date],L57,Bets[Profit])</f>
        <v>29.036782106782105</v>
      </c>
      <c r="P57" s="37" t="str">
        <f>IFERROR("("&amp;ROUND(SUMIF(Bets[Date],L57,Bets[Profit])/SUMIF(Bets[Date],L57,Bets[Risk]),2)*100&amp;"%)","")</f>
        <v>(126%)</v>
      </c>
      <c r="Q57" s="65">
        <f t="shared" si="2"/>
        <v>-136.20374659033004</v>
      </c>
    </row>
    <row r="58" spans="1:17" x14ac:dyDescent="0.25">
      <c r="A58" s="35">
        <f t="shared" si="0"/>
        <v>9</v>
      </c>
      <c r="B58" s="5">
        <v>43451</v>
      </c>
      <c r="C58" s="5" t="s">
        <v>134</v>
      </c>
      <c r="D58" s="57" t="s">
        <v>108</v>
      </c>
      <c r="E58" s="7" t="s">
        <v>110</v>
      </c>
      <c r="F58" s="33">
        <v>5</v>
      </c>
      <c r="G58" s="68">
        <v>-110</v>
      </c>
      <c r="H58" s="9" t="s">
        <v>6</v>
      </c>
      <c r="I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8" s="8"/>
      <c r="L58" s="36">
        <f t="shared" si="3"/>
        <v>43516</v>
      </c>
      <c r="M58" s="51" t="str">
        <f>COUNTIFS(Bets[Date],L58,Bets[Result],"W")&amp;"-"&amp;COUNTIFS(Bets[Date],L58,Bets[Result],"L")&amp;IF(COUNTIFS(Bets[Date],L58,Bets[Result],"Push")&gt;0,"-"&amp;COUNTIFS(Bets[Date],L58,Bets[Result],"Push"),"")</f>
        <v>7-4</v>
      </c>
      <c r="N58" s="52">
        <f>IFERROR(COUNTIFS(Bets[Date],L58,Bets[Result],"W")/(COUNTIFS(Bets[Date],L58,Bets[Result],"W")+COUNTIFS(Bets[Date],L58,Bets[Result],"L")),"")</f>
        <v>0.63636363636363635</v>
      </c>
      <c r="O58" s="38">
        <f>SUMIF(Bets[Date],L58,Bets[Profit])</f>
        <v>4.7423301336344821</v>
      </c>
      <c r="P58" s="37" t="str">
        <f>IFERROR("("&amp;ROUND(SUMIF(Bets[Date],L58,Bets[Profit])/SUMIF(Bets[Date],L58,Bets[Risk]),2)*100&amp;"%)","")</f>
        <v>(22%)</v>
      </c>
      <c r="Q58" s="65">
        <f t="shared" si="2"/>
        <v>-131.46141645669556</v>
      </c>
    </row>
    <row r="59" spans="1:17" x14ac:dyDescent="0.25">
      <c r="A59" s="35">
        <f t="shared" si="0"/>
        <v>9</v>
      </c>
      <c r="B59" s="5">
        <v>43451</v>
      </c>
      <c r="C59" s="5" t="s">
        <v>134</v>
      </c>
      <c r="D59" s="57" t="s">
        <v>111</v>
      </c>
      <c r="E59" s="7" t="s">
        <v>112</v>
      </c>
      <c r="F59" s="33">
        <v>5</v>
      </c>
      <c r="G59" s="68">
        <v>-115</v>
      </c>
      <c r="H59" s="9" t="s">
        <v>6</v>
      </c>
      <c r="I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9" s="8"/>
      <c r="L59" s="36">
        <f t="shared" si="3"/>
        <v>43517</v>
      </c>
      <c r="M59" s="51" t="str">
        <f>COUNTIFS(Bets[Date],L59,Bets[Result],"W")&amp;"-"&amp;COUNTIFS(Bets[Date],L59,Bets[Result],"L")&amp;IF(COUNTIFS(Bets[Date],L59,Bets[Result],"Push")&gt;0,"-"&amp;COUNTIFS(Bets[Date],L59,Bets[Result],"Push"),"")</f>
        <v>11-9-2</v>
      </c>
      <c r="N59" s="52">
        <f>IFERROR(COUNTIFS(Bets[Date],L59,Bets[Result],"W")/(COUNTIFS(Bets[Date],L59,Bets[Result],"W")+COUNTIFS(Bets[Date],L59,Bets[Result],"L")),"")</f>
        <v>0.55000000000000004</v>
      </c>
      <c r="O59" s="38">
        <f>SUMIF(Bets[Date],L59,Bets[Profit])</f>
        <v>1.8418972332015819</v>
      </c>
      <c r="P59" s="37" t="str">
        <f>IFERROR("("&amp;ROUND(SUMIF(Bets[Date],L59,Bets[Profit])/SUMIF(Bets[Date],L59,Bets[Risk]),2)*100&amp;"%)","")</f>
        <v>(4%)</v>
      </c>
      <c r="Q59" s="65">
        <f t="shared" si="2"/>
        <v>-129.61951922349397</v>
      </c>
    </row>
    <row r="60" spans="1:17" x14ac:dyDescent="0.25">
      <c r="A60" s="35">
        <f t="shared" si="0"/>
        <v>9</v>
      </c>
      <c r="B60" s="5">
        <v>43451</v>
      </c>
      <c r="C60" s="5" t="s">
        <v>134</v>
      </c>
      <c r="D60" s="57" t="s">
        <v>111</v>
      </c>
      <c r="E60" s="7" t="s">
        <v>113</v>
      </c>
      <c r="F60" s="33">
        <v>5</v>
      </c>
      <c r="G60" s="68">
        <v>-115</v>
      </c>
      <c r="H60" s="9" t="s">
        <v>6</v>
      </c>
      <c r="I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6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0" s="8"/>
      <c r="L60" s="36">
        <f t="shared" si="3"/>
        <v>43518</v>
      </c>
      <c r="M60" s="51" t="str">
        <f>COUNTIFS(Bets[Date],L60,Bets[Result],"W")&amp;"-"&amp;COUNTIFS(Bets[Date],L60,Bets[Result],"L")&amp;IF(COUNTIFS(Bets[Date],L60,Bets[Result],"Push")&gt;0,"-"&amp;COUNTIFS(Bets[Date],L60,Bets[Result],"Push"),"")</f>
        <v>8-12</v>
      </c>
      <c r="N60" s="52">
        <f>IFERROR(COUNTIFS(Bets[Date],L60,Bets[Result],"W")/(COUNTIFS(Bets[Date],L60,Bets[Result],"W")+COUNTIFS(Bets[Date],L60,Bets[Result],"L")),"")</f>
        <v>0.4</v>
      </c>
      <c r="O60" s="38">
        <f>SUMIF(Bets[Date],L60,Bets[Profit])</f>
        <v>-9.5335968379446641</v>
      </c>
      <c r="P60" s="37" t="str">
        <f>IFERROR("("&amp;ROUND(SUMIF(Bets[Date],L60,Bets[Profit])/SUMIF(Bets[Date],L60,Bets[Risk]),2)*100&amp;"%)","")</f>
        <v>(-24%)</v>
      </c>
      <c r="Q60" s="65">
        <f t="shared" si="2"/>
        <v>-139.15311606143862</v>
      </c>
    </row>
    <row r="61" spans="1:17" x14ac:dyDescent="0.25">
      <c r="A61" s="35">
        <f t="shared" si="0"/>
        <v>9</v>
      </c>
      <c r="B61" s="5">
        <v>43451</v>
      </c>
      <c r="C61" s="5" t="s">
        <v>134</v>
      </c>
      <c r="D61" s="57" t="s">
        <v>114</v>
      </c>
      <c r="E61" s="7" t="s">
        <v>115</v>
      </c>
      <c r="F61" s="33">
        <v>5</v>
      </c>
      <c r="G61" s="68">
        <v>-110</v>
      </c>
      <c r="H61" s="9" t="s">
        <v>6</v>
      </c>
      <c r="I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6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1" s="8"/>
      <c r="L61" s="36">
        <f t="shared" si="3"/>
        <v>43522</v>
      </c>
      <c r="M61" s="51" t="str">
        <f>COUNTIFS(Bets[Date],L61,Bets[Result],"W")&amp;"-"&amp;COUNTIFS(Bets[Date],L61,Bets[Result],"L")&amp;IF(COUNTIFS(Bets[Date],L61,Bets[Result],"Push")&gt;0,"-"&amp;COUNTIFS(Bets[Date],L61,Bets[Result],"Push"),"")</f>
        <v>6-6</v>
      </c>
      <c r="N61" s="52">
        <f>IFERROR(COUNTIFS(Bets[Date],L61,Bets[Result],"W")/(COUNTIFS(Bets[Date],L61,Bets[Result],"W")+COUNTIFS(Bets[Date],L61,Bets[Result],"L")),"")</f>
        <v>0.5</v>
      </c>
      <c r="O61" s="38">
        <f>SUMIF(Bets[Date],L61,Bets[Profit])</f>
        <v>-1.162431771127423</v>
      </c>
      <c r="P61" s="37" t="str">
        <f>IFERROR("("&amp;ROUND(SUMIF(Bets[Date],L61,Bets[Profit])/SUMIF(Bets[Date],L61,Bets[Risk]),2)*100&amp;"%)","")</f>
        <v>(-5%)</v>
      </c>
      <c r="Q61" s="65">
        <f t="shared" si="2"/>
        <v>-140.31554783256604</v>
      </c>
    </row>
    <row r="62" spans="1:17" x14ac:dyDescent="0.25">
      <c r="A62" s="35">
        <f t="shared" si="0"/>
        <v>9</v>
      </c>
      <c r="B62" s="5">
        <v>43451</v>
      </c>
      <c r="C62" s="5" t="s">
        <v>134</v>
      </c>
      <c r="D62" s="57" t="s">
        <v>116</v>
      </c>
      <c r="E62" s="7" t="s">
        <v>117</v>
      </c>
      <c r="F62" s="33">
        <v>5</v>
      </c>
      <c r="G62" s="68">
        <v>-105</v>
      </c>
      <c r="H62" s="9" t="s">
        <v>6</v>
      </c>
      <c r="I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" s="8"/>
      <c r="L62" s="36">
        <f t="shared" si="3"/>
        <v>43523</v>
      </c>
      <c r="M62" s="51" t="str">
        <f>COUNTIFS(Bets[Date],L62,Bets[Result],"W")&amp;"-"&amp;COUNTIFS(Bets[Date],L62,Bets[Result],"L")&amp;IF(COUNTIFS(Bets[Date],L62,Bets[Result],"Push")&gt;0,"-"&amp;COUNTIFS(Bets[Date],L62,Bets[Result],"Push"),"")</f>
        <v>6-9-1</v>
      </c>
      <c r="N62" s="52">
        <f>IFERROR(COUNTIFS(Bets[Date],L62,Bets[Result],"W")/(COUNTIFS(Bets[Date],L62,Bets[Result],"W")+COUNTIFS(Bets[Date],L62,Bets[Result],"L")),"")</f>
        <v>0.4</v>
      </c>
      <c r="O62" s="38">
        <f>SUMIF(Bets[Date],L62,Bets[Profit])</f>
        <v>-6.8311688311688297</v>
      </c>
      <c r="P62" s="37" t="str">
        <f>IFERROR("("&amp;ROUND(SUMIF(Bets[Date],L62,Bets[Profit])/SUMIF(Bets[Date],L62,Bets[Risk]),2)*100&amp;"%)","")</f>
        <v>(-21%)</v>
      </c>
      <c r="Q62" s="65">
        <f t="shared" si="2"/>
        <v>-147.14671666373488</v>
      </c>
    </row>
    <row r="63" spans="1:17" x14ac:dyDescent="0.25">
      <c r="A63" s="35">
        <f t="shared" si="0"/>
        <v>9</v>
      </c>
      <c r="B63" s="5">
        <v>43451</v>
      </c>
      <c r="C63" s="5" t="s">
        <v>134</v>
      </c>
      <c r="D63" s="57" t="s">
        <v>118</v>
      </c>
      <c r="E63" s="7" t="s">
        <v>119</v>
      </c>
      <c r="F63" s="33">
        <v>5</v>
      </c>
      <c r="G63" s="68">
        <v>-110</v>
      </c>
      <c r="H63" s="9" t="s">
        <v>6</v>
      </c>
      <c r="I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3" s="8"/>
      <c r="L63" s="36">
        <f t="shared" si="3"/>
        <v>43524</v>
      </c>
      <c r="M63" s="51" t="str">
        <f>COUNTIFS(Bets[Date],L63,Bets[Result],"W")&amp;"-"&amp;COUNTIFS(Bets[Date],L63,Bets[Result],"L")&amp;IF(COUNTIFS(Bets[Date],L63,Bets[Result],"Push")&gt;0,"-"&amp;COUNTIFS(Bets[Date],L63,Bets[Result],"Push"),"")</f>
        <v>10-9</v>
      </c>
      <c r="N63" s="52">
        <f>IFERROR(COUNTIFS(Bets[Date],L63,Bets[Result],"W")/(COUNTIFS(Bets[Date],L63,Bets[Result],"W")+COUNTIFS(Bets[Date],L63,Bets[Result],"L")),"")</f>
        <v>0.52631578947368418</v>
      </c>
      <c r="O63" s="38">
        <f>SUMIF(Bets[Date],L63,Bets[Profit])</f>
        <v>0.20440429136081306</v>
      </c>
      <c r="P63" s="37" t="str">
        <f>IFERROR("("&amp;ROUND(SUMIF(Bets[Date],L63,Bets[Profit])/SUMIF(Bets[Date],L63,Bets[Risk]),2)*100&amp;"%)","")</f>
        <v>(1%)</v>
      </c>
      <c r="Q63" s="65">
        <f t="shared" si="2"/>
        <v>-146.94231237237406</v>
      </c>
    </row>
    <row r="64" spans="1:17" x14ac:dyDescent="0.25">
      <c r="A64" s="35">
        <f t="shared" si="0"/>
        <v>9</v>
      </c>
      <c r="B64" s="5">
        <v>43451</v>
      </c>
      <c r="C64" s="5" t="s">
        <v>134</v>
      </c>
      <c r="D64" s="57" t="s">
        <v>118</v>
      </c>
      <c r="E64" s="7" t="s">
        <v>120</v>
      </c>
      <c r="F64" s="33">
        <v>5</v>
      </c>
      <c r="G64" s="68">
        <v>-110</v>
      </c>
      <c r="H64" s="9" t="s">
        <v>36</v>
      </c>
      <c r="I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4" s="8"/>
      <c r="L64" s="36">
        <f t="shared" si="3"/>
        <v>43528</v>
      </c>
      <c r="M64" s="51" t="str">
        <f>COUNTIFS(Bets[Date],L64,Bets[Result],"W")&amp;"-"&amp;COUNTIFS(Bets[Date],L64,Bets[Result],"L")&amp;IF(COUNTIFS(Bets[Date],L64,Bets[Result],"Push")&gt;0,"-"&amp;COUNTIFS(Bets[Date],L64,Bets[Result],"Push"),"")</f>
        <v>5-1</v>
      </c>
      <c r="N64" s="52">
        <f>IFERROR(COUNTIFS(Bets[Date],L64,Bets[Result],"W")/(COUNTIFS(Bets[Date],L64,Bets[Result],"W")+COUNTIFS(Bets[Date],L64,Bets[Result],"L")),"")</f>
        <v>0.83333333333333337</v>
      </c>
      <c r="O64" s="38">
        <f>SUMIF(Bets[Date],L64,Bets[Profit])</f>
        <v>17.943722943722946</v>
      </c>
      <c r="P64" s="37" t="str">
        <f>IFERROR("("&amp;ROUND(SUMIF(Bets[Date],L64,Bets[Profit])/SUMIF(Bets[Date],L64,Bets[Risk]),2)*100&amp;"%)","")</f>
        <v>(60%)</v>
      </c>
      <c r="Q64" s="65">
        <f t="shared" si="2"/>
        <v>-128.99858942865112</v>
      </c>
    </row>
    <row r="65" spans="1:17" x14ac:dyDescent="0.25">
      <c r="A65" s="35">
        <f t="shared" si="0"/>
        <v>9</v>
      </c>
      <c r="B65" s="5">
        <v>43451</v>
      </c>
      <c r="C65" s="5" t="s">
        <v>134</v>
      </c>
      <c r="D65" s="57" t="s">
        <v>121</v>
      </c>
      <c r="E65" s="7" t="s">
        <v>122</v>
      </c>
      <c r="F65" s="33">
        <v>5</v>
      </c>
      <c r="G65" s="68">
        <v>-115</v>
      </c>
      <c r="H65" s="9" t="s">
        <v>36</v>
      </c>
      <c r="I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6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5" s="8"/>
      <c r="L65" s="36">
        <f t="shared" si="3"/>
        <v>43529</v>
      </c>
      <c r="M65" s="51" t="str">
        <f>COUNTIFS(Bets[Date],L65,Bets[Result],"W")&amp;"-"&amp;COUNTIFS(Bets[Date],L65,Bets[Result],"L")&amp;IF(COUNTIFS(Bets[Date],L65,Bets[Result],"Push")&gt;0,"-"&amp;COUNTIFS(Bets[Date],L65,Bets[Result],"Push"),"")</f>
        <v>10-9</v>
      </c>
      <c r="N65" s="52">
        <f>IFERROR(COUNTIFS(Bets[Date],L65,Bets[Result],"W")/(COUNTIFS(Bets[Date],L65,Bets[Result],"W")+COUNTIFS(Bets[Date],L65,Bets[Result],"L")),"")</f>
        <v>0.52631578947368418</v>
      </c>
      <c r="O65" s="38">
        <f>SUMIF(Bets[Date],L65,Bets[Profit])</f>
        <v>9.1727837380011294</v>
      </c>
      <c r="P65" s="37" t="str">
        <f>IFERROR("("&amp;ROUND(SUMIF(Bets[Date],L65,Bets[Profit])/SUMIF(Bets[Date],L65,Bets[Risk]),2)*100&amp;"%)","")</f>
        <v>(15%)</v>
      </c>
      <c r="Q65" s="65">
        <f t="shared" si="2"/>
        <v>-119.82580569064999</v>
      </c>
    </row>
    <row r="66" spans="1:17" x14ac:dyDescent="0.25">
      <c r="A66" s="35">
        <f t="shared" si="0"/>
        <v>9</v>
      </c>
      <c r="B66" s="5">
        <v>43451</v>
      </c>
      <c r="C66" s="5" t="s">
        <v>134</v>
      </c>
      <c r="D66" s="57" t="s">
        <v>121</v>
      </c>
      <c r="E66" s="7" t="s">
        <v>123</v>
      </c>
      <c r="F66" s="33">
        <v>5</v>
      </c>
      <c r="G66" s="63">
        <v>110</v>
      </c>
      <c r="H66" s="9" t="s">
        <v>36</v>
      </c>
      <c r="I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5.5</v>
      </c>
      <c r="J6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66"/>
      <c r="L66" s="36">
        <f t="shared" si="3"/>
        <v>43530</v>
      </c>
      <c r="M66" s="51" t="str">
        <f>COUNTIFS(Bets[Date],L66,Bets[Result],"W")&amp;"-"&amp;COUNTIFS(Bets[Date],L66,Bets[Result],"L")&amp;IF(COUNTIFS(Bets[Date],L66,Bets[Result],"Push")&gt;0,"-"&amp;COUNTIFS(Bets[Date],L66,Bets[Result],"Push"),"")</f>
        <v>14-17-1</v>
      </c>
      <c r="N66" s="52">
        <f>IFERROR(COUNTIFS(Bets[Date],L66,Bets[Result],"W")/(COUNTIFS(Bets[Date],L66,Bets[Result],"W")+COUNTIFS(Bets[Date],L66,Bets[Result],"L")),"")</f>
        <v>0.45161290322580644</v>
      </c>
      <c r="O66" s="38">
        <f>SUMIF(Bets[Date],L66,Bets[Profit])</f>
        <v>-0.71823828345567375</v>
      </c>
      <c r="P66" s="37" t="str">
        <f>IFERROR("("&amp;ROUND(SUMIF(Bets[Date],L66,Bets[Profit])/SUMIF(Bets[Date],L66,Bets[Risk]),2)*100&amp;"%)","")</f>
        <v>(-1%)</v>
      </c>
      <c r="Q66" s="65">
        <f t="shared" si="2"/>
        <v>-120.54404397410566</v>
      </c>
    </row>
    <row r="67" spans="1:17" x14ac:dyDescent="0.25">
      <c r="A67" s="35">
        <f t="shared" si="0"/>
        <v>9</v>
      </c>
      <c r="B67" s="5">
        <v>43451</v>
      </c>
      <c r="C67" s="5" t="s">
        <v>133</v>
      </c>
      <c r="D67" s="57" t="s">
        <v>103</v>
      </c>
      <c r="E67" s="7" t="s">
        <v>104</v>
      </c>
      <c r="F67" s="33">
        <v>10</v>
      </c>
      <c r="G67" s="67">
        <v>-105</v>
      </c>
      <c r="H67" s="9" t="s">
        <v>6</v>
      </c>
      <c r="I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7"/>
      <c r="L67" s="36">
        <f t="shared" si="3"/>
        <v>43536</v>
      </c>
      <c r="M67" s="51" t="str">
        <f>COUNTIFS(Bets[Date],L67,Bets[Result],"W")&amp;"-"&amp;COUNTIFS(Bets[Date],L67,Bets[Result],"L")&amp;IF(COUNTIFS(Bets[Date],L67,Bets[Result],"Push")&gt;0,"-"&amp;COUNTIFS(Bets[Date],L67,Bets[Result],"Push"),"")</f>
        <v>3-6</v>
      </c>
      <c r="N67" s="52">
        <f>IFERROR(COUNTIFS(Bets[Date],L67,Bets[Result],"W")/(COUNTIFS(Bets[Date],L67,Bets[Result],"W")+COUNTIFS(Bets[Date],L67,Bets[Result],"L")),"")</f>
        <v>0.33333333333333331</v>
      </c>
      <c r="O67" s="38">
        <f>SUMIF(Bets[Date],L67,Bets[Profit])</f>
        <v>-25.202529644268772</v>
      </c>
      <c r="P67" s="37" t="str">
        <f>IFERROR("("&amp;ROUND(SUMIF(Bets[Date],L67,Bets[Profit])/SUMIF(Bets[Date],L67,Bets[Risk]),2)*100&amp;"%)","")</f>
        <v>(-31%)</v>
      </c>
      <c r="Q67" s="65">
        <f t="shared" si="2"/>
        <v>-145.74657361837444</v>
      </c>
    </row>
    <row r="68" spans="1:17" x14ac:dyDescent="0.25">
      <c r="A68" s="35">
        <f t="shared" ref="A68:A131" si="4">IF(B68=B67,A67,A67+1)</f>
        <v>10</v>
      </c>
      <c r="B68" s="5">
        <v>43452</v>
      </c>
      <c r="C68" s="5" t="s">
        <v>134</v>
      </c>
      <c r="D68" s="57" t="s">
        <v>124</v>
      </c>
      <c r="E68" s="7" t="s">
        <v>125</v>
      </c>
      <c r="F68" s="33">
        <v>5</v>
      </c>
      <c r="G68" s="63">
        <v>-110</v>
      </c>
      <c r="H68" s="9" t="s">
        <v>6</v>
      </c>
      <c r="I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6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8"/>
      <c r="L68" s="36">
        <f t="shared" ref="L68:L99" si="5">IFERROR(VLOOKUP(ROW()-3,A:B,2,0),0)</f>
        <v>43537</v>
      </c>
      <c r="M68" s="51" t="str">
        <f>COUNTIFS(Bets[Date],L68,Bets[Result],"W")&amp;"-"&amp;COUNTIFS(Bets[Date],L68,Bets[Result],"L")&amp;IF(COUNTIFS(Bets[Date],L68,Bets[Result],"Push")&gt;0,"-"&amp;COUNTIFS(Bets[Date],L68,Bets[Result],"Push"),"")</f>
        <v>5-5</v>
      </c>
      <c r="N68" s="52">
        <f>IFERROR(COUNTIFS(Bets[Date],L68,Bets[Result],"W")/(COUNTIFS(Bets[Date],L68,Bets[Result],"W")+COUNTIFS(Bets[Date],L68,Bets[Result],"L")),"")</f>
        <v>0.5</v>
      </c>
      <c r="O68" s="38">
        <f>SUMIF(Bets[Date],L68,Bets[Profit])</f>
        <v>0.86609448522492105</v>
      </c>
      <c r="P68" s="37" t="str">
        <f>IFERROR("("&amp;ROUND(SUMIF(Bets[Date],L68,Bets[Profit])/SUMIF(Bets[Date],L68,Bets[Risk]),2)*100&amp;"%)","")</f>
        <v>(2%)</v>
      </c>
      <c r="Q68" s="65">
        <f t="shared" si="2"/>
        <v>-144.88047913314952</v>
      </c>
    </row>
    <row r="69" spans="1:17" x14ac:dyDescent="0.25">
      <c r="A69" s="35">
        <f t="shared" si="4"/>
        <v>10</v>
      </c>
      <c r="B69" s="5">
        <v>43452</v>
      </c>
      <c r="C69" s="5" t="s">
        <v>134</v>
      </c>
      <c r="D69" s="57" t="s">
        <v>126</v>
      </c>
      <c r="E69" s="7" t="s">
        <v>127</v>
      </c>
      <c r="F69" s="33">
        <v>5</v>
      </c>
      <c r="G69" s="63">
        <v>-115</v>
      </c>
      <c r="H69" s="9" t="s">
        <v>36</v>
      </c>
      <c r="I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6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"/>
      <c r="L69" s="36">
        <f t="shared" si="5"/>
        <v>43538</v>
      </c>
      <c r="M69" s="51" t="str">
        <f>COUNTIFS(Bets[Date],L69,Bets[Result],"W")&amp;"-"&amp;COUNTIFS(Bets[Date],L69,Bets[Result],"L")&amp;IF(COUNTIFS(Bets[Date],L69,Bets[Result],"Push")&gt;0,"-"&amp;COUNTIFS(Bets[Date],L69,Bets[Result],"Push"),"")</f>
        <v>10-1-1</v>
      </c>
      <c r="N69" s="52">
        <f>IFERROR(COUNTIFS(Bets[Date],L69,Bets[Result],"W")/(COUNTIFS(Bets[Date],L69,Bets[Result],"W")+COUNTIFS(Bets[Date],L69,Bets[Result],"L")),"")</f>
        <v>0.90909090909090906</v>
      </c>
      <c r="O69" s="38">
        <f>SUMIF(Bets[Date],L69,Bets[Profit])</f>
        <v>23.656938671103795</v>
      </c>
      <c r="P69" s="37" t="str">
        <f>IFERROR("("&amp;ROUND(SUMIF(Bets[Date],L69,Bets[Profit])/SUMIF(Bets[Date],L69,Bets[Risk]),2)*100&amp;"%)","")</f>
        <v>(39%)</v>
      </c>
      <c r="Q69" s="65">
        <f t="shared" si="2"/>
        <v>-121.22354046204572</v>
      </c>
    </row>
    <row r="70" spans="1:17" x14ac:dyDescent="0.25">
      <c r="A70" s="35">
        <f t="shared" si="4"/>
        <v>10</v>
      </c>
      <c r="B70" s="5">
        <v>43452</v>
      </c>
      <c r="C70" s="5" t="s">
        <v>134</v>
      </c>
      <c r="D70" s="57" t="s">
        <v>126</v>
      </c>
      <c r="E70" s="7" t="s">
        <v>128</v>
      </c>
      <c r="F70" s="33">
        <v>5</v>
      </c>
      <c r="G70" s="63">
        <v>-110</v>
      </c>
      <c r="H70" s="9" t="s">
        <v>6</v>
      </c>
      <c r="I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0"/>
      <c r="L70" s="36">
        <f t="shared" si="5"/>
        <v>43539</v>
      </c>
      <c r="M70" s="51" t="str">
        <f>COUNTIFS(Bets[Date],L70,Bets[Result],"W")&amp;"-"&amp;COUNTIFS(Bets[Date],L70,Bets[Result],"L")&amp;IF(COUNTIFS(Bets[Date],L70,Bets[Result],"Push")&gt;0,"-"&amp;COUNTIFS(Bets[Date],L70,Bets[Result],"Push"),"")</f>
        <v>5-6</v>
      </c>
      <c r="N70" s="52">
        <f>IFERROR(COUNTIFS(Bets[Date],L70,Bets[Result],"W")/(COUNTIFS(Bets[Date],L70,Bets[Result],"W")+COUNTIFS(Bets[Date],L70,Bets[Result],"L")),"")</f>
        <v>0.45454545454545453</v>
      </c>
      <c r="O70" s="38">
        <f>SUMIF(Bets[Date],L70,Bets[Profit])</f>
        <v>-11.900938735177863</v>
      </c>
      <c r="P70" s="37" t="str">
        <f>IFERROR("("&amp;ROUND(SUMIF(Bets[Date],L70,Bets[Profit])/SUMIF(Bets[Date],L70,Bets[Risk]),2)*100&amp;"%)","")</f>
        <v>(-22%)</v>
      </c>
      <c r="Q70" s="65">
        <f t="shared" ref="Q70:Q133" si="6">IF(ISNUMBER(CODE(L69)),Q69+O70,"")</f>
        <v>-133.12447919722359</v>
      </c>
    </row>
    <row r="71" spans="1:17" x14ac:dyDescent="0.25">
      <c r="A71" s="35">
        <f t="shared" si="4"/>
        <v>10</v>
      </c>
      <c r="B71" s="5">
        <v>43452</v>
      </c>
      <c r="C71" s="5" t="s">
        <v>134</v>
      </c>
      <c r="D71" s="57" t="s">
        <v>129</v>
      </c>
      <c r="E71" s="7" t="s">
        <v>130</v>
      </c>
      <c r="F71" s="33">
        <v>5</v>
      </c>
      <c r="G71" s="63">
        <v>-115</v>
      </c>
      <c r="H71" s="9" t="s">
        <v>36</v>
      </c>
      <c r="I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1"/>
      <c r="L71" s="36">
        <f t="shared" si="5"/>
        <v>43547</v>
      </c>
      <c r="M71" s="51" t="str">
        <f>COUNTIFS(Bets[Date],L71,Bets[Result],"W")&amp;"-"&amp;COUNTIFS(Bets[Date],L71,Bets[Result],"L")&amp;IF(COUNTIFS(Bets[Date],L71,Bets[Result],"Push")&gt;0,"-"&amp;COUNTIFS(Bets[Date],L71,Bets[Result],"Push"),"")</f>
        <v>4-2</v>
      </c>
      <c r="N71" s="52">
        <f>IFERROR(COUNTIFS(Bets[Date],L71,Bets[Result],"W")/(COUNTIFS(Bets[Date],L71,Bets[Result],"W")+COUNTIFS(Bets[Date],L71,Bets[Result],"L")),"")</f>
        <v>0.66666666666666663</v>
      </c>
      <c r="O71" s="38">
        <f>SUMIF(Bets[Date],L71,Bets[Profit])</f>
        <v>20.452380952380953</v>
      </c>
      <c r="P71" s="37" t="str">
        <f>IFERROR("("&amp;ROUND(SUMIF(Bets[Date],L71,Bets[Profit])/SUMIF(Bets[Date],L71,Bets[Risk]),2)*100&amp;"%)","")</f>
        <v>(31%)</v>
      </c>
      <c r="Q71" s="65">
        <f t="shared" si="6"/>
        <v>-112.67209824484264</v>
      </c>
    </row>
    <row r="72" spans="1:17" x14ac:dyDescent="0.25">
      <c r="A72" s="35">
        <f t="shared" si="4"/>
        <v>10</v>
      </c>
      <c r="B72" s="5">
        <v>43452</v>
      </c>
      <c r="C72" s="5" t="s">
        <v>134</v>
      </c>
      <c r="D72" s="57" t="s">
        <v>129</v>
      </c>
      <c r="E72" s="7" t="s">
        <v>131</v>
      </c>
      <c r="F72" s="33">
        <v>5</v>
      </c>
      <c r="G72" s="63">
        <v>-110</v>
      </c>
      <c r="H72" s="9" t="s">
        <v>36</v>
      </c>
      <c r="I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2"/>
      <c r="L72" s="36">
        <f t="shared" si="5"/>
        <v>43548</v>
      </c>
      <c r="M72" s="51" t="str">
        <f>COUNTIFS(Bets[Date],L72,Bets[Result],"W")&amp;"-"&amp;COUNTIFS(Bets[Date],L72,Bets[Result],"L")&amp;IF(COUNTIFS(Bets[Date],L72,Bets[Result],"Push")&gt;0,"-"&amp;COUNTIFS(Bets[Date],L72,Bets[Result],"Push"),"")</f>
        <v>3-4-1</v>
      </c>
      <c r="N72" s="52">
        <f>IFERROR(COUNTIFS(Bets[Date],L72,Bets[Result],"W")/(COUNTIFS(Bets[Date],L72,Bets[Result],"W")+COUNTIFS(Bets[Date],L72,Bets[Result],"L")),"")</f>
        <v>0.42857142857142855</v>
      </c>
      <c r="O72" s="38">
        <f>SUMIF(Bets[Date],L72,Bets[Profit])</f>
        <v>-14</v>
      </c>
      <c r="P72" s="37" t="str">
        <f>IFERROR("("&amp;ROUND(SUMIF(Bets[Date],L72,Bets[Profit])/SUMIF(Bets[Date],L72,Bets[Risk]),2)*100&amp;"%)","")</f>
        <v>(-16%)</v>
      </c>
      <c r="Q72" s="65">
        <f t="shared" si="6"/>
        <v>-126.67209824484264</v>
      </c>
    </row>
    <row r="73" spans="1:17" x14ac:dyDescent="0.25">
      <c r="A73" s="35">
        <f t="shared" si="4"/>
        <v>11</v>
      </c>
      <c r="B73" s="5">
        <v>43453</v>
      </c>
      <c r="C73" s="5" t="s">
        <v>134</v>
      </c>
      <c r="D73" s="57" t="s">
        <v>135</v>
      </c>
      <c r="E73" s="7" t="s">
        <v>136</v>
      </c>
      <c r="F73" s="33">
        <v>10</v>
      </c>
      <c r="G73" s="63">
        <v>-105</v>
      </c>
      <c r="H73" s="31" t="s">
        <v>36</v>
      </c>
      <c r="I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7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3"/>
      <c r="L73" s="36">
        <f t="shared" si="5"/>
        <v>43549</v>
      </c>
      <c r="M73" s="51" t="str">
        <f>COUNTIFS(Bets[Date],L73,Bets[Result],"W")&amp;"-"&amp;COUNTIFS(Bets[Date],L73,Bets[Result],"L")&amp;IF(COUNTIFS(Bets[Date],L73,Bets[Result],"Push")&gt;0,"-"&amp;COUNTIFS(Bets[Date],L73,Bets[Result],"Push"),"")</f>
        <v>4-3</v>
      </c>
      <c r="N73" s="52">
        <f>IFERROR(COUNTIFS(Bets[Date],L73,Bets[Result],"W")/(COUNTIFS(Bets[Date],L73,Bets[Result],"W")+COUNTIFS(Bets[Date],L73,Bets[Result],"L")),"")</f>
        <v>0.5714285714285714</v>
      </c>
      <c r="O73" s="38">
        <f>SUMIF(Bets[Date],L73,Bets[Profit])</f>
        <v>3.25</v>
      </c>
      <c r="P73" s="37" t="str">
        <f>IFERROR("("&amp;ROUND(SUMIF(Bets[Date],L73,Bets[Profit])/SUMIF(Bets[Date],L73,Bets[Risk]),2)*100&amp;"%)","")</f>
        <v>(8%)</v>
      </c>
      <c r="Q73" s="65">
        <f t="shared" si="6"/>
        <v>-123.42209824484264</v>
      </c>
    </row>
    <row r="74" spans="1:17" x14ac:dyDescent="0.25">
      <c r="A74" s="35">
        <f t="shared" si="4"/>
        <v>11</v>
      </c>
      <c r="B74" s="5">
        <v>43453</v>
      </c>
      <c r="C74" s="5" t="s">
        <v>134</v>
      </c>
      <c r="D74" s="57" t="s">
        <v>137</v>
      </c>
      <c r="E74" s="7" t="s">
        <v>138</v>
      </c>
      <c r="F74" s="33">
        <v>10</v>
      </c>
      <c r="G74" s="63">
        <v>-105</v>
      </c>
      <c r="H74" s="31" t="s">
        <v>36</v>
      </c>
      <c r="I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7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4"/>
      <c r="L74" s="36">
        <f t="shared" si="5"/>
        <v>43550</v>
      </c>
      <c r="M74" s="51" t="str">
        <f>COUNTIFS(Bets[Date],L74,Bets[Result],"W")&amp;"-"&amp;COUNTIFS(Bets[Date],L74,Bets[Result],"L")&amp;IF(COUNTIFS(Bets[Date],L74,Bets[Result],"Push")&gt;0,"-"&amp;COUNTIFS(Bets[Date],L74,Bets[Result],"Push"),"")</f>
        <v>4-6</v>
      </c>
      <c r="N74" s="52">
        <f>IFERROR(COUNTIFS(Bets[Date],L74,Bets[Result],"W")/(COUNTIFS(Bets[Date],L74,Bets[Result],"W")+COUNTIFS(Bets[Date],L74,Bets[Result],"L")),"")</f>
        <v>0.4</v>
      </c>
      <c r="O74" s="38">
        <f>SUMIF(Bets[Date],L74,Bets[Profit])</f>
        <v>-12.75</v>
      </c>
      <c r="P74" s="37" t="str">
        <f>IFERROR("("&amp;ROUND(SUMIF(Bets[Date],L74,Bets[Profit])/SUMIF(Bets[Date],L74,Bets[Risk]),2)*100&amp;"%)","")</f>
        <v>(-24%)</v>
      </c>
      <c r="Q74" s="65">
        <f t="shared" si="6"/>
        <v>-136.17209824484263</v>
      </c>
    </row>
    <row r="75" spans="1:17" x14ac:dyDescent="0.25">
      <c r="A75" s="35">
        <f t="shared" si="4"/>
        <v>11</v>
      </c>
      <c r="B75" s="5">
        <v>43453</v>
      </c>
      <c r="C75" s="5" t="s">
        <v>134</v>
      </c>
      <c r="D75" s="57" t="s">
        <v>139</v>
      </c>
      <c r="E75" s="7" t="s">
        <v>140</v>
      </c>
      <c r="F75" s="33">
        <v>10</v>
      </c>
      <c r="G75" s="63">
        <v>-110</v>
      </c>
      <c r="H75" s="31" t="s">
        <v>6</v>
      </c>
      <c r="I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5"/>
      <c r="L75" s="36">
        <f t="shared" si="5"/>
        <v>43551</v>
      </c>
      <c r="M75" s="51" t="str">
        <f>COUNTIFS(Bets[Date],L75,Bets[Result],"W")&amp;"-"&amp;COUNTIFS(Bets[Date],L75,Bets[Result],"L")&amp;IF(COUNTIFS(Bets[Date],L75,Bets[Result],"Push")&gt;0,"-"&amp;COUNTIFS(Bets[Date],L75,Bets[Result],"Push"),"")</f>
        <v>1-4</v>
      </c>
      <c r="N75" s="52">
        <f>IFERROR(COUNTIFS(Bets[Date],L75,Bets[Result],"W")/(COUNTIFS(Bets[Date],L75,Bets[Result],"W")+COUNTIFS(Bets[Date],L75,Bets[Result],"L")),"")</f>
        <v>0.2</v>
      </c>
      <c r="O75" s="38">
        <f>SUMIF(Bets[Date],L75,Bets[Profit])</f>
        <v>-12.521739130434783</v>
      </c>
      <c r="P75" s="37" t="str">
        <f>IFERROR("("&amp;ROUND(SUMIF(Bets[Date],L75,Bets[Profit])/SUMIF(Bets[Date],L75,Bets[Risk]),2)*100&amp;"%)","")</f>
        <v>(-63%)</v>
      </c>
      <c r="Q75" s="65">
        <f t="shared" si="6"/>
        <v>-148.69383737527741</v>
      </c>
    </row>
    <row r="76" spans="1:17" x14ac:dyDescent="0.25">
      <c r="A76" s="35">
        <f t="shared" si="4"/>
        <v>11</v>
      </c>
      <c r="B76" s="5">
        <v>43453</v>
      </c>
      <c r="C76" s="5" t="s">
        <v>134</v>
      </c>
      <c r="D76" s="57" t="s">
        <v>139</v>
      </c>
      <c r="E76" s="7" t="s">
        <v>141</v>
      </c>
      <c r="F76" s="33">
        <v>10</v>
      </c>
      <c r="G76" s="63">
        <v>-110</v>
      </c>
      <c r="H76" s="31" t="s">
        <v>6</v>
      </c>
      <c r="I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6"/>
      <c r="L76" s="36">
        <f t="shared" si="5"/>
        <v>43552</v>
      </c>
      <c r="M76" s="51" t="str">
        <f>COUNTIFS(Bets[Date],L76,Bets[Result],"W")&amp;"-"&amp;COUNTIFS(Bets[Date],L76,Bets[Result],"L")&amp;IF(COUNTIFS(Bets[Date],L76,Bets[Result],"Push")&gt;0,"-"&amp;COUNTIFS(Bets[Date],L76,Bets[Result],"Push"),"")</f>
        <v>2-5</v>
      </c>
      <c r="N76" s="52">
        <f>IFERROR(COUNTIFS(Bets[Date],L76,Bets[Result],"W")/(COUNTIFS(Bets[Date],L76,Bets[Result],"W")+COUNTIFS(Bets[Date],L76,Bets[Result],"L")),"")</f>
        <v>0.2857142857142857</v>
      </c>
      <c r="O76" s="38">
        <f>SUMIF(Bets[Date],L76,Bets[Profit])</f>
        <v>-8.0217391304347831</v>
      </c>
      <c r="P76" s="37" t="str">
        <f>IFERROR("("&amp;ROUND(SUMIF(Bets[Date],L76,Bets[Profit])/SUMIF(Bets[Date],L76,Bets[Risk]),2)*100&amp;"%)","")</f>
        <v>(-22%)</v>
      </c>
      <c r="Q76" s="65">
        <f t="shared" si="6"/>
        <v>-156.71557650571219</v>
      </c>
    </row>
    <row r="77" spans="1:17" x14ac:dyDescent="0.25">
      <c r="A77" s="35">
        <f t="shared" si="4"/>
        <v>11</v>
      </c>
      <c r="B77" s="5">
        <v>43453</v>
      </c>
      <c r="C77" s="5" t="s">
        <v>134</v>
      </c>
      <c r="D77" s="57" t="s">
        <v>142</v>
      </c>
      <c r="E77" s="7" t="s">
        <v>112</v>
      </c>
      <c r="F77" s="33">
        <v>10</v>
      </c>
      <c r="G77" s="63">
        <v>-115</v>
      </c>
      <c r="H77" s="31" t="s">
        <v>36</v>
      </c>
      <c r="I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7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7"/>
      <c r="L77" s="36">
        <f t="shared" si="5"/>
        <v>43553</v>
      </c>
      <c r="M77" s="51" t="str">
        <f>COUNTIFS(Bets[Date],L77,Bets[Result],"W")&amp;"-"&amp;COUNTIFS(Bets[Date],L77,Bets[Result],"L")&amp;IF(COUNTIFS(Bets[Date],L77,Bets[Result],"Push")&gt;0,"-"&amp;COUNTIFS(Bets[Date],L77,Bets[Result],"Push"),"")</f>
        <v>1-2</v>
      </c>
      <c r="N77" s="52">
        <f>IFERROR(COUNTIFS(Bets[Date],L77,Bets[Result],"W")/(COUNTIFS(Bets[Date],L77,Bets[Result],"W")+COUNTIFS(Bets[Date],L77,Bets[Result],"L")),"")</f>
        <v>0.33333333333333331</v>
      </c>
      <c r="O77" s="38">
        <f>SUMIF(Bets[Date],L77,Bets[Profit])</f>
        <v>3.25</v>
      </c>
      <c r="P77" s="37" t="str">
        <f>IFERROR("("&amp;ROUND(SUMIF(Bets[Date],L77,Bets[Profit])/SUMIF(Bets[Date],L77,Bets[Risk]),2)*100&amp;"%)","")</f>
        <v>(9%)</v>
      </c>
      <c r="Q77" s="65">
        <f t="shared" si="6"/>
        <v>-153.46557650571219</v>
      </c>
    </row>
    <row r="78" spans="1:17" x14ac:dyDescent="0.25">
      <c r="A78" s="35">
        <f t="shared" si="4"/>
        <v>11</v>
      </c>
      <c r="B78" s="5">
        <v>43453</v>
      </c>
      <c r="C78" s="5" t="s">
        <v>134</v>
      </c>
      <c r="D78" s="57" t="s">
        <v>143</v>
      </c>
      <c r="E78" s="7" t="s">
        <v>144</v>
      </c>
      <c r="F78" s="33">
        <v>10</v>
      </c>
      <c r="G78" s="63">
        <v>-105</v>
      </c>
      <c r="H78" s="31" t="s">
        <v>36</v>
      </c>
      <c r="I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7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8"/>
      <c r="L78" s="36">
        <f t="shared" si="5"/>
        <v>43554</v>
      </c>
      <c r="M78" s="51" t="str">
        <f>COUNTIFS(Bets[Date],L78,Bets[Result],"W")&amp;"-"&amp;COUNTIFS(Bets[Date],L78,Bets[Result],"L")&amp;IF(COUNTIFS(Bets[Date],L78,Bets[Result],"Push")&gt;0,"-"&amp;COUNTIFS(Bets[Date],L78,Bets[Result],"Push"),"")</f>
        <v>2-0</v>
      </c>
      <c r="N78" s="52">
        <f>IFERROR(COUNTIFS(Bets[Date],L78,Bets[Result],"W")/(COUNTIFS(Bets[Date],L78,Bets[Result],"W")+COUNTIFS(Bets[Date],L78,Bets[Result],"L")),"")</f>
        <v>1</v>
      </c>
      <c r="O78" s="38">
        <f>SUMIF(Bets[Date],L78,Bets[Profit])</f>
        <v>20</v>
      </c>
      <c r="P78" s="37" t="str">
        <f>IFERROR("("&amp;ROUND(SUMIF(Bets[Date],L78,Bets[Profit])/SUMIF(Bets[Date],L78,Bets[Risk]),2)*100&amp;"%)","")</f>
        <v>(93%)</v>
      </c>
      <c r="Q78" s="65">
        <f t="shared" si="6"/>
        <v>-133.46557650571219</v>
      </c>
    </row>
    <row r="79" spans="1:17" x14ac:dyDescent="0.25">
      <c r="A79" s="35">
        <f t="shared" si="4"/>
        <v>11</v>
      </c>
      <c r="B79" s="5">
        <v>43453</v>
      </c>
      <c r="C79" s="5" t="s">
        <v>134</v>
      </c>
      <c r="D79" s="57" t="s">
        <v>143</v>
      </c>
      <c r="E79" s="7" t="s">
        <v>145</v>
      </c>
      <c r="F79" s="33">
        <v>10</v>
      </c>
      <c r="G79" s="63">
        <v>-110</v>
      </c>
      <c r="H79" s="31" t="s">
        <v>36</v>
      </c>
      <c r="I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7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9"/>
      <c r="L79" s="36">
        <f t="shared" si="5"/>
        <v>43555</v>
      </c>
      <c r="M79" s="51" t="str">
        <f>COUNTIFS(Bets[Date],L79,Bets[Result],"W")&amp;"-"&amp;COUNTIFS(Bets[Date],L79,Bets[Result],"L")&amp;IF(COUNTIFS(Bets[Date],L79,Bets[Result],"Push")&gt;0,"-"&amp;COUNTIFS(Bets[Date],L79,Bets[Result],"Push"),"")</f>
        <v>3-1</v>
      </c>
      <c r="N79" s="52">
        <f>IFERROR(COUNTIFS(Bets[Date],L79,Bets[Result],"W")/(COUNTIFS(Bets[Date],L79,Bets[Result],"W")+COUNTIFS(Bets[Date],L79,Bets[Result],"L")),"")</f>
        <v>0.75</v>
      </c>
      <c r="O79" s="38">
        <f>SUMIF(Bets[Date],L79,Bets[Profit])</f>
        <v>28.988639999999997</v>
      </c>
      <c r="P79" s="37" t="str">
        <f>IFERROR("("&amp;ROUND(SUMIF(Bets[Date],L79,Bets[Profit])/SUMIF(Bets[Date],L79,Bets[Risk]),2)*100&amp;"%)","")</f>
        <v>(72%)</v>
      </c>
      <c r="Q79" s="65">
        <f t="shared" si="6"/>
        <v>-104.47693650571219</v>
      </c>
    </row>
    <row r="80" spans="1:17" x14ac:dyDescent="0.25">
      <c r="A80" s="35">
        <f t="shared" si="4"/>
        <v>11</v>
      </c>
      <c r="B80" s="5">
        <v>43453</v>
      </c>
      <c r="C80" s="5" t="s">
        <v>134</v>
      </c>
      <c r="D80" s="57" t="s">
        <v>146</v>
      </c>
      <c r="E80" s="7" t="s">
        <v>147</v>
      </c>
      <c r="F80" s="33">
        <v>10</v>
      </c>
      <c r="G80" s="63">
        <v>-110</v>
      </c>
      <c r="H80" s="31" t="s">
        <v>6</v>
      </c>
      <c r="I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0"/>
      <c r="L80" s="36">
        <f t="shared" si="5"/>
        <v>43557</v>
      </c>
      <c r="M80" s="51" t="str">
        <f>COUNTIFS(Bets[Date],L80,Bets[Result],"W")&amp;"-"&amp;COUNTIFS(Bets[Date],L80,Bets[Result],"L")&amp;IF(COUNTIFS(Bets[Date],L80,Bets[Result],"Push")&gt;0,"-"&amp;COUNTIFS(Bets[Date],L80,Bets[Result],"Push"),"")</f>
        <v>0-4</v>
      </c>
      <c r="N80" s="52">
        <f>IFERROR(COUNTIFS(Bets[Date],L80,Bets[Result],"W")/(COUNTIFS(Bets[Date],L80,Bets[Result],"W")+COUNTIFS(Bets[Date],L80,Bets[Result],"L")),"")</f>
        <v>0</v>
      </c>
      <c r="O80" s="38">
        <f>SUMIF(Bets[Date],L80,Bets[Profit])</f>
        <v>-32.75</v>
      </c>
      <c r="P80" s="37" t="str">
        <f>IFERROR("("&amp;ROUND(SUMIF(Bets[Date],L80,Bets[Profit])/SUMIF(Bets[Date],L80,Bets[Risk]),2)*100&amp;"%)","")</f>
        <v>(-100%)</v>
      </c>
      <c r="Q80" s="65">
        <f t="shared" si="6"/>
        <v>-137.22693650571219</v>
      </c>
    </row>
    <row r="81" spans="1:17" x14ac:dyDescent="0.25">
      <c r="A81" s="35">
        <f t="shared" si="4"/>
        <v>11</v>
      </c>
      <c r="B81" s="5">
        <v>43453</v>
      </c>
      <c r="C81" s="5" t="s">
        <v>134</v>
      </c>
      <c r="D81" s="57" t="s">
        <v>148</v>
      </c>
      <c r="E81" s="7" t="s">
        <v>149</v>
      </c>
      <c r="F81" s="33">
        <v>10</v>
      </c>
      <c r="G81" s="63">
        <v>-110</v>
      </c>
      <c r="H81" s="31" t="s">
        <v>6</v>
      </c>
      <c r="I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1"/>
      <c r="L81" s="36">
        <f t="shared" si="5"/>
        <v>43558</v>
      </c>
      <c r="M81" s="51" t="str">
        <f>COUNTIFS(Bets[Date],L81,Bets[Result],"W")&amp;"-"&amp;COUNTIFS(Bets[Date],L81,Bets[Result],"L")&amp;IF(COUNTIFS(Bets[Date],L81,Bets[Result],"Push")&gt;0,"-"&amp;COUNTIFS(Bets[Date],L81,Bets[Result],"Push"),"")</f>
        <v>2-5</v>
      </c>
      <c r="N81" s="52">
        <f>IFERROR(COUNTIFS(Bets[Date],L81,Bets[Result],"W")/(COUNTIFS(Bets[Date],L81,Bets[Result],"W")+COUNTIFS(Bets[Date],L81,Bets[Result],"L")),"")</f>
        <v>0.2857142857142857</v>
      </c>
      <c r="O81" s="38">
        <f>SUMIF(Bets[Date],L81,Bets[Profit])</f>
        <v>-3.45</v>
      </c>
      <c r="P81" s="37" t="str">
        <f>IFERROR("("&amp;ROUND(SUMIF(Bets[Date],L81,Bets[Profit])/SUMIF(Bets[Date],L81,Bets[Risk]),2)*100&amp;"%)","")</f>
        <v>(-45%)</v>
      </c>
      <c r="Q81" s="65">
        <f t="shared" si="6"/>
        <v>-140.67693650571218</v>
      </c>
    </row>
    <row r="82" spans="1:17" x14ac:dyDescent="0.25">
      <c r="A82" s="35">
        <f t="shared" si="4"/>
        <v>11</v>
      </c>
      <c r="B82" s="5">
        <v>43453</v>
      </c>
      <c r="C82" s="5" t="s">
        <v>134</v>
      </c>
      <c r="D82" s="57" t="s">
        <v>150</v>
      </c>
      <c r="E82" s="7" t="s">
        <v>151</v>
      </c>
      <c r="F82" s="33">
        <v>10</v>
      </c>
      <c r="G82" s="63">
        <v>-105</v>
      </c>
      <c r="H82" s="31" t="s">
        <v>6</v>
      </c>
      <c r="I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2"/>
      <c r="L82" s="36">
        <f t="shared" si="5"/>
        <v>43559</v>
      </c>
      <c r="M82" s="51" t="str">
        <f>COUNTIFS(Bets[Date],L82,Bets[Result],"W")&amp;"-"&amp;COUNTIFS(Bets[Date],L82,Bets[Result],"L")&amp;IF(COUNTIFS(Bets[Date],L82,Bets[Result],"Push")&gt;0,"-"&amp;COUNTIFS(Bets[Date],L82,Bets[Result],"Push"),"")</f>
        <v>1-1</v>
      </c>
      <c r="N82" s="52">
        <f>IFERROR(COUNTIFS(Bets[Date],L82,Bets[Result],"W")/(COUNTIFS(Bets[Date],L82,Bets[Result],"W")+COUNTIFS(Bets[Date],L82,Bets[Result],"L")),"")</f>
        <v>0.5</v>
      </c>
      <c r="O82" s="38">
        <f>SUMIF(Bets[Date],L82,Bets[Profit])</f>
        <v>-0.10000000000000009</v>
      </c>
      <c r="P82" s="37" t="str">
        <f>IFERROR("("&amp;ROUND(SUMIF(Bets[Date],L82,Bets[Profit])/SUMIF(Bets[Date],L82,Bets[Risk]),2)*100&amp;"%)","")</f>
        <v>(-5%)</v>
      </c>
      <c r="Q82" s="65">
        <f t="shared" si="6"/>
        <v>-140.77693650571217</v>
      </c>
    </row>
    <row r="83" spans="1:17" x14ac:dyDescent="0.25">
      <c r="A83" s="35">
        <f t="shared" si="4"/>
        <v>11</v>
      </c>
      <c r="B83" s="5">
        <v>43453</v>
      </c>
      <c r="C83" s="5" t="s">
        <v>134</v>
      </c>
      <c r="D83" s="57" t="s">
        <v>152</v>
      </c>
      <c r="E83" s="7" t="s">
        <v>153</v>
      </c>
      <c r="F83" s="33">
        <v>5</v>
      </c>
      <c r="G83" s="63">
        <v>170</v>
      </c>
      <c r="H83" s="9" t="s">
        <v>6</v>
      </c>
      <c r="I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83"/>
      <c r="L83" s="36">
        <f t="shared" si="5"/>
        <v>43561</v>
      </c>
      <c r="M83" s="51" t="str">
        <f>COUNTIFS(Bets[Date],L83,Bets[Result],"W")&amp;"-"&amp;COUNTIFS(Bets[Date],L83,Bets[Result],"L")&amp;IF(COUNTIFS(Bets[Date],L83,Bets[Result],"Push")&gt;0,"-"&amp;COUNTIFS(Bets[Date],L83,Bets[Result],"Push"),"")</f>
        <v>3-1</v>
      </c>
      <c r="N83" s="52">
        <f>IFERROR(COUNTIFS(Bets[Date],L83,Bets[Result],"W")/(COUNTIFS(Bets[Date],L83,Bets[Result],"W")+COUNTIFS(Bets[Date],L83,Bets[Result],"L")),"")</f>
        <v>0.75</v>
      </c>
      <c r="O83" s="38">
        <f>SUMIF(Bets[Date],L83,Bets[Profit])</f>
        <v>28.71</v>
      </c>
      <c r="P83" s="37" t="str">
        <f>IFERROR("("&amp;ROUND(SUMIF(Bets[Date],L83,Bets[Profit])/SUMIF(Bets[Date],L83,Bets[Risk]),2)*100&amp;"%)","")</f>
        <v>(38%)</v>
      </c>
      <c r="Q83" s="65">
        <f t="shared" si="6"/>
        <v>-112.06693650571216</v>
      </c>
    </row>
    <row r="84" spans="1:17" x14ac:dyDescent="0.25">
      <c r="A84" s="35">
        <f t="shared" si="4"/>
        <v>12</v>
      </c>
      <c r="B84" s="5">
        <v>43454</v>
      </c>
      <c r="C84" s="5" t="s">
        <v>134</v>
      </c>
      <c r="D84" s="57" t="s">
        <v>154</v>
      </c>
      <c r="E84" s="7" t="s">
        <v>155</v>
      </c>
      <c r="F84" s="33">
        <v>10</v>
      </c>
      <c r="G84" s="63">
        <v>-105</v>
      </c>
      <c r="H84" s="9" t="s">
        <v>6</v>
      </c>
      <c r="I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4"/>
      <c r="L84" s="36">
        <f t="shared" si="5"/>
        <v>43563</v>
      </c>
      <c r="M84" s="51" t="str">
        <f>COUNTIFS(Bets[Date],L84,Bets[Result],"W")&amp;"-"&amp;COUNTIFS(Bets[Date],L84,Bets[Result],"L")&amp;IF(COUNTIFS(Bets[Date],L84,Bets[Result],"Push")&gt;0,"-"&amp;COUNTIFS(Bets[Date],L84,Bets[Result],"Push"),"")</f>
        <v>2-0</v>
      </c>
      <c r="N84" s="52">
        <f>IFERROR(COUNTIFS(Bets[Date],L84,Bets[Result],"W")/(COUNTIFS(Bets[Date],L84,Bets[Result],"W")+COUNTIFS(Bets[Date],L84,Bets[Result],"L")),"")</f>
        <v>1</v>
      </c>
      <c r="O84" s="38">
        <f>SUMIF(Bets[Date],L84,Bets[Profit])</f>
        <v>40</v>
      </c>
      <c r="P84" s="37" t="str">
        <f>IFERROR("("&amp;ROUND(SUMIF(Bets[Date],L84,Bets[Profit])/SUMIF(Bets[Date],L84,Bets[Risk]),2)*100&amp;"%)","")</f>
        <v>(89%)</v>
      </c>
      <c r="Q84" s="65">
        <f t="shared" si="6"/>
        <v>-72.066936505712164</v>
      </c>
    </row>
    <row r="85" spans="1:17" x14ac:dyDescent="0.25">
      <c r="A85" s="35">
        <f t="shared" si="4"/>
        <v>12</v>
      </c>
      <c r="B85" s="5">
        <v>43454</v>
      </c>
      <c r="C85" s="5" t="s">
        <v>134</v>
      </c>
      <c r="D85" s="57" t="s">
        <v>156</v>
      </c>
      <c r="E85" s="7" t="s">
        <v>157</v>
      </c>
      <c r="F85" s="33">
        <v>10</v>
      </c>
      <c r="G85" s="63">
        <v>-115</v>
      </c>
      <c r="H85" s="31" t="s">
        <v>36</v>
      </c>
      <c r="I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8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5"/>
      <c r="L85" s="36">
        <f t="shared" si="5"/>
        <v>43567</v>
      </c>
      <c r="M85" s="51" t="str">
        <f>COUNTIFS(Bets[Date],L85,Bets[Result],"W")&amp;"-"&amp;COUNTIFS(Bets[Date],L85,Bets[Result],"L")&amp;IF(COUNTIFS(Bets[Date],L85,Bets[Result],"Push")&gt;0,"-"&amp;COUNTIFS(Bets[Date],L85,Bets[Result],"Push"),"")</f>
        <v>0-2-1</v>
      </c>
      <c r="N85" s="52">
        <f>IFERROR(COUNTIFS(Bets[Date],L85,Bets[Result],"W")/(COUNTIFS(Bets[Date],L85,Bets[Result],"W")+COUNTIFS(Bets[Date],L85,Bets[Result],"L")),"")</f>
        <v>0</v>
      </c>
      <c r="O85" s="38">
        <f>SUMIF(Bets[Date],L85,Bets[Profit])</f>
        <v>-30</v>
      </c>
      <c r="P85" s="37" t="str">
        <f>IFERROR("("&amp;ROUND(SUMIF(Bets[Date],L85,Bets[Profit])/SUMIF(Bets[Date],L85,Bets[Risk]),2)*100&amp;"%)","")</f>
        <v>(-78%)</v>
      </c>
      <c r="Q85" s="65">
        <f t="shared" si="6"/>
        <v>-102.06693650571216</v>
      </c>
    </row>
    <row r="86" spans="1:17" x14ac:dyDescent="0.25">
      <c r="A86" s="35">
        <f t="shared" si="4"/>
        <v>13</v>
      </c>
      <c r="B86" s="5">
        <v>43455</v>
      </c>
      <c r="C86" s="5" t="s">
        <v>134</v>
      </c>
      <c r="D86" s="57" t="s">
        <v>160</v>
      </c>
      <c r="E86" s="7" t="s">
        <v>161</v>
      </c>
      <c r="F86" s="33">
        <v>5</v>
      </c>
      <c r="G86" s="69">
        <v>-110</v>
      </c>
      <c r="H86" s="31" t="s">
        <v>36</v>
      </c>
      <c r="I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6"/>
      <c r="L86" s="36">
        <f t="shared" si="5"/>
        <v>43570</v>
      </c>
      <c r="M86" s="51" t="str">
        <f>COUNTIFS(Bets[Date],L86,Bets[Result],"W")&amp;"-"&amp;COUNTIFS(Bets[Date],L86,Bets[Result],"L")&amp;IF(COUNTIFS(Bets[Date],L86,Bets[Result],"Push")&gt;0,"-"&amp;COUNTIFS(Bets[Date],L86,Bets[Result],"Push"),"")</f>
        <v>3-0</v>
      </c>
      <c r="N86" s="52">
        <f>IFERROR(COUNTIFS(Bets[Date],L86,Bets[Result],"W")/(COUNTIFS(Bets[Date],L86,Bets[Result],"W")+COUNTIFS(Bets[Date],L86,Bets[Result],"L")),"")</f>
        <v>1</v>
      </c>
      <c r="O86" s="38">
        <f>SUMIF(Bets[Date],L86,Bets[Profit])</f>
        <v>30</v>
      </c>
      <c r="P86" s="37" t="str">
        <f>IFERROR("("&amp;ROUND(SUMIF(Bets[Date],L86,Bets[Profit])/SUMIF(Bets[Date],L86,Bets[Risk]),2)*100&amp;"%)","")</f>
        <v>(90%)</v>
      </c>
      <c r="Q86" s="65">
        <f t="shared" si="6"/>
        <v>-72.066936505712164</v>
      </c>
    </row>
    <row r="87" spans="1:17" x14ac:dyDescent="0.25">
      <c r="A87" s="35">
        <f t="shared" si="4"/>
        <v>13</v>
      </c>
      <c r="B87" s="5">
        <v>43455</v>
      </c>
      <c r="C87" s="5" t="s">
        <v>134</v>
      </c>
      <c r="D87" s="57" t="s">
        <v>162</v>
      </c>
      <c r="E87" s="7" t="s">
        <v>163</v>
      </c>
      <c r="F87" s="33">
        <v>5</v>
      </c>
      <c r="G87" s="69">
        <v>-110</v>
      </c>
      <c r="H87" s="31" t="s">
        <v>6</v>
      </c>
      <c r="I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7"/>
      <c r="L87" s="36">
        <f t="shared" si="5"/>
        <v>43571</v>
      </c>
      <c r="M87" s="51" t="str">
        <f>COUNTIFS(Bets[Date],L87,Bets[Result],"W")&amp;"-"&amp;COUNTIFS(Bets[Date],L87,Bets[Result],"L")&amp;IF(COUNTIFS(Bets[Date],L87,Bets[Result],"Push")&gt;0,"-"&amp;COUNTIFS(Bets[Date],L87,Bets[Result],"Push"),"")</f>
        <v>1-2</v>
      </c>
      <c r="N87" s="52">
        <f>IFERROR(COUNTIFS(Bets[Date],L87,Bets[Result],"W")/(COUNTIFS(Bets[Date],L87,Bets[Result],"W")+COUNTIFS(Bets[Date],L87,Bets[Result],"L")),"")</f>
        <v>0.33333333333333331</v>
      </c>
      <c r="O87" s="38">
        <f>SUMIF(Bets[Date],L87,Bets[Profit])</f>
        <v>-26.818181818181817</v>
      </c>
      <c r="P87" s="37" t="str">
        <f>IFERROR("("&amp;ROUND(SUMIF(Bets[Date],L87,Bets[Profit])/SUMIF(Bets[Date],L87,Bets[Risk]),2)*100&amp;"%)","")</f>
        <v>(-41%)</v>
      </c>
      <c r="Q87" s="65">
        <f t="shared" si="6"/>
        <v>-98.885118323893977</v>
      </c>
    </row>
    <row r="88" spans="1:17" x14ac:dyDescent="0.25">
      <c r="A88" s="35">
        <f t="shared" si="4"/>
        <v>13</v>
      </c>
      <c r="B88" s="5">
        <v>43455</v>
      </c>
      <c r="C88" s="5" t="s">
        <v>134</v>
      </c>
      <c r="D88" s="57" t="s">
        <v>162</v>
      </c>
      <c r="E88" s="7" t="s">
        <v>164</v>
      </c>
      <c r="F88" s="33">
        <v>5</v>
      </c>
      <c r="G88" s="69">
        <v>-110</v>
      </c>
      <c r="H88" s="31" t="s">
        <v>36</v>
      </c>
      <c r="I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8"/>
      <c r="L88" s="36">
        <f t="shared" si="5"/>
        <v>43573</v>
      </c>
      <c r="M88" s="51" t="str">
        <f>COUNTIFS(Bets[Date],L88,Bets[Result],"W")&amp;"-"&amp;COUNTIFS(Bets[Date],L88,Bets[Result],"L")&amp;IF(COUNTIFS(Bets[Date],L88,Bets[Result],"Push")&gt;0,"-"&amp;COUNTIFS(Bets[Date],L88,Bets[Result],"Push"),"")</f>
        <v>1-2</v>
      </c>
      <c r="N88" s="52">
        <f>IFERROR(COUNTIFS(Bets[Date],L88,Bets[Result],"W")/(COUNTIFS(Bets[Date],L88,Bets[Result],"W")+COUNTIFS(Bets[Date],L88,Bets[Result],"L")),"")</f>
        <v>0.33333333333333331</v>
      </c>
      <c r="O88" s="38">
        <f>SUMIF(Bets[Date],L88,Bets[Profit])</f>
        <v>-12</v>
      </c>
      <c r="P88" s="37" t="str">
        <f>IFERROR("("&amp;ROUND(SUMIF(Bets[Date],L88,Bets[Profit])/SUMIF(Bets[Date],L88,Bets[Risk]),2)*100&amp;"%)","")</f>
        <v>(-36%)</v>
      </c>
      <c r="Q88" s="65">
        <f t="shared" si="6"/>
        <v>-110.88511832389398</v>
      </c>
    </row>
    <row r="89" spans="1:17" x14ac:dyDescent="0.25">
      <c r="A89" s="35">
        <f t="shared" si="4"/>
        <v>13</v>
      </c>
      <c r="B89" s="5">
        <v>43455</v>
      </c>
      <c r="C89" s="5" t="s">
        <v>134</v>
      </c>
      <c r="D89" s="57" t="s">
        <v>165</v>
      </c>
      <c r="E89" s="7" t="s">
        <v>166</v>
      </c>
      <c r="F89" s="33">
        <v>5</v>
      </c>
      <c r="G89" s="69">
        <v>-105</v>
      </c>
      <c r="H89" s="31" t="s">
        <v>36</v>
      </c>
      <c r="I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8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9"/>
      <c r="L89" s="36">
        <f t="shared" si="5"/>
        <v>43574</v>
      </c>
      <c r="M89" s="51" t="str">
        <f>COUNTIFS(Bets[Date],L89,Bets[Result],"W")&amp;"-"&amp;COUNTIFS(Bets[Date],L89,Bets[Result],"L")&amp;IF(COUNTIFS(Bets[Date],L89,Bets[Result],"Push")&gt;0,"-"&amp;COUNTIFS(Bets[Date],L89,Bets[Result],"Push"),"")</f>
        <v>1-3</v>
      </c>
      <c r="N89" s="52">
        <f>IFERROR(COUNTIFS(Bets[Date],L89,Bets[Result],"W")/(COUNTIFS(Bets[Date],L89,Bets[Result],"W")+COUNTIFS(Bets[Date],L89,Bets[Result],"L")),"")</f>
        <v>0.25</v>
      </c>
      <c r="O89" s="38">
        <f>SUMIF(Bets[Date],L89,Bets[Profit])</f>
        <v>-11.75</v>
      </c>
      <c r="P89" s="37" t="str">
        <f>IFERROR("("&amp;ROUND(SUMIF(Bets[Date],L89,Bets[Profit])/SUMIF(Bets[Date],L89,Bets[Risk]),2)*100&amp;"%)","")</f>
        <v>(-52%)</v>
      </c>
      <c r="Q89" s="65">
        <f t="shared" si="6"/>
        <v>-122.63511832389398</v>
      </c>
    </row>
    <row r="90" spans="1:17" x14ac:dyDescent="0.25">
      <c r="A90" s="35">
        <f t="shared" si="4"/>
        <v>13</v>
      </c>
      <c r="B90" s="5">
        <v>43455</v>
      </c>
      <c r="C90" s="5" t="s">
        <v>134</v>
      </c>
      <c r="D90" s="57" t="s">
        <v>167</v>
      </c>
      <c r="E90" s="7" t="s">
        <v>119</v>
      </c>
      <c r="F90" s="33">
        <v>5</v>
      </c>
      <c r="G90" s="69">
        <v>-110</v>
      </c>
      <c r="H90" s="31" t="s">
        <v>36</v>
      </c>
      <c r="I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9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90"/>
      <c r="L90" s="36">
        <f t="shared" si="5"/>
        <v>43581</v>
      </c>
      <c r="M90" s="51" t="str">
        <f>COUNTIFS(Bets[Date],L90,Bets[Result],"W")&amp;"-"&amp;COUNTIFS(Bets[Date],L90,Bets[Result],"L")&amp;IF(COUNTIFS(Bets[Date],L90,Bets[Result],"Push")&gt;0,"-"&amp;COUNTIFS(Bets[Date],L90,Bets[Result],"Push"),"")</f>
        <v>4-4-2</v>
      </c>
      <c r="N90" s="52">
        <f>IFERROR(COUNTIFS(Bets[Date],L90,Bets[Result],"W")/(COUNTIFS(Bets[Date],L90,Bets[Result],"W")+COUNTIFS(Bets[Date],L90,Bets[Result],"L")),"")</f>
        <v>0.5</v>
      </c>
      <c r="O90" s="38">
        <f>SUMIF(Bets[Date],L90,Bets[Profit])</f>
        <v>-0.96243120677278537</v>
      </c>
      <c r="P90" s="37" t="str">
        <f>IFERROR("("&amp;ROUND(SUMIF(Bets[Date],L90,Bets[Profit])/SUMIF(Bets[Date],L90,Bets[Risk]),2)*100&amp;"%)","")</f>
        <v>(-10%)</v>
      </c>
      <c r="Q90" s="65">
        <f t="shared" si="6"/>
        <v>-123.59754953066677</v>
      </c>
    </row>
    <row r="91" spans="1:17" x14ac:dyDescent="0.25">
      <c r="A91" s="35">
        <f t="shared" si="4"/>
        <v>13</v>
      </c>
      <c r="B91" s="5">
        <v>43455</v>
      </c>
      <c r="C91" s="5" t="s">
        <v>134</v>
      </c>
      <c r="D91" s="57" t="s">
        <v>167</v>
      </c>
      <c r="E91" s="7" t="s">
        <v>168</v>
      </c>
      <c r="F91" s="33">
        <v>5</v>
      </c>
      <c r="G91" s="69">
        <v>-105</v>
      </c>
      <c r="H91" s="31" t="s">
        <v>6</v>
      </c>
      <c r="I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9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91"/>
      <c r="L91" s="36">
        <f t="shared" si="5"/>
        <v>43584</v>
      </c>
      <c r="M91" s="51" t="str">
        <f>COUNTIFS(Bets[Date],L91,Bets[Result],"W")&amp;"-"&amp;COUNTIFS(Bets[Date],L91,Bets[Result],"L")&amp;IF(COUNTIFS(Bets[Date],L91,Bets[Result],"Push")&gt;0,"-"&amp;COUNTIFS(Bets[Date],L91,Bets[Result],"Push"),"")</f>
        <v>6-3</v>
      </c>
      <c r="N91" s="52">
        <f>IFERROR(COUNTIFS(Bets[Date],L91,Bets[Result],"W")/(COUNTIFS(Bets[Date],L91,Bets[Result],"W")+COUNTIFS(Bets[Date],L91,Bets[Result],"L")),"")</f>
        <v>0.66666666666666663</v>
      </c>
      <c r="O91" s="38">
        <f>SUMIF(Bets[Date],L91,Bets[Profit])</f>
        <v>3.9523809523809521</v>
      </c>
      <c r="P91" s="37" t="str">
        <f>IFERROR("("&amp;ROUND(SUMIF(Bets[Date],L91,Bets[Profit])/SUMIF(Bets[Date],L91,Bets[Risk]),2)*100&amp;"%)","")</f>
        <v>(44%)</v>
      </c>
      <c r="Q91" s="65">
        <f t="shared" si="6"/>
        <v>-119.64516857828582</v>
      </c>
    </row>
    <row r="92" spans="1:17" x14ac:dyDescent="0.25">
      <c r="A92" s="35">
        <f t="shared" si="4"/>
        <v>13</v>
      </c>
      <c r="B92" s="5">
        <v>43455</v>
      </c>
      <c r="C92" s="5" t="s">
        <v>134</v>
      </c>
      <c r="D92" s="57" t="s">
        <v>169</v>
      </c>
      <c r="E92" s="7" t="s">
        <v>170</v>
      </c>
      <c r="F92" s="33">
        <v>5</v>
      </c>
      <c r="G92" s="69">
        <v>-105</v>
      </c>
      <c r="H92" s="31" t="s">
        <v>6</v>
      </c>
      <c r="I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9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92"/>
      <c r="L92" s="36">
        <f t="shared" si="5"/>
        <v>43586</v>
      </c>
      <c r="M92" s="51" t="str">
        <f>COUNTIFS(Bets[Date],L92,Bets[Result],"W")&amp;"-"&amp;COUNTIFS(Bets[Date],L92,Bets[Result],"L")&amp;IF(COUNTIFS(Bets[Date],L92,Bets[Result],"Push")&gt;0,"-"&amp;COUNTIFS(Bets[Date],L92,Bets[Result],"Push"),"")</f>
        <v>7-6-2</v>
      </c>
      <c r="N92" s="52">
        <f>IFERROR(COUNTIFS(Bets[Date],L92,Bets[Result],"W")/(COUNTIFS(Bets[Date],L92,Bets[Result],"W")+COUNTIFS(Bets[Date],L92,Bets[Result],"L")),"")</f>
        <v>0.53846153846153844</v>
      </c>
      <c r="O92" s="38">
        <f>SUMIF(Bets[Date],L92,Bets[Profit])</f>
        <v>1.5267399267399262</v>
      </c>
      <c r="P92" s="37" t="str">
        <f>IFERROR("("&amp;ROUND(SUMIF(Bets[Date],L92,Bets[Profit])/SUMIF(Bets[Date],L92,Bets[Risk]),2)*100&amp;"%)","")</f>
        <v>(10%)</v>
      </c>
      <c r="Q92" s="65">
        <f t="shared" si="6"/>
        <v>-118.1184286515459</v>
      </c>
    </row>
    <row r="93" spans="1:17" x14ac:dyDescent="0.25">
      <c r="A93" s="35">
        <f t="shared" si="4"/>
        <v>13</v>
      </c>
      <c r="B93" s="5">
        <v>43455</v>
      </c>
      <c r="C93" s="5" t="s">
        <v>134</v>
      </c>
      <c r="D93" s="57" t="s">
        <v>171</v>
      </c>
      <c r="E93" s="7" t="s">
        <v>172</v>
      </c>
      <c r="F93" s="33">
        <v>5</v>
      </c>
      <c r="G93" s="69">
        <v>-110</v>
      </c>
      <c r="H93" s="31" t="s">
        <v>6</v>
      </c>
      <c r="I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9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93"/>
      <c r="L93" s="36">
        <f t="shared" si="5"/>
        <v>43587</v>
      </c>
      <c r="M93" s="51" t="str">
        <f>COUNTIFS(Bets[Date],L93,Bets[Result],"W")&amp;"-"&amp;COUNTIFS(Bets[Date],L93,Bets[Result],"L")&amp;IF(COUNTIFS(Bets[Date],L93,Bets[Result],"Push")&gt;0,"-"&amp;COUNTIFS(Bets[Date],L93,Bets[Result],"Push"),"")</f>
        <v>2-3</v>
      </c>
      <c r="N93" s="52">
        <f>IFERROR(COUNTIFS(Bets[Date],L93,Bets[Result],"W")/(COUNTIFS(Bets[Date],L93,Bets[Result],"W")+COUNTIFS(Bets[Date],L93,Bets[Result],"L")),"")</f>
        <v>0.4</v>
      </c>
      <c r="O93" s="38">
        <f>SUMIF(Bets[Date],L93,Bets[Profit])</f>
        <v>-1.6705426356589144</v>
      </c>
      <c r="P93" s="37" t="str">
        <f>IFERROR("("&amp;ROUND(SUMIF(Bets[Date],L93,Bets[Profit])/SUMIF(Bets[Date],L93,Bets[Risk]),2)*100&amp;"%)","")</f>
        <v>(-20%)</v>
      </c>
      <c r="Q93" s="65">
        <f t="shared" si="6"/>
        <v>-119.78897128720482</v>
      </c>
    </row>
    <row r="94" spans="1:17" x14ac:dyDescent="0.25">
      <c r="A94" s="35">
        <f t="shared" si="4"/>
        <v>13</v>
      </c>
      <c r="B94" s="5">
        <v>43455</v>
      </c>
      <c r="C94" s="5" t="s">
        <v>134</v>
      </c>
      <c r="D94" s="57" t="s">
        <v>173</v>
      </c>
      <c r="E94" s="7" t="s">
        <v>174</v>
      </c>
      <c r="F94" s="33">
        <v>5</v>
      </c>
      <c r="G94" s="69">
        <v>-115</v>
      </c>
      <c r="H94" s="31" t="s">
        <v>36</v>
      </c>
      <c r="I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9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94"/>
      <c r="L94" s="36">
        <f t="shared" si="5"/>
        <v>43592</v>
      </c>
      <c r="M94" s="51" t="str">
        <f>COUNTIFS(Bets[Date],L94,Bets[Result],"W")&amp;"-"&amp;COUNTIFS(Bets[Date],L94,Bets[Result],"L")&amp;IF(COUNTIFS(Bets[Date],L94,Bets[Result],"Push")&gt;0,"-"&amp;COUNTIFS(Bets[Date],L94,Bets[Result],"Push"),"")</f>
        <v>7-9</v>
      </c>
      <c r="N94" s="52">
        <f>IFERROR(COUNTIFS(Bets[Date],L94,Bets[Result],"W")/(COUNTIFS(Bets[Date],L94,Bets[Result],"W")+COUNTIFS(Bets[Date],L94,Bets[Result],"L")),"")</f>
        <v>0.4375</v>
      </c>
      <c r="O94" s="38">
        <f>SUMIF(Bets[Date],L94,Bets[Profit])</f>
        <v>-2.9878020016574229</v>
      </c>
      <c r="P94" s="37" t="str">
        <f>IFERROR("("&amp;ROUND(SUMIF(Bets[Date],L94,Bets[Profit])/SUMIF(Bets[Date],L94,Bets[Risk]),2)*100&amp;"%)","")</f>
        <v>(-19%)</v>
      </c>
      <c r="Q94" s="65">
        <f t="shared" si="6"/>
        <v>-122.77677328886224</v>
      </c>
    </row>
    <row r="95" spans="1:17" x14ac:dyDescent="0.25">
      <c r="A95" s="35">
        <f t="shared" si="4"/>
        <v>13</v>
      </c>
      <c r="B95" s="5">
        <v>43455</v>
      </c>
      <c r="C95" s="5" t="s">
        <v>134</v>
      </c>
      <c r="D95" s="57" t="s">
        <v>173</v>
      </c>
      <c r="E95" s="7" t="s">
        <v>175</v>
      </c>
      <c r="F95" s="33">
        <v>5</v>
      </c>
      <c r="G95" s="69">
        <v>-110</v>
      </c>
      <c r="H95" s="31" t="s">
        <v>36</v>
      </c>
      <c r="I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9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95"/>
      <c r="L95" s="36">
        <f t="shared" si="5"/>
        <v>43593</v>
      </c>
      <c r="M95" s="51" t="str">
        <f>COUNTIFS(Bets[Date],L95,Bets[Result],"W")&amp;"-"&amp;COUNTIFS(Bets[Date],L95,Bets[Result],"L")&amp;IF(COUNTIFS(Bets[Date],L95,Bets[Result],"Push")&gt;0,"-"&amp;COUNTIFS(Bets[Date],L95,Bets[Result],"Push"),"")</f>
        <v>8-4-2</v>
      </c>
      <c r="N95" s="52">
        <f>IFERROR(COUNTIFS(Bets[Date],L95,Bets[Result],"W")/(COUNTIFS(Bets[Date],L95,Bets[Result],"W")+COUNTIFS(Bets[Date],L95,Bets[Result],"L")),"")</f>
        <v>0.66666666666666663</v>
      </c>
      <c r="O95" s="38">
        <f>SUMIF(Bets[Date],L95,Bets[Profit])</f>
        <v>1.9262106771946588</v>
      </c>
      <c r="P95" s="37" t="str">
        <f>IFERROR("("&amp;ROUND(SUMIF(Bets[Date],L95,Bets[Profit])/SUMIF(Bets[Date],L95,Bets[Risk]),2)*100&amp;"%)","")</f>
        <v>(14%)</v>
      </c>
      <c r="Q95" s="65">
        <f t="shared" si="6"/>
        <v>-120.85056261166758</v>
      </c>
    </row>
    <row r="96" spans="1:17" x14ac:dyDescent="0.25">
      <c r="A96" s="35">
        <f t="shared" si="4"/>
        <v>13</v>
      </c>
      <c r="B96" s="5">
        <v>43455</v>
      </c>
      <c r="C96" s="5" t="s">
        <v>134</v>
      </c>
      <c r="D96" s="57" t="s">
        <v>176</v>
      </c>
      <c r="E96" s="7" t="s">
        <v>117</v>
      </c>
      <c r="F96" s="33">
        <v>5</v>
      </c>
      <c r="G96" s="69">
        <v>-110</v>
      </c>
      <c r="H96" s="31" t="s">
        <v>6</v>
      </c>
      <c r="I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9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96"/>
      <c r="L96" s="36">
        <f t="shared" si="5"/>
        <v>43594</v>
      </c>
      <c r="M96" s="51" t="str">
        <f>COUNTIFS(Bets[Date],L96,Bets[Result],"W")&amp;"-"&amp;COUNTIFS(Bets[Date],L96,Bets[Result],"L")&amp;IF(COUNTIFS(Bets[Date],L96,Bets[Result],"Push")&gt;0,"-"&amp;COUNTIFS(Bets[Date],L96,Bets[Result],"Push"),"")</f>
        <v>3-5</v>
      </c>
      <c r="N96" s="52">
        <f>IFERROR(COUNTIFS(Bets[Date],L96,Bets[Result],"W")/(COUNTIFS(Bets[Date],L96,Bets[Result],"W")+COUNTIFS(Bets[Date],L96,Bets[Result],"L")),"")</f>
        <v>0.375</v>
      </c>
      <c r="O96" s="38">
        <f>SUMIF(Bets[Date],L96,Bets[Profit])</f>
        <v>-5.4761904761904754</v>
      </c>
      <c r="P96" s="37" t="str">
        <f>IFERROR("("&amp;ROUND(SUMIF(Bets[Date],L96,Bets[Profit])/SUMIF(Bets[Date],L96,Bets[Risk]),2)*100&amp;"%)","")</f>
        <v>(-34%)</v>
      </c>
      <c r="Q96" s="65">
        <f t="shared" si="6"/>
        <v>-126.32675308785807</v>
      </c>
    </row>
    <row r="97" spans="1:17" x14ac:dyDescent="0.25">
      <c r="A97" s="35">
        <f t="shared" si="4"/>
        <v>13</v>
      </c>
      <c r="B97" s="5">
        <v>43455</v>
      </c>
      <c r="C97" s="5" t="s">
        <v>134</v>
      </c>
      <c r="D97" s="57" t="s">
        <v>176</v>
      </c>
      <c r="E97" s="7" t="s">
        <v>177</v>
      </c>
      <c r="F97" s="33">
        <v>5</v>
      </c>
      <c r="G97" s="69">
        <v>-110</v>
      </c>
      <c r="H97" s="31" t="s">
        <v>36</v>
      </c>
      <c r="I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9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97"/>
      <c r="L97" s="36">
        <f t="shared" si="5"/>
        <v>43595</v>
      </c>
      <c r="M97" s="51" t="str">
        <f>COUNTIFS(Bets[Date],L97,Bets[Result],"W")&amp;"-"&amp;COUNTIFS(Bets[Date],L97,Bets[Result],"L")&amp;IF(COUNTIFS(Bets[Date],L97,Bets[Result],"Push")&gt;0,"-"&amp;COUNTIFS(Bets[Date],L97,Bets[Result],"Push"),"")</f>
        <v>3-7</v>
      </c>
      <c r="N97" s="52">
        <f>IFERROR(COUNTIFS(Bets[Date],L97,Bets[Result],"W")/(COUNTIFS(Bets[Date],L97,Bets[Result],"W")+COUNTIFS(Bets[Date],L97,Bets[Result],"L")),"")</f>
        <v>0.3</v>
      </c>
      <c r="O97" s="38">
        <f>SUMIF(Bets[Date],L97,Bets[Profit])</f>
        <v>-5.2259316770186341</v>
      </c>
      <c r="P97" s="37" t="str">
        <f>IFERROR("("&amp;ROUND(SUMIF(Bets[Date],L97,Bets[Profit])/SUMIF(Bets[Date],L97,Bets[Risk]),2)*100&amp;"%)","")</f>
        <v>(-52%)</v>
      </c>
      <c r="Q97" s="65">
        <f t="shared" si="6"/>
        <v>-131.55268476487669</v>
      </c>
    </row>
    <row r="98" spans="1:17" x14ac:dyDescent="0.25">
      <c r="A98" s="35">
        <f t="shared" si="4"/>
        <v>13</v>
      </c>
      <c r="B98" s="5">
        <v>43455</v>
      </c>
      <c r="C98" s="5" t="s">
        <v>134</v>
      </c>
      <c r="D98" s="57" t="s">
        <v>178</v>
      </c>
      <c r="E98" s="7" t="s">
        <v>179</v>
      </c>
      <c r="F98" s="33">
        <v>5</v>
      </c>
      <c r="G98" s="69">
        <v>-110</v>
      </c>
      <c r="H98" s="31" t="s">
        <v>36</v>
      </c>
      <c r="I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9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98"/>
      <c r="L98" s="36">
        <f t="shared" si="5"/>
        <v>43598</v>
      </c>
      <c r="M98" s="51" t="str">
        <f>COUNTIFS(Bets[Date],L98,Bets[Result],"W")&amp;"-"&amp;COUNTIFS(Bets[Date],L98,Bets[Result],"L")&amp;IF(COUNTIFS(Bets[Date],L98,Bets[Result],"Push")&gt;0,"-"&amp;COUNTIFS(Bets[Date],L98,Bets[Result],"Push"),"")</f>
        <v>5-3</v>
      </c>
      <c r="N98" s="52">
        <f>IFERROR(COUNTIFS(Bets[Date],L98,Bets[Result],"W")/(COUNTIFS(Bets[Date],L98,Bets[Result],"W")+COUNTIFS(Bets[Date],L98,Bets[Result],"L")),"")</f>
        <v>0.625</v>
      </c>
      <c r="O98" s="38">
        <f>SUMIF(Bets[Date],L98,Bets[Profit])</f>
        <v>0.99723105280537627</v>
      </c>
      <c r="P98" s="37" t="str">
        <f>IFERROR("("&amp;ROUND(SUMIF(Bets[Date],L98,Bets[Profit])/SUMIF(Bets[Date],L98,Bets[Risk]),2)*100&amp;"%)","")</f>
        <v>(12%)</v>
      </c>
      <c r="Q98" s="65">
        <f t="shared" si="6"/>
        <v>-130.55545371207131</v>
      </c>
    </row>
    <row r="99" spans="1:17" x14ac:dyDescent="0.25">
      <c r="A99" s="35">
        <f t="shared" si="4"/>
        <v>13</v>
      </c>
      <c r="B99" s="5">
        <v>43455</v>
      </c>
      <c r="C99" s="5" t="s">
        <v>134</v>
      </c>
      <c r="D99" s="57" t="s">
        <v>178</v>
      </c>
      <c r="E99" s="7" t="s">
        <v>180</v>
      </c>
      <c r="F99" s="33">
        <v>5</v>
      </c>
      <c r="G99" s="69">
        <v>-110</v>
      </c>
      <c r="H99" s="31" t="s">
        <v>6</v>
      </c>
      <c r="I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9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99"/>
      <c r="L99" s="36">
        <f t="shared" si="5"/>
        <v>43599</v>
      </c>
      <c r="M99" s="51" t="str">
        <f>COUNTIFS(Bets[Date],L99,Bets[Result],"W")&amp;"-"&amp;COUNTIFS(Bets[Date],L99,Bets[Result],"L")&amp;IF(COUNTIFS(Bets[Date],L99,Bets[Result],"Push")&gt;0,"-"&amp;COUNTIFS(Bets[Date],L99,Bets[Result],"Push"),"")</f>
        <v>6-3</v>
      </c>
      <c r="N99" s="52">
        <f>IFERROR(COUNTIFS(Bets[Date],L99,Bets[Result],"W")/(COUNTIFS(Bets[Date],L99,Bets[Result],"W")+COUNTIFS(Bets[Date],L99,Bets[Result],"L")),"")</f>
        <v>0.66666666666666663</v>
      </c>
      <c r="O99" s="38">
        <f>SUMIF(Bets[Date],L99,Bets[Profit])</f>
        <v>1.3203894979180046</v>
      </c>
      <c r="P99" s="37" t="str">
        <f>IFERROR("("&amp;ROUND(SUMIF(Bets[Date],L99,Bets[Profit])/SUMIF(Bets[Date],L99,Bets[Risk]),2)*100&amp;"%)","")</f>
        <v>(15%)</v>
      </c>
      <c r="Q99" s="65">
        <f t="shared" si="6"/>
        <v>-129.23506421415331</v>
      </c>
    </row>
    <row r="100" spans="1:17" x14ac:dyDescent="0.25">
      <c r="A100" s="35">
        <f t="shared" si="4"/>
        <v>13</v>
      </c>
      <c r="B100" s="5">
        <v>43455</v>
      </c>
      <c r="C100" s="5" t="s">
        <v>134</v>
      </c>
      <c r="D100" s="57" t="s">
        <v>181</v>
      </c>
      <c r="E100" s="7" t="s">
        <v>182</v>
      </c>
      <c r="F100" s="33">
        <v>5</v>
      </c>
      <c r="G100" s="69">
        <v>-110</v>
      </c>
      <c r="H100" s="31" t="s">
        <v>36</v>
      </c>
      <c r="I1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0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00"/>
      <c r="L100" s="36">
        <f t="shared" ref="L100:L131" si="7">IFERROR(VLOOKUP(ROW()-3,A:B,2,0),0)</f>
        <v>43600</v>
      </c>
      <c r="M100" s="51" t="str">
        <f>COUNTIFS(Bets[Date],L100,Bets[Result],"W")&amp;"-"&amp;COUNTIFS(Bets[Date],L100,Bets[Result],"L")&amp;IF(COUNTIFS(Bets[Date],L100,Bets[Result],"Push")&gt;0,"-"&amp;COUNTIFS(Bets[Date],L100,Bets[Result],"Push"),"")</f>
        <v>6-1</v>
      </c>
      <c r="N100" s="52">
        <f>IFERROR(COUNTIFS(Bets[Date],L100,Bets[Result],"W")/(COUNTIFS(Bets[Date],L100,Bets[Result],"W")+COUNTIFS(Bets[Date],L100,Bets[Result],"L")),"")</f>
        <v>0.8571428571428571</v>
      </c>
      <c r="O100" s="38">
        <f>SUMIF(Bets[Date],L100,Bets[Profit])</f>
        <v>5</v>
      </c>
      <c r="P100" s="37" t="str">
        <f>IFERROR("("&amp;ROUND(SUMIF(Bets[Date],L100,Bets[Profit])/SUMIF(Bets[Date],L100,Bets[Risk]),2)*100&amp;"%)","")</f>
        <v>(43%)</v>
      </c>
      <c r="Q100" s="65">
        <f>IF(ISNUMBER(CODE(P99)),Q99+O100,"")</f>
        <v>-124.23506421415331</v>
      </c>
    </row>
    <row r="101" spans="1:17" x14ac:dyDescent="0.25">
      <c r="A101" s="35">
        <f t="shared" si="4"/>
        <v>13</v>
      </c>
      <c r="B101" s="5">
        <v>43455</v>
      </c>
      <c r="C101" s="5" t="s">
        <v>134</v>
      </c>
      <c r="D101" s="57" t="s">
        <v>181</v>
      </c>
      <c r="E101" s="7" t="s">
        <v>183</v>
      </c>
      <c r="F101" s="33">
        <v>5</v>
      </c>
      <c r="G101" s="69">
        <v>-110</v>
      </c>
      <c r="H101" s="31" t="s">
        <v>6</v>
      </c>
      <c r="I1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01"/>
      <c r="L101" s="36">
        <f t="shared" si="7"/>
        <v>43601</v>
      </c>
      <c r="M101" s="51" t="str">
        <f>COUNTIFS(Bets[Date],L101,Bets[Result],"W")&amp;"-"&amp;COUNTIFS(Bets[Date],L101,Bets[Result],"L")&amp;IF(COUNTIFS(Bets[Date],L101,Bets[Result],"Push")&gt;0,"-"&amp;COUNTIFS(Bets[Date],L101,Bets[Result],"Push"),"")</f>
        <v>2-4</v>
      </c>
      <c r="N101" s="52">
        <f>IFERROR(COUNTIFS(Bets[Date],L101,Bets[Result],"W")/(COUNTIFS(Bets[Date],L101,Bets[Result],"W")+COUNTIFS(Bets[Date],L101,Bets[Result],"L")),"")</f>
        <v>0.33333333333333331</v>
      </c>
      <c r="O101" s="38">
        <f>SUMIF(Bets[Date],L101,Bets[Profit])</f>
        <v>-4.5</v>
      </c>
      <c r="P101" s="37" t="str">
        <f>IFERROR("("&amp;ROUND(SUMIF(Bets[Date],L101,Bets[Profit])/SUMIF(Bets[Date],L101,Bets[Risk]),2)*100&amp;"%)","")</f>
        <v>(-35%)</v>
      </c>
      <c r="Q101" s="65">
        <f t="shared" si="6"/>
        <v>-128.73506421415331</v>
      </c>
    </row>
    <row r="102" spans="1:17" x14ac:dyDescent="0.25">
      <c r="A102" s="35">
        <f t="shared" si="4"/>
        <v>13</v>
      </c>
      <c r="B102" s="5">
        <v>43455</v>
      </c>
      <c r="C102" s="5" t="s">
        <v>134</v>
      </c>
      <c r="D102" s="57" t="s">
        <v>181</v>
      </c>
      <c r="E102" s="7" t="s">
        <v>184</v>
      </c>
      <c r="F102" s="33">
        <v>5</v>
      </c>
      <c r="G102" s="69">
        <v>175</v>
      </c>
      <c r="H102" s="31" t="s">
        <v>6</v>
      </c>
      <c r="I1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02"/>
      <c r="L102" s="36">
        <f t="shared" si="7"/>
        <v>43602</v>
      </c>
      <c r="M102" s="51" t="str">
        <f>COUNTIFS(Bets[Date],L102,Bets[Result],"W")&amp;"-"&amp;COUNTIFS(Bets[Date],L102,Bets[Result],"L")&amp;IF(COUNTIFS(Bets[Date],L102,Bets[Result],"Push")&gt;0,"-"&amp;COUNTIFS(Bets[Date],L102,Bets[Result],"Push"),"")</f>
        <v>5-1-1</v>
      </c>
      <c r="N102" s="52">
        <f>IFERROR(COUNTIFS(Bets[Date],L102,Bets[Result],"W")/(COUNTIFS(Bets[Date],L102,Bets[Result],"W")+COUNTIFS(Bets[Date],L102,Bets[Result],"L")),"")</f>
        <v>0.83333333333333337</v>
      </c>
      <c r="O102" s="38">
        <f>SUMIF(Bets[Date],L102,Bets[Profit])</f>
        <v>4.01</v>
      </c>
      <c r="P102" s="37" t="str">
        <f>IFERROR("("&amp;ROUND(SUMIF(Bets[Date],L102,Bets[Profit])/SUMIF(Bets[Date],L102,Bets[Risk]),2)*100&amp;"%)","")</f>
        <v>(47%)</v>
      </c>
      <c r="Q102" s="65">
        <f t="shared" si="6"/>
        <v>-124.72506421415331</v>
      </c>
    </row>
    <row r="103" spans="1:17" x14ac:dyDescent="0.25">
      <c r="A103" s="35">
        <f t="shared" si="4"/>
        <v>14</v>
      </c>
      <c r="B103" s="5">
        <v>43456</v>
      </c>
      <c r="C103" s="5" t="s">
        <v>134</v>
      </c>
      <c r="D103" s="57" t="s">
        <v>185</v>
      </c>
      <c r="E103" s="7" t="s">
        <v>186</v>
      </c>
      <c r="F103" s="33">
        <v>5</v>
      </c>
      <c r="G103" s="63">
        <v>-110</v>
      </c>
      <c r="H103" s="31" t="s">
        <v>6</v>
      </c>
      <c r="I1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03"/>
      <c r="L103" s="36">
        <f t="shared" si="7"/>
        <v>43606</v>
      </c>
      <c r="M103" s="51" t="str">
        <f>COUNTIFS(Bets[Date],L103,Bets[Result],"W")&amp;"-"&amp;COUNTIFS(Bets[Date],L103,Bets[Result],"L")&amp;IF(COUNTIFS(Bets[Date],L103,Bets[Result],"Push")&gt;0,"-"&amp;COUNTIFS(Bets[Date],L103,Bets[Result],"Push"),"")</f>
        <v>5-6</v>
      </c>
      <c r="N103" s="52">
        <f>IFERROR(COUNTIFS(Bets[Date],L103,Bets[Result],"W")/(COUNTIFS(Bets[Date],L103,Bets[Result],"W")+COUNTIFS(Bets[Date],L103,Bets[Result],"L")),"")</f>
        <v>0.45454545454545453</v>
      </c>
      <c r="O103" s="38">
        <f>SUMIF(Bets[Date],L103,Bets[Profit])</f>
        <v>-1.59</v>
      </c>
      <c r="P103" s="37" t="str">
        <f>IFERROR("("&amp;ROUND(SUMIF(Bets[Date],L103,Bets[Profit])/SUMIF(Bets[Date],L103,Bets[Risk]),2)*100&amp;"%)","")</f>
        <v>(-13%)</v>
      </c>
      <c r="Q103" s="65">
        <f t="shared" si="6"/>
        <v>-126.31506421415331</v>
      </c>
    </row>
    <row r="104" spans="1:17" x14ac:dyDescent="0.25">
      <c r="A104" s="35">
        <f t="shared" si="4"/>
        <v>14</v>
      </c>
      <c r="B104" s="5">
        <v>43456</v>
      </c>
      <c r="C104" s="5" t="s">
        <v>134</v>
      </c>
      <c r="D104" s="57" t="s">
        <v>185</v>
      </c>
      <c r="E104" s="7" t="s">
        <v>187</v>
      </c>
      <c r="F104" s="33">
        <v>5</v>
      </c>
      <c r="G104" s="63">
        <v>100</v>
      </c>
      <c r="H104" s="31" t="s">
        <v>6</v>
      </c>
      <c r="I1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04"/>
      <c r="L104" s="36">
        <f t="shared" si="7"/>
        <v>43608</v>
      </c>
      <c r="M104" s="51" t="str">
        <f>COUNTIFS(Bets[Date],L104,Bets[Result],"W")&amp;"-"&amp;COUNTIFS(Bets[Date],L104,Bets[Result],"L")&amp;IF(COUNTIFS(Bets[Date],L104,Bets[Result],"Push")&gt;0,"-"&amp;COUNTIFS(Bets[Date],L104,Bets[Result],"Push"),"")</f>
        <v>4-3-1</v>
      </c>
      <c r="N104" s="52">
        <f>IFERROR(COUNTIFS(Bets[Date],L104,Bets[Result],"W")/(COUNTIFS(Bets[Date],L104,Bets[Result],"W")+COUNTIFS(Bets[Date],L104,Bets[Result],"L")),"")</f>
        <v>0.5714285714285714</v>
      </c>
      <c r="O104" s="38">
        <f>SUMIF(Bets[Date],L104,Bets[Profit])</f>
        <v>0.60000000000000009</v>
      </c>
      <c r="P104" s="37" t="str">
        <f>IFERROR("("&amp;ROUND(SUMIF(Bets[Date],L104,Bets[Profit])/SUMIF(Bets[Date],L104,Bets[Risk]),2)*100&amp;"%)","")</f>
        <v>(6%)</v>
      </c>
      <c r="Q104" s="65">
        <f t="shared" si="6"/>
        <v>-125.71506421415332</v>
      </c>
    </row>
    <row r="105" spans="1:17" x14ac:dyDescent="0.25">
      <c r="A105" s="35">
        <f t="shared" si="4"/>
        <v>14</v>
      </c>
      <c r="B105" s="5">
        <v>43456</v>
      </c>
      <c r="C105" s="5" t="s">
        <v>134</v>
      </c>
      <c r="D105" s="57" t="s">
        <v>188</v>
      </c>
      <c r="E105" s="7" t="s">
        <v>166</v>
      </c>
      <c r="F105" s="33">
        <v>5</v>
      </c>
      <c r="G105" s="63">
        <v>-110</v>
      </c>
      <c r="H105" s="31" t="s">
        <v>6</v>
      </c>
      <c r="I1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05"/>
      <c r="L105" s="36">
        <f t="shared" si="7"/>
        <v>43613</v>
      </c>
      <c r="M105" s="51" t="str">
        <f>COUNTIFS(Bets[Date],L105,Bets[Result],"W")&amp;"-"&amp;COUNTIFS(Bets[Date],L105,Bets[Result],"L")&amp;IF(COUNTIFS(Bets[Date],L105,Bets[Result],"Push")&gt;0,"-"&amp;COUNTIFS(Bets[Date],L105,Bets[Result],"Push"),"")</f>
        <v>4-4</v>
      </c>
      <c r="N105" s="52">
        <f>IFERROR(COUNTIFS(Bets[Date],L105,Bets[Result],"W")/(COUNTIFS(Bets[Date],L105,Bets[Result],"W")+COUNTIFS(Bets[Date],L105,Bets[Result],"L")),"")</f>
        <v>0.5</v>
      </c>
      <c r="O105" s="38">
        <f>SUMIF(Bets[Date],L105,Bets[Profit])</f>
        <v>-0.20000000000000018</v>
      </c>
      <c r="P105" s="37" t="str">
        <f>IFERROR("("&amp;ROUND(SUMIF(Bets[Date],L105,Bets[Profit])/SUMIF(Bets[Date],L105,Bets[Risk]),2)*100&amp;"%)","")</f>
        <v>(-2%)</v>
      </c>
      <c r="Q105" s="65">
        <f t="shared" si="6"/>
        <v>-125.91506421415332</v>
      </c>
    </row>
    <row r="106" spans="1:17" x14ac:dyDescent="0.25">
      <c r="A106" s="35">
        <f t="shared" si="4"/>
        <v>14</v>
      </c>
      <c r="B106" s="5">
        <v>43456</v>
      </c>
      <c r="C106" s="5" t="s">
        <v>134</v>
      </c>
      <c r="D106" s="57" t="s">
        <v>188</v>
      </c>
      <c r="E106" s="7" t="s">
        <v>189</v>
      </c>
      <c r="F106" s="33">
        <v>5</v>
      </c>
      <c r="G106" s="63">
        <v>-110</v>
      </c>
      <c r="H106" s="31" t="s">
        <v>6</v>
      </c>
      <c r="I1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06"/>
      <c r="L106" s="36">
        <f t="shared" si="7"/>
        <v>43614</v>
      </c>
      <c r="M106" s="51" t="str">
        <f>COUNTIFS(Bets[Date],L106,Bets[Result],"W")&amp;"-"&amp;COUNTIFS(Bets[Date],L106,Bets[Result],"L")&amp;IF(COUNTIFS(Bets[Date],L106,Bets[Result],"Push")&gt;0,"-"&amp;COUNTIFS(Bets[Date],L106,Bets[Result],"Push"),"")</f>
        <v>2-5</v>
      </c>
      <c r="N106" s="52">
        <f>IFERROR(COUNTIFS(Bets[Date],L106,Bets[Result],"W")/(COUNTIFS(Bets[Date],L106,Bets[Result],"W")+COUNTIFS(Bets[Date],L106,Bets[Result],"L")),"")</f>
        <v>0.2857142857142857</v>
      </c>
      <c r="O106" s="38">
        <f>SUMIF(Bets[Date],L106,Bets[Profit])</f>
        <v>-4.1500000000000004</v>
      </c>
      <c r="P106" s="37" t="str">
        <f>IFERROR("("&amp;ROUND(SUMIF(Bets[Date],L106,Bets[Profit])/SUMIF(Bets[Date],L106,Bets[Risk]),2)*100&amp;"%)","")</f>
        <v>(-50%)</v>
      </c>
      <c r="Q106" s="65">
        <f t="shared" si="6"/>
        <v>-130.06506421415332</v>
      </c>
    </row>
    <row r="107" spans="1:17" x14ac:dyDescent="0.25">
      <c r="A107" s="35">
        <f t="shared" si="4"/>
        <v>14</v>
      </c>
      <c r="B107" s="5">
        <v>43456</v>
      </c>
      <c r="C107" s="5" t="s">
        <v>134</v>
      </c>
      <c r="D107" s="57" t="s">
        <v>190</v>
      </c>
      <c r="E107" s="7" t="s">
        <v>191</v>
      </c>
      <c r="F107" s="33">
        <v>5</v>
      </c>
      <c r="G107" s="63">
        <v>-110</v>
      </c>
      <c r="H107" s="31" t="s">
        <v>6</v>
      </c>
      <c r="I1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07"/>
      <c r="L107" s="36">
        <f t="shared" si="7"/>
        <v>43616</v>
      </c>
      <c r="M107" s="51" t="str">
        <f>COUNTIFS(Bets[Date],L107,Bets[Result],"W")&amp;"-"&amp;COUNTIFS(Bets[Date],L107,Bets[Result],"L")&amp;IF(COUNTIFS(Bets[Date],L107,Bets[Result],"Push")&gt;0,"-"&amp;COUNTIFS(Bets[Date],L107,Bets[Result],"Push"),"")</f>
        <v>3-4</v>
      </c>
      <c r="N107" s="52">
        <f>IFERROR(COUNTIFS(Bets[Date],L107,Bets[Result],"W")/(COUNTIFS(Bets[Date],L107,Bets[Result],"W")+COUNTIFS(Bets[Date],L107,Bets[Result],"L")),"")</f>
        <v>0.42857142857142855</v>
      </c>
      <c r="O107" s="38">
        <f>SUMIF(Bets[Date],L107,Bets[Profit])</f>
        <v>-2.36</v>
      </c>
      <c r="P107" s="37" t="str">
        <f>IFERROR("("&amp;ROUND(SUMIF(Bets[Date],L107,Bets[Profit])/SUMIF(Bets[Date],L107,Bets[Risk]),2)*100&amp;"%)","")</f>
        <v>(-25%)</v>
      </c>
      <c r="Q107" s="65">
        <f t="shared" si="6"/>
        <v>-132.42506421415334</v>
      </c>
    </row>
    <row r="108" spans="1:17" x14ac:dyDescent="0.25">
      <c r="A108" s="35">
        <f t="shared" si="4"/>
        <v>14</v>
      </c>
      <c r="B108" s="5">
        <v>43456</v>
      </c>
      <c r="C108" s="5" t="s">
        <v>134</v>
      </c>
      <c r="D108" s="57" t="s">
        <v>190</v>
      </c>
      <c r="E108" s="7" t="s">
        <v>192</v>
      </c>
      <c r="F108" s="33">
        <v>5</v>
      </c>
      <c r="G108" s="63">
        <v>260</v>
      </c>
      <c r="H108" s="31" t="s">
        <v>6</v>
      </c>
      <c r="I1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08"/>
      <c r="L108" s="36">
        <f t="shared" si="7"/>
        <v>43619</v>
      </c>
      <c r="M108" s="51" t="str">
        <f>COUNTIFS(Bets[Date],L108,Bets[Result],"W")&amp;"-"&amp;COUNTIFS(Bets[Date],L108,Bets[Result],"L")&amp;IF(COUNTIFS(Bets[Date],L108,Bets[Result],"Push")&gt;0,"-"&amp;COUNTIFS(Bets[Date],L108,Bets[Result],"Push"),"")</f>
        <v>1-1</v>
      </c>
      <c r="N108" s="52">
        <f>IFERROR(COUNTIFS(Bets[Date],L108,Bets[Result],"W")/(COUNTIFS(Bets[Date],L108,Bets[Result],"W")+COUNTIFS(Bets[Date],L108,Bets[Result],"L")),"")</f>
        <v>0.5</v>
      </c>
      <c r="O108" s="38">
        <f>SUMIF(Bets[Date],L108,Bets[Profit])</f>
        <v>-2.6</v>
      </c>
      <c r="P108" s="37" t="str">
        <f>IFERROR("("&amp;ROUND(SUMIF(Bets[Date],L108,Bets[Profit])/SUMIF(Bets[Date],L108,Bets[Risk]),2)*100&amp;"%)","")</f>
        <v>(-31%)</v>
      </c>
      <c r="Q108" s="65">
        <f t="shared" si="6"/>
        <v>-135.02506421415333</v>
      </c>
    </row>
    <row r="109" spans="1:17" x14ac:dyDescent="0.25">
      <c r="A109" s="35">
        <f t="shared" si="4"/>
        <v>14</v>
      </c>
      <c r="B109" s="5">
        <v>43456</v>
      </c>
      <c r="C109" s="5" t="s">
        <v>134</v>
      </c>
      <c r="D109" s="57" t="s">
        <v>193</v>
      </c>
      <c r="E109" s="7" t="s">
        <v>194</v>
      </c>
      <c r="F109" s="33">
        <v>5</v>
      </c>
      <c r="G109" s="63">
        <v>-110</v>
      </c>
      <c r="H109" s="31" t="s">
        <v>6</v>
      </c>
      <c r="I1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09"/>
      <c r="L109" s="36">
        <f t="shared" si="7"/>
        <v>43643</v>
      </c>
      <c r="M109" s="51" t="str">
        <f>COUNTIFS(Bets[Date],L109,Bets[Result],"W")&amp;"-"&amp;COUNTIFS(Bets[Date],L109,Bets[Result],"L")&amp;IF(COUNTIFS(Bets[Date],L109,Bets[Result],"Push")&gt;0,"-"&amp;COUNTIFS(Bets[Date],L109,Bets[Result],"Push"),"")</f>
        <v>2-2</v>
      </c>
      <c r="N109" s="52">
        <f>IFERROR(COUNTIFS(Bets[Date],L109,Bets[Result],"W")/(COUNTIFS(Bets[Date],L109,Bets[Result],"W")+COUNTIFS(Bets[Date],L109,Bets[Result],"L")),"")</f>
        <v>0.5</v>
      </c>
      <c r="O109" s="38">
        <f>SUMIF(Bets[Date],L109,Bets[Profit])</f>
        <v>-0.78</v>
      </c>
      <c r="P109" s="37" t="str">
        <f>IFERROR("("&amp;ROUND(SUMIF(Bets[Date],L109,Bets[Profit])/SUMIF(Bets[Date],L109,Bets[Risk]),2)*100&amp;"%)","")</f>
        <v>(-13%)</v>
      </c>
      <c r="Q109" s="65">
        <f t="shared" si="6"/>
        <v>-135.80506421415333</v>
      </c>
    </row>
    <row r="110" spans="1:17" x14ac:dyDescent="0.25">
      <c r="A110" s="35">
        <f t="shared" si="4"/>
        <v>14</v>
      </c>
      <c r="B110" s="5">
        <v>43456</v>
      </c>
      <c r="C110" s="5" t="s">
        <v>134</v>
      </c>
      <c r="D110" s="57" t="s">
        <v>195</v>
      </c>
      <c r="E110" s="7" t="s">
        <v>196</v>
      </c>
      <c r="F110" s="33">
        <v>5</v>
      </c>
      <c r="G110" s="63">
        <v>-110</v>
      </c>
      <c r="H110" s="31" t="s">
        <v>6</v>
      </c>
      <c r="I1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10"/>
      <c r="L110" s="36">
        <f t="shared" si="7"/>
        <v>43644</v>
      </c>
      <c r="M110" s="51" t="str">
        <f>COUNTIFS(Bets[Date],L110,Bets[Result],"W")&amp;"-"&amp;COUNTIFS(Bets[Date],L110,Bets[Result],"L")&amp;IF(COUNTIFS(Bets[Date],L110,Bets[Result],"Push")&gt;0,"-"&amp;COUNTIFS(Bets[Date],L110,Bets[Result],"Push"),"")</f>
        <v>2-3</v>
      </c>
      <c r="N110" s="52">
        <f>IFERROR(COUNTIFS(Bets[Date],L110,Bets[Result],"W")/(COUNTIFS(Bets[Date],L110,Bets[Result],"W")+COUNTIFS(Bets[Date],L110,Bets[Result],"L")),"")</f>
        <v>0.4</v>
      </c>
      <c r="O110" s="38">
        <f>SUMIF(Bets[Date],L110,Bets[Profit])</f>
        <v>-1.1864052287581699</v>
      </c>
      <c r="P110" s="37" t="str">
        <f>IFERROR("("&amp;ROUND(SUMIF(Bets[Date],L110,Bets[Profit])/SUMIF(Bets[Date],L110,Bets[Risk]),2)*100&amp;"%)","")</f>
        <v>(-24%)</v>
      </c>
      <c r="Q110" s="65">
        <f t="shared" si="6"/>
        <v>-136.99146944291149</v>
      </c>
    </row>
    <row r="111" spans="1:17" x14ac:dyDescent="0.25">
      <c r="A111" s="35">
        <f t="shared" si="4"/>
        <v>14</v>
      </c>
      <c r="B111" s="5">
        <v>43456</v>
      </c>
      <c r="C111" s="5" t="s">
        <v>134</v>
      </c>
      <c r="D111" s="57" t="s">
        <v>195</v>
      </c>
      <c r="E111" s="7" t="s">
        <v>197</v>
      </c>
      <c r="F111" s="33">
        <v>5</v>
      </c>
      <c r="G111" s="63">
        <v>175</v>
      </c>
      <c r="H111" s="31" t="s">
        <v>6</v>
      </c>
      <c r="I1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11"/>
      <c r="L111" s="36">
        <f t="shared" si="7"/>
        <v>43647</v>
      </c>
      <c r="M111" s="51" t="str">
        <f>COUNTIFS(Bets[Date],L111,Bets[Result],"W")&amp;"-"&amp;COUNTIFS(Bets[Date],L111,Bets[Result],"L")&amp;IF(COUNTIFS(Bets[Date],L111,Bets[Result],"Push")&gt;0,"-"&amp;COUNTIFS(Bets[Date],L111,Bets[Result],"Push"),"")</f>
        <v>0-1</v>
      </c>
      <c r="N111" s="52">
        <f>IFERROR(COUNTIFS(Bets[Date],L111,Bets[Result],"W")/(COUNTIFS(Bets[Date],L111,Bets[Result],"W")+COUNTIFS(Bets[Date],L111,Bets[Result],"L")),"")</f>
        <v>0</v>
      </c>
      <c r="O111" s="38">
        <f>SUMIF(Bets[Date],L111,Bets[Profit])</f>
        <v>-3.91</v>
      </c>
      <c r="P111" s="37" t="str">
        <f>IFERROR("("&amp;ROUND(SUMIF(Bets[Date],L111,Bets[Profit])/SUMIF(Bets[Date],L111,Bets[Risk]),2)*100&amp;"%)","")</f>
        <v>(-100%)</v>
      </c>
      <c r="Q111" s="65">
        <f t="shared" si="6"/>
        <v>-140.90146944291149</v>
      </c>
    </row>
    <row r="112" spans="1:17" x14ac:dyDescent="0.25">
      <c r="A112" s="35">
        <f t="shared" si="4"/>
        <v>14</v>
      </c>
      <c r="B112" s="5">
        <v>43456</v>
      </c>
      <c r="C112" s="5" t="s">
        <v>134</v>
      </c>
      <c r="D112" s="57" t="s">
        <v>198</v>
      </c>
      <c r="E112" s="7" t="s">
        <v>199</v>
      </c>
      <c r="F112" s="33">
        <v>5</v>
      </c>
      <c r="G112" s="63">
        <v>-110</v>
      </c>
      <c r="H112" s="31" t="s">
        <v>6</v>
      </c>
      <c r="I1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12"/>
      <c r="L112" s="36">
        <f t="shared" si="7"/>
        <v>43677</v>
      </c>
      <c r="M112" s="51" t="str">
        <f>COUNTIFS(Bets[Date],L112,Bets[Result],"W")&amp;"-"&amp;COUNTIFS(Bets[Date],L112,Bets[Result],"L")&amp;IF(COUNTIFS(Bets[Date],L112,Bets[Result],"Push")&gt;0,"-"&amp;COUNTIFS(Bets[Date],L112,Bets[Result],"Push"),"")</f>
        <v>5-6</v>
      </c>
      <c r="N112" s="52">
        <f>IFERROR(COUNTIFS(Bets[Date],L112,Bets[Result],"W")/(COUNTIFS(Bets[Date],L112,Bets[Result],"W")+COUNTIFS(Bets[Date],L112,Bets[Result],"L")),"")</f>
        <v>0.45454545454545453</v>
      </c>
      <c r="O112" s="38">
        <f>SUMIF(Bets[Date],L112,Bets[Profit])</f>
        <v>-45.90086735885788</v>
      </c>
      <c r="P112" s="37" t="str">
        <f>IFERROR("("&amp;ROUND(SUMIF(Bets[Date],L112,Bets[Profit])/SUMIF(Bets[Date],L112,Bets[Risk]),2)*100&amp;"%)","")</f>
        <v>(-23%)</v>
      </c>
      <c r="Q112" s="65">
        <f t="shared" si="6"/>
        <v>-186.80233680176937</v>
      </c>
    </row>
    <row r="113" spans="1:17" x14ac:dyDescent="0.25">
      <c r="A113" s="35">
        <f t="shared" si="4"/>
        <v>14</v>
      </c>
      <c r="B113" s="5">
        <v>43456</v>
      </c>
      <c r="C113" s="5" t="s">
        <v>134</v>
      </c>
      <c r="D113" s="57" t="s">
        <v>200</v>
      </c>
      <c r="E113" s="7" t="s">
        <v>201</v>
      </c>
      <c r="F113" s="33">
        <v>5</v>
      </c>
      <c r="G113" s="63">
        <v>-115</v>
      </c>
      <c r="H113" s="31" t="s">
        <v>36</v>
      </c>
      <c r="I1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1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13"/>
      <c r="L113" s="36">
        <f t="shared" si="7"/>
        <v>43678</v>
      </c>
      <c r="M113" s="51" t="str">
        <f>COUNTIFS(Bets[Date],L113,Bets[Result],"W")&amp;"-"&amp;COUNTIFS(Bets[Date],L113,Bets[Result],"L")&amp;IF(COUNTIFS(Bets[Date],L113,Bets[Result],"Push")&gt;0,"-"&amp;COUNTIFS(Bets[Date],L113,Bets[Result],"Push"),"")</f>
        <v>3-4</v>
      </c>
      <c r="N113" s="52">
        <f>IFERROR(COUNTIFS(Bets[Date],L113,Bets[Result],"W")/(COUNTIFS(Bets[Date],L113,Bets[Result],"W")+COUNTIFS(Bets[Date],L113,Bets[Result],"L")),"")</f>
        <v>0.42857142857142855</v>
      </c>
      <c r="O113" s="38">
        <f>SUMIF(Bets[Date],L113,Bets[Profit])</f>
        <v>-39.402813269592933</v>
      </c>
      <c r="P113" s="37" t="str">
        <f>IFERROR("("&amp;ROUND(SUMIF(Bets[Date],L113,Bets[Profit])/SUMIF(Bets[Date],L113,Bets[Risk]),2)*100&amp;"%)","")</f>
        <v>(-28%)</v>
      </c>
      <c r="Q113" s="65">
        <f t="shared" si="6"/>
        <v>-226.20515007136231</v>
      </c>
    </row>
    <row r="114" spans="1:17" x14ac:dyDescent="0.25">
      <c r="A114" s="35">
        <f t="shared" si="4"/>
        <v>14</v>
      </c>
      <c r="B114" s="5">
        <v>43456</v>
      </c>
      <c r="C114" s="5" t="s">
        <v>134</v>
      </c>
      <c r="D114" s="57" t="s">
        <v>200</v>
      </c>
      <c r="E114" s="7" t="s">
        <v>202</v>
      </c>
      <c r="F114" s="33">
        <v>5</v>
      </c>
      <c r="G114" s="63">
        <v>-110</v>
      </c>
      <c r="H114" s="31" t="s">
        <v>6</v>
      </c>
      <c r="I1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14"/>
      <c r="L114" s="36">
        <f t="shared" si="7"/>
        <v>43679</v>
      </c>
      <c r="M114" s="51" t="str">
        <f>COUNTIFS(Bets[Date],L114,Bets[Result],"W")&amp;"-"&amp;COUNTIFS(Bets[Date],L114,Bets[Result],"L")&amp;IF(COUNTIFS(Bets[Date],L114,Bets[Result],"Push")&gt;0,"-"&amp;COUNTIFS(Bets[Date],L114,Bets[Result],"Push"),"")</f>
        <v>5-1</v>
      </c>
      <c r="N114" s="52">
        <f>IFERROR(COUNTIFS(Bets[Date],L114,Bets[Result],"W")/(COUNTIFS(Bets[Date],L114,Bets[Result],"W")+COUNTIFS(Bets[Date],L114,Bets[Result],"L")),"")</f>
        <v>0.83333333333333337</v>
      </c>
      <c r="O114" s="38">
        <f>SUMIF(Bets[Date],L114,Bets[Profit])</f>
        <v>48.741530275425092</v>
      </c>
      <c r="P114" s="37" t="str">
        <f>IFERROR("("&amp;ROUND(SUMIF(Bets[Date],L114,Bets[Profit])/SUMIF(Bets[Date],L114,Bets[Risk]),2)*100&amp;"%)","")</f>
        <v>(41%)</v>
      </c>
      <c r="Q114" s="65">
        <f t="shared" si="6"/>
        <v>-177.46361979593723</v>
      </c>
    </row>
    <row r="115" spans="1:17" x14ac:dyDescent="0.25">
      <c r="A115" s="35">
        <f t="shared" si="4"/>
        <v>14</v>
      </c>
      <c r="B115" s="5">
        <v>43456</v>
      </c>
      <c r="C115" s="5" t="s">
        <v>133</v>
      </c>
      <c r="D115" s="57" t="s">
        <v>158</v>
      </c>
      <c r="E115" s="7" t="s">
        <v>94</v>
      </c>
      <c r="F115" s="33">
        <v>10</v>
      </c>
      <c r="G115" s="67">
        <v>-105</v>
      </c>
      <c r="H115" s="9" t="s">
        <v>6</v>
      </c>
      <c r="I1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15"/>
      <c r="L115" s="36">
        <f t="shared" si="7"/>
        <v>43680</v>
      </c>
      <c r="M115" s="51" t="str">
        <f>COUNTIFS(Bets[Date],L115,Bets[Result],"W")&amp;"-"&amp;COUNTIFS(Bets[Date],L115,Bets[Result],"L")&amp;IF(COUNTIFS(Bets[Date],L115,Bets[Result],"Push")&gt;0,"-"&amp;COUNTIFS(Bets[Date],L115,Bets[Result],"Push"),"")</f>
        <v>6-0</v>
      </c>
      <c r="N115" s="52">
        <f>IFERROR(COUNTIFS(Bets[Date],L115,Bets[Result],"W")/(COUNTIFS(Bets[Date],L115,Bets[Result],"W")+COUNTIFS(Bets[Date],L115,Bets[Result],"L")),"")</f>
        <v>1</v>
      </c>
      <c r="O115" s="38">
        <f>SUMIF(Bets[Date],L115,Bets[Profit])</f>
        <v>84.85715835543283</v>
      </c>
      <c r="P115" s="37" t="str">
        <f>IFERROR("("&amp;ROUND(SUMIF(Bets[Date],L115,Bets[Profit])/SUMIF(Bets[Date],L115,Bets[Risk]),2)*100&amp;"%)","")</f>
        <v>(71%)</v>
      </c>
      <c r="Q115" s="65">
        <f t="shared" si="6"/>
        <v>-92.606461440504404</v>
      </c>
    </row>
    <row r="116" spans="1:17" x14ac:dyDescent="0.25">
      <c r="A116" s="35">
        <f t="shared" si="4"/>
        <v>15</v>
      </c>
      <c r="B116" s="5">
        <v>43457</v>
      </c>
      <c r="C116" s="5" t="s">
        <v>133</v>
      </c>
      <c r="D116" s="57" t="s">
        <v>159</v>
      </c>
      <c r="E116" s="7" t="s">
        <v>55</v>
      </c>
      <c r="F116" s="33">
        <v>10</v>
      </c>
      <c r="G116" s="67">
        <v>-110</v>
      </c>
      <c r="H116" s="9" t="s">
        <v>6</v>
      </c>
      <c r="I1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16"/>
      <c r="L116" s="36">
        <f t="shared" si="7"/>
        <v>43681</v>
      </c>
      <c r="M116" s="51" t="str">
        <f>COUNTIFS(Bets[Date],L116,Bets[Result],"W")&amp;"-"&amp;COUNTIFS(Bets[Date],L116,Bets[Result],"L")&amp;IF(COUNTIFS(Bets[Date],L116,Bets[Result],"Push")&gt;0,"-"&amp;COUNTIFS(Bets[Date],L116,Bets[Result],"Push"),"")</f>
        <v>4-1</v>
      </c>
      <c r="N116" s="52">
        <f>IFERROR(COUNTIFS(Bets[Date],L116,Bets[Result],"W")/(COUNTIFS(Bets[Date],L116,Bets[Result],"W")+COUNTIFS(Bets[Date],L116,Bets[Result],"L")),"")</f>
        <v>0.8</v>
      </c>
      <c r="O116" s="38">
        <f>SUMIF(Bets[Date],L116,Bets[Profit])</f>
        <v>51.133103199174407</v>
      </c>
      <c r="P116" s="37" t="str">
        <f>IFERROR("("&amp;ROUND(SUMIF(Bets[Date],L116,Bets[Profit])/SUMIF(Bets[Date],L116,Bets[Risk]),2)*100&amp;"%)","")</f>
        <v>(51%)</v>
      </c>
      <c r="Q116" s="65">
        <f t="shared" si="6"/>
        <v>-41.473358241329997</v>
      </c>
    </row>
    <row r="117" spans="1:17" x14ac:dyDescent="0.25">
      <c r="A117" s="35">
        <f t="shared" si="4"/>
        <v>16</v>
      </c>
      <c r="B117" s="5">
        <v>43467</v>
      </c>
      <c r="C117" s="5" t="s">
        <v>134</v>
      </c>
      <c r="D117" s="57" t="s">
        <v>203</v>
      </c>
      <c r="E117" s="7" t="s">
        <v>204</v>
      </c>
      <c r="F117" s="33">
        <v>5</v>
      </c>
      <c r="G117" s="63">
        <v>-105</v>
      </c>
      <c r="H117" s="31" t="s">
        <v>36</v>
      </c>
      <c r="I1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1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17"/>
      <c r="L117" s="36">
        <f t="shared" si="7"/>
        <v>43682</v>
      </c>
      <c r="M117" s="51" t="str">
        <f>COUNTIFS(Bets[Date],L117,Bets[Result],"W")&amp;"-"&amp;COUNTIFS(Bets[Date],L117,Bets[Result],"L")&amp;IF(COUNTIFS(Bets[Date],L117,Bets[Result],"Push")&gt;0,"-"&amp;COUNTIFS(Bets[Date],L117,Bets[Result],"Push"),"")</f>
        <v>4-4</v>
      </c>
      <c r="N117" s="52">
        <f>IFERROR(COUNTIFS(Bets[Date],L117,Bets[Result],"W")/(COUNTIFS(Bets[Date],L117,Bets[Result],"W")+COUNTIFS(Bets[Date],L117,Bets[Result],"L")),"")</f>
        <v>0.5</v>
      </c>
      <c r="O117" s="38">
        <f>SUMIF(Bets[Date],L117,Bets[Profit])</f>
        <v>-29.527040498721668</v>
      </c>
      <c r="P117" s="37" t="str">
        <f>IFERROR("("&amp;ROUND(SUMIF(Bets[Date],L117,Bets[Profit])/SUMIF(Bets[Date],L117,Bets[Risk]),2)*100&amp;"%)","")</f>
        <v>(-18%)</v>
      </c>
      <c r="Q117" s="65">
        <f t="shared" si="6"/>
        <v>-71.000398740051665</v>
      </c>
    </row>
    <row r="118" spans="1:17" x14ac:dyDescent="0.25">
      <c r="A118" s="35">
        <f t="shared" si="4"/>
        <v>16</v>
      </c>
      <c r="B118" s="5">
        <v>43467</v>
      </c>
      <c r="C118" s="5" t="s">
        <v>134</v>
      </c>
      <c r="D118" s="57" t="s">
        <v>205</v>
      </c>
      <c r="E118" s="7" t="s">
        <v>174</v>
      </c>
      <c r="F118" s="33">
        <v>5</v>
      </c>
      <c r="G118" s="63">
        <v>-110</v>
      </c>
      <c r="H118" s="31" t="s">
        <v>6</v>
      </c>
      <c r="I1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18"/>
      <c r="L118" s="36">
        <f t="shared" si="7"/>
        <v>43683</v>
      </c>
      <c r="M118" s="51" t="str">
        <f>COUNTIFS(Bets[Date],L118,Bets[Result],"W")&amp;"-"&amp;COUNTIFS(Bets[Date],L118,Bets[Result],"L")&amp;IF(COUNTIFS(Bets[Date],L118,Bets[Result],"Push")&gt;0,"-"&amp;COUNTIFS(Bets[Date],L118,Bets[Result],"Push"),"")</f>
        <v>5-6-1</v>
      </c>
      <c r="N118" s="52">
        <f>IFERROR(COUNTIFS(Bets[Date],L118,Bets[Result],"W")/(COUNTIFS(Bets[Date],L118,Bets[Result],"W")+COUNTIFS(Bets[Date],L118,Bets[Result],"L")),"")</f>
        <v>0.45454545454545453</v>
      </c>
      <c r="O118" s="38">
        <f>SUMIF(Bets[Date],L118,Bets[Profit])</f>
        <v>-53.908016373870012</v>
      </c>
      <c r="P118" s="37" t="str">
        <f>IFERROR("("&amp;ROUND(SUMIF(Bets[Date],L118,Bets[Profit])/SUMIF(Bets[Date],L118,Bets[Risk]),2)*100&amp;"%)","")</f>
        <v>(-22%)</v>
      </c>
      <c r="Q118" s="65">
        <f t="shared" si="6"/>
        <v>-124.90841511392168</v>
      </c>
    </row>
    <row r="119" spans="1:17" x14ac:dyDescent="0.25">
      <c r="A119" s="35">
        <f t="shared" si="4"/>
        <v>16</v>
      </c>
      <c r="B119" s="5">
        <v>43467</v>
      </c>
      <c r="C119" s="5" t="s">
        <v>134</v>
      </c>
      <c r="D119" s="57" t="s">
        <v>205</v>
      </c>
      <c r="E119" s="7" t="s">
        <v>206</v>
      </c>
      <c r="F119" s="33">
        <v>5</v>
      </c>
      <c r="G119" s="63">
        <v>-110</v>
      </c>
      <c r="H119" s="31" t="s">
        <v>6</v>
      </c>
      <c r="I1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1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19"/>
      <c r="L119" s="36">
        <f t="shared" si="7"/>
        <v>43684</v>
      </c>
      <c r="M119" s="51" t="str">
        <f>COUNTIFS(Bets[Date],L119,Bets[Result],"W")&amp;"-"&amp;COUNTIFS(Bets[Date],L119,Bets[Result],"L")&amp;IF(COUNTIFS(Bets[Date],L119,Bets[Result],"Push")&gt;0,"-"&amp;COUNTIFS(Bets[Date],L119,Bets[Result],"Push"),"")</f>
        <v>4-6-1</v>
      </c>
      <c r="N119" s="52">
        <f>IFERROR(COUNTIFS(Bets[Date],L119,Bets[Result],"W")/(COUNTIFS(Bets[Date],L119,Bets[Result],"W")+COUNTIFS(Bets[Date],L119,Bets[Result],"L")),"")</f>
        <v>0.4</v>
      </c>
      <c r="O119" s="38">
        <f>SUMIF(Bets[Date],L119,Bets[Profit])</f>
        <v>-70.447280193236736</v>
      </c>
      <c r="P119" s="37" t="str">
        <f>IFERROR("("&amp;ROUND(SUMIF(Bets[Date],L119,Bets[Profit])/SUMIF(Bets[Date],L119,Bets[Risk]),2)*100&amp;"%)","")</f>
        <v>(-32%)</v>
      </c>
      <c r="Q119" s="65">
        <f t="shared" si="6"/>
        <v>-195.35569530715841</v>
      </c>
    </row>
    <row r="120" spans="1:17" x14ac:dyDescent="0.25">
      <c r="A120" s="35">
        <f t="shared" si="4"/>
        <v>16</v>
      </c>
      <c r="B120" s="5">
        <v>43467</v>
      </c>
      <c r="C120" s="5" t="s">
        <v>134</v>
      </c>
      <c r="D120" s="57" t="s">
        <v>207</v>
      </c>
      <c r="E120" s="7" t="s">
        <v>208</v>
      </c>
      <c r="F120" s="33">
        <v>5</v>
      </c>
      <c r="G120" s="63">
        <v>-115</v>
      </c>
      <c r="H120" s="31" t="s">
        <v>36</v>
      </c>
      <c r="I1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2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20"/>
      <c r="L120" s="36">
        <f t="shared" si="7"/>
        <v>43685</v>
      </c>
      <c r="M120" s="51" t="str">
        <f>COUNTIFS(Bets[Date],L120,Bets[Result],"W")&amp;"-"&amp;COUNTIFS(Bets[Date],L120,Bets[Result],"L")&amp;IF(COUNTIFS(Bets[Date],L120,Bets[Result],"Push")&gt;0,"-"&amp;COUNTIFS(Bets[Date],L120,Bets[Result],"Push"),"")</f>
        <v>3-5</v>
      </c>
      <c r="N120" s="52">
        <f>IFERROR(COUNTIFS(Bets[Date],L120,Bets[Result],"W")/(COUNTIFS(Bets[Date],L120,Bets[Result],"W")+COUNTIFS(Bets[Date],L120,Bets[Result],"L")),"")</f>
        <v>0.375</v>
      </c>
      <c r="O120" s="38">
        <f>SUMIF(Bets[Date],L120,Bets[Profit])</f>
        <v>-47.762670807453418</v>
      </c>
      <c r="P120" s="37" t="str">
        <f>IFERROR("("&amp;ROUND(SUMIF(Bets[Date],L120,Bets[Profit])/SUMIF(Bets[Date],L120,Bets[Risk]),2)*100&amp;"%)","")</f>
        <v>(-30%)</v>
      </c>
      <c r="Q120" s="65">
        <f t="shared" si="6"/>
        <v>-243.11836611461183</v>
      </c>
    </row>
    <row r="121" spans="1:17" x14ac:dyDescent="0.25">
      <c r="A121" s="35">
        <f t="shared" si="4"/>
        <v>16</v>
      </c>
      <c r="B121" s="5">
        <v>43467</v>
      </c>
      <c r="C121" s="5" t="s">
        <v>134</v>
      </c>
      <c r="D121" s="57" t="s">
        <v>207</v>
      </c>
      <c r="E121" s="7" t="s">
        <v>209</v>
      </c>
      <c r="F121" s="33">
        <v>5</v>
      </c>
      <c r="G121" s="63">
        <v>-115</v>
      </c>
      <c r="H121" s="31" t="s">
        <v>36</v>
      </c>
      <c r="I1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2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21"/>
      <c r="L121" s="36">
        <f t="shared" si="7"/>
        <v>43703</v>
      </c>
      <c r="M121" s="51" t="str">
        <f>COUNTIFS(Bets[Date],L121,Bets[Result],"W")&amp;"-"&amp;COUNTIFS(Bets[Date],L121,Bets[Result],"L")&amp;IF(COUNTIFS(Bets[Date],L121,Bets[Result],"Push")&gt;0,"-"&amp;COUNTIFS(Bets[Date],L121,Bets[Result],"Push"),"")</f>
        <v>3-1</v>
      </c>
      <c r="N121" s="52">
        <f>IFERROR(COUNTIFS(Bets[Date],L121,Bets[Result],"W")/(COUNTIFS(Bets[Date],L121,Bets[Result],"W")+COUNTIFS(Bets[Date],L121,Bets[Result],"L")),"")</f>
        <v>0.75</v>
      </c>
      <c r="O121" s="38">
        <f>SUMIF(Bets[Date],L121,Bets[Profit])</f>
        <v>36.501921212121218</v>
      </c>
      <c r="P121" s="37" t="str">
        <f>IFERROR("("&amp;ROUND(SUMIF(Bets[Date],L121,Bets[Profit])/SUMIF(Bets[Date],L121,Bets[Risk]),2)*100&amp;"%)","")</f>
        <v>(46%)</v>
      </c>
      <c r="Q121" s="65">
        <f t="shared" si="6"/>
        <v>-206.61644490249063</v>
      </c>
    </row>
    <row r="122" spans="1:17" x14ac:dyDescent="0.25">
      <c r="A122" s="35">
        <f t="shared" si="4"/>
        <v>16</v>
      </c>
      <c r="B122" s="5">
        <v>43467</v>
      </c>
      <c r="C122" s="5" t="s">
        <v>134</v>
      </c>
      <c r="D122" s="57" t="s">
        <v>210</v>
      </c>
      <c r="E122" s="7" t="s">
        <v>211</v>
      </c>
      <c r="F122" s="33">
        <v>5</v>
      </c>
      <c r="G122" s="63">
        <v>-115</v>
      </c>
      <c r="H122" s="9" t="s">
        <v>36</v>
      </c>
      <c r="I1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2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22"/>
      <c r="L122" s="36">
        <f t="shared" si="7"/>
        <v>43704</v>
      </c>
      <c r="M122" s="51" t="str">
        <f>COUNTIFS(Bets[Date],L122,Bets[Result],"W")&amp;"-"&amp;COUNTIFS(Bets[Date],L122,Bets[Result],"L")&amp;IF(COUNTIFS(Bets[Date],L122,Bets[Result],"Push")&gt;0,"-"&amp;COUNTIFS(Bets[Date],L122,Bets[Result],"Push"),"")</f>
        <v>8-4</v>
      </c>
      <c r="N122" s="52">
        <f>IFERROR(COUNTIFS(Bets[Date],L122,Bets[Result],"W")/(COUNTIFS(Bets[Date],L122,Bets[Result],"W")+COUNTIFS(Bets[Date],L122,Bets[Result],"L")),"")</f>
        <v>0.66666666666666663</v>
      </c>
      <c r="O122" s="38">
        <f>SUMIF(Bets[Date],L122,Bets[Profit])</f>
        <v>53.159058318512763</v>
      </c>
      <c r="P122" s="37" t="str">
        <f>IFERROR("("&amp;ROUND(SUMIF(Bets[Date],L122,Bets[Profit])/SUMIF(Bets[Date],L122,Bets[Risk]),2)*100&amp;"%)","")</f>
        <v>(22%)</v>
      </c>
      <c r="Q122" s="65">
        <f t="shared" si="6"/>
        <v>-153.45738658397786</v>
      </c>
    </row>
    <row r="123" spans="1:17" x14ac:dyDescent="0.25">
      <c r="A123" s="35">
        <f t="shared" si="4"/>
        <v>16</v>
      </c>
      <c r="B123" s="5">
        <v>43467</v>
      </c>
      <c r="C123" s="5" t="s">
        <v>134</v>
      </c>
      <c r="D123" s="57" t="s">
        <v>210</v>
      </c>
      <c r="E123" s="7" t="s">
        <v>212</v>
      </c>
      <c r="F123" s="33">
        <v>5</v>
      </c>
      <c r="G123" s="63">
        <v>-105</v>
      </c>
      <c r="H123" s="9" t="s">
        <v>6</v>
      </c>
      <c r="I1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2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23"/>
      <c r="L123" s="36">
        <f t="shared" si="7"/>
        <v>43705</v>
      </c>
      <c r="M123" s="51" t="str">
        <f>COUNTIFS(Bets[Date],L123,Bets[Result],"W")&amp;"-"&amp;COUNTIFS(Bets[Date],L123,Bets[Result],"L")&amp;IF(COUNTIFS(Bets[Date],L123,Bets[Result],"Push")&gt;0,"-"&amp;COUNTIFS(Bets[Date],L123,Bets[Result],"Push"),"")</f>
        <v>11-4</v>
      </c>
      <c r="N123" s="52">
        <f>IFERROR(COUNTIFS(Bets[Date],L123,Bets[Result],"W")/(COUNTIFS(Bets[Date],L123,Bets[Result],"W")+COUNTIFS(Bets[Date],L123,Bets[Result],"L")),"")</f>
        <v>0.73333333333333328</v>
      </c>
      <c r="O123" s="38">
        <f>SUMIF(Bets[Date],L123,Bets[Profit])</f>
        <v>77.903783412761044</v>
      </c>
      <c r="P123" s="37" t="str">
        <f>IFERROR("("&amp;ROUND(SUMIF(Bets[Date],L123,Bets[Profit])/SUMIF(Bets[Date],L123,Bets[Risk]),2)*100&amp;"%)","")</f>
        <v>(26%)</v>
      </c>
      <c r="Q123" s="65">
        <f t="shared" si="6"/>
        <v>-75.553603171216821</v>
      </c>
    </row>
    <row r="124" spans="1:17" x14ac:dyDescent="0.25">
      <c r="A124" s="35">
        <f t="shared" si="4"/>
        <v>16</v>
      </c>
      <c r="B124" s="5">
        <v>43467</v>
      </c>
      <c r="C124" s="5" t="s">
        <v>134</v>
      </c>
      <c r="D124" s="57" t="s">
        <v>213</v>
      </c>
      <c r="E124" s="7" t="s">
        <v>214</v>
      </c>
      <c r="F124" s="33">
        <v>5</v>
      </c>
      <c r="G124" s="63">
        <v>-110</v>
      </c>
      <c r="H124" s="9" t="s">
        <v>36</v>
      </c>
      <c r="I1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2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24"/>
      <c r="L124" s="36">
        <f t="shared" si="7"/>
        <v>43706</v>
      </c>
      <c r="M124" s="51" t="str">
        <f>COUNTIFS(Bets[Date],L124,Bets[Result],"W")&amp;"-"&amp;COUNTIFS(Bets[Date],L124,Bets[Result],"L")&amp;IF(COUNTIFS(Bets[Date],L124,Bets[Result],"Push")&gt;0,"-"&amp;COUNTIFS(Bets[Date],L124,Bets[Result],"Push"),"")</f>
        <v>3-6</v>
      </c>
      <c r="N124" s="52">
        <f>IFERROR(COUNTIFS(Bets[Date],L124,Bets[Result],"W")/(COUNTIFS(Bets[Date],L124,Bets[Result],"W")+COUNTIFS(Bets[Date],L124,Bets[Result],"L")),"")</f>
        <v>0.33333333333333331</v>
      </c>
      <c r="O124" s="38">
        <f>SUMIF(Bets[Date],L124,Bets[Profit])</f>
        <v>-90.421305668016188</v>
      </c>
      <c r="P124" s="37" t="str">
        <f>IFERROR("("&amp;ROUND(SUMIF(Bets[Date],L124,Bets[Profit])/SUMIF(Bets[Date],L124,Bets[Risk]),2)*100&amp;"%)","")</f>
        <v>(-50%)</v>
      </c>
      <c r="Q124" s="65">
        <f t="shared" si="6"/>
        <v>-165.97490883923302</v>
      </c>
    </row>
    <row r="125" spans="1:17" x14ac:dyDescent="0.25">
      <c r="A125" s="35">
        <f t="shared" si="4"/>
        <v>16</v>
      </c>
      <c r="B125" s="5">
        <v>43467</v>
      </c>
      <c r="C125" s="5" t="s">
        <v>134</v>
      </c>
      <c r="D125" s="57" t="s">
        <v>215</v>
      </c>
      <c r="E125" s="7" t="s">
        <v>216</v>
      </c>
      <c r="F125" s="33">
        <v>5</v>
      </c>
      <c r="G125" s="63">
        <v>-110</v>
      </c>
      <c r="H125" s="9" t="s">
        <v>6</v>
      </c>
      <c r="I1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2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25"/>
      <c r="L125" s="36">
        <f t="shared" si="7"/>
        <v>43717</v>
      </c>
      <c r="M125" s="51" t="str">
        <f>COUNTIFS(Bets[Date],L125,Bets[Result],"W")&amp;"-"&amp;COUNTIFS(Bets[Date],L125,Bets[Result],"L")&amp;IF(COUNTIFS(Bets[Date],L125,Bets[Result],"Push")&gt;0,"-"&amp;COUNTIFS(Bets[Date],L125,Bets[Result],"Push"),"")</f>
        <v>2-2</v>
      </c>
      <c r="N125" s="52">
        <f>IFERROR(COUNTIFS(Bets[Date],L125,Bets[Result],"W")/(COUNTIFS(Bets[Date],L125,Bets[Result],"W")+COUNTIFS(Bets[Date],L125,Bets[Result],"L")),"")</f>
        <v>0.5</v>
      </c>
      <c r="O125" s="38">
        <f>SUMIF(Bets[Date],L125,Bets[Profit])</f>
        <v>-4.8423465423465366</v>
      </c>
      <c r="P125" s="37" t="str">
        <f>IFERROR("("&amp;ROUND(SUMIF(Bets[Date],L125,Bets[Profit])/SUMIF(Bets[Date],L125,Bets[Risk]),2)*100&amp;"%)","")</f>
        <v>(-6%)</v>
      </c>
      <c r="Q125" s="65">
        <f t="shared" si="6"/>
        <v>-170.81725538157957</v>
      </c>
    </row>
    <row r="126" spans="1:17" x14ac:dyDescent="0.25">
      <c r="A126" s="35">
        <f t="shared" si="4"/>
        <v>16</v>
      </c>
      <c r="B126" s="5">
        <v>43467</v>
      </c>
      <c r="C126" s="5" t="s">
        <v>134</v>
      </c>
      <c r="D126" s="57" t="s">
        <v>215</v>
      </c>
      <c r="E126" s="7" t="s">
        <v>217</v>
      </c>
      <c r="F126" s="33">
        <v>5</v>
      </c>
      <c r="G126" s="63">
        <v>-110</v>
      </c>
      <c r="H126" s="9" t="s">
        <v>36</v>
      </c>
      <c r="I1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2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26"/>
      <c r="L126" s="36">
        <f t="shared" si="7"/>
        <v>43718</v>
      </c>
      <c r="M126" s="51" t="str">
        <f>COUNTIFS(Bets[Date],L126,Bets[Result],"W")&amp;"-"&amp;COUNTIFS(Bets[Date],L126,Bets[Result],"L")&amp;IF(COUNTIFS(Bets[Date],L126,Bets[Result],"Push")&gt;0,"-"&amp;COUNTIFS(Bets[Date],L126,Bets[Result],"Push"),"")</f>
        <v>4-3</v>
      </c>
      <c r="N126" s="52">
        <f>IFERROR(COUNTIFS(Bets[Date],L126,Bets[Result],"W")/(COUNTIFS(Bets[Date],L126,Bets[Result],"W")+COUNTIFS(Bets[Date],L126,Bets[Result],"L")),"")</f>
        <v>0.5714285714285714</v>
      </c>
      <c r="O126" s="38">
        <f>SUMIF(Bets[Date],L126,Bets[Profit])</f>
        <v>4.0568514668514695</v>
      </c>
      <c r="P126" s="37" t="str">
        <f>IFERROR("("&amp;ROUND(SUMIF(Bets[Date],L126,Bets[Profit])/SUMIF(Bets[Date],L126,Bets[Risk]),2)*100&amp;"%)","")</f>
        <v>(3%)</v>
      </c>
      <c r="Q126" s="65">
        <f t="shared" si="6"/>
        <v>-166.7604039147281</v>
      </c>
    </row>
    <row r="127" spans="1:17" x14ac:dyDescent="0.25">
      <c r="A127" s="35">
        <f t="shared" si="4"/>
        <v>16</v>
      </c>
      <c r="B127" s="5">
        <v>43467</v>
      </c>
      <c r="C127" s="5" t="s">
        <v>134</v>
      </c>
      <c r="D127" s="57" t="s">
        <v>218</v>
      </c>
      <c r="E127" s="7" t="s">
        <v>219</v>
      </c>
      <c r="F127" s="33">
        <v>5</v>
      </c>
      <c r="G127" s="63">
        <v>-110</v>
      </c>
      <c r="H127" s="9" t="s">
        <v>36</v>
      </c>
      <c r="I1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2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27"/>
      <c r="L127" s="36">
        <f t="shared" si="7"/>
        <v>43719</v>
      </c>
      <c r="M127" s="51" t="str">
        <f>COUNTIFS(Bets[Date],L127,Bets[Result],"W")&amp;"-"&amp;COUNTIFS(Bets[Date],L127,Bets[Result],"L")&amp;IF(COUNTIFS(Bets[Date],L127,Bets[Result],"Push")&gt;0,"-"&amp;COUNTIFS(Bets[Date],L127,Bets[Result],"Push"),"")</f>
        <v>2-5-1</v>
      </c>
      <c r="N127" s="52">
        <f>IFERROR(COUNTIFS(Bets[Date],L127,Bets[Result],"W")/(COUNTIFS(Bets[Date],L127,Bets[Result],"W")+COUNTIFS(Bets[Date],L127,Bets[Result],"L")),"")</f>
        <v>0.2857142857142857</v>
      </c>
      <c r="O127" s="38">
        <f>SUMIF(Bets[Date],L127,Bets[Profit])</f>
        <v>-57.081052631578942</v>
      </c>
      <c r="P127" s="37" t="str">
        <f>IFERROR("("&amp;ROUND(SUMIF(Bets[Date],L127,Bets[Profit])/SUMIF(Bets[Date],L127,Bets[Risk]),2)*100&amp;"%)","")</f>
        <v>(-36%)</v>
      </c>
      <c r="Q127" s="65">
        <f t="shared" si="6"/>
        <v>-223.84145654630703</v>
      </c>
    </row>
    <row r="128" spans="1:17" x14ac:dyDescent="0.25">
      <c r="A128" s="35">
        <f t="shared" si="4"/>
        <v>16</v>
      </c>
      <c r="B128" s="5">
        <v>43467</v>
      </c>
      <c r="C128" s="5" t="s">
        <v>134</v>
      </c>
      <c r="D128" s="57" t="s">
        <v>218</v>
      </c>
      <c r="E128" s="7" t="s">
        <v>220</v>
      </c>
      <c r="F128" s="33">
        <v>5</v>
      </c>
      <c r="G128" s="63">
        <v>-110</v>
      </c>
      <c r="H128" s="9" t="s">
        <v>6</v>
      </c>
      <c r="I1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2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28"/>
      <c r="L128" s="36">
        <f t="shared" si="7"/>
        <v>43721</v>
      </c>
      <c r="M128" s="51" t="str">
        <f>COUNTIFS(Bets[Date],L128,Bets[Result],"W")&amp;"-"&amp;COUNTIFS(Bets[Date],L128,Bets[Result],"L")&amp;IF(COUNTIFS(Bets[Date],L128,Bets[Result],"Push")&gt;0,"-"&amp;COUNTIFS(Bets[Date],L128,Bets[Result],"Push"),"")</f>
        <v>0-1</v>
      </c>
      <c r="N128" s="52">
        <f>IFERROR(COUNTIFS(Bets[Date],L128,Bets[Result],"W")/(COUNTIFS(Bets[Date],L128,Bets[Result],"W")+COUNTIFS(Bets[Date],L128,Bets[Result],"L")),"")</f>
        <v>0</v>
      </c>
      <c r="O128" s="38">
        <f>SUMIF(Bets[Date],L128,Bets[Profit])</f>
        <v>-10</v>
      </c>
      <c r="P128" s="37" t="str">
        <f>IFERROR("("&amp;ROUND(SUMIF(Bets[Date],L128,Bets[Profit])/SUMIF(Bets[Date],L128,Bets[Risk]),2)*100&amp;"%)","")</f>
        <v>(-100%)</v>
      </c>
      <c r="Q128" s="65">
        <f t="shared" si="6"/>
        <v>-233.84145654630703</v>
      </c>
    </row>
    <row r="129" spans="1:17" x14ac:dyDescent="0.25">
      <c r="A129" s="35">
        <f t="shared" si="4"/>
        <v>17</v>
      </c>
      <c r="B129" s="5">
        <v>43468</v>
      </c>
      <c r="C129" s="5" t="s">
        <v>134</v>
      </c>
      <c r="D129" s="57" t="s">
        <v>221</v>
      </c>
      <c r="E129" s="7" t="s">
        <v>222</v>
      </c>
      <c r="F129" s="33">
        <v>5</v>
      </c>
      <c r="G129" s="70">
        <v>-115</v>
      </c>
      <c r="H129" s="9" t="s">
        <v>36</v>
      </c>
      <c r="I1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2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29"/>
      <c r="L129" s="36">
        <f t="shared" si="7"/>
        <v>43722</v>
      </c>
      <c r="M129" s="51" t="str">
        <f>COUNTIFS(Bets[Date],L129,Bets[Result],"W")&amp;"-"&amp;COUNTIFS(Bets[Date],L129,Bets[Result],"L")&amp;IF(COUNTIFS(Bets[Date],L129,Bets[Result],"Push")&gt;0,"-"&amp;COUNTIFS(Bets[Date],L129,Bets[Result],"Push"),"")</f>
        <v>3-0</v>
      </c>
      <c r="N129" s="52">
        <f>IFERROR(COUNTIFS(Bets[Date],L129,Bets[Result],"W")/(COUNTIFS(Bets[Date],L129,Bets[Result],"W")+COUNTIFS(Bets[Date],L129,Bets[Result],"L")),"")</f>
        <v>1</v>
      </c>
      <c r="O129" s="38">
        <f>SUMIF(Bets[Date],L129,Bets[Profit])</f>
        <v>123.7415360257842</v>
      </c>
      <c r="P129" s="37" t="str">
        <f>IFERROR("("&amp;ROUND(SUMIF(Bets[Date],L129,Bets[Profit])/SUMIF(Bets[Date],L129,Bets[Risk]),2)*100&amp;"%)","")</f>
        <v>(88%)</v>
      </c>
      <c r="Q129" s="65">
        <f t="shared" si="6"/>
        <v>-110.09992052052283</v>
      </c>
    </row>
    <row r="130" spans="1:17" x14ac:dyDescent="0.25">
      <c r="A130" s="35">
        <f t="shared" si="4"/>
        <v>17</v>
      </c>
      <c r="B130" s="5">
        <v>43468</v>
      </c>
      <c r="C130" s="5" t="s">
        <v>134</v>
      </c>
      <c r="D130" s="57" t="s">
        <v>221</v>
      </c>
      <c r="E130" s="7" t="s">
        <v>223</v>
      </c>
      <c r="F130" s="33">
        <v>5</v>
      </c>
      <c r="G130" s="70">
        <v>-110</v>
      </c>
      <c r="H130" s="9" t="s">
        <v>6</v>
      </c>
      <c r="I1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3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30"/>
      <c r="L130" s="36">
        <f t="shared" si="7"/>
        <v>43723</v>
      </c>
      <c r="M130" s="51" t="str">
        <f>COUNTIFS(Bets[Date],L130,Bets[Result],"W")&amp;"-"&amp;COUNTIFS(Bets[Date],L130,Bets[Result],"L")&amp;IF(COUNTIFS(Bets[Date],L130,Bets[Result],"Push")&gt;0,"-"&amp;COUNTIFS(Bets[Date],L130,Bets[Result],"Push"),"")</f>
        <v>2-0</v>
      </c>
      <c r="N130" s="52">
        <f>IFERROR(COUNTIFS(Bets[Date],L130,Bets[Result],"W")/(COUNTIFS(Bets[Date],L130,Bets[Result],"W")+COUNTIFS(Bets[Date],L130,Bets[Result],"L")),"")</f>
        <v>1</v>
      </c>
      <c r="O130" s="38">
        <f>SUMIF(Bets[Date],L130,Bets[Profit])</f>
        <v>35.996771589991923</v>
      </c>
      <c r="P130" s="37" t="str">
        <f>IFERROR("("&amp;ROUND(SUMIF(Bets[Date],L130,Bets[Profit])/SUMIF(Bets[Date],L130,Bets[Risk]),2)*100&amp;"%)","")</f>
        <v>(90%)</v>
      </c>
      <c r="Q130" s="65">
        <f t="shared" si="6"/>
        <v>-74.103148930530907</v>
      </c>
    </row>
    <row r="131" spans="1:17" x14ac:dyDescent="0.25">
      <c r="A131" s="35">
        <f t="shared" si="4"/>
        <v>17</v>
      </c>
      <c r="B131" s="5">
        <v>43468</v>
      </c>
      <c r="C131" s="5" t="s">
        <v>134</v>
      </c>
      <c r="D131" s="57" t="s">
        <v>224</v>
      </c>
      <c r="E131" s="7" t="s">
        <v>225</v>
      </c>
      <c r="F131" s="33">
        <v>5</v>
      </c>
      <c r="G131" s="70">
        <v>-110</v>
      </c>
      <c r="H131" s="9" t="s">
        <v>6</v>
      </c>
      <c r="I1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3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31"/>
      <c r="L131" s="36">
        <f t="shared" si="7"/>
        <v>43724</v>
      </c>
      <c r="M131" s="51" t="str">
        <f>COUNTIFS(Bets[Date],L131,Bets[Result],"W")&amp;"-"&amp;COUNTIFS(Bets[Date],L131,Bets[Result],"L")&amp;IF(COUNTIFS(Bets[Date],L131,Bets[Result],"Push")&gt;0,"-"&amp;COUNTIFS(Bets[Date],L131,Bets[Result],"Push"),"")</f>
        <v>3-5</v>
      </c>
      <c r="N131" s="52">
        <f>IFERROR(COUNTIFS(Bets[Date],L131,Bets[Result],"W")/(COUNTIFS(Bets[Date],L131,Bets[Result],"W")+COUNTIFS(Bets[Date],L131,Bets[Result],"L")),"")</f>
        <v>0.375</v>
      </c>
      <c r="O131" s="38">
        <f>SUMIF(Bets[Date],L131,Bets[Profit])</f>
        <v>-41.31668181818182</v>
      </c>
      <c r="P131" s="37" t="str">
        <f>IFERROR("("&amp;ROUND(SUMIF(Bets[Date],L131,Bets[Profit])/SUMIF(Bets[Date],L131,Bets[Risk]),2)*100&amp;"%)","")</f>
        <v>(-28%)</v>
      </c>
      <c r="Q131" s="65">
        <f t="shared" si="6"/>
        <v>-115.41983074871273</v>
      </c>
    </row>
    <row r="132" spans="1:17" x14ac:dyDescent="0.25">
      <c r="A132" s="35">
        <f t="shared" ref="A132:A195" si="8">IF(B132=B131,A131,A131+1)</f>
        <v>17</v>
      </c>
      <c r="B132" s="5">
        <v>43468</v>
      </c>
      <c r="C132" s="5" t="s">
        <v>134</v>
      </c>
      <c r="D132" s="57" t="s">
        <v>224</v>
      </c>
      <c r="E132" s="7" t="s">
        <v>226</v>
      </c>
      <c r="F132" s="33">
        <v>5</v>
      </c>
      <c r="G132" s="70">
        <v>-110</v>
      </c>
      <c r="H132" s="9" t="s">
        <v>36</v>
      </c>
      <c r="I1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3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32"/>
      <c r="L132" s="36">
        <f t="shared" ref="L132:L163" si="9">IFERROR(VLOOKUP(ROW()-3,A:B,2,0),0)</f>
        <v>43727</v>
      </c>
      <c r="M132" s="51" t="str">
        <f>COUNTIFS(Bets[Date],L132,Bets[Result],"W")&amp;"-"&amp;COUNTIFS(Bets[Date],L132,Bets[Result],"L")&amp;IF(COUNTIFS(Bets[Date],L132,Bets[Result],"Push")&gt;0,"-"&amp;COUNTIFS(Bets[Date],L132,Bets[Result],"Push"),"")</f>
        <v>1-2</v>
      </c>
      <c r="N132" s="52">
        <f>IFERROR(COUNTIFS(Bets[Date],L132,Bets[Result],"W")/(COUNTIFS(Bets[Date],L132,Bets[Result],"W")+COUNTIFS(Bets[Date],L132,Bets[Result],"L")),"")</f>
        <v>0.33333333333333331</v>
      </c>
      <c r="O132" s="38">
        <f>SUMIF(Bets[Date],L132,Bets[Profit])</f>
        <v>29.5</v>
      </c>
      <c r="P132" s="37" t="str">
        <f>IFERROR("("&amp;ROUND(SUMIF(Bets[Date],L132,Bets[Profit])/SUMIF(Bets[Date],L132,Bets[Risk]),2)*100&amp;"%)","")</f>
        <v>(46%)</v>
      </c>
      <c r="Q132" s="65">
        <f t="shared" si="6"/>
        <v>-85.919830748712727</v>
      </c>
    </row>
    <row r="133" spans="1:17" x14ac:dyDescent="0.25">
      <c r="A133" s="35">
        <f t="shared" si="8"/>
        <v>17</v>
      </c>
      <c r="B133" s="5">
        <v>43468</v>
      </c>
      <c r="C133" s="5" t="s">
        <v>134</v>
      </c>
      <c r="D133" s="57" t="s">
        <v>227</v>
      </c>
      <c r="E133" s="7" t="s">
        <v>228</v>
      </c>
      <c r="F133" s="33">
        <v>5</v>
      </c>
      <c r="G133" s="70">
        <v>-115</v>
      </c>
      <c r="H133" s="9" t="s">
        <v>36</v>
      </c>
      <c r="I1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3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33"/>
      <c r="L133" s="36">
        <f t="shared" si="9"/>
        <v>43729</v>
      </c>
      <c r="M133" s="51" t="str">
        <f>COUNTIFS(Bets[Date],L133,Bets[Result],"W")&amp;"-"&amp;COUNTIFS(Bets[Date],L133,Bets[Result],"L")&amp;IF(COUNTIFS(Bets[Date],L133,Bets[Result],"Push")&gt;0,"-"&amp;COUNTIFS(Bets[Date],L133,Bets[Result],"Push"),"")</f>
        <v>1-2</v>
      </c>
      <c r="N133" s="52">
        <f>IFERROR(COUNTIFS(Bets[Date],L133,Bets[Result],"W")/(COUNTIFS(Bets[Date],L133,Bets[Result],"W")+COUNTIFS(Bets[Date],L133,Bets[Result],"L")),"")</f>
        <v>0.33333333333333331</v>
      </c>
      <c r="O133" s="38">
        <f>SUMIF(Bets[Date],L133,Bets[Profit])</f>
        <v>-23.050847457627121</v>
      </c>
      <c r="P133" s="37" t="str">
        <f>IFERROR("("&amp;ROUND(SUMIF(Bets[Date],L133,Bets[Profit])/SUMIF(Bets[Date],L133,Bets[Risk]),2)*100&amp;"%)","")</f>
        <v>(-38%)</v>
      </c>
      <c r="Q133" s="65">
        <f t="shared" si="6"/>
        <v>-108.97067820633984</v>
      </c>
    </row>
    <row r="134" spans="1:17" x14ac:dyDescent="0.25">
      <c r="A134" s="35">
        <f t="shared" si="8"/>
        <v>18</v>
      </c>
      <c r="B134" s="5">
        <v>43469</v>
      </c>
      <c r="C134" s="5" t="s">
        <v>134</v>
      </c>
      <c r="D134" s="57" t="s">
        <v>243</v>
      </c>
      <c r="E134" s="7" t="s">
        <v>244</v>
      </c>
      <c r="F134" s="33">
        <v>2.42</v>
      </c>
      <c r="G134" s="63">
        <v>-115</v>
      </c>
      <c r="H134" s="9" t="s">
        <v>36</v>
      </c>
      <c r="I1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2.1043478260869564</v>
      </c>
      <c r="J13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34"/>
      <c r="L134" s="36">
        <f t="shared" si="9"/>
        <v>43730</v>
      </c>
      <c r="M134" s="51" t="str">
        <f>COUNTIFS(Bets[Date],L134,Bets[Result],"W")&amp;"-"&amp;COUNTIFS(Bets[Date],L134,Bets[Result],"L")&amp;IF(COUNTIFS(Bets[Date],L134,Bets[Result],"Push")&gt;0,"-"&amp;COUNTIFS(Bets[Date],L134,Bets[Result],"Push"),"")</f>
        <v>0-1</v>
      </c>
      <c r="N134" s="52">
        <f>IFERROR(COUNTIFS(Bets[Date],L134,Bets[Result],"W")/(COUNTIFS(Bets[Date],L134,Bets[Result],"W")+COUNTIFS(Bets[Date],L134,Bets[Result],"L")),"")</f>
        <v>0</v>
      </c>
      <c r="O134" s="38">
        <f>SUMIF(Bets[Date],L134,Bets[Profit])</f>
        <v>-20</v>
      </c>
      <c r="P134" s="37" t="str">
        <f>IFERROR("("&amp;ROUND(SUMIF(Bets[Date],L134,Bets[Profit])/SUMIF(Bets[Date],L134,Bets[Risk]),2)*100&amp;"%)","")</f>
        <v>(-100%)</v>
      </c>
      <c r="Q134" s="65">
        <f t="shared" ref="Q134:Q157" si="10">IF(ISNUMBER(CODE(L133)),Q133+O134,"")</f>
        <v>-128.97067820633984</v>
      </c>
    </row>
    <row r="135" spans="1:17" x14ac:dyDescent="0.25">
      <c r="A135" s="35">
        <f t="shared" si="8"/>
        <v>18</v>
      </c>
      <c r="B135" s="5">
        <v>43469</v>
      </c>
      <c r="C135" s="5" t="s">
        <v>134</v>
      </c>
      <c r="D135" s="57" t="s">
        <v>245</v>
      </c>
      <c r="E135" s="7" t="s">
        <v>246</v>
      </c>
      <c r="F135" s="33">
        <v>2.42</v>
      </c>
      <c r="G135" s="63">
        <v>-105</v>
      </c>
      <c r="H135" s="9" t="s">
        <v>6</v>
      </c>
      <c r="I1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3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35"/>
      <c r="L135" s="36">
        <f t="shared" si="9"/>
        <v>43731</v>
      </c>
      <c r="M135" s="51" t="str">
        <f>COUNTIFS(Bets[Date],L135,Bets[Result],"W")&amp;"-"&amp;COUNTIFS(Bets[Date],L135,Bets[Result],"L")&amp;IF(COUNTIFS(Bets[Date],L135,Bets[Result],"Push")&gt;0,"-"&amp;COUNTIFS(Bets[Date],L135,Bets[Result],"Push"),"")</f>
        <v>0-1</v>
      </c>
      <c r="N135" s="52">
        <f>IFERROR(COUNTIFS(Bets[Date],L135,Bets[Result],"W")/(COUNTIFS(Bets[Date],L135,Bets[Result],"W")+COUNTIFS(Bets[Date],L135,Bets[Result],"L")),"")</f>
        <v>0</v>
      </c>
      <c r="O135" s="38">
        <f>SUMIF(Bets[Date],L135,Bets[Profit])</f>
        <v>-20</v>
      </c>
      <c r="P135" s="37" t="str">
        <f>IFERROR("("&amp;ROUND(SUMIF(Bets[Date],L135,Bets[Profit])/SUMIF(Bets[Date],L135,Bets[Risk]),2)*100&amp;"%)","")</f>
        <v>(-100%)</v>
      </c>
      <c r="Q135" s="65">
        <f t="shared" si="10"/>
        <v>-148.97067820633984</v>
      </c>
    </row>
    <row r="136" spans="1:17" x14ac:dyDescent="0.25">
      <c r="A136" s="35">
        <f t="shared" si="8"/>
        <v>18</v>
      </c>
      <c r="B136" s="5">
        <v>43469</v>
      </c>
      <c r="C136" s="5" t="s">
        <v>134</v>
      </c>
      <c r="D136" s="57" t="s">
        <v>245</v>
      </c>
      <c r="E136" s="7" t="s">
        <v>247</v>
      </c>
      <c r="F136" s="33">
        <v>2.42</v>
      </c>
      <c r="G136" s="63">
        <v>-105</v>
      </c>
      <c r="H136" s="9" t="s">
        <v>36</v>
      </c>
      <c r="I1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2.3047619047619046</v>
      </c>
      <c r="J13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36"/>
      <c r="L136" s="36">
        <f t="shared" si="9"/>
        <v>43734</v>
      </c>
      <c r="M136" s="51" t="str">
        <f>COUNTIFS(Bets[Date],L136,Bets[Result],"W")&amp;"-"&amp;COUNTIFS(Bets[Date],L136,Bets[Result],"L")&amp;IF(COUNTIFS(Bets[Date],L136,Bets[Result],"Push")&gt;0,"-"&amp;COUNTIFS(Bets[Date],L136,Bets[Result],"Push"),"")</f>
        <v>1-1</v>
      </c>
      <c r="N136" s="52">
        <f>IFERROR(COUNTIFS(Bets[Date],L136,Bets[Result],"W")/(COUNTIFS(Bets[Date],L136,Bets[Result],"W")+COUNTIFS(Bets[Date],L136,Bets[Result],"L")),"")</f>
        <v>0.5</v>
      </c>
      <c r="O136" s="38">
        <f>SUMIF(Bets[Date],L136,Bets[Profit])</f>
        <v>-1.8181818181818166</v>
      </c>
      <c r="P136" s="37" t="str">
        <f>IFERROR("("&amp;ROUND(SUMIF(Bets[Date],L136,Bets[Profit])/SUMIF(Bets[Date],L136,Bets[Risk]),2)*100&amp;"%)","")</f>
        <v>(-5%)</v>
      </c>
      <c r="Q136" s="65">
        <f t="shared" si="10"/>
        <v>-150.78886002452165</v>
      </c>
    </row>
    <row r="137" spans="1:17" x14ac:dyDescent="0.25">
      <c r="A137" s="35">
        <f t="shared" si="8"/>
        <v>18</v>
      </c>
      <c r="B137" s="5">
        <v>43469</v>
      </c>
      <c r="C137" s="5" t="s">
        <v>134</v>
      </c>
      <c r="D137" s="57" t="s">
        <v>245</v>
      </c>
      <c r="E137" s="7" t="s">
        <v>248</v>
      </c>
      <c r="F137" s="33">
        <v>2.42</v>
      </c>
      <c r="G137" s="63">
        <v>155</v>
      </c>
      <c r="H137" s="9" t="s">
        <v>36</v>
      </c>
      <c r="I1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3.7509999999999999</v>
      </c>
      <c r="J13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37"/>
      <c r="L137" s="36">
        <f t="shared" si="9"/>
        <v>43736</v>
      </c>
      <c r="M137" s="51" t="str">
        <f>COUNTIFS(Bets[Date],L137,Bets[Result],"W")&amp;"-"&amp;COUNTIFS(Bets[Date],L137,Bets[Result],"L")&amp;IF(COUNTIFS(Bets[Date],L137,Bets[Result],"Push")&gt;0,"-"&amp;COUNTIFS(Bets[Date],L137,Bets[Result],"Push"),"")</f>
        <v>1-1</v>
      </c>
      <c r="N137" s="52">
        <f>IFERROR(COUNTIFS(Bets[Date],L137,Bets[Result],"W")/(COUNTIFS(Bets[Date],L137,Bets[Result],"W")+COUNTIFS(Bets[Date],L137,Bets[Result],"L")),"")</f>
        <v>0.5</v>
      </c>
      <c r="O137" s="38">
        <f>SUMIF(Bets[Date],L137,Bets[Profit])</f>
        <v>2.7272727272727266</v>
      </c>
      <c r="P137" s="37" t="str">
        <f>IFERROR("("&amp;ROUND(SUMIF(Bets[Date],L137,Bets[Profit])/SUMIF(Bets[Date],L137,Bets[Risk]),2)*100&amp;"%)","")</f>
        <v>(6%)</v>
      </c>
      <c r="Q137" s="65">
        <f t="shared" si="10"/>
        <v>-148.06158729724893</v>
      </c>
    </row>
    <row r="138" spans="1:17" x14ac:dyDescent="0.25">
      <c r="A138" s="35">
        <f t="shared" si="8"/>
        <v>18</v>
      </c>
      <c r="B138" s="5">
        <v>43469</v>
      </c>
      <c r="C138" s="5" t="s">
        <v>134</v>
      </c>
      <c r="D138" s="57" t="s">
        <v>249</v>
      </c>
      <c r="E138" s="7" t="s">
        <v>250</v>
      </c>
      <c r="F138" s="33">
        <v>2.42</v>
      </c>
      <c r="G138" s="63">
        <v>-105</v>
      </c>
      <c r="H138" s="9" t="s">
        <v>6</v>
      </c>
      <c r="I1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3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38"/>
      <c r="L138" s="36">
        <f t="shared" si="9"/>
        <v>43737</v>
      </c>
      <c r="M138" s="51" t="str">
        <f>COUNTIFS(Bets[Date],L138,Bets[Result],"W")&amp;"-"&amp;COUNTIFS(Bets[Date],L138,Bets[Result],"L")&amp;IF(COUNTIFS(Bets[Date],L138,Bets[Result],"Push")&gt;0,"-"&amp;COUNTIFS(Bets[Date],L138,Bets[Result],"Push"),"")</f>
        <v>1-2</v>
      </c>
      <c r="N138" s="52">
        <f>IFERROR(COUNTIFS(Bets[Date],L138,Bets[Result],"W")/(COUNTIFS(Bets[Date],L138,Bets[Result],"W")+COUNTIFS(Bets[Date],L138,Bets[Result],"L")),"")</f>
        <v>0.33333333333333331</v>
      </c>
      <c r="O138" s="38">
        <f>SUMIF(Bets[Date],L138,Bets[Profit])</f>
        <v>-30</v>
      </c>
      <c r="P138" s="37" t="str">
        <f>IFERROR("("&amp;ROUND(SUMIF(Bets[Date],L138,Bets[Profit])/SUMIF(Bets[Date],L138,Bets[Risk]),2)*100&amp;"%)","")</f>
        <v>(-60%)</v>
      </c>
      <c r="Q138" s="65">
        <f t="shared" si="10"/>
        <v>-178.06158729724893</v>
      </c>
    </row>
    <row r="139" spans="1:17" x14ac:dyDescent="0.25">
      <c r="A139" s="35">
        <f t="shared" si="8"/>
        <v>18</v>
      </c>
      <c r="B139" s="5">
        <v>43469</v>
      </c>
      <c r="C139" s="5" t="s">
        <v>134</v>
      </c>
      <c r="D139" s="57" t="s">
        <v>249</v>
      </c>
      <c r="E139" s="7" t="s">
        <v>251</v>
      </c>
      <c r="F139" s="33">
        <v>2.42</v>
      </c>
      <c r="G139" s="63">
        <v>-105</v>
      </c>
      <c r="H139" s="9" t="s">
        <v>6</v>
      </c>
      <c r="I1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3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39"/>
      <c r="L139" s="36">
        <f t="shared" si="9"/>
        <v>43738</v>
      </c>
      <c r="M139" s="51" t="str">
        <f>COUNTIFS(Bets[Date],L139,Bets[Result],"W")&amp;"-"&amp;COUNTIFS(Bets[Date],L139,Bets[Result],"L")&amp;IF(COUNTIFS(Bets[Date],L139,Bets[Result],"Push")&gt;0,"-"&amp;COUNTIFS(Bets[Date],L139,Bets[Result],"Push"),"")</f>
        <v>1-1</v>
      </c>
      <c r="N139" s="52">
        <f>IFERROR(COUNTIFS(Bets[Date],L139,Bets[Result],"W")/(COUNTIFS(Bets[Date],L139,Bets[Result],"W")+COUNTIFS(Bets[Date],L139,Bets[Result],"L")),"")</f>
        <v>0.5</v>
      </c>
      <c r="O139" s="38">
        <f>SUMIF(Bets[Date],L139,Bets[Profit])</f>
        <v>0</v>
      </c>
      <c r="P139" s="37" t="str">
        <f>IFERROR("("&amp;ROUND(SUMIF(Bets[Date],L139,Bets[Profit])/SUMIF(Bets[Date],L139,Bets[Risk]),2)*100&amp;"%)","")</f>
        <v>(0%)</v>
      </c>
      <c r="Q139" s="65">
        <f t="shared" si="10"/>
        <v>-178.06158729724893</v>
      </c>
    </row>
    <row r="140" spans="1:17" x14ac:dyDescent="0.25">
      <c r="A140" s="35">
        <f t="shared" si="8"/>
        <v>18</v>
      </c>
      <c r="B140" s="5">
        <v>43469</v>
      </c>
      <c r="C140" s="5" t="s">
        <v>134</v>
      </c>
      <c r="D140" s="57" t="s">
        <v>252</v>
      </c>
      <c r="E140" s="7" t="s">
        <v>253</v>
      </c>
      <c r="F140" s="33">
        <v>2.42</v>
      </c>
      <c r="G140" s="63">
        <v>-115</v>
      </c>
      <c r="H140" s="9" t="s">
        <v>36</v>
      </c>
      <c r="I1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2.1043478260869564</v>
      </c>
      <c r="J14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40"/>
      <c r="L140" s="36">
        <f t="shared" si="9"/>
        <v>43741</v>
      </c>
      <c r="M140" s="51" t="str">
        <f>COUNTIFS(Bets[Date],L140,Bets[Result],"W")&amp;"-"&amp;COUNTIFS(Bets[Date],L140,Bets[Result],"L")&amp;IF(COUNTIFS(Bets[Date],L140,Bets[Result],"Push")&gt;0,"-"&amp;COUNTIFS(Bets[Date],L140,Bets[Result],"Push"),"")</f>
        <v>0-1</v>
      </c>
      <c r="N140" s="52">
        <f>IFERROR(COUNTIFS(Bets[Date],L140,Bets[Result],"W")/(COUNTIFS(Bets[Date],L140,Bets[Result],"W")+COUNTIFS(Bets[Date],L140,Bets[Result],"L")),"")</f>
        <v>0</v>
      </c>
      <c r="O140" s="38">
        <f>SUMIF(Bets[Date],L140,Bets[Profit])</f>
        <v>-19.98</v>
      </c>
      <c r="P140" s="37" t="str">
        <f>IFERROR("("&amp;ROUND(SUMIF(Bets[Date],L140,Bets[Profit])/SUMIF(Bets[Date],L140,Bets[Risk]),2)*100&amp;"%)","")</f>
        <v>(-100%)</v>
      </c>
      <c r="Q140" s="65">
        <f t="shared" si="10"/>
        <v>-198.04158729724892</v>
      </c>
    </row>
    <row r="141" spans="1:17" x14ac:dyDescent="0.25">
      <c r="A141" s="35">
        <f t="shared" si="8"/>
        <v>18</v>
      </c>
      <c r="B141" s="5">
        <v>43469</v>
      </c>
      <c r="C141" s="5" t="s">
        <v>134</v>
      </c>
      <c r="D141" s="57" t="s">
        <v>254</v>
      </c>
      <c r="E141" s="7" t="s">
        <v>144</v>
      </c>
      <c r="F141" s="33">
        <v>2.42</v>
      </c>
      <c r="G141" s="63">
        <v>-110</v>
      </c>
      <c r="H141" s="9" t="s">
        <v>6</v>
      </c>
      <c r="I1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4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41"/>
      <c r="L141" s="36">
        <f t="shared" si="9"/>
        <v>43743</v>
      </c>
      <c r="M141" s="51" t="str">
        <f>COUNTIFS(Bets[Date],L141,Bets[Result],"W")&amp;"-"&amp;COUNTIFS(Bets[Date],L141,Bets[Result],"L")&amp;IF(COUNTIFS(Bets[Date],L141,Bets[Result],"Push")&gt;0,"-"&amp;COUNTIFS(Bets[Date],L141,Bets[Result],"Push"),"")</f>
        <v>1-0</v>
      </c>
      <c r="N141" s="52">
        <f>IFERROR(COUNTIFS(Bets[Date],L141,Bets[Result],"W")/(COUNTIFS(Bets[Date],L141,Bets[Result],"W")+COUNTIFS(Bets[Date],L141,Bets[Result],"L")),"")</f>
        <v>1</v>
      </c>
      <c r="O141" s="38">
        <f>SUMIF(Bets[Date],L141,Bets[Profit])</f>
        <v>17.699115044247787</v>
      </c>
      <c r="P141" s="37" t="str">
        <f>IFERROR("("&amp;ROUND(SUMIF(Bets[Date],L141,Bets[Profit])/SUMIF(Bets[Date],L141,Bets[Risk]),2)*100&amp;"%)","")</f>
        <v>(88%)</v>
      </c>
      <c r="Q141" s="65">
        <f t="shared" si="10"/>
        <v>-180.34247225300115</v>
      </c>
    </row>
    <row r="142" spans="1:17" x14ac:dyDescent="0.25">
      <c r="A142" s="35">
        <f t="shared" si="8"/>
        <v>18</v>
      </c>
      <c r="B142" s="5">
        <v>43469</v>
      </c>
      <c r="C142" s="5" t="s">
        <v>134</v>
      </c>
      <c r="D142" s="57" t="s">
        <v>254</v>
      </c>
      <c r="E142" s="7" t="s">
        <v>255</v>
      </c>
      <c r="F142" s="33">
        <v>2.42</v>
      </c>
      <c r="G142" s="63">
        <v>-115</v>
      </c>
      <c r="H142" s="9" t="s">
        <v>36</v>
      </c>
      <c r="I1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2.1043478260869564</v>
      </c>
      <c r="J14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42"/>
      <c r="L142" s="36">
        <f t="shared" si="9"/>
        <v>43744</v>
      </c>
      <c r="M142" s="51" t="str">
        <f>COUNTIFS(Bets[Date],L142,Bets[Result],"W")&amp;"-"&amp;COUNTIFS(Bets[Date],L142,Bets[Result],"L")&amp;IF(COUNTIFS(Bets[Date],L142,Bets[Result],"Push")&gt;0,"-"&amp;COUNTIFS(Bets[Date],L142,Bets[Result],"Push"),"")</f>
        <v>5-6-1</v>
      </c>
      <c r="N142" s="52">
        <f>IFERROR(COUNTIFS(Bets[Date],L142,Bets[Result],"W")/(COUNTIFS(Bets[Date],L142,Bets[Result],"W")+COUNTIFS(Bets[Date],L142,Bets[Result],"L")),"")</f>
        <v>0.45454545454545453</v>
      </c>
      <c r="O142" s="38">
        <f>SUMIF(Bets[Date],L142,Bets[Profit])</f>
        <v>-30.243560779418903</v>
      </c>
      <c r="P142" s="37" t="str">
        <f>IFERROR("("&amp;ROUND(SUMIF(Bets[Date],L142,Bets[Profit])/SUMIF(Bets[Date],L142,Bets[Risk]),2)*100&amp;"%)","")</f>
        <v>(-13%)</v>
      </c>
      <c r="Q142" s="65">
        <f t="shared" si="10"/>
        <v>-210.58603303242006</v>
      </c>
    </row>
    <row r="143" spans="1:17" x14ac:dyDescent="0.25">
      <c r="A143" s="35">
        <f t="shared" si="8"/>
        <v>18</v>
      </c>
      <c r="B143" s="5">
        <v>43469</v>
      </c>
      <c r="C143" s="5" t="s">
        <v>134</v>
      </c>
      <c r="D143" s="57" t="s">
        <v>256</v>
      </c>
      <c r="E143" s="7" t="s">
        <v>257</v>
      </c>
      <c r="F143" s="33">
        <v>2.42</v>
      </c>
      <c r="G143" s="63">
        <v>-105</v>
      </c>
      <c r="H143" s="9" t="s">
        <v>6</v>
      </c>
      <c r="I1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4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43"/>
      <c r="L143" s="36">
        <f t="shared" si="9"/>
        <v>43745</v>
      </c>
      <c r="M143" s="51" t="str">
        <f>COUNTIFS(Bets[Date],L143,Bets[Result],"W")&amp;"-"&amp;COUNTIFS(Bets[Date],L143,Bets[Result],"L")&amp;IF(COUNTIFS(Bets[Date],L143,Bets[Result],"Push")&gt;0,"-"&amp;COUNTIFS(Bets[Date],L143,Bets[Result],"Push"),"")</f>
        <v>0-1</v>
      </c>
      <c r="N143" s="52">
        <f>IFERROR(COUNTIFS(Bets[Date],L143,Bets[Result],"W")/(COUNTIFS(Bets[Date],L143,Bets[Result],"W")+COUNTIFS(Bets[Date],L143,Bets[Result],"L")),"")</f>
        <v>0</v>
      </c>
      <c r="O143" s="38">
        <f>SUMIF(Bets[Date],L143,Bets[Profit])</f>
        <v>-20</v>
      </c>
      <c r="P143" s="37" t="str">
        <f>IFERROR("("&amp;ROUND(SUMIF(Bets[Date],L143,Bets[Profit])/SUMIF(Bets[Date],L143,Bets[Risk]),2)*100&amp;"%)","")</f>
        <v>(-100%)</v>
      </c>
      <c r="Q143" s="65">
        <f t="shared" si="10"/>
        <v>-230.58603303242006</v>
      </c>
    </row>
    <row r="144" spans="1:17" x14ac:dyDescent="0.25">
      <c r="A144" s="35">
        <f t="shared" si="8"/>
        <v>18</v>
      </c>
      <c r="B144" s="5">
        <v>43469</v>
      </c>
      <c r="C144" s="5" t="s">
        <v>134</v>
      </c>
      <c r="D144" s="57" t="s">
        <v>256</v>
      </c>
      <c r="E144" s="7" t="s">
        <v>258</v>
      </c>
      <c r="F144" s="33">
        <v>2.42</v>
      </c>
      <c r="G144" s="63">
        <v>-110</v>
      </c>
      <c r="H144" s="9" t="s">
        <v>36</v>
      </c>
      <c r="I1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2.1999999999999997</v>
      </c>
      <c r="J14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44"/>
      <c r="L144" s="36">
        <f t="shared" si="9"/>
        <v>43747</v>
      </c>
      <c r="M144" s="51" t="str">
        <f>COUNTIFS(Bets[Date],L144,Bets[Result],"W")&amp;"-"&amp;COUNTIFS(Bets[Date],L144,Bets[Result],"L")&amp;IF(COUNTIFS(Bets[Date],L144,Bets[Result],"Push")&gt;0,"-"&amp;COUNTIFS(Bets[Date],L144,Bets[Result],"Push"),"")</f>
        <v>1-0</v>
      </c>
      <c r="N144" s="52">
        <f>IFERROR(COUNTIFS(Bets[Date],L144,Bets[Result],"W")/(COUNTIFS(Bets[Date],L144,Bets[Result],"W")+COUNTIFS(Bets[Date],L144,Bets[Result],"L")),"")</f>
        <v>1</v>
      </c>
      <c r="O144" s="38">
        <f>SUMIF(Bets[Date],L144,Bets[Profit])</f>
        <v>150</v>
      </c>
      <c r="P144" s="37" t="str">
        <f>IFERROR("("&amp;ROUND(SUMIF(Bets[Date],L144,Bets[Profit])/SUMIF(Bets[Date],L144,Bets[Risk]),2)*100&amp;"%)","")</f>
        <v>(600%)</v>
      </c>
      <c r="Q144" s="65">
        <f t="shared" si="10"/>
        <v>-80.586033032420062</v>
      </c>
    </row>
    <row r="145" spans="1:17" x14ac:dyDescent="0.25">
      <c r="A145" s="35">
        <f t="shared" si="8"/>
        <v>18</v>
      </c>
      <c r="B145" s="5">
        <v>43469</v>
      </c>
      <c r="C145" s="5" t="s">
        <v>134</v>
      </c>
      <c r="D145" s="57" t="s">
        <v>259</v>
      </c>
      <c r="E145" s="7" t="s">
        <v>219</v>
      </c>
      <c r="F145" s="33">
        <v>2.42</v>
      </c>
      <c r="G145" s="63">
        <v>-105</v>
      </c>
      <c r="H145" s="9" t="s">
        <v>6</v>
      </c>
      <c r="I1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4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45"/>
      <c r="L145" s="36">
        <f t="shared" si="9"/>
        <v>43750</v>
      </c>
      <c r="M145" s="51" t="str">
        <f>COUNTIFS(Bets[Date],L145,Bets[Result],"W")&amp;"-"&amp;COUNTIFS(Bets[Date],L145,Bets[Result],"L")&amp;IF(COUNTIFS(Bets[Date],L145,Bets[Result],"Push")&gt;0,"-"&amp;COUNTIFS(Bets[Date],L145,Bets[Result],"Push"),"")</f>
        <v>2-1</v>
      </c>
      <c r="N145" s="52">
        <f>IFERROR(COUNTIFS(Bets[Date],L145,Bets[Result],"W")/(COUNTIFS(Bets[Date],L145,Bets[Result],"W")+COUNTIFS(Bets[Date],L145,Bets[Result],"L")),"")</f>
        <v>0.66666666666666663</v>
      </c>
      <c r="O145" s="38">
        <f>SUMIF(Bets[Date],L145,Bets[Profit])</f>
        <v>20</v>
      </c>
      <c r="P145" s="37" t="str">
        <f>IFERROR("("&amp;ROUND(SUMIF(Bets[Date],L145,Bets[Profit])/SUMIF(Bets[Date],L145,Bets[Risk]),2)*100&amp;"%)","")</f>
        <v>(33%)</v>
      </c>
      <c r="Q145" s="65">
        <f t="shared" si="10"/>
        <v>-60.586033032420062</v>
      </c>
    </row>
    <row r="146" spans="1:17" x14ac:dyDescent="0.25">
      <c r="A146" s="35">
        <f t="shared" si="8"/>
        <v>18</v>
      </c>
      <c r="B146" s="5">
        <v>43469</v>
      </c>
      <c r="C146" s="5" t="s">
        <v>134</v>
      </c>
      <c r="D146" s="57" t="s">
        <v>259</v>
      </c>
      <c r="E146" s="7" t="s">
        <v>260</v>
      </c>
      <c r="F146" s="33">
        <v>2.42</v>
      </c>
      <c r="G146" s="63">
        <v>-105</v>
      </c>
      <c r="H146" s="9" t="s">
        <v>36</v>
      </c>
      <c r="I1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2.3047619047619046</v>
      </c>
      <c r="J14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46"/>
      <c r="L146" s="36">
        <f t="shared" si="9"/>
        <v>43752</v>
      </c>
      <c r="M146" s="51" t="str">
        <f>COUNTIFS(Bets[Date],L146,Bets[Result],"W")&amp;"-"&amp;COUNTIFS(Bets[Date],L146,Bets[Result],"L")&amp;IF(COUNTIFS(Bets[Date],L146,Bets[Result],"Push")&gt;0,"-"&amp;COUNTIFS(Bets[Date],L146,Bets[Result],"Push"),"")</f>
        <v>1-0</v>
      </c>
      <c r="N146" s="52">
        <f>IFERROR(COUNTIFS(Bets[Date],L146,Bets[Result],"W")/(COUNTIFS(Bets[Date],L146,Bets[Result],"W")+COUNTIFS(Bets[Date],L146,Bets[Result],"L")),"")</f>
        <v>1</v>
      </c>
      <c r="O146" s="38">
        <f>SUMIF(Bets[Date],L146,Bets[Profit])</f>
        <v>21.929824561403507</v>
      </c>
      <c r="P146" s="37" t="str">
        <f>IFERROR("("&amp;ROUND(SUMIF(Bets[Date],L146,Bets[Profit])/SUMIF(Bets[Date],L146,Bets[Risk]),2)*100&amp;"%)","")</f>
        <v>(88%)</v>
      </c>
      <c r="Q146" s="65">
        <f t="shared" si="10"/>
        <v>-38.656208471016555</v>
      </c>
    </row>
    <row r="147" spans="1:17" x14ac:dyDescent="0.25">
      <c r="A147" s="35">
        <f t="shared" si="8"/>
        <v>18</v>
      </c>
      <c r="B147" s="5">
        <v>43469</v>
      </c>
      <c r="C147" s="5" t="s">
        <v>134</v>
      </c>
      <c r="D147" s="57" t="s">
        <v>261</v>
      </c>
      <c r="E147" s="7" t="s">
        <v>182</v>
      </c>
      <c r="F147" s="33">
        <v>2.42</v>
      </c>
      <c r="G147" s="63">
        <v>-115</v>
      </c>
      <c r="H147" s="9" t="s">
        <v>36</v>
      </c>
      <c r="I1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2.1043478260869564</v>
      </c>
      <c r="J14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47"/>
      <c r="L147" s="36">
        <f t="shared" si="9"/>
        <v>43755</v>
      </c>
      <c r="M147" s="51" t="str">
        <f>COUNTIFS(Bets[Date],L147,Bets[Result],"W")&amp;"-"&amp;COUNTIFS(Bets[Date],L147,Bets[Result],"L")&amp;IF(COUNTIFS(Bets[Date],L147,Bets[Result],"Push")&gt;0,"-"&amp;COUNTIFS(Bets[Date],L147,Bets[Result],"Push"),"")</f>
        <v>2-2</v>
      </c>
      <c r="N147" s="52">
        <f>IFERROR(COUNTIFS(Bets[Date],L147,Bets[Result],"W")/(COUNTIFS(Bets[Date],L147,Bets[Result],"W")+COUNTIFS(Bets[Date],L147,Bets[Result],"L")),"")</f>
        <v>0.5</v>
      </c>
      <c r="O147" s="38">
        <f>SUMIF(Bets[Date],L147,Bets[Profit])</f>
        <v>-3.6363636363636331</v>
      </c>
      <c r="P147" s="37" t="str">
        <f>IFERROR("("&amp;ROUND(SUMIF(Bets[Date],L147,Bets[Profit])/SUMIF(Bets[Date],L147,Bets[Risk]),2)*100&amp;"%)","")</f>
        <v>(-5%)</v>
      </c>
      <c r="Q147" s="65">
        <f t="shared" si="10"/>
        <v>-42.292572107380188</v>
      </c>
    </row>
    <row r="148" spans="1:17" x14ac:dyDescent="0.25">
      <c r="A148" s="35">
        <f t="shared" si="8"/>
        <v>18</v>
      </c>
      <c r="B148" s="5">
        <v>43469</v>
      </c>
      <c r="C148" s="5" t="s">
        <v>134</v>
      </c>
      <c r="D148" s="57" t="s">
        <v>261</v>
      </c>
      <c r="E148" s="7" t="s">
        <v>262</v>
      </c>
      <c r="F148" s="33">
        <v>2.42</v>
      </c>
      <c r="G148" s="63">
        <v>-115</v>
      </c>
      <c r="H148" s="9" t="s">
        <v>36</v>
      </c>
      <c r="I1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2.1043478260869564</v>
      </c>
      <c r="J14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48"/>
      <c r="L148" s="36">
        <f t="shared" si="9"/>
        <v>43756</v>
      </c>
      <c r="M148" s="51" t="str">
        <f>COUNTIFS(Bets[Date],L148,Bets[Result],"W")&amp;"-"&amp;COUNTIFS(Bets[Date],L148,Bets[Result],"L")&amp;IF(COUNTIFS(Bets[Date],L148,Bets[Result],"Push")&gt;0,"-"&amp;COUNTIFS(Bets[Date],L148,Bets[Result],"Push"),"")</f>
        <v>1-1</v>
      </c>
      <c r="N148" s="52">
        <f>IFERROR(COUNTIFS(Bets[Date],L148,Bets[Result],"W")/(COUNTIFS(Bets[Date],L148,Bets[Result],"W")+COUNTIFS(Bets[Date],L148,Bets[Result],"L")),"")</f>
        <v>0.5</v>
      </c>
      <c r="O148" s="38">
        <f>SUMIF(Bets[Date],L148,Bets[Profit])</f>
        <v>-1.8181818181818166</v>
      </c>
      <c r="P148" s="37" t="str">
        <f>IFERROR("("&amp;ROUND(SUMIF(Bets[Date],L148,Bets[Profit])/SUMIF(Bets[Date],L148,Bets[Risk]),2)*100&amp;"%)","")</f>
        <v>(-5%)</v>
      </c>
      <c r="Q148" s="65">
        <f t="shared" si="10"/>
        <v>-44.110753925562008</v>
      </c>
    </row>
    <row r="149" spans="1:17" x14ac:dyDescent="0.25">
      <c r="A149" s="35">
        <f t="shared" si="8"/>
        <v>18</v>
      </c>
      <c r="B149" s="5">
        <v>43469</v>
      </c>
      <c r="C149" s="5" t="s">
        <v>134</v>
      </c>
      <c r="D149" s="57" t="s">
        <v>263</v>
      </c>
      <c r="E149" s="7" t="s">
        <v>264</v>
      </c>
      <c r="F149" s="33">
        <v>2.42</v>
      </c>
      <c r="G149" s="63">
        <v>-105</v>
      </c>
      <c r="H149" s="9" t="s">
        <v>6</v>
      </c>
      <c r="I1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4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49"/>
      <c r="L149" s="36">
        <f t="shared" si="9"/>
        <v>43757</v>
      </c>
      <c r="M149" s="51" t="str">
        <f>COUNTIFS(Bets[Date],L149,Bets[Result],"W")&amp;"-"&amp;COUNTIFS(Bets[Date],L149,Bets[Result],"L")&amp;IF(COUNTIFS(Bets[Date],L149,Bets[Result],"Push")&gt;0,"-"&amp;COUNTIFS(Bets[Date],L149,Bets[Result],"Push"),"")</f>
        <v>3-1</v>
      </c>
      <c r="N149" s="52">
        <f>IFERROR(COUNTIFS(Bets[Date],L149,Bets[Result],"W")/(COUNTIFS(Bets[Date],L149,Bets[Result],"W")+COUNTIFS(Bets[Date],L149,Bets[Result],"L")),"")</f>
        <v>0.75</v>
      </c>
      <c r="O149" s="38">
        <f>SUMIF(Bets[Date],L149,Bets[Profit])</f>
        <v>33.457653457653464</v>
      </c>
      <c r="P149" s="37" t="str">
        <f>IFERROR("("&amp;ROUND(SUMIF(Bets[Date],L149,Bets[Profit])/SUMIF(Bets[Date],L149,Bets[Risk]),2)*100&amp;"%)","")</f>
        <v>(42%)</v>
      </c>
      <c r="Q149" s="65">
        <f t="shared" si="10"/>
        <v>-10.653100467908544</v>
      </c>
    </row>
    <row r="150" spans="1:17" x14ac:dyDescent="0.25">
      <c r="A150" s="35">
        <f t="shared" si="8"/>
        <v>18</v>
      </c>
      <c r="B150" s="5">
        <v>43469</v>
      </c>
      <c r="C150" s="5" t="s">
        <v>134</v>
      </c>
      <c r="D150" s="57" t="s">
        <v>263</v>
      </c>
      <c r="E150" s="7" t="s">
        <v>265</v>
      </c>
      <c r="F150" s="33">
        <v>2.42</v>
      </c>
      <c r="G150" s="63">
        <v>-110</v>
      </c>
      <c r="H150" s="9" t="s">
        <v>6</v>
      </c>
      <c r="I1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5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50"/>
      <c r="L150" s="36">
        <f t="shared" si="9"/>
        <v>43758</v>
      </c>
      <c r="M150" s="51" t="str">
        <f>COUNTIFS(Bets[Date],L150,Bets[Result],"W")&amp;"-"&amp;COUNTIFS(Bets[Date],L150,Bets[Result],"L")&amp;IF(COUNTIFS(Bets[Date],L150,Bets[Result],"Push")&gt;0,"-"&amp;COUNTIFS(Bets[Date],L150,Bets[Result],"Push"),"")</f>
        <v>3-1-1</v>
      </c>
      <c r="N150" s="52">
        <f>IFERROR(COUNTIFS(Bets[Date],L150,Bets[Result],"W")/(COUNTIFS(Bets[Date],L150,Bets[Result],"W")+COUNTIFS(Bets[Date],L150,Bets[Result],"L")),"")</f>
        <v>0.75</v>
      </c>
      <c r="O150" s="38">
        <f>SUMIF(Bets[Date],L150,Bets[Profit])</f>
        <v>79.949152542372872</v>
      </c>
      <c r="P150" s="37" t="str">
        <f>IFERROR("("&amp;ROUND(SUMIF(Bets[Date],L150,Bets[Profit])/SUMIF(Bets[Date],L150,Bets[Risk]),2)*100&amp;"%)","")</f>
        <v>(80%)</v>
      </c>
      <c r="Q150" s="65">
        <f t="shared" si="10"/>
        <v>69.296052074464328</v>
      </c>
    </row>
    <row r="151" spans="1:17" x14ac:dyDescent="0.25">
      <c r="A151" s="35">
        <f t="shared" si="8"/>
        <v>18</v>
      </c>
      <c r="B151" s="5">
        <v>43469</v>
      </c>
      <c r="C151" s="5" t="s">
        <v>134</v>
      </c>
      <c r="D151" s="57" t="s">
        <v>266</v>
      </c>
      <c r="E151" s="7" t="s">
        <v>264</v>
      </c>
      <c r="F151" s="33">
        <v>2.42</v>
      </c>
      <c r="G151" s="63">
        <v>-110</v>
      </c>
      <c r="H151" s="9" t="s">
        <v>36</v>
      </c>
      <c r="I1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2.1999999999999997</v>
      </c>
      <c r="J15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51"/>
      <c r="L151" s="36">
        <f t="shared" si="9"/>
        <v>43759</v>
      </c>
      <c r="M151" s="51" t="str">
        <f>COUNTIFS(Bets[Date],L151,Bets[Result],"W")&amp;"-"&amp;COUNTIFS(Bets[Date],L151,Bets[Result],"L")&amp;IF(COUNTIFS(Bets[Date],L151,Bets[Result],"Push")&gt;0,"-"&amp;COUNTIFS(Bets[Date],L151,Bets[Result],"Push"),"")</f>
        <v>1-0</v>
      </c>
      <c r="N151" s="52">
        <f>IFERROR(COUNTIFS(Bets[Date],L151,Bets[Result],"W")/(COUNTIFS(Bets[Date],L151,Bets[Result],"W")+COUNTIFS(Bets[Date],L151,Bets[Result],"L")),"")</f>
        <v>1</v>
      </c>
      <c r="O151" s="38">
        <f>SUMIF(Bets[Date],L151,Bets[Profit])</f>
        <v>16.528925619834713</v>
      </c>
      <c r="P151" s="37" t="str">
        <f>IFERROR("("&amp;ROUND(SUMIF(Bets[Date],L151,Bets[Profit])/SUMIF(Bets[Date],L151,Bets[Risk]),2)*100&amp;"%)","")</f>
        <v>(83%)</v>
      </c>
      <c r="Q151" s="65">
        <f t="shared" si="10"/>
        <v>85.824977694299037</v>
      </c>
    </row>
    <row r="152" spans="1:17" x14ac:dyDescent="0.25">
      <c r="A152" s="35">
        <f t="shared" si="8"/>
        <v>18</v>
      </c>
      <c r="B152" s="5">
        <v>43469</v>
      </c>
      <c r="C152" s="5" t="s">
        <v>134</v>
      </c>
      <c r="D152" s="57" t="s">
        <v>266</v>
      </c>
      <c r="E152" s="7" t="s">
        <v>267</v>
      </c>
      <c r="F152" s="33">
        <v>2.42</v>
      </c>
      <c r="G152" s="63">
        <v>-105</v>
      </c>
      <c r="H152" s="9" t="s">
        <v>6</v>
      </c>
      <c r="I1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-2.42</v>
      </c>
      <c r="J15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52"/>
      <c r="L152" s="36">
        <f t="shared" si="9"/>
        <v>43762</v>
      </c>
      <c r="M152" s="51" t="str">
        <f>COUNTIFS(Bets[Date],L152,Bets[Result],"W")&amp;"-"&amp;COUNTIFS(Bets[Date],L152,Bets[Result],"L")&amp;IF(COUNTIFS(Bets[Date],L152,Bets[Result],"Push")&gt;0,"-"&amp;COUNTIFS(Bets[Date],L152,Bets[Result],"Push"),"")</f>
        <v>2-0</v>
      </c>
      <c r="N152" s="52">
        <f>IFERROR(COUNTIFS(Bets[Date],L152,Bets[Result],"W")/(COUNTIFS(Bets[Date],L152,Bets[Result],"W")+COUNTIFS(Bets[Date],L152,Bets[Result],"L")),"")</f>
        <v>1</v>
      </c>
      <c r="O152" s="38">
        <f>SUMIF(Bets[Date],L152,Bets[Profit])</f>
        <v>34.848484848484844</v>
      </c>
      <c r="P152" s="37" t="str">
        <f>IFERROR("("&amp;ROUND(SUMIF(Bets[Date],L152,Bets[Profit])/SUMIF(Bets[Date],L152,Bets[Risk]),2)*100&amp;"%)","")</f>
        <v>(87%)</v>
      </c>
      <c r="Q152" s="65">
        <f t="shared" si="10"/>
        <v>120.67346254278388</v>
      </c>
    </row>
    <row r="153" spans="1:17" x14ac:dyDescent="0.25">
      <c r="A153" s="35">
        <f t="shared" si="8"/>
        <v>19</v>
      </c>
      <c r="B153" s="5">
        <v>43470</v>
      </c>
      <c r="C153" s="5" t="s">
        <v>133</v>
      </c>
      <c r="D153" s="57" t="s">
        <v>61</v>
      </c>
      <c r="E153" s="7" t="s">
        <v>230</v>
      </c>
      <c r="F153" s="33">
        <v>10</v>
      </c>
      <c r="G153" s="67">
        <v>-110</v>
      </c>
      <c r="H153" s="9" t="s">
        <v>6</v>
      </c>
      <c r="I1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53"/>
      <c r="L153" s="36">
        <f t="shared" si="9"/>
        <v>43765</v>
      </c>
      <c r="M153" s="51" t="str">
        <f>COUNTIFS(Bets[Date],L153,Bets[Result],"W")&amp;"-"&amp;COUNTIFS(Bets[Date],L153,Bets[Result],"L")&amp;IF(COUNTIFS(Bets[Date],L153,Bets[Result],"Push")&gt;0,"-"&amp;COUNTIFS(Bets[Date],L153,Bets[Result],"Push"),"")</f>
        <v>1-0</v>
      </c>
      <c r="N153" s="52">
        <f>IFERROR(COUNTIFS(Bets[Date],L153,Bets[Result],"W")/(COUNTIFS(Bets[Date],L153,Bets[Result],"W")+COUNTIFS(Bets[Date],L153,Bets[Result],"L")),"")</f>
        <v>1</v>
      </c>
      <c r="O153" s="38">
        <f>SUMIF(Bets[Date],L153,Bets[Profit])</f>
        <v>18.181818181818183</v>
      </c>
      <c r="P153" s="37" t="str">
        <f>IFERROR("("&amp;ROUND(SUMIF(Bets[Date],L153,Bets[Profit])/SUMIF(Bets[Date],L153,Bets[Risk]),2)*100&amp;"%)","")</f>
        <v>(91%)</v>
      </c>
      <c r="Q153" s="65">
        <f t="shared" si="10"/>
        <v>138.85528072460207</v>
      </c>
    </row>
    <row r="154" spans="1:17" x14ac:dyDescent="0.25">
      <c r="A154" s="35">
        <f t="shared" si="8"/>
        <v>19</v>
      </c>
      <c r="B154" s="5">
        <v>43470</v>
      </c>
      <c r="C154" s="5" t="s">
        <v>133</v>
      </c>
      <c r="D154" s="57" t="s">
        <v>231</v>
      </c>
      <c r="E154" s="7" t="s">
        <v>232</v>
      </c>
      <c r="F154" s="33">
        <v>10</v>
      </c>
      <c r="G154" s="67">
        <v>-110</v>
      </c>
      <c r="H154" s="9" t="s">
        <v>36</v>
      </c>
      <c r="I1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54"/>
      <c r="L154" s="36">
        <f t="shared" si="9"/>
        <v>43766</v>
      </c>
      <c r="M154" s="51" t="str">
        <f>COUNTIFS(Bets[Date],L154,Bets[Result],"W")&amp;"-"&amp;COUNTIFS(Bets[Date],L154,Bets[Result],"L")&amp;IF(COUNTIFS(Bets[Date],L154,Bets[Result],"Push")&gt;0,"-"&amp;COUNTIFS(Bets[Date],L154,Bets[Result],"Push"),"")</f>
        <v>1-0</v>
      </c>
      <c r="N154" s="52">
        <f>IFERROR(COUNTIFS(Bets[Date],L154,Bets[Result],"W")/(COUNTIFS(Bets[Date],L154,Bets[Result],"W")+COUNTIFS(Bets[Date],L154,Bets[Result],"L")),"")</f>
        <v>1</v>
      </c>
      <c r="O154" s="38">
        <f>SUMIF(Bets[Date],L154,Bets[Profit])</f>
        <v>40</v>
      </c>
      <c r="P154" s="37" t="str">
        <f>IFERROR("("&amp;ROUND(SUMIF(Bets[Date],L154,Bets[Profit])/SUMIF(Bets[Date],L154,Bets[Risk]),2)*100&amp;"%)","")</f>
        <v>(400%)</v>
      </c>
      <c r="Q154" s="65">
        <f t="shared" si="10"/>
        <v>178.85528072460207</v>
      </c>
    </row>
    <row r="155" spans="1:17" x14ac:dyDescent="0.25">
      <c r="A155" s="35">
        <f t="shared" si="8"/>
        <v>19</v>
      </c>
      <c r="B155" s="5">
        <v>43470</v>
      </c>
      <c r="C155" s="5" t="s">
        <v>133</v>
      </c>
      <c r="D155" s="57" t="s">
        <v>231</v>
      </c>
      <c r="E155" s="7" t="s">
        <v>233</v>
      </c>
      <c r="F155" s="33">
        <v>10</v>
      </c>
      <c r="G155" s="67">
        <v>-110</v>
      </c>
      <c r="H155" s="9" t="s">
        <v>65</v>
      </c>
      <c r="I1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55"/>
      <c r="L155" s="36">
        <f t="shared" si="9"/>
        <v>43768</v>
      </c>
      <c r="M155" s="51" t="str">
        <f>COUNTIFS(Bets[Date],L155,Bets[Result],"W")&amp;"-"&amp;COUNTIFS(Bets[Date],L155,Bets[Result],"L")&amp;IF(COUNTIFS(Bets[Date],L155,Bets[Result],"Push")&gt;0,"-"&amp;COUNTIFS(Bets[Date],L155,Bets[Result],"Push"),"")</f>
        <v>0-1</v>
      </c>
      <c r="N155" s="52">
        <f>IFERROR(COUNTIFS(Bets[Date],L155,Bets[Result],"W")/(COUNTIFS(Bets[Date],L155,Bets[Result],"W")+COUNTIFS(Bets[Date],L155,Bets[Result],"L")),"")</f>
        <v>0</v>
      </c>
      <c r="O155" s="38">
        <f>SUMIF(Bets[Date],L155,Bets[Profit])</f>
        <v>-20</v>
      </c>
      <c r="P155" s="37" t="str">
        <f>IFERROR("("&amp;ROUND(SUMIF(Bets[Date],L155,Bets[Profit])/SUMIF(Bets[Date],L155,Bets[Risk]),2)*100&amp;"%)","")</f>
        <v>(-100%)</v>
      </c>
      <c r="Q155" s="65">
        <f t="shared" si="10"/>
        <v>158.85528072460207</v>
      </c>
    </row>
    <row r="156" spans="1:17" x14ac:dyDescent="0.25">
      <c r="A156" s="35">
        <f t="shared" si="8"/>
        <v>20</v>
      </c>
      <c r="B156" s="5">
        <v>43471</v>
      </c>
      <c r="C156" s="5" t="s">
        <v>133</v>
      </c>
      <c r="D156" s="57" t="s">
        <v>234</v>
      </c>
      <c r="E156" s="7" t="s">
        <v>235</v>
      </c>
      <c r="F156" s="33">
        <v>10</v>
      </c>
      <c r="G156" s="67">
        <v>-110</v>
      </c>
      <c r="H156" s="9" t="s">
        <v>6</v>
      </c>
      <c r="I1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56"/>
      <c r="L156" s="36">
        <f t="shared" si="9"/>
        <v>43769</v>
      </c>
      <c r="M156" s="51" t="str">
        <f>COUNTIFS(Bets[Date],L156,Bets[Result],"W")&amp;"-"&amp;COUNTIFS(Bets[Date],L156,Bets[Result],"L")&amp;IF(COUNTIFS(Bets[Date],L156,Bets[Result],"Push")&gt;0,"-"&amp;COUNTIFS(Bets[Date],L156,Bets[Result],"Push"),"")</f>
        <v>2-3</v>
      </c>
      <c r="N156" s="52">
        <f>IFERROR(COUNTIFS(Bets[Date],L156,Bets[Result],"W")/(COUNTIFS(Bets[Date],L156,Bets[Result],"W")+COUNTIFS(Bets[Date],L156,Bets[Result],"L")),"")</f>
        <v>0.4</v>
      </c>
      <c r="O156" s="38">
        <f>SUMIF(Bets[Date],L156,Bets[Profit])</f>
        <v>20.681818181818187</v>
      </c>
      <c r="P156" s="37" t="str">
        <f>IFERROR("("&amp;ROUND(SUMIF(Bets[Date],L156,Bets[Profit])/SUMIF(Bets[Date],L156,Bets[Risk]),2)*100&amp;"%)","")</f>
        <v>(20%)</v>
      </c>
      <c r="Q156" s="65">
        <f t="shared" si="10"/>
        <v>179.53709890642025</v>
      </c>
    </row>
    <row r="157" spans="1:17" x14ac:dyDescent="0.25">
      <c r="A157" s="35">
        <f t="shared" si="8"/>
        <v>20</v>
      </c>
      <c r="B157" s="5">
        <v>43471</v>
      </c>
      <c r="C157" s="5" t="s">
        <v>133</v>
      </c>
      <c r="D157" s="57" t="s">
        <v>234</v>
      </c>
      <c r="E157" s="7" t="s">
        <v>236</v>
      </c>
      <c r="F157" s="33">
        <v>10</v>
      </c>
      <c r="G157" s="67">
        <v>105</v>
      </c>
      <c r="H157" s="9" t="s">
        <v>36</v>
      </c>
      <c r="I1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10.5</v>
      </c>
      <c r="J1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57"/>
      <c r="L157" s="36">
        <f t="shared" si="9"/>
        <v>43771</v>
      </c>
      <c r="M157" s="51" t="str">
        <f>COUNTIFS(Bets[Date],L157,Bets[Result],"W")&amp;"-"&amp;COUNTIFS(Bets[Date],L157,Bets[Result],"L")&amp;IF(COUNTIFS(Bets[Date],L157,Bets[Result],"Push")&gt;0,"-"&amp;COUNTIFS(Bets[Date],L157,Bets[Result],"Push"),"")</f>
        <v>1-1</v>
      </c>
      <c r="N157" s="52">
        <f>IFERROR(COUNTIFS(Bets[Date],L157,Bets[Result],"W")/(COUNTIFS(Bets[Date],L157,Bets[Result],"W")+COUNTIFS(Bets[Date],L157,Bets[Result],"L")),"")</f>
        <v>0.5</v>
      </c>
      <c r="O157" s="38">
        <f>SUMIF(Bets[Date],L157,Bets[Profit])</f>
        <v>-1.8181818181818166</v>
      </c>
      <c r="P157" s="37" t="str">
        <f>IFERROR("("&amp;ROUND(SUMIF(Bets[Date],L157,Bets[Profit])/SUMIF(Bets[Date],L157,Bets[Risk]),2)*100&amp;"%)","")</f>
        <v>(-5%)</v>
      </c>
      <c r="Q157" s="65">
        <f t="shared" si="10"/>
        <v>177.71891708823844</v>
      </c>
    </row>
    <row r="158" spans="1:17" x14ac:dyDescent="0.25">
      <c r="A158" s="35">
        <f t="shared" si="8"/>
        <v>20</v>
      </c>
      <c r="B158" s="5">
        <v>43471</v>
      </c>
      <c r="C158" s="5" t="s">
        <v>133</v>
      </c>
      <c r="D158" s="57" t="s">
        <v>238</v>
      </c>
      <c r="E158" s="7" t="s">
        <v>237</v>
      </c>
      <c r="F158" s="33">
        <v>10</v>
      </c>
      <c r="G158" s="67">
        <v>-190</v>
      </c>
      <c r="H158" s="9" t="s">
        <v>36</v>
      </c>
      <c r="I1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5.2631578947368416</v>
      </c>
      <c r="J1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58"/>
      <c r="L158" s="36">
        <f t="shared" si="9"/>
        <v>43772</v>
      </c>
      <c r="M158" s="51" t="str">
        <f>COUNTIFS(Bets[Date],L158,Bets[Result],"W")&amp;"-"&amp;COUNTIFS(Bets[Date],L158,Bets[Result],"L")&amp;IF(COUNTIFS(Bets[Date],L158,Bets[Result],"Push")&gt;0,"-"&amp;COUNTIFS(Bets[Date],L158,Bets[Result],"Push"),"")</f>
        <v>4-12</v>
      </c>
      <c r="N158" s="52">
        <f>IFERROR(COUNTIFS(Bets[Date],L158,Bets[Result],"W")/(COUNTIFS(Bets[Date],L158,Bets[Result],"W")+COUNTIFS(Bets[Date],L158,Bets[Result],"L")),"")</f>
        <v>0.25</v>
      </c>
      <c r="O158" s="38">
        <f>SUMIF(Bets[Date],L158,Bets[Profit])</f>
        <v>-226.68721109399075</v>
      </c>
      <c r="P158" s="37" t="str">
        <f>IFERROR("("&amp;ROUND(SUMIF(Bets[Date],L158,Bets[Profit])/SUMIF(Bets[Date],L158,Bets[Risk]),2)*100&amp;"%)","")</f>
        <v>(-60%)</v>
      </c>
    </row>
    <row r="159" spans="1:17" x14ac:dyDescent="0.25">
      <c r="A159" s="35">
        <f t="shared" si="8"/>
        <v>20</v>
      </c>
      <c r="B159" s="5">
        <v>43471</v>
      </c>
      <c r="C159" s="5" t="s">
        <v>133</v>
      </c>
      <c r="D159" s="57" t="s">
        <v>239</v>
      </c>
      <c r="E159" s="7" t="s">
        <v>268</v>
      </c>
      <c r="F159" s="33">
        <v>5</v>
      </c>
      <c r="G159" s="67">
        <v>675</v>
      </c>
      <c r="H159" s="9" t="s">
        <v>6</v>
      </c>
      <c r="I1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/>
      </c>
      <c r="K159" s="36"/>
      <c r="L159" s="36">
        <f t="shared" si="9"/>
        <v>43773</v>
      </c>
      <c r="M159" s="51" t="str">
        <f>COUNTIFS(Bets[Date],L159,Bets[Result],"W")&amp;"-"&amp;COUNTIFS(Bets[Date],L159,Bets[Result],"L")&amp;IF(COUNTIFS(Bets[Date],L159,Bets[Result],"Push")&gt;0,"-"&amp;COUNTIFS(Bets[Date],L159,Bets[Result],"Push"),"")</f>
        <v>1-4</v>
      </c>
      <c r="N159" s="52">
        <f>IFERROR(COUNTIFS(Bets[Date],L159,Bets[Result],"W")/(COUNTIFS(Bets[Date],L159,Bets[Result],"W")+COUNTIFS(Bets[Date],L159,Bets[Result],"L")),"")</f>
        <v>0.2</v>
      </c>
      <c r="O159" s="38">
        <f>SUMIF(Bets[Date],L159,Bets[Profit])</f>
        <v>-62.817760564327685</v>
      </c>
      <c r="P159" s="37" t="str">
        <f>IFERROR("("&amp;ROUND(SUMIF(Bets[Date],L159,Bets[Profit])/SUMIF(Bets[Date],L159,Bets[Risk]),2)*100&amp;"%)","")</f>
        <v>(-63%)</v>
      </c>
    </row>
    <row r="160" spans="1:17" x14ac:dyDescent="0.25">
      <c r="A160" s="35">
        <f t="shared" si="8"/>
        <v>20</v>
      </c>
      <c r="B160" s="5">
        <v>43471</v>
      </c>
      <c r="C160" s="5" t="s">
        <v>133</v>
      </c>
      <c r="D160" s="57" t="s">
        <v>241</v>
      </c>
      <c r="E160" s="7" t="s">
        <v>242</v>
      </c>
      <c r="F160" s="33">
        <v>10</v>
      </c>
      <c r="G160" s="67">
        <v>-110</v>
      </c>
      <c r="H160" s="9" t="s">
        <v>6</v>
      </c>
      <c r="I1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60" s="36"/>
      <c r="L160" s="36">
        <f t="shared" si="9"/>
        <v>43774</v>
      </c>
      <c r="M160" s="51" t="str">
        <f>COUNTIFS(Bets[Date],L160,Bets[Result],"W")&amp;"-"&amp;COUNTIFS(Bets[Date],L160,Bets[Result],"L")&amp;IF(COUNTIFS(Bets[Date],L160,Bets[Result],"Push")&gt;0,"-"&amp;COUNTIFS(Bets[Date],L160,Bets[Result],"Push"),"")</f>
        <v>3-6-1</v>
      </c>
      <c r="N160" s="52">
        <f>IFERROR(COUNTIFS(Bets[Date],L160,Bets[Result],"W")/(COUNTIFS(Bets[Date],L160,Bets[Result],"W")+COUNTIFS(Bets[Date],L160,Bets[Result],"L")),"")</f>
        <v>0.33333333333333331</v>
      </c>
      <c r="O160" s="38">
        <f>SUMIF(Bets[Date],L160,Bets[Profit])</f>
        <v>-68.817017514537383</v>
      </c>
      <c r="P160" s="37" t="str">
        <f>IFERROR("("&amp;ROUND(SUMIF(Bets[Date],L160,Bets[Profit])/SUMIF(Bets[Date],L160,Bets[Risk]),2)*100&amp;"%)","")</f>
        <v>(-36%)</v>
      </c>
    </row>
    <row r="161" spans="1:16" x14ac:dyDescent="0.25">
      <c r="A161" s="35">
        <f t="shared" si="8"/>
        <v>20</v>
      </c>
      <c r="B161" s="5">
        <v>43471</v>
      </c>
      <c r="C161" s="5" t="s">
        <v>133</v>
      </c>
      <c r="D161" s="57" t="s">
        <v>285</v>
      </c>
      <c r="E161" s="7" t="s">
        <v>286</v>
      </c>
      <c r="F161" s="33">
        <v>10</v>
      </c>
      <c r="G161" s="67">
        <v>100</v>
      </c>
      <c r="H161" s="9" t="s">
        <v>36</v>
      </c>
      <c r="I1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1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61" s="36"/>
      <c r="L161" s="36">
        <f t="shared" si="9"/>
        <v>43779</v>
      </c>
      <c r="M161" s="51" t="str">
        <f>COUNTIFS(Bets[Date],L161,Bets[Result],"W")&amp;"-"&amp;COUNTIFS(Bets[Date],L161,Bets[Result],"L")&amp;IF(COUNTIFS(Bets[Date],L161,Bets[Result],"Push")&gt;0,"-"&amp;COUNTIFS(Bets[Date],L161,Bets[Result],"Push"),"")</f>
        <v>0-0-1</v>
      </c>
      <c r="N161" s="52" t="str">
        <f>IFERROR(COUNTIFS(Bets[Date],L161,Bets[Result],"W")/(COUNTIFS(Bets[Date],L161,Bets[Result],"W")+COUNTIFS(Bets[Date],L161,Bets[Result],"L")),"")</f>
        <v/>
      </c>
      <c r="O161" s="38">
        <f>SUMIF(Bets[Date],L161,Bets[Profit])</f>
        <v>0</v>
      </c>
      <c r="P161" s="37" t="str">
        <f>IFERROR("("&amp;ROUND(SUMIF(Bets[Date],L161,Bets[Profit])/SUMIF(Bets[Date],L161,Bets[Risk]),2)*100&amp;"%)","")</f>
        <v>(0%)</v>
      </c>
    </row>
    <row r="162" spans="1:16" x14ac:dyDescent="0.25">
      <c r="A162" s="35">
        <f t="shared" si="8"/>
        <v>21</v>
      </c>
      <c r="B162" s="5">
        <v>43472</v>
      </c>
      <c r="C162" s="5" t="s">
        <v>134</v>
      </c>
      <c r="D162" s="57" t="s">
        <v>269</v>
      </c>
      <c r="E162" s="7" t="s">
        <v>144</v>
      </c>
      <c r="F162" s="33">
        <v>5</v>
      </c>
      <c r="G162" s="63">
        <v>-110</v>
      </c>
      <c r="H162" s="9" t="s">
        <v>6</v>
      </c>
      <c r="I1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62" s="36"/>
      <c r="L162" s="36">
        <f t="shared" si="9"/>
        <v>43781</v>
      </c>
      <c r="M162" s="51" t="str">
        <f>COUNTIFS(Bets[Date],L162,Bets[Result],"W")&amp;"-"&amp;COUNTIFS(Bets[Date],L162,Bets[Result],"L")&amp;IF(COUNTIFS(Bets[Date],L162,Bets[Result],"Push")&gt;0,"-"&amp;COUNTIFS(Bets[Date],L162,Bets[Result],"Push"),"")</f>
        <v>5-1</v>
      </c>
      <c r="N162" s="52">
        <f>IFERROR(COUNTIFS(Bets[Date],L162,Bets[Result],"W")/(COUNTIFS(Bets[Date],L162,Bets[Result],"W")+COUNTIFS(Bets[Date],L162,Bets[Result],"L")),"")</f>
        <v>0.83333333333333337</v>
      </c>
      <c r="O162" s="38">
        <f>SUMIF(Bets[Date],L162,Bets[Profit])</f>
        <v>72.56940307399023</v>
      </c>
      <c r="P162" s="37" t="str">
        <f>IFERROR("("&amp;ROUND(SUMIF(Bets[Date],L162,Bets[Profit])/SUMIF(Bets[Date],L162,Bets[Risk]),2)*100&amp;"%)","")</f>
        <v>(60%)</v>
      </c>
    </row>
    <row r="163" spans="1:16" x14ac:dyDescent="0.25">
      <c r="A163" s="35">
        <f t="shared" si="8"/>
        <v>21</v>
      </c>
      <c r="B163" s="5">
        <v>43472</v>
      </c>
      <c r="C163" s="5" t="s">
        <v>134</v>
      </c>
      <c r="D163" s="57" t="s">
        <v>269</v>
      </c>
      <c r="E163" s="7" t="s">
        <v>138</v>
      </c>
      <c r="F163" s="33">
        <v>5</v>
      </c>
      <c r="G163" s="63">
        <v>-105</v>
      </c>
      <c r="H163" s="9" t="s">
        <v>36</v>
      </c>
      <c r="I1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63" s="36"/>
      <c r="L163" s="36">
        <f t="shared" si="9"/>
        <v>43782</v>
      </c>
      <c r="M163" s="51" t="str">
        <f>COUNTIFS(Bets[Date],L163,Bets[Result],"W")&amp;"-"&amp;COUNTIFS(Bets[Date],L163,Bets[Result],"L")&amp;IF(COUNTIFS(Bets[Date],L163,Bets[Result],"Push")&gt;0,"-"&amp;COUNTIFS(Bets[Date],L163,Bets[Result],"Push"),"")</f>
        <v>0-1</v>
      </c>
      <c r="N163" s="52">
        <f>IFERROR(COUNTIFS(Bets[Date],L163,Bets[Result],"W")/(COUNTIFS(Bets[Date],L163,Bets[Result],"W")+COUNTIFS(Bets[Date],L163,Bets[Result],"L")),"")</f>
        <v>0</v>
      </c>
      <c r="O163" s="38">
        <f>SUMIF(Bets[Date],L163,Bets[Profit])</f>
        <v>-10</v>
      </c>
      <c r="P163" s="37" t="str">
        <f>IFERROR("("&amp;ROUND(SUMIF(Bets[Date],L163,Bets[Profit])/SUMIF(Bets[Date],L163,Bets[Risk]),2)*100&amp;"%)","")</f>
        <v>(-100%)</v>
      </c>
    </row>
    <row r="164" spans="1:16" x14ac:dyDescent="0.25">
      <c r="A164" s="35">
        <f t="shared" si="8"/>
        <v>21</v>
      </c>
      <c r="B164" s="5">
        <v>43472</v>
      </c>
      <c r="C164" s="5" t="s">
        <v>134</v>
      </c>
      <c r="D164" s="57" t="s">
        <v>270</v>
      </c>
      <c r="E164" s="7" t="s">
        <v>271</v>
      </c>
      <c r="F164" s="33">
        <v>5</v>
      </c>
      <c r="G164" s="63">
        <v>-110</v>
      </c>
      <c r="H164" s="9" t="s">
        <v>36</v>
      </c>
      <c r="I1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64" s="36"/>
      <c r="L164" s="36">
        <f t="shared" ref="L164:L195" si="11">IFERROR(VLOOKUP(ROW()-3,A:B,2,0),0)</f>
        <v>43783</v>
      </c>
      <c r="M164" s="51" t="str">
        <f>COUNTIFS(Bets[Date],L164,Bets[Result],"W")&amp;"-"&amp;COUNTIFS(Bets[Date],L164,Bets[Result],"L")&amp;IF(COUNTIFS(Bets[Date],L164,Bets[Result],"Push")&gt;0,"-"&amp;COUNTIFS(Bets[Date],L164,Bets[Result],"Push"),"")</f>
        <v>2-9</v>
      </c>
      <c r="N164" s="52">
        <f>IFERROR(COUNTIFS(Bets[Date],L164,Bets[Result],"W")/(COUNTIFS(Bets[Date],L164,Bets[Result],"W")+COUNTIFS(Bets[Date],L164,Bets[Result],"L")),"")</f>
        <v>0.18181818181818182</v>
      </c>
      <c r="O164" s="38">
        <f>SUMIF(Bets[Date],L164,Bets[Profit])</f>
        <v>-143.9024577024995</v>
      </c>
      <c r="P164" s="37" t="str">
        <f>IFERROR("("&amp;ROUND(SUMIF(Bets[Date],L164,Bets[Profit])/SUMIF(Bets[Date],L164,Bets[Risk]),2)*100&amp;"%)","")</f>
        <v>(-65%)</v>
      </c>
    </row>
    <row r="165" spans="1:16" x14ac:dyDescent="0.25">
      <c r="A165" s="35">
        <f t="shared" si="8"/>
        <v>21</v>
      </c>
      <c r="B165" s="5">
        <v>43472</v>
      </c>
      <c r="C165" s="5" t="s">
        <v>134</v>
      </c>
      <c r="D165" s="57" t="s">
        <v>272</v>
      </c>
      <c r="E165" s="7" t="s">
        <v>222</v>
      </c>
      <c r="F165" s="33">
        <v>5</v>
      </c>
      <c r="G165" s="63">
        <v>-110</v>
      </c>
      <c r="H165" s="9" t="s">
        <v>36</v>
      </c>
      <c r="I1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6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65" s="36"/>
      <c r="L165" s="36">
        <f t="shared" si="11"/>
        <v>43784</v>
      </c>
      <c r="M165" s="51" t="str">
        <f>COUNTIFS(Bets[Date],L165,Bets[Result],"W")&amp;"-"&amp;COUNTIFS(Bets[Date],L165,Bets[Result],"L")&amp;IF(COUNTIFS(Bets[Date],L165,Bets[Result],"Push")&gt;0,"-"&amp;COUNTIFS(Bets[Date],L165,Bets[Result],"Push"),"")</f>
        <v>0-1</v>
      </c>
      <c r="N165" s="52">
        <f>IFERROR(COUNTIFS(Bets[Date],L165,Bets[Result],"W")/(COUNTIFS(Bets[Date],L165,Bets[Result],"W")+COUNTIFS(Bets[Date],L165,Bets[Result],"L")),"")</f>
        <v>0</v>
      </c>
      <c r="O165" s="38">
        <f>SUMIF(Bets[Date],L165,Bets[Profit])</f>
        <v>-20</v>
      </c>
      <c r="P165" s="37" t="str">
        <f>IFERROR("("&amp;ROUND(SUMIF(Bets[Date],L165,Bets[Profit])/SUMIF(Bets[Date],L165,Bets[Risk]),2)*100&amp;"%)","")</f>
        <v>(-100%)</v>
      </c>
    </row>
    <row r="166" spans="1:16" x14ac:dyDescent="0.25">
      <c r="A166" s="35">
        <f t="shared" si="8"/>
        <v>21</v>
      </c>
      <c r="B166" s="5">
        <v>43472</v>
      </c>
      <c r="C166" s="5" t="s">
        <v>134</v>
      </c>
      <c r="D166" s="57" t="s">
        <v>273</v>
      </c>
      <c r="E166" s="7" t="s">
        <v>257</v>
      </c>
      <c r="F166" s="33">
        <v>5</v>
      </c>
      <c r="G166" s="63">
        <v>-115</v>
      </c>
      <c r="H166" s="9" t="s">
        <v>6</v>
      </c>
      <c r="I1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6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66" s="36"/>
      <c r="L166" s="36">
        <f t="shared" si="11"/>
        <v>43785</v>
      </c>
      <c r="M166" s="51" t="str">
        <f>COUNTIFS(Bets[Date],L166,Bets[Result],"W")&amp;"-"&amp;COUNTIFS(Bets[Date],L166,Bets[Result],"L")&amp;IF(COUNTIFS(Bets[Date],L166,Bets[Result],"Push")&gt;0,"-"&amp;COUNTIFS(Bets[Date],L166,Bets[Result],"Push"),"")</f>
        <v>8-11</v>
      </c>
      <c r="N166" s="52">
        <f>IFERROR(COUNTIFS(Bets[Date],L166,Bets[Result],"W")/(COUNTIFS(Bets[Date],L166,Bets[Result],"W")+COUNTIFS(Bets[Date],L166,Bets[Result],"L")),"")</f>
        <v>0.42105263157894735</v>
      </c>
      <c r="O166" s="38">
        <f>SUMIF(Bets[Date],L166,Bets[Profit])</f>
        <v>-96.542177448719471</v>
      </c>
      <c r="P166" s="37" t="str">
        <f>IFERROR("("&amp;ROUND(SUMIF(Bets[Date],L166,Bets[Profit])/SUMIF(Bets[Date],L166,Bets[Risk]),2)*100&amp;"%)","")</f>
        <v>(-24%)</v>
      </c>
    </row>
    <row r="167" spans="1:16" x14ac:dyDescent="0.25">
      <c r="A167" s="35">
        <f t="shared" si="8"/>
        <v>21</v>
      </c>
      <c r="B167" s="5">
        <v>43472</v>
      </c>
      <c r="C167" s="5" t="s">
        <v>134</v>
      </c>
      <c r="D167" s="57" t="s">
        <v>273</v>
      </c>
      <c r="E167" s="7" t="s">
        <v>274</v>
      </c>
      <c r="F167" s="33">
        <v>5</v>
      </c>
      <c r="G167" s="63">
        <v>-110</v>
      </c>
      <c r="H167" s="9" t="s">
        <v>36</v>
      </c>
      <c r="I1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6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67" s="36"/>
      <c r="L167" s="36">
        <f t="shared" si="11"/>
        <v>43786</v>
      </c>
      <c r="M167" s="51" t="str">
        <f>COUNTIFS(Bets[Date],L167,Bets[Result],"W")&amp;"-"&amp;COUNTIFS(Bets[Date],L167,Bets[Result],"L")&amp;IF(COUNTIFS(Bets[Date],L167,Bets[Result],"Push")&gt;0,"-"&amp;COUNTIFS(Bets[Date],L167,Bets[Result],"Push"),"")</f>
        <v>0-3</v>
      </c>
      <c r="N167" s="52">
        <f>IFERROR(COUNTIFS(Bets[Date],L167,Bets[Result],"W")/(COUNTIFS(Bets[Date],L167,Bets[Result],"W")+COUNTIFS(Bets[Date],L167,Bets[Result],"L")),"")</f>
        <v>0</v>
      </c>
      <c r="O167" s="38">
        <f>SUMIF(Bets[Date],L167,Bets[Profit])</f>
        <v>-42.59</v>
      </c>
      <c r="P167" s="37" t="str">
        <f>IFERROR("("&amp;ROUND(SUMIF(Bets[Date],L167,Bets[Profit])/SUMIF(Bets[Date],L167,Bets[Risk]),2)*100&amp;"%)","")</f>
        <v>(-100%)</v>
      </c>
    </row>
    <row r="168" spans="1:16" x14ac:dyDescent="0.25">
      <c r="A168" s="35">
        <f t="shared" si="8"/>
        <v>21</v>
      </c>
      <c r="B168" s="5">
        <v>43472</v>
      </c>
      <c r="C168" s="5" t="s">
        <v>134</v>
      </c>
      <c r="D168" s="57" t="s">
        <v>275</v>
      </c>
      <c r="E168" s="7" t="s">
        <v>276</v>
      </c>
      <c r="F168" s="33">
        <v>5</v>
      </c>
      <c r="G168" s="63">
        <v>-110</v>
      </c>
      <c r="H168" s="9" t="s">
        <v>36</v>
      </c>
      <c r="I1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6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68" s="36"/>
      <c r="L168" s="36">
        <f t="shared" si="11"/>
        <v>43790</v>
      </c>
      <c r="M168" s="51" t="str">
        <f>COUNTIFS(Bets[Date],L168,Bets[Result],"W")&amp;"-"&amp;COUNTIFS(Bets[Date],L168,Bets[Result],"L")&amp;IF(COUNTIFS(Bets[Date],L168,Bets[Result],"Push")&gt;0,"-"&amp;COUNTIFS(Bets[Date],L168,Bets[Result],"Push"),"")</f>
        <v>0-2</v>
      </c>
      <c r="N168" s="52">
        <f>IFERROR(COUNTIFS(Bets[Date],L168,Bets[Result],"W")/(COUNTIFS(Bets[Date],L168,Bets[Result],"W")+COUNTIFS(Bets[Date],L168,Bets[Result],"L")),"")</f>
        <v>0</v>
      </c>
      <c r="O168" s="38">
        <f>SUMIF(Bets[Date],L168,Bets[Profit])</f>
        <v>-35</v>
      </c>
      <c r="P168" s="37" t="str">
        <f>IFERROR("("&amp;ROUND(SUMIF(Bets[Date],L168,Bets[Profit])/SUMIF(Bets[Date],L168,Bets[Risk]),2)*100&amp;"%)","")</f>
        <v>(-100%)</v>
      </c>
    </row>
    <row r="169" spans="1:16" x14ac:dyDescent="0.25">
      <c r="A169" s="35">
        <f t="shared" si="8"/>
        <v>21</v>
      </c>
      <c r="B169" s="5">
        <v>43472</v>
      </c>
      <c r="C169" s="5" t="s">
        <v>134</v>
      </c>
      <c r="D169" s="57" t="s">
        <v>275</v>
      </c>
      <c r="E169" s="7" t="s">
        <v>277</v>
      </c>
      <c r="F169" s="33">
        <v>5</v>
      </c>
      <c r="G169" s="63">
        <v>-115</v>
      </c>
      <c r="H169" s="9" t="s">
        <v>36</v>
      </c>
      <c r="I1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6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69" s="36"/>
      <c r="L169" s="36">
        <f t="shared" si="11"/>
        <v>43793</v>
      </c>
      <c r="M169" s="51" t="str">
        <f>COUNTIFS(Bets[Date],L169,Bets[Result],"W")&amp;"-"&amp;COUNTIFS(Bets[Date],L169,Bets[Result],"L")&amp;IF(COUNTIFS(Bets[Date],L169,Bets[Result],"Push")&gt;0,"-"&amp;COUNTIFS(Bets[Date],L169,Bets[Result],"Push"),"")</f>
        <v>4-4</v>
      </c>
      <c r="N169" s="52">
        <f>IFERROR(COUNTIFS(Bets[Date],L169,Bets[Result],"W")/(COUNTIFS(Bets[Date],L169,Bets[Result],"W")+COUNTIFS(Bets[Date],L169,Bets[Result],"L")),"")</f>
        <v>0.5</v>
      </c>
      <c r="O169" s="38">
        <f>SUMIF(Bets[Date],L169,Bets[Profit])</f>
        <v>-6.0370697263901079</v>
      </c>
      <c r="P169" s="37" t="str">
        <f>IFERROR("("&amp;ROUND(SUMIF(Bets[Date],L169,Bets[Profit])/SUMIF(Bets[Date],L169,Bets[Risk]),2)*100&amp;"%)","")</f>
        <v>(-4%)</v>
      </c>
    </row>
    <row r="170" spans="1:16" x14ac:dyDescent="0.25">
      <c r="A170" s="35">
        <f t="shared" si="8"/>
        <v>21</v>
      </c>
      <c r="B170" s="5">
        <v>43472</v>
      </c>
      <c r="C170" s="5" t="s">
        <v>134</v>
      </c>
      <c r="D170" s="57" t="s">
        <v>278</v>
      </c>
      <c r="E170" s="7" t="s">
        <v>112</v>
      </c>
      <c r="F170" s="33">
        <v>5</v>
      </c>
      <c r="G170" s="63">
        <v>-115</v>
      </c>
      <c r="H170" s="9" t="s">
        <v>36</v>
      </c>
      <c r="I1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7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70" s="36"/>
      <c r="L170" s="36">
        <f t="shared" si="11"/>
        <v>43794</v>
      </c>
      <c r="M170" s="51" t="str">
        <f>COUNTIFS(Bets[Date],L170,Bets[Result],"W")&amp;"-"&amp;COUNTIFS(Bets[Date],L170,Bets[Result],"L")&amp;IF(COUNTIFS(Bets[Date],L170,Bets[Result],"Push")&gt;0,"-"&amp;COUNTIFS(Bets[Date],L170,Bets[Result],"Push"),"")</f>
        <v>2-0</v>
      </c>
      <c r="N170" s="52">
        <f>IFERROR(COUNTIFS(Bets[Date],L170,Bets[Result],"W")/(COUNTIFS(Bets[Date],L170,Bets[Result],"W")+COUNTIFS(Bets[Date],L170,Bets[Result],"L")),"")</f>
        <v>1</v>
      </c>
      <c r="O170" s="38">
        <f>SUMIF(Bets[Date],L170,Bets[Profit])</f>
        <v>37.599293909973525</v>
      </c>
      <c r="P170" s="37" t="str">
        <f>IFERROR("("&amp;ROUND(SUMIF(Bets[Date],L170,Bets[Profit])/SUMIF(Bets[Date],L170,Bets[Risk]),2)*100&amp;"%)","")</f>
        <v>(94%)</v>
      </c>
    </row>
    <row r="171" spans="1:16" x14ac:dyDescent="0.25">
      <c r="A171" s="35">
        <f t="shared" si="8"/>
        <v>21</v>
      </c>
      <c r="B171" s="5">
        <v>43472</v>
      </c>
      <c r="C171" s="5" t="s">
        <v>134</v>
      </c>
      <c r="D171" s="57" t="s">
        <v>278</v>
      </c>
      <c r="E171" s="7" t="s">
        <v>279</v>
      </c>
      <c r="F171" s="33">
        <v>5</v>
      </c>
      <c r="G171" s="63">
        <v>-110</v>
      </c>
      <c r="H171" s="9" t="s">
        <v>36</v>
      </c>
      <c r="I1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7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71" s="36"/>
      <c r="L171" s="36">
        <f t="shared" si="11"/>
        <v>43797</v>
      </c>
      <c r="M171" s="51" t="str">
        <f>COUNTIFS(Bets[Date],L171,Bets[Result],"W")&amp;"-"&amp;COUNTIFS(Bets[Date],L171,Bets[Result],"L")&amp;IF(COUNTIFS(Bets[Date],L171,Bets[Result],"Push")&gt;0,"-"&amp;COUNTIFS(Bets[Date],L171,Bets[Result],"Push"),"")</f>
        <v>1-2</v>
      </c>
      <c r="N171" s="52">
        <f>IFERROR(COUNTIFS(Bets[Date],L171,Bets[Result],"W")/(COUNTIFS(Bets[Date],L171,Bets[Result],"W")+COUNTIFS(Bets[Date],L171,Bets[Result],"L")),"")</f>
        <v>0.33333333333333331</v>
      </c>
      <c r="O171" s="38">
        <f>SUMIF(Bets[Date],L171,Bets[Profit])</f>
        <v>-25</v>
      </c>
      <c r="P171" s="37" t="str">
        <f>IFERROR("("&amp;ROUND(SUMIF(Bets[Date],L171,Bets[Profit])/SUMIF(Bets[Date],L171,Bets[Risk]),2)*100&amp;"%)","")</f>
        <v>(-28%)</v>
      </c>
    </row>
    <row r="172" spans="1:16" x14ac:dyDescent="0.25">
      <c r="A172" s="35">
        <f t="shared" si="8"/>
        <v>21</v>
      </c>
      <c r="B172" s="5">
        <v>43472</v>
      </c>
      <c r="C172" s="5" t="s">
        <v>134</v>
      </c>
      <c r="D172" s="57" t="s">
        <v>278</v>
      </c>
      <c r="E172" s="7" t="s">
        <v>284</v>
      </c>
      <c r="F172" s="33">
        <v>5</v>
      </c>
      <c r="G172" s="63">
        <v>285</v>
      </c>
      <c r="H172" s="9" t="s">
        <v>36</v>
      </c>
      <c r="I1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14.25</v>
      </c>
      <c r="J17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72" s="36"/>
      <c r="L172" s="36">
        <f t="shared" si="11"/>
        <v>43800</v>
      </c>
      <c r="M172" s="51" t="str">
        <f>COUNTIFS(Bets[Date],L172,Bets[Result],"W")&amp;"-"&amp;COUNTIFS(Bets[Date],L172,Bets[Result],"L")&amp;IF(COUNTIFS(Bets[Date],L172,Bets[Result],"Push")&gt;0,"-"&amp;COUNTIFS(Bets[Date],L172,Bets[Result],"Push"),"")</f>
        <v>0-2</v>
      </c>
      <c r="N172" s="52">
        <f>IFERROR(COUNTIFS(Bets[Date],L172,Bets[Result],"W")/(COUNTIFS(Bets[Date],L172,Bets[Result],"W")+COUNTIFS(Bets[Date],L172,Bets[Result],"L")),"")</f>
        <v>0</v>
      </c>
      <c r="O172" s="38">
        <f>SUMIF(Bets[Date],L172,Bets[Profit])</f>
        <v>-60</v>
      </c>
      <c r="P172" s="37" t="str">
        <f>IFERROR("("&amp;ROUND(SUMIF(Bets[Date],L172,Bets[Profit])/SUMIF(Bets[Date],L172,Bets[Risk]),2)*100&amp;"%)","")</f>
        <v>(-100%)</v>
      </c>
    </row>
    <row r="173" spans="1:16" x14ac:dyDescent="0.25">
      <c r="A173" s="35">
        <f t="shared" si="8"/>
        <v>21</v>
      </c>
      <c r="B173" s="5">
        <v>43472</v>
      </c>
      <c r="C173" s="5" t="s">
        <v>134</v>
      </c>
      <c r="D173" s="57" t="s">
        <v>280</v>
      </c>
      <c r="E173" s="7" t="s">
        <v>281</v>
      </c>
      <c r="F173" s="33">
        <v>5</v>
      </c>
      <c r="G173" s="63">
        <v>-110</v>
      </c>
      <c r="H173" s="9" t="s">
        <v>6</v>
      </c>
      <c r="I1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7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73" s="36"/>
      <c r="L173" s="36">
        <f t="shared" si="11"/>
        <v>43804</v>
      </c>
      <c r="M173" s="51" t="str">
        <f>COUNTIFS(Bets[Date],L173,Bets[Result],"W")&amp;"-"&amp;COUNTIFS(Bets[Date],L173,Bets[Result],"L")&amp;IF(COUNTIFS(Bets[Date],L173,Bets[Result],"Push")&gt;0,"-"&amp;COUNTIFS(Bets[Date],L173,Bets[Result],"Push"),"")</f>
        <v>1-0</v>
      </c>
      <c r="N173" s="52">
        <f>IFERROR(COUNTIFS(Bets[Date],L173,Bets[Result],"W")/(COUNTIFS(Bets[Date],L173,Bets[Result],"W")+COUNTIFS(Bets[Date],L173,Bets[Result],"L")),"")</f>
        <v>1</v>
      </c>
      <c r="O173" s="38">
        <f>SUMIF(Bets[Date],L173,Bets[Profit])</f>
        <v>49</v>
      </c>
      <c r="P173" s="37" t="str">
        <f>IFERROR("("&amp;ROUND(SUMIF(Bets[Date],L173,Bets[Profit])/SUMIF(Bets[Date],L173,Bets[Risk]),2)*100&amp;"%)","")</f>
        <v>(245%)</v>
      </c>
    </row>
    <row r="174" spans="1:16" x14ac:dyDescent="0.25">
      <c r="A174" s="35">
        <f t="shared" si="8"/>
        <v>21</v>
      </c>
      <c r="B174" s="5">
        <v>43472</v>
      </c>
      <c r="C174" s="5" t="s">
        <v>134</v>
      </c>
      <c r="D174" s="57" t="s">
        <v>282</v>
      </c>
      <c r="E174" s="7" t="s">
        <v>271</v>
      </c>
      <c r="F174" s="33">
        <v>5</v>
      </c>
      <c r="G174" s="63">
        <v>-105</v>
      </c>
      <c r="H174" s="9" t="s">
        <v>36</v>
      </c>
      <c r="I1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7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74" s="36"/>
      <c r="L174" s="36">
        <f t="shared" si="11"/>
        <v>43807</v>
      </c>
      <c r="M174" s="51" t="str">
        <f>COUNTIFS(Bets[Date],L174,Bets[Result],"W")&amp;"-"&amp;COUNTIFS(Bets[Date],L174,Bets[Result],"L")&amp;IF(COUNTIFS(Bets[Date],L174,Bets[Result],"Push")&gt;0,"-"&amp;COUNTIFS(Bets[Date],L174,Bets[Result],"Push"),"")</f>
        <v>2-1</v>
      </c>
      <c r="N174" s="52">
        <f>IFERROR(COUNTIFS(Bets[Date],L174,Bets[Result],"W")/(COUNTIFS(Bets[Date],L174,Bets[Result],"W")+COUNTIFS(Bets[Date],L174,Bets[Result],"L")),"")</f>
        <v>0.66666666666666663</v>
      </c>
      <c r="O174" s="38">
        <f>SUMIF(Bets[Date],L174,Bets[Profit])</f>
        <v>22.801818181818181</v>
      </c>
      <c r="P174" s="37" t="str">
        <f>IFERROR("("&amp;ROUND(SUMIF(Bets[Date],L174,Bets[Profit])/SUMIF(Bets[Date],L174,Bets[Risk]),2)*100&amp;"%)","")</f>
        <v>(36%)</v>
      </c>
    </row>
    <row r="175" spans="1:16" x14ac:dyDescent="0.25">
      <c r="A175" s="35">
        <f t="shared" si="8"/>
        <v>21</v>
      </c>
      <c r="B175" s="5">
        <v>43472</v>
      </c>
      <c r="C175" s="5" t="s">
        <v>134</v>
      </c>
      <c r="D175" s="57" t="s">
        <v>282</v>
      </c>
      <c r="E175" s="7" t="s">
        <v>283</v>
      </c>
      <c r="F175" s="33">
        <v>5</v>
      </c>
      <c r="G175" s="63">
        <v>-105</v>
      </c>
      <c r="H175" s="9" t="s">
        <v>36</v>
      </c>
      <c r="I1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7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75" s="36"/>
      <c r="L175" s="36">
        <f t="shared" si="11"/>
        <v>43810</v>
      </c>
      <c r="M175" s="51" t="str">
        <f>COUNTIFS(Bets[Date],L175,Bets[Result],"W")&amp;"-"&amp;COUNTIFS(Bets[Date],L175,Bets[Result],"L")&amp;IF(COUNTIFS(Bets[Date],L175,Bets[Result],"Push")&gt;0,"-"&amp;COUNTIFS(Bets[Date],L175,Bets[Result],"Push"),"")</f>
        <v>8-4</v>
      </c>
      <c r="N175" s="52">
        <f>IFERROR(COUNTIFS(Bets[Date],L175,Bets[Result],"W")/(COUNTIFS(Bets[Date],L175,Bets[Result],"W")+COUNTIFS(Bets[Date],L175,Bets[Result],"L")),"")</f>
        <v>0.66666666666666663</v>
      </c>
      <c r="O175" s="38">
        <f>SUMIF(Bets[Date],L175,Bets[Profit])</f>
        <v>66.652255006562058</v>
      </c>
      <c r="P175" s="37" t="str">
        <f>IFERROR("("&amp;ROUND(SUMIF(Bets[Date],L175,Bets[Profit])/SUMIF(Bets[Date],L175,Bets[Risk]),2)*100&amp;"%)","")</f>
        <v>(28%)</v>
      </c>
    </row>
    <row r="176" spans="1:16" x14ac:dyDescent="0.25">
      <c r="A176" s="35">
        <f t="shared" si="8"/>
        <v>22</v>
      </c>
      <c r="B176" s="5">
        <v>43473</v>
      </c>
      <c r="C176" s="5" t="s">
        <v>134</v>
      </c>
      <c r="D176" s="57" t="s">
        <v>287</v>
      </c>
      <c r="E176" s="7" t="s">
        <v>288</v>
      </c>
      <c r="F176" s="33">
        <v>5</v>
      </c>
      <c r="G176" s="63">
        <v>-110</v>
      </c>
      <c r="H176" s="9" t="s">
        <v>6</v>
      </c>
      <c r="I1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7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76" s="36"/>
      <c r="L176" s="36">
        <f t="shared" si="11"/>
        <v>43812</v>
      </c>
      <c r="M176" s="51" t="str">
        <f>COUNTIFS(Bets[Date],L176,Bets[Result],"W")&amp;"-"&amp;COUNTIFS(Bets[Date],L176,Bets[Result],"L")&amp;IF(COUNTIFS(Bets[Date],L176,Bets[Result],"Push")&gt;0,"-"&amp;COUNTIFS(Bets[Date],L176,Bets[Result],"Push"),"")</f>
        <v>3-1</v>
      </c>
      <c r="N176" s="52">
        <f>IFERROR(COUNTIFS(Bets[Date],L176,Bets[Result],"W")/(COUNTIFS(Bets[Date],L176,Bets[Result],"W")+COUNTIFS(Bets[Date],L176,Bets[Result],"L")),"")</f>
        <v>0.75</v>
      </c>
      <c r="O176" s="38">
        <f>SUMIF(Bets[Date],L176,Bets[Profit])</f>
        <v>33.413400758533498</v>
      </c>
      <c r="P176" s="37" t="str">
        <f>IFERROR("("&amp;ROUND(SUMIF(Bets[Date],L176,Bets[Profit])/SUMIF(Bets[Date],L176,Bets[Risk]),2)*100&amp;"%)","")</f>
        <v>(42%)</v>
      </c>
    </row>
    <row r="177" spans="1:16" x14ac:dyDescent="0.25">
      <c r="A177" s="35">
        <f t="shared" si="8"/>
        <v>22</v>
      </c>
      <c r="B177" s="5">
        <v>43473</v>
      </c>
      <c r="C177" s="5" t="s">
        <v>134</v>
      </c>
      <c r="D177" s="57" t="s">
        <v>287</v>
      </c>
      <c r="E177" s="7" t="s">
        <v>289</v>
      </c>
      <c r="F177" s="33">
        <v>5</v>
      </c>
      <c r="G177" s="63">
        <v>-110</v>
      </c>
      <c r="H177" s="9" t="s">
        <v>6</v>
      </c>
      <c r="I1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7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77" s="36"/>
      <c r="L177" s="36">
        <f t="shared" si="11"/>
        <v>43813</v>
      </c>
      <c r="M177" s="51" t="str">
        <f>COUNTIFS(Bets[Date],L177,Bets[Result],"W")&amp;"-"&amp;COUNTIFS(Bets[Date],L177,Bets[Result],"L")&amp;IF(COUNTIFS(Bets[Date],L177,Bets[Result],"Push")&gt;0,"-"&amp;COUNTIFS(Bets[Date],L177,Bets[Result],"Push"),"")</f>
        <v>14-11-1</v>
      </c>
      <c r="N177" s="52">
        <f>IFERROR(COUNTIFS(Bets[Date],L177,Bets[Result],"W")/(COUNTIFS(Bets[Date],L177,Bets[Result],"W")+COUNTIFS(Bets[Date],L177,Bets[Result],"L")),"")</f>
        <v>0.56000000000000005</v>
      </c>
      <c r="O177" s="38">
        <f>SUMIF(Bets[Date],L177,Bets[Profit])</f>
        <v>9.907820837045751</v>
      </c>
      <c r="P177" s="37" t="str">
        <f>IFERROR("("&amp;ROUND(SUMIF(Bets[Date],L177,Bets[Profit])/SUMIF(Bets[Date],L177,Bets[Risk]),2)*100&amp;"%)","")</f>
        <v>(2%)</v>
      </c>
    </row>
    <row r="178" spans="1:16" x14ac:dyDescent="0.25">
      <c r="A178" s="35">
        <f t="shared" si="8"/>
        <v>22</v>
      </c>
      <c r="B178" s="5">
        <v>43473</v>
      </c>
      <c r="C178" s="5" t="s">
        <v>134</v>
      </c>
      <c r="D178" s="57" t="s">
        <v>290</v>
      </c>
      <c r="E178" s="7" t="s">
        <v>216</v>
      </c>
      <c r="F178" s="33">
        <v>5</v>
      </c>
      <c r="G178" s="63">
        <v>-105</v>
      </c>
      <c r="H178" s="9" t="s">
        <v>36</v>
      </c>
      <c r="I1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7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78" s="36"/>
      <c r="L178" s="36">
        <f t="shared" si="11"/>
        <v>43814</v>
      </c>
      <c r="M178" s="51" t="str">
        <f>COUNTIFS(Bets[Date],L178,Bets[Result],"W")&amp;"-"&amp;COUNTIFS(Bets[Date],L178,Bets[Result],"L")&amp;IF(COUNTIFS(Bets[Date],L178,Bets[Result],"Push")&gt;0,"-"&amp;COUNTIFS(Bets[Date],L178,Bets[Result],"Push"),"")</f>
        <v>0-1</v>
      </c>
      <c r="N178" s="52">
        <f>IFERROR(COUNTIFS(Bets[Date],L178,Bets[Result],"W")/(COUNTIFS(Bets[Date],L178,Bets[Result],"W")+COUNTIFS(Bets[Date],L178,Bets[Result],"L")),"")</f>
        <v>0</v>
      </c>
      <c r="O178" s="38">
        <f>SUMIF(Bets[Date],L178,Bets[Profit])</f>
        <v>-20</v>
      </c>
      <c r="P178" s="37" t="str">
        <f>IFERROR("("&amp;ROUND(SUMIF(Bets[Date],L178,Bets[Profit])/SUMIF(Bets[Date],L178,Bets[Risk]),2)*100&amp;"%)","")</f>
        <v>(-100%)</v>
      </c>
    </row>
    <row r="179" spans="1:16" x14ac:dyDescent="0.25">
      <c r="A179" s="35">
        <f t="shared" si="8"/>
        <v>22</v>
      </c>
      <c r="B179" s="5">
        <v>43473</v>
      </c>
      <c r="C179" s="5" t="s">
        <v>134</v>
      </c>
      <c r="D179" s="57" t="s">
        <v>290</v>
      </c>
      <c r="E179" s="7" t="s">
        <v>291</v>
      </c>
      <c r="F179" s="33">
        <v>5</v>
      </c>
      <c r="G179" s="63">
        <v>-110</v>
      </c>
      <c r="H179" s="9" t="s">
        <v>6</v>
      </c>
      <c r="I1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7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79" s="36"/>
      <c r="L179" s="36">
        <f t="shared" si="11"/>
        <v>43815</v>
      </c>
      <c r="M179" s="51" t="str">
        <f>COUNTIFS(Bets[Date],L179,Bets[Result],"W")&amp;"-"&amp;COUNTIFS(Bets[Date],L179,Bets[Result],"L")&amp;IF(COUNTIFS(Bets[Date],L179,Bets[Result],"Push")&gt;0,"-"&amp;COUNTIFS(Bets[Date],L179,Bets[Result],"Push"),"")</f>
        <v>5-5</v>
      </c>
      <c r="N179" s="52">
        <f>IFERROR(COUNTIFS(Bets[Date],L179,Bets[Result],"W")/(COUNTIFS(Bets[Date],L179,Bets[Result],"W")+COUNTIFS(Bets[Date],L179,Bets[Result],"L")),"")</f>
        <v>0.5</v>
      </c>
      <c r="O179" s="38">
        <f>SUMIF(Bets[Date],L179,Bets[Profit])</f>
        <v>-17.794071907716216</v>
      </c>
      <c r="P179" s="37" t="str">
        <f>IFERROR("("&amp;ROUND(SUMIF(Bets[Date],L179,Bets[Profit])/SUMIF(Bets[Date],L179,Bets[Risk]),2)*100&amp;"%)","")</f>
        <v>(-4%)</v>
      </c>
    </row>
    <row r="180" spans="1:16" x14ac:dyDescent="0.25">
      <c r="A180" s="35">
        <f t="shared" si="8"/>
        <v>22</v>
      </c>
      <c r="B180" s="5">
        <v>43473</v>
      </c>
      <c r="C180" s="5" t="s">
        <v>134</v>
      </c>
      <c r="D180" s="57" t="s">
        <v>292</v>
      </c>
      <c r="E180" s="7" t="s">
        <v>186</v>
      </c>
      <c r="F180" s="33">
        <v>5</v>
      </c>
      <c r="G180" s="63">
        <v>-110</v>
      </c>
      <c r="H180" s="9" t="s">
        <v>36</v>
      </c>
      <c r="I1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8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80" s="36"/>
      <c r="L180" s="36">
        <f t="shared" si="11"/>
        <v>43816</v>
      </c>
      <c r="M180" s="51" t="str">
        <f>COUNTIFS(Bets[Date],L180,Bets[Result],"W")&amp;"-"&amp;COUNTIFS(Bets[Date],L180,Bets[Result],"L")&amp;IF(COUNTIFS(Bets[Date],L180,Bets[Result],"Push")&gt;0,"-"&amp;COUNTIFS(Bets[Date],L180,Bets[Result],"Push"),"")</f>
        <v>8-11</v>
      </c>
      <c r="N180" s="52">
        <f>IFERROR(COUNTIFS(Bets[Date],L180,Bets[Result],"W")/(COUNTIFS(Bets[Date],L180,Bets[Result],"W")+COUNTIFS(Bets[Date],L180,Bets[Result],"L")),"")</f>
        <v>0.42105263157894735</v>
      </c>
      <c r="O180" s="38">
        <f>SUMIF(Bets[Date],L180,Bets[Profit])</f>
        <v>-74.017970065617902</v>
      </c>
      <c r="P180" s="37" t="str">
        <f>IFERROR("("&amp;ROUND(SUMIF(Bets[Date],L180,Bets[Profit])/SUMIF(Bets[Date],L180,Bets[Risk]),2)*100&amp;"%)","")</f>
        <v>(-19%)</v>
      </c>
    </row>
    <row r="181" spans="1:16" x14ac:dyDescent="0.25">
      <c r="A181" s="35">
        <f t="shared" si="8"/>
        <v>22</v>
      </c>
      <c r="B181" s="5">
        <v>43473</v>
      </c>
      <c r="C181" s="5" t="s">
        <v>134</v>
      </c>
      <c r="D181" s="57" t="s">
        <v>292</v>
      </c>
      <c r="E181" s="7" t="s">
        <v>187</v>
      </c>
      <c r="F181" s="33">
        <v>5</v>
      </c>
      <c r="G181" s="63">
        <v>100</v>
      </c>
      <c r="H181" s="9" t="s">
        <v>36</v>
      </c>
      <c r="I1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18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81" s="36"/>
      <c r="L181" s="36">
        <f t="shared" si="11"/>
        <v>43817</v>
      </c>
      <c r="M181" s="51" t="str">
        <f>COUNTIFS(Bets[Date],L181,Bets[Result],"W")&amp;"-"&amp;COUNTIFS(Bets[Date],L181,Bets[Result],"L")&amp;IF(COUNTIFS(Bets[Date],L181,Bets[Result],"Push")&gt;0,"-"&amp;COUNTIFS(Bets[Date],L181,Bets[Result],"Push"),"")</f>
        <v>8-26</v>
      </c>
      <c r="N181" s="52">
        <f>IFERROR(COUNTIFS(Bets[Date],L181,Bets[Result],"W")/(COUNTIFS(Bets[Date],L181,Bets[Result],"W")+COUNTIFS(Bets[Date],L181,Bets[Result],"L")),"")</f>
        <v>0.23529411764705882</v>
      </c>
      <c r="O181" s="38">
        <f>SUMIF(Bets[Date],L181,Bets[Profit])</f>
        <v>-186.8434792967503</v>
      </c>
      <c r="P181" s="37" t="str">
        <f>IFERROR("("&amp;ROUND(SUMIF(Bets[Date],L181,Bets[Profit])/SUMIF(Bets[Date],L181,Bets[Risk]),2)*100&amp;"%)","")</f>
        <v>(-55%)</v>
      </c>
    </row>
    <row r="182" spans="1:16" x14ac:dyDescent="0.25">
      <c r="A182" s="35">
        <f t="shared" si="8"/>
        <v>22</v>
      </c>
      <c r="B182" s="5">
        <v>43473</v>
      </c>
      <c r="C182" s="5" t="s">
        <v>134</v>
      </c>
      <c r="D182" s="57" t="s">
        <v>293</v>
      </c>
      <c r="E182" s="7" t="s">
        <v>225</v>
      </c>
      <c r="F182" s="33">
        <v>5</v>
      </c>
      <c r="G182" s="63">
        <v>-115</v>
      </c>
      <c r="H182" s="9" t="s">
        <v>6</v>
      </c>
      <c r="I1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8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82" s="36"/>
      <c r="L182" s="36">
        <f t="shared" si="11"/>
        <v>43819</v>
      </c>
      <c r="M182" s="51" t="str">
        <f>COUNTIFS(Bets[Date],L182,Bets[Result],"W")&amp;"-"&amp;COUNTIFS(Bets[Date],L182,Bets[Result],"L")&amp;IF(COUNTIFS(Bets[Date],L182,Bets[Result],"Push")&gt;0,"-"&amp;COUNTIFS(Bets[Date],L182,Bets[Result],"Push"),"")</f>
        <v>1-0</v>
      </c>
      <c r="N182" s="52">
        <f>IFERROR(COUNTIFS(Bets[Date],L182,Bets[Result],"W")/(COUNTIFS(Bets[Date],L182,Bets[Result],"W")+COUNTIFS(Bets[Date],L182,Bets[Result],"L")),"")</f>
        <v>1</v>
      </c>
      <c r="O182" s="38">
        <f>SUMIF(Bets[Date],L182,Bets[Profit])</f>
        <v>18.181818181818183</v>
      </c>
      <c r="P182" s="37" t="str">
        <f>IFERROR("("&amp;ROUND(SUMIF(Bets[Date],L182,Bets[Profit])/SUMIF(Bets[Date],L182,Bets[Risk]),2)*100&amp;"%)","")</f>
        <v>(91%)</v>
      </c>
    </row>
    <row r="183" spans="1:16" x14ac:dyDescent="0.25">
      <c r="A183" s="35">
        <f t="shared" si="8"/>
        <v>22</v>
      </c>
      <c r="B183" s="5">
        <v>43473</v>
      </c>
      <c r="C183" s="5" t="s">
        <v>134</v>
      </c>
      <c r="D183" s="57" t="s">
        <v>293</v>
      </c>
      <c r="E183" s="7" t="s">
        <v>294</v>
      </c>
      <c r="F183" s="33">
        <v>5</v>
      </c>
      <c r="G183" s="63">
        <v>-110</v>
      </c>
      <c r="H183" s="9" t="s">
        <v>36</v>
      </c>
      <c r="I1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8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83" s="36"/>
      <c r="L183" s="36">
        <f t="shared" si="11"/>
        <v>43833</v>
      </c>
      <c r="M183" s="51" t="str">
        <f>COUNTIFS(Bets[Date],L183,Bets[Result],"W")&amp;"-"&amp;COUNTIFS(Bets[Date],L183,Bets[Result],"L")&amp;IF(COUNTIFS(Bets[Date],L183,Bets[Result],"Push")&gt;0,"-"&amp;COUNTIFS(Bets[Date],L183,Bets[Result],"Push"),"")</f>
        <v>1-4</v>
      </c>
      <c r="N183" s="52">
        <f>IFERROR(COUNTIFS(Bets[Date],L183,Bets[Result],"W")/(COUNTIFS(Bets[Date],L183,Bets[Result],"W")+COUNTIFS(Bets[Date],L183,Bets[Result],"L")),"")</f>
        <v>0.2</v>
      </c>
      <c r="O183" s="38">
        <f>SUMIF(Bets[Date],L183,Bets[Profit])</f>
        <v>-57.904761904761905</v>
      </c>
      <c r="P183" s="37" t="str">
        <f>IFERROR("("&amp;ROUND(SUMIF(Bets[Date],L183,Bets[Profit])/SUMIF(Bets[Date],L183,Bets[Risk]),2)*100&amp;"%)","")</f>
        <v>(-61%)</v>
      </c>
    </row>
    <row r="184" spans="1:16" x14ac:dyDescent="0.25">
      <c r="A184" s="35">
        <f t="shared" si="8"/>
        <v>22</v>
      </c>
      <c r="B184" s="5">
        <v>43473</v>
      </c>
      <c r="C184" s="5" t="s">
        <v>134</v>
      </c>
      <c r="D184" s="57" t="s">
        <v>295</v>
      </c>
      <c r="E184" s="7" t="s">
        <v>211</v>
      </c>
      <c r="F184" s="33">
        <v>5</v>
      </c>
      <c r="G184" s="63">
        <v>-110</v>
      </c>
      <c r="H184" s="9" t="s">
        <v>36</v>
      </c>
      <c r="I1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8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84" s="36"/>
      <c r="L184" s="36">
        <f t="shared" si="11"/>
        <v>43834</v>
      </c>
      <c r="M184" s="51" t="str">
        <f>COUNTIFS(Bets[Date],L184,Bets[Result],"W")&amp;"-"&amp;COUNTIFS(Bets[Date],L184,Bets[Result],"L")&amp;IF(COUNTIFS(Bets[Date],L184,Bets[Result],"Push")&gt;0,"-"&amp;COUNTIFS(Bets[Date],L184,Bets[Result],"Push"),"")</f>
        <v>1-2</v>
      </c>
      <c r="N184" s="52">
        <f>IFERROR(COUNTIFS(Bets[Date],L184,Bets[Result],"W")/(COUNTIFS(Bets[Date],L184,Bets[Result],"W")+COUNTIFS(Bets[Date],L184,Bets[Result],"L")),"")</f>
        <v>0.33333333333333331</v>
      </c>
      <c r="O184" s="38">
        <f>SUMIF(Bets[Date],L184,Bets[Profit])</f>
        <v>-41.06818181818182</v>
      </c>
      <c r="P184" s="37" t="str">
        <f>IFERROR("("&amp;ROUND(SUMIF(Bets[Date],L184,Bets[Profit])/SUMIF(Bets[Date],L184,Bets[Risk]),2)*100&amp;"%)","")</f>
        <v>(-49%)</v>
      </c>
    </row>
    <row r="185" spans="1:16" x14ac:dyDescent="0.25">
      <c r="A185" s="35">
        <f t="shared" si="8"/>
        <v>22</v>
      </c>
      <c r="B185" s="5">
        <v>43473</v>
      </c>
      <c r="C185" s="5" t="s">
        <v>134</v>
      </c>
      <c r="D185" s="57" t="s">
        <v>295</v>
      </c>
      <c r="E185" s="7" t="s">
        <v>296</v>
      </c>
      <c r="F185" s="33">
        <v>5</v>
      </c>
      <c r="G185" s="63">
        <v>-110</v>
      </c>
      <c r="H185" s="9" t="s">
        <v>6</v>
      </c>
      <c r="I1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8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85" s="36"/>
      <c r="L185" s="36">
        <f t="shared" si="11"/>
        <v>43835</v>
      </c>
      <c r="M185" s="51" t="str">
        <f>COUNTIFS(Bets[Date],L185,Bets[Result],"W")&amp;"-"&amp;COUNTIFS(Bets[Date],L185,Bets[Result],"L")&amp;IF(COUNTIFS(Bets[Date],L185,Bets[Result],"Push")&gt;0,"-"&amp;COUNTIFS(Bets[Date],L185,Bets[Result],"Push"),"")</f>
        <v>1-2</v>
      </c>
      <c r="N185" s="52">
        <f>IFERROR(COUNTIFS(Bets[Date],L185,Bets[Result],"W")/(COUNTIFS(Bets[Date],L185,Bets[Result],"W")+COUNTIFS(Bets[Date],L185,Bets[Result],"L")),"")</f>
        <v>0.33333333333333331</v>
      </c>
      <c r="O185" s="38">
        <f>SUMIF(Bets[Date],L185,Bets[Profit])</f>
        <v>-22.884862385321103</v>
      </c>
      <c r="P185" s="37" t="str">
        <f>IFERROR("("&amp;ROUND(SUMIF(Bets[Date],L185,Bets[Profit])/SUMIF(Bets[Date],L185,Bets[Risk]),2)*100&amp;"%)","")</f>
        <v>(-35%)</v>
      </c>
    </row>
    <row r="186" spans="1:16" x14ac:dyDescent="0.25">
      <c r="A186" s="35">
        <f t="shared" si="8"/>
        <v>22</v>
      </c>
      <c r="B186" s="5">
        <v>43473</v>
      </c>
      <c r="C186" s="5" t="s">
        <v>134</v>
      </c>
      <c r="D186" s="57" t="s">
        <v>297</v>
      </c>
      <c r="E186" s="7" t="s">
        <v>166</v>
      </c>
      <c r="F186" s="33">
        <v>5</v>
      </c>
      <c r="G186" s="63">
        <v>-105</v>
      </c>
      <c r="H186" s="9" t="s">
        <v>36</v>
      </c>
      <c r="I1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8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86" s="36"/>
      <c r="L186" s="36">
        <f t="shared" si="11"/>
        <v>43836</v>
      </c>
      <c r="M186" s="51" t="str">
        <f>COUNTIFS(Bets[Date],L186,Bets[Result],"W")&amp;"-"&amp;COUNTIFS(Bets[Date],L186,Bets[Result],"L")&amp;IF(COUNTIFS(Bets[Date],L186,Bets[Result],"Push")&gt;0,"-"&amp;COUNTIFS(Bets[Date],L186,Bets[Result],"Push"),"")</f>
        <v>5-4</v>
      </c>
      <c r="N186" s="52">
        <f>IFERROR(COUNTIFS(Bets[Date],L186,Bets[Result],"W")/(COUNTIFS(Bets[Date],L186,Bets[Result],"W")+COUNTIFS(Bets[Date],L186,Bets[Result],"L")),"")</f>
        <v>0.55555555555555558</v>
      </c>
      <c r="O186" s="38">
        <f>SUMIF(Bets[Date],L186,Bets[Profit])</f>
        <v>8.8280718466991246</v>
      </c>
      <c r="P186" s="37" t="str">
        <f>IFERROR("("&amp;ROUND(SUMIF(Bets[Date],L186,Bets[Profit])/SUMIF(Bets[Date],L186,Bets[Risk]),2)*100&amp;"%)","")</f>
        <v>(7%)</v>
      </c>
    </row>
    <row r="187" spans="1:16" x14ac:dyDescent="0.25">
      <c r="A187" s="35">
        <f t="shared" si="8"/>
        <v>22</v>
      </c>
      <c r="B187" s="5">
        <v>43473</v>
      </c>
      <c r="C187" s="5" t="s">
        <v>134</v>
      </c>
      <c r="D187" s="57" t="s">
        <v>297</v>
      </c>
      <c r="E187" s="7" t="s">
        <v>298</v>
      </c>
      <c r="F187" s="33">
        <v>5</v>
      </c>
      <c r="G187" s="63">
        <v>-115</v>
      </c>
      <c r="H187" s="9" t="s">
        <v>36</v>
      </c>
      <c r="I1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8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87" s="36"/>
      <c r="L187" s="36">
        <f t="shared" si="11"/>
        <v>43837</v>
      </c>
      <c r="M187" s="51" t="str">
        <f>COUNTIFS(Bets[Date],L187,Bets[Result],"W")&amp;"-"&amp;COUNTIFS(Bets[Date],L187,Bets[Result],"L")&amp;IF(COUNTIFS(Bets[Date],L187,Bets[Result],"Push")&gt;0,"-"&amp;COUNTIFS(Bets[Date],L187,Bets[Result],"Push"),"")</f>
        <v>9-6</v>
      </c>
      <c r="N187" s="52">
        <f>IFERROR(COUNTIFS(Bets[Date],L187,Bets[Result],"W")/(COUNTIFS(Bets[Date],L187,Bets[Result],"W")+COUNTIFS(Bets[Date],L187,Bets[Result],"L")),"")</f>
        <v>0.6</v>
      </c>
      <c r="O187" s="38">
        <f>SUMIF(Bets[Date],L187,Bets[Profit])</f>
        <v>21.041614271511165</v>
      </c>
      <c r="P187" s="37" t="str">
        <f>IFERROR("("&amp;ROUND(SUMIF(Bets[Date],L187,Bets[Profit])/SUMIF(Bets[Date],L187,Bets[Risk]),2)*100&amp;"%)","")</f>
        <v>(14%)</v>
      </c>
    </row>
    <row r="188" spans="1:16" x14ac:dyDescent="0.25">
      <c r="A188" s="35">
        <f t="shared" si="8"/>
        <v>23</v>
      </c>
      <c r="B188" s="5">
        <v>43474</v>
      </c>
      <c r="C188" s="5" t="s">
        <v>134</v>
      </c>
      <c r="D188" s="57" t="s">
        <v>303</v>
      </c>
      <c r="E188" s="7" t="s">
        <v>144</v>
      </c>
      <c r="F188" s="33">
        <v>5</v>
      </c>
      <c r="G188" s="63">
        <v>-105</v>
      </c>
      <c r="H188" s="9" t="s">
        <v>6</v>
      </c>
      <c r="I1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8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88" s="36"/>
      <c r="L188" s="36">
        <f t="shared" si="11"/>
        <v>43838</v>
      </c>
      <c r="M188" s="51" t="str">
        <f>COUNTIFS(Bets[Date],L188,Bets[Result],"W")&amp;"-"&amp;COUNTIFS(Bets[Date],L188,Bets[Result],"L")&amp;IF(COUNTIFS(Bets[Date],L188,Bets[Result],"Push")&gt;0,"-"&amp;COUNTIFS(Bets[Date],L188,Bets[Result],"Push"),"")</f>
        <v>3-13</v>
      </c>
      <c r="N188" s="52">
        <f>IFERROR(COUNTIFS(Bets[Date],L188,Bets[Result],"W")/(COUNTIFS(Bets[Date],L188,Bets[Result],"W")+COUNTIFS(Bets[Date],L188,Bets[Result],"L")),"")</f>
        <v>0.1875</v>
      </c>
      <c r="O188" s="38">
        <f>SUMIF(Bets[Date],L188,Bets[Profit])</f>
        <v>-103.45132743362832</v>
      </c>
      <c r="P188" s="37" t="str">
        <f>IFERROR("("&amp;ROUND(SUMIF(Bets[Date],L188,Bets[Profit])/SUMIF(Bets[Date],L188,Bets[Risk]),2)*100&amp;"%)","")</f>
        <v>(-65%)</v>
      </c>
    </row>
    <row r="189" spans="1:16" x14ac:dyDescent="0.25">
      <c r="A189" s="35">
        <f t="shared" si="8"/>
        <v>23</v>
      </c>
      <c r="B189" s="5">
        <v>43474</v>
      </c>
      <c r="C189" s="5" t="s">
        <v>134</v>
      </c>
      <c r="D189" s="57" t="s">
        <v>303</v>
      </c>
      <c r="E189" s="7" t="s">
        <v>304</v>
      </c>
      <c r="F189" s="33">
        <v>5</v>
      </c>
      <c r="G189" s="63">
        <v>-110</v>
      </c>
      <c r="H189" s="9" t="s">
        <v>6</v>
      </c>
      <c r="I1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8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189" s="36"/>
      <c r="L189" s="36">
        <f t="shared" si="11"/>
        <v>43839</v>
      </c>
      <c r="M189" s="51" t="str">
        <f>COUNTIFS(Bets[Date],L189,Bets[Result],"W")&amp;"-"&amp;COUNTIFS(Bets[Date],L189,Bets[Result],"L")&amp;IF(COUNTIFS(Bets[Date],L189,Bets[Result],"Push")&gt;0,"-"&amp;COUNTIFS(Bets[Date],L189,Bets[Result],"Push"),"")</f>
        <v>3-8-1</v>
      </c>
      <c r="N189" s="52">
        <f>IFERROR(COUNTIFS(Bets[Date],L189,Bets[Result],"W")/(COUNTIFS(Bets[Date],L189,Bets[Result],"W")+COUNTIFS(Bets[Date],L189,Bets[Result],"L")),"")</f>
        <v>0.27272727272727271</v>
      </c>
      <c r="O189" s="38">
        <f>SUMIF(Bets[Date],L189,Bets[Profit])</f>
        <v>-26.318928692781903</v>
      </c>
      <c r="P189" s="37" t="str">
        <f>IFERROR("("&amp;ROUND(SUMIF(Bets[Date],L189,Bets[Profit])/SUMIF(Bets[Date],L189,Bets[Risk]),2)*100&amp;"%)","")</f>
        <v>(-44%)</v>
      </c>
    </row>
    <row r="190" spans="1:16" x14ac:dyDescent="0.25">
      <c r="A190" s="35">
        <f t="shared" si="8"/>
        <v>23</v>
      </c>
      <c r="B190" s="5">
        <v>43474</v>
      </c>
      <c r="C190" s="5" t="s">
        <v>134</v>
      </c>
      <c r="D190" s="57" t="s">
        <v>305</v>
      </c>
      <c r="E190" s="7" t="s">
        <v>306</v>
      </c>
      <c r="F190" s="33">
        <v>5</v>
      </c>
      <c r="G190" s="63">
        <v>-115</v>
      </c>
      <c r="H190" s="9" t="s">
        <v>36</v>
      </c>
      <c r="I1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9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90" s="36"/>
      <c r="L190" s="36">
        <f t="shared" si="11"/>
        <v>43840</v>
      </c>
      <c r="M190" s="51" t="str">
        <f>COUNTIFS(Bets[Date],L190,Bets[Result],"W")&amp;"-"&amp;COUNTIFS(Bets[Date],L190,Bets[Result],"L")&amp;IF(COUNTIFS(Bets[Date],L190,Bets[Result],"Push")&gt;0,"-"&amp;COUNTIFS(Bets[Date],L190,Bets[Result],"Push"),"")</f>
        <v>0-1</v>
      </c>
      <c r="N190" s="52">
        <f>IFERROR(COUNTIFS(Bets[Date],L190,Bets[Result],"W")/(COUNTIFS(Bets[Date],L190,Bets[Result],"W")+COUNTIFS(Bets[Date],L190,Bets[Result],"L")),"")</f>
        <v>0</v>
      </c>
      <c r="O190" s="38">
        <f>SUMIF(Bets[Date],L190,Bets[Profit])</f>
        <v>-0.23</v>
      </c>
      <c r="P190" s="37" t="str">
        <f>IFERROR("("&amp;ROUND(SUMIF(Bets[Date],L190,Bets[Profit])/SUMIF(Bets[Date],L190,Bets[Risk]),2)*100&amp;"%)","")</f>
        <v>(-100%)</v>
      </c>
    </row>
    <row r="191" spans="1:16" x14ac:dyDescent="0.25">
      <c r="A191" s="35">
        <f t="shared" si="8"/>
        <v>23</v>
      </c>
      <c r="B191" s="5">
        <v>43474</v>
      </c>
      <c r="C191" s="5" t="s">
        <v>134</v>
      </c>
      <c r="D191" s="57" t="s">
        <v>307</v>
      </c>
      <c r="E191" s="7" t="s">
        <v>216</v>
      </c>
      <c r="F191" s="33">
        <v>5</v>
      </c>
      <c r="G191" s="63">
        <v>-110</v>
      </c>
      <c r="H191" s="9" t="s">
        <v>36</v>
      </c>
      <c r="I1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9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91" s="36"/>
      <c r="L191" s="36">
        <f t="shared" si="11"/>
        <v>43841</v>
      </c>
      <c r="M191" s="51" t="str">
        <f>COUNTIFS(Bets[Date],L191,Bets[Result],"W")&amp;"-"&amp;COUNTIFS(Bets[Date],L191,Bets[Result],"L")&amp;IF(COUNTIFS(Bets[Date],L191,Bets[Result],"Push")&gt;0,"-"&amp;COUNTIFS(Bets[Date],L191,Bets[Result],"Push"),"")</f>
        <v>1-1</v>
      </c>
      <c r="N191" s="52">
        <f>IFERROR(COUNTIFS(Bets[Date],L191,Bets[Result],"W")/(COUNTIFS(Bets[Date],L191,Bets[Result],"W")+COUNTIFS(Bets[Date],L191,Bets[Result],"L")),"")</f>
        <v>0.5</v>
      </c>
      <c r="O191" s="38">
        <f>SUMIF(Bets[Date],L191,Bets[Profit])</f>
        <v>-3.365384615384615</v>
      </c>
      <c r="P191" s="37" t="str">
        <f>IFERROR("("&amp;ROUND(SUMIF(Bets[Date],L191,Bets[Profit])/SUMIF(Bets[Date],L191,Bets[Risk]),2)*100&amp;"%)","")</f>
        <v>(-9%)</v>
      </c>
    </row>
    <row r="192" spans="1:16" x14ac:dyDescent="0.25">
      <c r="A192" s="35">
        <f t="shared" si="8"/>
        <v>23</v>
      </c>
      <c r="B192" s="5">
        <v>43474</v>
      </c>
      <c r="C192" s="5" t="s">
        <v>134</v>
      </c>
      <c r="D192" s="57" t="s">
        <v>307</v>
      </c>
      <c r="E192" s="7" t="s">
        <v>308</v>
      </c>
      <c r="F192" s="33">
        <v>5</v>
      </c>
      <c r="G192" s="63">
        <v>-110</v>
      </c>
      <c r="H192" s="9" t="s">
        <v>36</v>
      </c>
      <c r="I1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9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2" s="36"/>
      <c r="L192" s="36">
        <f t="shared" si="11"/>
        <v>43842</v>
      </c>
      <c r="M192" s="51" t="str">
        <f>COUNTIFS(Bets[Date],L192,Bets[Result],"W")&amp;"-"&amp;COUNTIFS(Bets[Date],L192,Bets[Result],"L")&amp;IF(COUNTIFS(Bets[Date],L192,Bets[Result],"Push")&gt;0,"-"&amp;COUNTIFS(Bets[Date],L192,Bets[Result],"Push"),"")</f>
        <v>0-3</v>
      </c>
      <c r="N192" s="52">
        <f>IFERROR(COUNTIFS(Bets[Date],L192,Bets[Result],"W")/(COUNTIFS(Bets[Date],L192,Bets[Result],"W")+COUNTIFS(Bets[Date],L192,Bets[Result],"L")),"")</f>
        <v>0</v>
      </c>
      <c r="O192" s="38">
        <f>SUMIF(Bets[Date],L192,Bets[Profit])</f>
        <v>-35.4</v>
      </c>
      <c r="P192" s="37" t="str">
        <f>IFERROR("("&amp;ROUND(SUMIF(Bets[Date],L192,Bets[Profit])/SUMIF(Bets[Date],L192,Bets[Risk]),2)*100&amp;"%)","")</f>
        <v>(-100%)</v>
      </c>
    </row>
    <row r="193" spans="1:16" x14ac:dyDescent="0.25">
      <c r="A193" s="35">
        <f t="shared" si="8"/>
        <v>23</v>
      </c>
      <c r="B193" s="5">
        <v>43474</v>
      </c>
      <c r="C193" s="5" t="s">
        <v>134</v>
      </c>
      <c r="D193" s="57" t="s">
        <v>309</v>
      </c>
      <c r="E193" s="7" t="s">
        <v>310</v>
      </c>
      <c r="F193" s="33">
        <v>5</v>
      </c>
      <c r="G193" s="63">
        <v>-110</v>
      </c>
      <c r="H193" s="9" t="s">
        <v>36</v>
      </c>
      <c r="I1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9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3" s="36"/>
      <c r="L193" s="36">
        <f t="shared" si="11"/>
        <v>43843</v>
      </c>
      <c r="M193" s="51" t="str">
        <f>COUNTIFS(Bets[Date],L193,Bets[Result],"W")&amp;"-"&amp;COUNTIFS(Bets[Date],L193,Bets[Result],"L")&amp;IF(COUNTIFS(Bets[Date],L193,Bets[Result],"Push")&gt;0,"-"&amp;COUNTIFS(Bets[Date],L193,Bets[Result],"Push"),"")</f>
        <v>2-4</v>
      </c>
      <c r="N193" s="52">
        <f>IFERROR(COUNTIFS(Bets[Date],L193,Bets[Result],"W")/(COUNTIFS(Bets[Date],L193,Bets[Result],"W")+COUNTIFS(Bets[Date],L193,Bets[Result],"L")),"")</f>
        <v>0.33333333333333331</v>
      </c>
      <c r="O193" s="38">
        <f>SUMIF(Bets[Date],L193,Bets[Profit])</f>
        <v>-45.315315315315317</v>
      </c>
      <c r="P193" s="37" t="str">
        <f>IFERROR("("&amp;ROUND(SUMIF(Bets[Date],L193,Bets[Profit])/SUMIF(Bets[Date],L193,Bets[Risk]),2)*100&amp;"%)","")</f>
        <v>(-38%)</v>
      </c>
    </row>
    <row r="194" spans="1:16" x14ac:dyDescent="0.25">
      <c r="A194" s="35">
        <f t="shared" si="8"/>
        <v>23</v>
      </c>
      <c r="B194" s="5">
        <v>43474</v>
      </c>
      <c r="C194" s="5" t="s">
        <v>134</v>
      </c>
      <c r="D194" s="57" t="s">
        <v>311</v>
      </c>
      <c r="E194" s="7" t="s">
        <v>312</v>
      </c>
      <c r="F194" s="33">
        <v>5</v>
      </c>
      <c r="G194" s="63">
        <v>-110</v>
      </c>
      <c r="H194" s="9" t="s">
        <v>6</v>
      </c>
      <c r="I1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9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194" s="36"/>
      <c r="L194" s="36">
        <f t="shared" si="11"/>
        <v>43844</v>
      </c>
      <c r="M194" s="51" t="str">
        <f>COUNTIFS(Bets[Date],L194,Bets[Result],"W")&amp;"-"&amp;COUNTIFS(Bets[Date],L194,Bets[Result],"L")&amp;IF(COUNTIFS(Bets[Date],L194,Bets[Result],"Push")&gt;0,"-"&amp;COUNTIFS(Bets[Date],L194,Bets[Result],"Push"),"")</f>
        <v>3-4</v>
      </c>
      <c r="N194" s="52">
        <f>IFERROR(COUNTIFS(Bets[Date],L194,Bets[Result],"W")/(COUNTIFS(Bets[Date],L194,Bets[Result],"W")+COUNTIFS(Bets[Date],L194,Bets[Result],"L")),"")</f>
        <v>0.42857142857142855</v>
      </c>
      <c r="O194" s="38">
        <f>SUMIF(Bets[Date],L194,Bets[Profit])</f>
        <v>-10.434514637904469</v>
      </c>
      <c r="P194" s="37" t="str">
        <f>IFERROR("("&amp;ROUND(SUMIF(Bets[Date],L194,Bets[Profit])/SUMIF(Bets[Date],L194,Bets[Risk]),2)*100&amp;"%)","")</f>
        <v>(-15%)</v>
      </c>
    </row>
    <row r="195" spans="1:16" x14ac:dyDescent="0.25">
      <c r="A195" s="35">
        <f t="shared" si="8"/>
        <v>23</v>
      </c>
      <c r="B195" s="5">
        <v>43474</v>
      </c>
      <c r="C195" s="5" t="s">
        <v>134</v>
      </c>
      <c r="D195" s="57" t="s">
        <v>311</v>
      </c>
      <c r="E195" s="7" t="s">
        <v>313</v>
      </c>
      <c r="F195" s="33">
        <v>5</v>
      </c>
      <c r="G195" s="63">
        <v>-105</v>
      </c>
      <c r="H195" s="9" t="s">
        <v>36</v>
      </c>
      <c r="I1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19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5" s="36"/>
      <c r="L195" s="36">
        <f t="shared" si="11"/>
        <v>43845</v>
      </c>
      <c r="M195" s="51" t="str">
        <f>COUNTIFS(Bets[Date],L195,Bets[Result],"W")&amp;"-"&amp;COUNTIFS(Bets[Date],L195,Bets[Result],"L")&amp;IF(COUNTIFS(Bets[Date],L195,Bets[Result],"Push")&gt;0,"-"&amp;COUNTIFS(Bets[Date],L195,Bets[Result],"Push"),"")</f>
        <v>3-2</v>
      </c>
      <c r="N195" s="52">
        <f>IFERROR(COUNTIFS(Bets[Date],L195,Bets[Result],"W")/(COUNTIFS(Bets[Date],L195,Bets[Result],"W")+COUNTIFS(Bets[Date],L195,Bets[Result],"L")),"")</f>
        <v>0.6</v>
      </c>
      <c r="O195" s="38">
        <f>SUMIF(Bets[Date],L195,Bets[Profit])</f>
        <v>8.1385281385281374</v>
      </c>
      <c r="P195" s="37" t="str">
        <f>IFERROR("("&amp;ROUND(SUMIF(Bets[Date],L195,Bets[Profit])/SUMIF(Bets[Date],L195,Bets[Risk]),2)*100&amp;"%)","")</f>
        <v>(16%)</v>
      </c>
    </row>
    <row r="196" spans="1:16" x14ac:dyDescent="0.25">
      <c r="A196" s="35">
        <f t="shared" ref="A196:A259" si="12">IF(B196=B195,A195,A195+1)</f>
        <v>23</v>
      </c>
      <c r="B196" s="5">
        <v>43474</v>
      </c>
      <c r="C196" s="5" t="s">
        <v>134</v>
      </c>
      <c r="D196" s="57" t="s">
        <v>314</v>
      </c>
      <c r="E196" s="7" t="s">
        <v>246</v>
      </c>
      <c r="F196" s="33">
        <v>5</v>
      </c>
      <c r="G196" s="63">
        <v>-115</v>
      </c>
      <c r="H196" s="9" t="s">
        <v>36</v>
      </c>
      <c r="I1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19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96" s="36"/>
      <c r="L196" s="36">
        <f t="shared" ref="L196:L201" si="13">IFERROR(VLOOKUP(ROW()-3,A:B,2,0),0)</f>
        <v>43846</v>
      </c>
      <c r="M196" s="51" t="str">
        <f>COUNTIFS(Bets[Date],L196,Bets[Result],"W")&amp;"-"&amp;COUNTIFS(Bets[Date],L196,Bets[Result],"L")&amp;IF(COUNTIFS(Bets[Date],L196,Bets[Result],"Push")&gt;0,"-"&amp;COUNTIFS(Bets[Date],L196,Bets[Result],"Push"),"")</f>
        <v>7-2</v>
      </c>
      <c r="N196" s="52">
        <f>IFERROR(COUNTIFS(Bets[Date],L196,Bets[Result],"W")/(COUNTIFS(Bets[Date],L196,Bets[Result],"W")+COUNTIFS(Bets[Date],L196,Bets[Result],"L")),"")</f>
        <v>0.77777777777777779</v>
      </c>
      <c r="O196" s="38">
        <f>SUMIF(Bets[Date],L196,Bets[Profit])</f>
        <v>43.020030816640997</v>
      </c>
      <c r="P196" s="37" t="str">
        <f>IFERROR("("&amp;ROUND(SUMIF(Bets[Date],L196,Bets[Profit])/SUMIF(Bets[Date],L196,Bets[Risk]),2)*100&amp;"%)","")</f>
        <v>(48%)</v>
      </c>
    </row>
    <row r="197" spans="1:16" x14ac:dyDescent="0.25">
      <c r="A197" s="35">
        <f t="shared" si="12"/>
        <v>23</v>
      </c>
      <c r="B197" s="5">
        <v>43474</v>
      </c>
      <c r="C197" s="5" t="s">
        <v>134</v>
      </c>
      <c r="D197" s="57" t="s">
        <v>314</v>
      </c>
      <c r="E197" s="7" t="s">
        <v>315</v>
      </c>
      <c r="F197" s="33">
        <v>5</v>
      </c>
      <c r="G197" s="63">
        <v>-110</v>
      </c>
      <c r="H197" s="9" t="s">
        <v>6</v>
      </c>
      <c r="I1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9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7" s="36"/>
      <c r="L197" s="36">
        <f t="shared" si="13"/>
        <v>43847</v>
      </c>
      <c r="M197" s="51" t="str">
        <f>COUNTIFS(Bets[Date],L197,Bets[Result],"W")&amp;"-"&amp;COUNTIFS(Bets[Date],L197,Bets[Result],"L")&amp;IF(COUNTIFS(Bets[Date],L197,Bets[Result],"Push")&gt;0,"-"&amp;COUNTIFS(Bets[Date],L197,Bets[Result],"Push"),"")</f>
        <v>5-5</v>
      </c>
      <c r="N197" s="52">
        <f>IFERROR(COUNTIFS(Bets[Date],L197,Bets[Result],"W")/(COUNTIFS(Bets[Date],L197,Bets[Result],"W")+COUNTIFS(Bets[Date],L197,Bets[Result],"L")),"")</f>
        <v>0.5</v>
      </c>
      <c r="O197" s="38">
        <f>SUMIF(Bets[Date],L197,Bets[Profit])</f>
        <v>3.6079096045197687</v>
      </c>
      <c r="P197" s="37" t="str">
        <f>IFERROR("("&amp;ROUND(SUMIF(Bets[Date],L197,Bets[Profit])/SUMIF(Bets[Date],L197,Bets[Risk]),2)*100&amp;"%)","")</f>
        <v>(4%)</v>
      </c>
    </row>
    <row r="198" spans="1:16" x14ac:dyDescent="0.25">
      <c r="A198" s="35">
        <f t="shared" si="12"/>
        <v>23</v>
      </c>
      <c r="B198" s="5">
        <v>43474</v>
      </c>
      <c r="C198" s="5" t="s">
        <v>134</v>
      </c>
      <c r="D198" s="57" t="s">
        <v>316</v>
      </c>
      <c r="E198" s="7" t="s">
        <v>317</v>
      </c>
      <c r="F198" s="33">
        <v>5</v>
      </c>
      <c r="G198" s="63">
        <v>-110</v>
      </c>
      <c r="H198" s="9" t="s">
        <v>36</v>
      </c>
      <c r="I1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9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8" s="36"/>
      <c r="L198" s="36">
        <f t="shared" si="13"/>
        <v>43848</v>
      </c>
      <c r="M198" s="51" t="str">
        <f>COUNTIFS(Bets[Date],L198,Bets[Result],"W")&amp;"-"&amp;COUNTIFS(Bets[Date],L198,Bets[Result],"L")&amp;IF(COUNTIFS(Bets[Date],L198,Bets[Result],"Push")&gt;0,"-"&amp;COUNTIFS(Bets[Date],L198,Bets[Result],"Push"),"")</f>
        <v>5-3</v>
      </c>
      <c r="N198" s="52">
        <f>IFERROR(COUNTIFS(Bets[Date],L198,Bets[Result],"W")/(COUNTIFS(Bets[Date],L198,Bets[Result],"W")+COUNTIFS(Bets[Date],L198,Bets[Result],"L")),"")</f>
        <v>0.625</v>
      </c>
      <c r="O198" s="38">
        <f>SUMIF(Bets[Date],L198,Bets[Profit])</f>
        <v>16.753246753246756</v>
      </c>
      <c r="P198" s="37" t="str">
        <f>IFERROR("("&amp;ROUND(SUMIF(Bets[Date],L198,Bets[Profit])/SUMIF(Bets[Date],L198,Bets[Risk]),2)*100&amp;"%)","")</f>
        <v>(21%)</v>
      </c>
    </row>
    <row r="199" spans="1:16" x14ac:dyDescent="0.25">
      <c r="A199" s="35">
        <f t="shared" si="12"/>
        <v>23</v>
      </c>
      <c r="B199" s="5">
        <v>43474</v>
      </c>
      <c r="C199" s="5" t="s">
        <v>134</v>
      </c>
      <c r="D199" s="57" t="s">
        <v>318</v>
      </c>
      <c r="E199" s="7" t="s">
        <v>319</v>
      </c>
      <c r="F199" s="33">
        <v>5</v>
      </c>
      <c r="G199" s="63">
        <v>-110</v>
      </c>
      <c r="H199" s="9" t="s">
        <v>36</v>
      </c>
      <c r="I1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19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199" s="36"/>
      <c r="L199" s="36">
        <f t="shared" si="13"/>
        <v>43849</v>
      </c>
      <c r="M199" s="51" t="str">
        <f>COUNTIFS(Bets[Date],L199,Bets[Result],"W")&amp;"-"&amp;COUNTIFS(Bets[Date],L199,Bets[Result],"L")&amp;IF(COUNTIFS(Bets[Date],L199,Bets[Result],"Push")&gt;0,"-"&amp;COUNTIFS(Bets[Date],L199,Bets[Result],"Push"),"")</f>
        <v>0-4</v>
      </c>
      <c r="N199" s="52">
        <f>IFERROR(COUNTIFS(Bets[Date],L199,Bets[Result],"W")/(COUNTIFS(Bets[Date],L199,Bets[Result],"W")+COUNTIFS(Bets[Date],L199,Bets[Result],"L")),"")</f>
        <v>0</v>
      </c>
      <c r="O199" s="38">
        <f>SUMIF(Bets[Date],L199,Bets[Profit])</f>
        <v>-80</v>
      </c>
      <c r="P199" s="37" t="str">
        <f>IFERROR("("&amp;ROUND(SUMIF(Bets[Date],L199,Bets[Profit])/SUMIF(Bets[Date],L199,Bets[Risk]),2)*100&amp;"%)","")</f>
        <v>(-100%)</v>
      </c>
    </row>
    <row r="200" spans="1:16" x14ac:dyDescent="0.25">
      <c r="A200" s="35">
        <f t="shared" si="12"/>
        <v>23</v>
      </c>
      <c r="B200" s="5">
        <v>43474</v>
      </c>
      <c r="C200" s="5" t="s">
        <v>134</v>
      </c>
      <c r="D200" s="57" t="s">
        <v>320</v>
      </c>
      <c r="E200" s="7" t="s">
        <v>201</v>
      </c>
      <c r="F200" s="33">
        <v>5</v>
      </c>
      <c r="G200" s="63">
        <v>-115</v>
      </c>
      <c r="H200" s="9" t="s">
        <v>36</v>
      </c>
      <c r="I2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20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0" s="36"/>
      <c r="L200" s="36">
        <f t="shared" si="13"/>
        <v>43850</v>
      </c>
      <c r="M200" s="51" t="str">
        <f>COUNTIFS(Bets[Date],L200,Bets[Result],"W")&amp;"-"&amp;COUNTIFS(Bets[Date],L200,Bets[Result],"L")&amp;IF(COUNTIFS(Bets[Date],L200,Bets[Result],"Push")&gt;0,"-"&amp;COUNTIFS(Bets[Date],L200,Bets[Result],"Push"),"")</f>
        <v>5-3</v>
      </c>
      <c r="N200" s="52">
        <f>IFERROR(COUNTIFS(Bets[Date],L200,Bets[Result],"W")/(COUNTIFS(Bets[Date],L200,Bets[Result],"W")+COUNTIFS(Bets[Date],L200,Bets[Result],"L")),"")</f>
        <v>0.625</v>
      </c>
      <c r="O200" s="38">
        <f>SUMIF(Bets[Date],L200,Bets[Profit])</f>
        <v>16.671346671346669</v>
      </c>
      <c r="P200" s="37" t="str">
        <f>IFERROR("("&amp;ROUND(SUMIF(Bets[Date],L200,Bets[Profit])/SUMIF(Bets[Date],L200,Bets[Risk]),2)*100&amp;"%)","")</f>
        <v>(21%)</v>
      </c>
    </row>
    <row r="201" spans="1:16" x14ac:dyDescent="0.25">
      <c r="A201" s="35">
        <f t="shared" si="12"/>
        <v>23</v>
      </c>
      <c r="B201" s="5">
        <v>43474</v>
      </c>
      <c r="C201" s="5" t="s">
        <v>134</v>
      </c>
      <c r="D201" s="57" t="s">
        <v>320</v>
      </c>
      <c r="E201" s="7" t="s">
        <v>321</v>
      </c>
      <c r="F201" s="33">
        <v>5</v>
      </c>
      <c r="G201" s="63">
        <v>-110</v>
      </c>
      <c r="H201" s="9" t="s">
        <v>36</v>
      </c>
      <c r="I2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0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01" s="36"/>
      <c r="L201" s="36">
        <f t="shared" si="13"/>
        <v>43851</v>
      </c>
      <c r="M201" s="51" t="str">
        <f>COUNTIFS(Bets[Date],L201,Bets[Result],"W")&amp;"-"&amp;COUNTIFS(Bets[Date],L201,Bets[Result],"L")&amp;IF(COUNTIFS(Bets[Date],L201,Bets[Result],"Push")&gt;0,"-"&amp;COUNTIFS(Bets[Date],L201,Bets[Result],"Push"),"")</f>
        <v>4-4</v>
      </c>
      <c r="N201" s="52">
        <f>IFERROR(COUNTIFS(Bets[Date],L201,Bets[Result],"W")/(COUNTIFS(Bets[Date],L201,Bets[Result],"W")+COUNTIFS(Bets[Date],L201,Bets[Result],"L")),"")</f>
        <v>0.5</v>
      </c>
      <c r="O201" s="38">
        <f>SUMIF(Bets[Date],L201,Bets[Profit])</f>
        <v>-6.1569816151003893</v>
      </c>
      <c r="P201" s="37" t="str">
        <f>IFERROR("("&amp;ROUND(SUMIF(Bets[Date],L201,Bets[Profit])/SUMIF(Bets[Date],L201,Bets[Risk]),2)*100&amp;"%)","")</f>
        <v>(-8%)</v>
      </c>
    </row>
    <row r="202" spans="1:16" x14ac:dyDescent="0.25">
      <c r="A202" s="35">
        <f t="shared" si="12"/>
        <v>24</v>
      </c>
      <c r="B202" s="5">
        <v>43475</v>
      </c>
      <c r="C202" s="5" t="s">
        <v>134</v>
      </c>
      <c r="D202" s="57" t="s">
        <v>323</v>
      </c>
      <c r="E202" s="7" t="s">
        <v>179</v>
      </c>
      <c r="F202" s="33">
        <v>10</v>
      </c>
      <c r="G202" s="63">
        <v>-105</v>
      </c>
      <c r="H202" s="9" t="s">
        <v>6</v>
      </c>
      <c r="I2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0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2" s="36"/>
      <c r="L202" s="36">
        <f t="shared" ref="L202:L211" si="14">IFERROR(VLOOKUP(ROW()-3,A:B,2,0),0)</f>
        <v>43852</v>
      </c>
      <c r="M202" s="51" t="str">
        <f>COUNTIFS(Bets[Date],L202,Bets[Result],"W")&amp;"-"&amp;COUNTIFS(Bets[Date],L202,Bets[Result],"L")&amp;IF(COUNTIFS(Bets[Date],L202,Bets[Result],"Push")&gt;0,"-"&amp;COUNTIFS(Bets[Date],L202,Bets[Result],"Push"),"")</f>
        <v>5-11</v>
      </c>
      <c r="N202" s="52">
        <f>IFERROR(COUNTIFS(Bets[Date],L202,Bets[Result],"W")/(COUNTIFS(Bets[Date],L202,Bets[Result],"W")+COUNTIFS(Bets[Date],L202,Bets[Result],"L")),"")</f>
        <v>0.3125</v>
      </c>
      <c r="O202" s="38">
        <f>SUMIF(Bets[Date],L202,Bets[Profit])</f>
        <v>-64.940711462450594</v>
      </c>
      <c r="P202" s="37" t="str">
        <f>IFERROR("("&amp;ROUND(SUMIF(Bets[Date],L202,Bets[Profit])/SUMIF(Bets[Date],L202,Bets[Risk]),2)*100&amp;"%)","")</f>
        <v>(-41%)</v>
      </c>
    </row>
    <row r="203" spans="1:16" x14ac:dyDescent="0.25">
      <c r="A203" s="35">
        <f t="shared" si="12"/>
        <v>24</v>
      </c>
      <c r="B203" s="5">
        <v>43475</v>
      </c>
      <c r="C203" s="5" t="s">
        <v>134</v>
      </c>
      <c r="D203" s="57" t="s">
        <v>323</v>
      </c>
      <c r="E203" s="7" t="s">
        <v>324</v>
      </c>
      <c r="F203" s="33">
        <v>10</v>
      </c>
      <c r="G203" s="63">
        <v>-105</v>
      </c>
      <c r="H203" s="9" t="s">
        <v>6</v>
      </c>
      <c r="I2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0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03" s="36"/>
      <c r="L203" s="36">
        <f t="shared" si="14"/>
        <v>43853</v>
      </c>
      <c r="M203" s="51" t="str">
        <f>COUNTIFS(Bets[Date],L203,Bets[Result],"W")&amp;"-"&amp;COUNTIFS(Bets[Date],L203,Bets[Result],"L")&amp;IF(COUNTIFS(Bets[Date],L203,Bets[Result],"Push")&gt;0,"-"&amp;COUNTIFS(Bets[Date],L203,Bets[Result],"Push"),"")</f>
        <v>3-3</v>
      </c>
      <c r="N203" s="52">
        <f>IFERROR(COUNTIFS(Bets[Date],L203,Bets[Result],"W")/(COUNTIFS(Bets[Date],L203,Bets[Result],"W")+COUNTIFS(Bets[Date],L203,Bets[Result],"L")),"")</f>
        <v>0.5</v>
      </c>
      <c r="O203" s="38">
        <f>SUMIF(Bets[Date],L203,Bets[Profit])</f>
        <v>-2.7272727272727249</v>
      </c>
      <c r="P203" s="37" t="str">
        <f>IFERROR("("&amp;ROUND(SUMIF(Bets[Date],L203,Bets[Profit])/SUMIF(Bets[Date],L203,Bets[Risk]),2)*100&amp;"%)","")</f>
        <v>(-5%)</v>
      </c>
    </row>
    <row r="204" spans="1:16" x14ac:dyDescent="0.25">
      <c r="A204" s="35">
        <f t="shared" si="12"/>
        <v>24</v>
      </c>
      <c r="B204" s="5">
        <v>43475</v>
      </c>
      <c r="C204" s="5" t="s">
        <v>134</v>
      </c>
      <c r="D204" s="57" t="s">
        <v>325</v>
      </c>
      <c r="E204" s="7" t="s">
        <v>225</v>
      </c>
      <c r="F204" s="33">
        <v>10</v>
      </c>
      <c r="G204" s="63">
        <v>-105</v>
      </c>
      <c r="H204" s="9" t="s">
        <v>36</v>
      </c>
      <c r="I2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20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4" s="36"/>
      <c r="L204" s="36">
        <f t="shared" si="14"/>
        <v>43854</v>
      </c>
      <c r="M204" s="51" t="str">
        <f>COUNTIFS(Bets[Date],L204,Bets[Result],"W")&amp;"-"&amp;COUNTIFS(Bets[Date],L204,Bets[Result],"L")&amp;IF(COUNTIFS(Bets[Date],L204,Bets[Result],"Push")&gt;0,"-"&amp;COUNTIFS(Bets[Date],L204,Bets[Result],"Push"),"")</f>
        <v>3-1-1</v>
      </c>
      <c r="N204" s="52">
        <f>IFERROR(COUNTIFS(Bets[Date],L204,Bets[Result],"W")/(COUNTIFS(Bets[Date],L204,Bets[Result],"W")+COUNTIFS(Bets[Date],L204,Bets[Result],"L")),"")</f>
        <v>0.75</v>
      </c>
      <c r="O204" s="38">
        <f>SUMIF(Bets[Date],L204,Bets[Profit])</f>
        <v>17.272727272727273</v>
      </c>
      <c r="P204" s="37" t="str">
        <f>IFERROR("("&amp;ROUND(SUMIF(Bets[Date],L204,Bets[Profit])/SUMIF(Bets[Date],L204,Bets[Risk]),2)*100&amp;"%)","")</f>
        <v>(35%)</v>
      </c>
    </row>
    <row r="205" spans="1:16" x14ac:dyDescent="0.25">
      <c r="A205" s="35">
        <f t="shared" si="12"/>
        <v>24</v>
      </c>
      <c r="B205" s="5">
        <v>43475</v>
      </c>
      <c r="C205" s="5" t="s">
        <v>134</v>
      </c>
      <c r="D205" s="57" t="s">
        <v>325</v>
      </c>
      <c r="E205" s="7" t="s">
        <v>326</v>
      </c>
      <c r="F205" s="33">
        <v>10</v>
      </c>
      <c r="G205" s="63">
        <v>-105</v>
      </c>
      <c r="H205" s="9" t="s">
        <v>6</v>
      </c>
      <c r="I2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0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05" s="36"/>
      <c r="L205" s="36">
        <f t="shared" si="14"/>
        <v>43857</v>
      </c>
      <c r="M205" s="51" t="str">
        <f>COUNTIFS(Bets[Date],L205,Bets[Result],"W")&amp;"-"&amp;COUNTIFS(Bets[Date],L205,Bets[Result],"L")&amp;IF(COUNTIFS(Bets[Date],L205,Bets[Result],"Push")&gt;0,"-"&amp;COUNTIFS(Bets[Date],L205,Bets[Result],"Push"),"")</f>
        <v>0-0</v>
      </c>
      <c r="N205" s="52" t="str">
        <f>IFERROR(COUNTIFS(Bets[Date],L205,Bets[Result],"W")/(COUNTIFS(Bets[Date],L205,Bets[Result],"W")+COUNTIFS(Bets[Date],L205,Bets[Result],"L")),"")</f>
        <v/>
      </c>
      <c r="O205" s="38">
        <f>SUMIF(Bets[Date],L205,Bets[Profit])</f>
        <v>0</v>
      </c>
      <c r="P205" s="37" t="str">
        <f>IFERROR("("&amp;ROUND(SUMIF(Bets[Date],L205,Bets[Profit])/SUMIF(Bets[Date],L205,Bets[Risk]),2)*100&amp;"%)","")</f>
        <v>(0%)</v>
      </c>
    </row>
    <row r="206" spans="1:16" x14ac:dyDescent="0.25">
      <c r="A206" s="35">
        <f t="shared" si="12"/>
        <v>24</v>
      </c>
      <c r="B206" s="5">
        <v>43475</v>
      </c>
      <c r="C206" s="5" t="s">
        <v>134</v>
      </c>
      <c r="D206" s="57" t="s">
        <v>327</v>
      </c>
      <c r="E206" s="7" t="s">
        <v>109</v>
      </c>
      <c r="F206" s="33">
        <v>10</v>
      </c>
      <c r="G206" s="63">
        <v>-105</v>
      </c>
      <c r="H206" s="9" t="s">
        <v>6</v>
      </c>
      <c r="I2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0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6" s="36"/>
      <c r="L206" s="36">
        <f t="shared" si="14"/>
        <v>0</v>
      </c>
      <c r="M206" s="51" t="str">
        <f>COUNTIFS(Bets[Date],L206,Bets[Result],"W")&amp;"-"&amp;COUNTIFS(Bets[Date],L206,Bets[Result],"L")&amp;IF(COUNTIFS(Bets[Date],L206,Bets[Result],"Push")&gt;0,"-"&amp;COUNTIFS(Bets[Date],L206,Bets[Result],"Push"),"")</f>
        <v>0-0</v>
      </c>
      <c r="N206" s="52" t="str">
        <f>IFERROR(COUNTIFS(Bets[Date],L206,Bets[Result],"W")/(COUNTIFS(Bets[Date],L206,Bets[Result],"W")+COUNTIFS(Bets[Date],L206,Bets[Result],"L")),"")</f>
        <v/>
      </c>
      <c r="O206" s="38">
        <f>SUMIF(Bets[Date],L206,Bets[Profit])</f>
        <v>0</v>
      </c>
      <c r="P206" s="37" t="str">
        <f>IFERROR("("&amp;ROUND(SUMIF(Bets[Date],L206,Bets[Profit])/SUMIF(Bets[Date],L206,Bets[Risk]),2)*100&amp;"%)","")</f>
        <v/>
      </c>
    </row>
    <row r="207" spans="1:16" x14ac:dyDescent="0.25">
      <c r="A207" s="35">
        <f t="shared" si="12"/>
        <v>24</v>
      </c>
      <c r="B207" s="5">
        <v>43475</v>
      </c>
      <c r="C207" s="5" t="s">
        <v>134</v>
      </c>
      <c r="D207" s="57" t="s">
        <v>327</v>
      </c>
      <c r="E207" s="7" t="s">
        <v>328</v>
      </c>
      <c r="F207" s="33">
        <v>10</v>
      </c>
      <c r="G207" s="63">
        <v>-110</v>
      </c>
      <c r="H207" s="9" t="s">
        <v>36</v>
      </c>
      <c r="I2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0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07" s="36"/>
      <c r="L207" s="36">
        <f t="shared" si="14"/>
        <v>0</v>
      </c>
      <c r="M207" s="51" t="str">
        <f>COUNTIFS(Bets[Date],L207,Bets[Result],"W")&amp;"-"&amp;COUNTIFS(Bets[Date],L207,Bets[Result],"L")&amp;IF(COUNTIFS(Bets[Date],L207,Bets[Result],"Push")&gt;0,"-"&amp;COUNTIFS(Bets[Date],L207,Bets[Result],"Push"),"")</f>
        <v>0-0</v>
      </c>
      <c r="N207" s="52" t="str">
        <f>IFERROR(COUNTIFS(Bets[Date],L207,Bets[Result],"W")/(COUNTIFS(Bets[Date],L207,Bets[Result],"W")+COUNTIFS(Bets[Date],L207,Bets[Result],"L")),"")</f>
        <v/>
      </c>
      <c r="O207" s="38">
        <f>SUMIF(Bets[Date],L207,Bets[Profit])</f>
        <v>0</v>
      </c>
      <c r="P207" s="37" t="str">
        <f>IFERROR("("&amp;ROUND(SUMIF(Bets[Date],L207,Bets[Profit])/SUMIF(Bets[Date],L207,Bets[Risk]),2)*100&amp;"%)","")</f>
        <v/>
      </c>
    </row>
    <row r="208" spans="1:16" x14ac:dyDescent="0.25">
      <c r="A208" s="35">
        <f t="shared" si="12"/>
        <v>24</v>
      </c>
      <c r="B208" s="5">
        <v>43475</v>
      </c>
      <c r="C208" s="5" t="s">
        <v>134</v>
      </c>
      <c r="D208" s="57" t="s">
        <v>327</v>
      </c>
      <c r="E208" s="7" t="s">
        <v>197</v>
      </c>
      <c r="F208" s="33">
        <v>10</v>
      </c>
      <c r="G208" s="63">
        <v>105</v>
      </c>
      <c r="H208" s="9" t="s">
        <v>36</v>
      </c>
      <c r="I2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10.5</v>
      </c>
      <c r="J20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08" s="36"/>
      <c r="L208" s="36">
        <f t="shared" si="14"/>
        <v>0</v>
      </c>
      <c r="M208" s="51" t="str">
        <f>COUNTIFS(Bets[Date],L208,Bets[Result],"W")&amp;"-"&amp;COUNTIFS(Bets[Date],L208,Bets[Result],"L")&amp;IF(COUNTIFS(Bets[Date],L208,Bets[Result],"Push")&gt;0,"-"&amp;COUNTIFS(Bets[Date],L208,Bets[Result],"Push"),"")</f>
        <v>0-0</v>
      </c>
      <c r="N208" s="52" t="str">
        <f>IFERROR(COUNTIFS(Bets[Date],L208,Bets[Result],"W")/(COUNTIFS(Bets[Date],L208,Bets[Result],"W")+COUNTIFS(Bets[Date],L208,Bets[Result],"L")),"")</f>
        <v/>
      </c>
      <c r="O208" s="38">
        <f>SUMIF(Bets[Date],L208,Bets[Profit])</f>
        <v>0</v>
      </c>
      <c r="P208" s="37" t="str">
        <f>IFERROR("("&amp;ROUND(SUMIF(Bets[Date],L208,Bets[Profit])/SUMIF(Bets[Date],L208,Bets[Risk]),2)*100&amp;"%)","")</f>
        <v/>
      </c>
    </row>
    <row r="209" spans="1:16" x14ac:dyDescent="0.25">
      <c r="A209" s="35">
        <f t="shared" si="12"/>
        <v>24</v>
      </c>
      <c r="B209" s="5">
        <v>43475</v>
      </c>
      <c r="C209" s="5" t="s">
        <v>134</v>
      </c>
      <c r="D209" s="57" t="s">
        <v>329</v>
      </c>
      <c r="E209" s="7" t="s">
        <v>112</v>
      </c>
      <c r="F209" s="33">
        <v>10</v>
      </c>
      <c r="G209" s="63">
        <v>-105</v>
      </c>
      <c r="H209" s="9" t="s">
        <v>36</v>
      </c>
      <c r="I2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20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09" s="36"/>
      <c r="L209" s="36">
        <f t="shared" si="14"/>
        <v>0</v>
      </c>
      <c r="M209" s="51" t="str">
        <f>COUNTIFS(Bets[Date],L209,Bets[Result],"W")&amp;"-"&amp;COUNTIFS(Bets[Date],L209,Bets[Result],"L")&amp;IF(COUNTIFS(Bets[Date],L209,Bets[Result],"Push")&gt;0,"-"&amp;COUNTIFS(Bets[Date],L209,Bets[Result],"Push"),"")</f>
        <v>0-0</v>
      </c>
      <c r="N209" s="52" t="str">
        <f>IFERROR(COUNTIFS(Bets[Date],L209,Bets[Result],"W")/(COUNTIFS(Bets[Date],L209,Bets[Result],"W")+COUNTIFS(Bets[Date],L209,Bets[Result],"L")),"")</f>
        <v/>
      </c>
      <c r="O209" s="38">
        <f>SUMIF(Bets[Date],L209,Bets[Profit])</f>
        <v>0</v>
      </c>
      <c r="P209" s="37" t="str">
        <f>IFERROR("("&amp;ROUND(SUMIF(Bets[Date],L209,Bets[Profit])/SUMIF(Bets[Date],L209,Bets[Risk]),2)*100&amp;"%)","")</f>
        <v/>
      </c>
    </row>
    <row r="210" spans="1:16" x14ac:dyDescent="0.25">
      <c r="A210" s="35">
        <f t="shared" si="12"/>
        <v>24</v>
      </c>
      <c r="B210" s="5">
        <v>43475</v>
      </c>
      <c r="C210" s="5" t="s">
        <v>134</v>
      </c>
      <c r="D210" s="57" t="s">
        <v>329</v>
      </c>
      <c r="E210" s="7" t="s">
        <v>330</v>
      </c>
      <c r="F210" s="33">
        <v>10</v>
      </c>
      <c r="G210" s="63">
        <v>-110</v>
      </c>
      <c r="H210" s="9" t="s">
        <v>36</v>
      </c>
      <c r="I2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1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0" s="36"/>
      <c r="L210" s="36">
        <f t="shared" si="14"/>
        <v>0</v>
      </c>
      <c r="M210" s="51" t="str">
        <f>COUNTIFS(Bets[Date],L210,Bets[Result],"W")&amp;"-"&amp;COUNTIFS(Bets[Date],L210,Bets[Result],"L")&amp;IF(COUNTIFS(Bets[Date],L210,Bets[Result],"Push")&gt;0,"-"&amp;COUNTIFS(Bets[Date],L210,Bets[Result],"Push"),"")</f>
        <v>0-0</v>
      </c>
      <c r="N210" s="52" t="str">
        <f>IFERROR(COUNTIFS(Bets[Date],L210,Bets[Result],"W")/(COUNTIFS(Bets[Date],L210,Bets[Result],"W")+COUNTIFS(Bets[Date],L210,Bets[Result],"L")),"")</f>
        <v/>
      </c>
      <c r="O210" s="38">
        <f>SUMIF(Bets[Date],L210,Bets[Profit])</f>
        <v>0</v>
      </c>
      <c r="P210" s="37" t="str">
        <f>IFERROR("("&amp;ROUND(SUMIF(Bets[Date],L210,Bets[Profit])/SUMIF(Bets[Date],L210,Bets[Risk]),2)*100&amp;"%)","")</f>
        <v/>
      </c>
    </row>
    <row r="211" spans="1:16" x14ac:dyDescent="0.25">
      <c r="A211" s="35">
        <f t="shared" si="12"/>
        <v>25</v>
      </c>
      <c r="B211" s="5">
        <v>43476</v>
      </c>
      <c r="C211" s="5" t="s">
        <v>134</v>
      </c>
      <c r="D211" s="57" t="s">
        <v>332</v>
      </c>
      <c r="E211" s="7" t="s">
        <v>333</v>
      </c>
      <c r="F211" s="33">
        <v>10</v>
      </c>
      <c r="G211" s="63">
        <v>-115</v>
      </c>
      <c r="H211" s="9" t="s">
        <v>6</v>
      </c>
      <c r="I2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1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11" s="36"/>
      <c r="L211" s="36">
        <f t="shared" si="14"/>
        <v>0</v>
      </c>
      <c r="M211" s="51" t="str">
        <f>COUNTIFS(Bets[Date],L211,Bets[Result],"W")&amp;"-"&amp;COUNTIFS(Bets[Date],L211,Bets[Result],"L")&amp;IF(COUNTIFS(Bets[Date],L211,Bets[Result],"Push")&gt;0,"-"&amp;COUNTIFS(Bets[Date],L211,Bets[Result],"Push"),"")</f>
        <v>0-0</v>
      </c>
      <c r="N211" s="52" t="str">
        <f>IFERROR(COUNTIFS(Bets[Date],L211,Bets[Result],"W")/(COUNTIFS(Bets[Date],L211,Bets[Result],"W")+COUNTIFS(Bets[Date],L211,Bets[Result],"L")),"")</f>
        <v/>
      </c>
      <c r="O211" s="38">
        <f>SUMIF(Bets[Date],L211,Bets[Profit])</f>
        <v>0</v>
      </c>
      <c r="P211" s="37" t="str">
        <f>IFERROR("("&amp;ROUND(SUMIF(Bets[Date],L211,Bets[Profit])/SUMIF(Bets[Date],L211,Bets[Risk]),2)*100&amp;"%)","")</f>
        <v/>
      </c>
    </row>
    <row r="212" spans="1:16" x14ac:dyDescent="0.25">
      <c r="A212" s="35">
        <f t="shared" si="12"/>
        <v>25</v>
      </c>
      <c r="B212" s="5">
        <v>43476</v>
      </c>
      <c r="C212" s="5" t="s">
        <v>134</v>
      </c>
      <c r="D212" s="57" t="s">
        <v>332</v>
      </c>
      <c r="E212" s="7" t="s">
        <v>334</v>
      </c>
      <c r="F212" s="33">
        <v>10</v>
      </c>
      <c r="G212" s="63">
        <v>-110</v>
      </c>
      <c r="H212" s="9" t="s">
        <v>6</v>
      </c>
      <c r="I2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1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2" s="36"/>
      <c r="L212" s="36">
        <f t="shared" ref="L212:L275" si="15">IFERROR(VLOOKUP(ROW()-3,A:B,2,0),0)</f>
        <v>0</v>
      </c>
      <c r="M212" s="51" t="str">
        <f>COUNTIFS(Bets[Date],L212,Bets[Result],"W")&amp;"-"&amp;COUNTIFS(Bets[Date],L212,Bets[Result],"L")&amp;IF(COUNTIFS(Bets[Date],L212,Bets[Result],"Push")&gt;0,"-"&amp;COUNTIFS(Bets[Date],L212,Bets[Result],"Push"),"")</f>
        <v>0-0</v>
      </c>
      <c r="N212" s="52" t="str">
        <f>IFERROR(COUNTIFS(Bets[Date],L212,Bets[Result],"W")/(COUNTIFS(Bets[Date],L212,Bets[Result],"W")+COUNTIFS(Bets[Date],L212,Bets[Result],"L")),"")</f>
        <v/>
      </c>
      <c r="O212" s="38">
        <f>SUMIF(Bets[Date],L212,Bets[Profit])</f>
        <v>0</v>
      </c>
      <c r="P212" s="37" t="str">
        <f>IFERROR("("&amp;ROUND(SUMIF(Bets[Date],L212,Bets[Profit])/SUMIF(Bets[Date],L212,Bets[Risk]),2)*100&amp;"%)","")</f>
        <v/>
      </c>
    </row>
    <row r="213" spans="1:16" x14ac:dyDescent="0.25">
      <c r="A213" s="35">
        <f t="shared" si="12"/>
        <v>25</v>
      </c>
      <c r="B213" s="5">
        <v>43476</v>
      </c>
      <c r="C213" s="5" t="s">
        <v>134</v>
      </c>
      <c r="D213" s="57" t="s">
        <v>335</v>
      </c>
      <c r="E213" s="7" t="s">
        <v>336</v>
      </c>
      <c r="F213" s="33">
        <v>10</v>
      </c>
      <c r="G213" s="63">
        <v>-115</v>
      </c>
      <c r="H213" s="9" t="s">
        <v>36</v>
      </c>
      <c r="I2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21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13" s="36"/>
      <c r="L213" s="36">
        <f t="shared" si="15"/>
        <v>0</v>
      </c>
      <c r="M213" s="51" t="str">
        <f>COUNTIFS(Bets[Date],L213,Bets[Result],"W")&amp;"-"&amp;COUNTIFS(Bets[Date],L213,Bets[Result],"L")&amp;IF(COUNTIFS(Bets[Date],L213,Bets[Result],"Push")&gt;0,"-"&amp;COUNTIFS(Bets[Date],L213,Bets[Result],"Push"),"")</f>
        <v>0-0</v>
      </c>
      <c r="N213" s="52" t="str">
        <f>IFERROR(COUNTIFS(Bets[Date],L213,Bets[Result],"W")/(COUNTIFS(Bets[Date],L213,Bets[Result],"W")+COUNTIFS(Bets[Date],L213,Bets[Result],"L")),"")</f>
        <v/>
      </c>
      <c r="O213" s="38">
        <f>SUMIF(Bets[Date],L213,Bets[Profit])</f>
        <v>0</v>
      </c>
      <c r="P213" s="37" t="str">
        <f>IFERROR("("&amp;ROUND(SUMIF(Bets[Date],L213,Bets[Profit])/SUMIF(Bets[Date],L213,Bets[Risk]),2)*100&amp;"%)","")</f>
        <v/>
      </c>
    </row>
    <row r="214" spans="1:16" x14ac:dyDescent="0.25">
      <c r="A214" s="35">
        <f t="shared" si="12"/>
        <v>25</v>
      </c>
      <c r="B214" s="5">
        <v>43476</v>
      </c>
      <c r="C214" s="5" t="s">
        <v>134</v>
      </c>
      <c r="D214" s="57" t="s">
        <v>335</v>
      </c>
      <c r="E214" s="7" t="s">
        <v>277</v>
      </c>
      <c r="F214" s="33">
        <v>10</v>
      </c>
      <c r="G214" s="63">
        <v>-110</v>
      </c>
      <c r="H214" s="9" t="s">
        <v>6</v>
      </c>
      <c r="I2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1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4" s="36"/>
      <c r="L214" s="36">
        <f t="shared" si="15"/>
        <v>0</v>
      </c>
      <c r="M214" s="51" t="str">
        <f>COUNTIFS(Bets[Date],L214,Bets[Result],"W")&amp;"-"&amp;COUNTIFS(Bets[Date],L214,Bets[Result],"L")&amp;IF(COUNTIFS(Bets[Date],L214,Bets[Result],"Push")&gt;0,"-"&amp;COUNTIFS(Bets[Date],L214,Bets[Result],"Push"),"")</f>
        <v>0-0</v>
      </c>
      <c r="N214" s="52" t="str">
        <f>IFERROR(COUNTIFS(Bets[Date],L214,Bets[Result],"W")/(COUNTIFS(Bets[Date],L214,Bets[Result],"W")+COUNTIFS(Bets[Date],L214,Bets[Result],"L")),"")</f>
        <v/>
      </c>
      <c r="O214" s="38">
        <f>SUMIF(Bets[Date],L214,Bets[Profit])</f>
        <v>0</v>
      </c>
      <c r="P214" s="37" t="str">
        <f>IFERROR("("&amp;ROUND(SUMIF(Bets[Date],L214,Bets[Profit])/SUMIF(Bets[Date],L214,Bets[Risk]),2)*100&amp;"%)","")</f>
        <v/>
      </c>
    </row>
    <row r="215" spans="1:16" x14ac:dyDescent="0.25">
      <c r="A215" s="35">
        <f t="shared" si="12"/>
        <v>25</v>
      </c>
      <c r="B215" s="5">
        <v>43476</v>
      </c>
      <c r="C215" s="5" t="s">
        <v>134</v>
      </c>
      <c r="D215" s="57" t="s">
        <v>337</v>
      </c>
      <c r="E215" s="7" t="s">
        <v>338</v>
      </c>
      <c r="F215" s="33">
        <v>10</v>
      </c>
      <c r="G215" s="63">
        <v>-115</v>
      </c>
      <c r="H215" s="9" t="s">
        <v>36</v>
      </c>
      <c r="I2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21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5" s="36"/>
      <c r="L215" s="36">
        <f t="shared" si="15"/>
        <v>0</v>
      </c>
      <c r="M215" s="51" t="str">
        <f>COUNTIFS(Bets[Date],L215,Bets[Result],"W")&amp;"-"&amp;COUNTIFS(Bets[Date],L215,Bets[Result],"L")&amp;IF(COUNTIFS(Bets[Date],L215,Bets[Result],"Push")&gt;0,"-"&amp;COUNTIFS(Bets[Date],L215,Bets[Result],"Push"),"")</f>
        <v>0-0</v>
      </c>
      <c r="N215" s="52" t="str">
        <f>IFERROR(COUNTIFS(Bets[Date],L215,Bets[Result],"W")/(COUNTIFS(Bets[Date],L215,Bets[Result],"W")+COUNTIFS(Bets[Date],L215,Bets[Result],"L")),"")</f>
        <v/>
      </c>
      <c r="O215" s="38">
        <f>SUMIF(Bets[Date],L215,Bets[Profit])</f>
        <v>0</v>
      </c>
      <c r="P215" s="37" t="str">
        <f>IFERROR("("&amp;ROUND(SUMIF(Bets[Date],L215,Bets[Profit])/SUMIF(Bets[Date],L215,Bets[Risk]),2)*100&amp;"%)","")</f>
        <v/>
      </c>
    </row>
    <row r="216" spans="1:16" x14ac:dyDescent="0.25">
      <c r="A216" s="35">
        <f t="shared" si="12"/>
        <v>25</v>
      </c>
      <c r="B216" s="5">
        <v>43476</v>
      </c>
      <c r="C216" s="5" t="s">
        <v>134</v>
      </c>
      <c r="D216" s="57" t="s">
        <v>339</v>
      </c>
      <c r="E216" s="7" t="s">
        <v>340</v>
      </c>
      <c r="F216" s="33">
        <v>10</v>
      </c>
      <c r="G216" s="63">
        <v>-110</v>
      </c>
      <c r="H216" s="9" t="s">
        <v>6</v>
      </c>
      <c r="I2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1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16" s="36"/>
      <c r="L216" s="36">
        <f t="shared" si="15"/>
        <v>0</v>
      </c>
      <c r="M216" s="51" t="str">
        <f>COUNTIFS(Bets[Date],L216,Bets[Result],"W")&amp;"-"&amp;COUNTIFS(Bets[Date],L216,Bets[Result],"L")&amp;IF(COUNTIFS(Bets[Date],L216,Bets[Result],"Push")&gt;0,"-"&amp;COUNTIFS(Bets[Date],L216,Bets[Result],"Push"),"")</f>
        <v>0-0</v>
      </c>
      <c r="N216" s="52" t="str">
        <f>IFERROR(COUNTIFS(Bets[Date],L216,Bets[Result],"W")/(COUNTIFS(Bets[Date],L216,Bets[Result],"W")+COUNTIFS(Bets[Date],L216,Bets[Result],"L")),"")</f>
        <v/>
      </c>
      <c r="O216" s="38">
        <f>SUMIF(Bets[Date],L216,Bets[Profit])</f>
        <v>0</v>
      </c>
      <c r="P216" s="37" t="str">
        <f>IFERROR("("&amp;ROUND(SUMIF(Bets[Date],L216,Bets[Profit])/SUMIF(Bets[Date],L216,Bets[Risk]),2)*100&amp;"%)","")</f>
        <v/>
      </c>
    </row>
    <row r="217" spans="1:16" x14ac:dyDescent="0.25">
      <c r="A217" s="35">
        <f t="shared" si="12"/>
        <v>25</v>
      </c>
      <c r="B217" s="5">
        <v>43476</v>
      </c>
      <c r="C217" s="5" t="s">
        <v>134</v>
      </c>
      <c r="D217" s="57" t="s">
        <v>339</v>
      </c>
      <c r="E217" s="7" t="s">
        <v>341</v>
      </c>
      <c r="F217" s="33">
        <v>10</v>
      </c>
      <c r="G217" s="63">
        <v>-110</v>
      </c>
      <c r="H217" s="9" t="s">
        <v>36</v>
      </c>
      <c r="I2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1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7" s="36"/>
      <c r="L217" s="36">
        <f t="shared" si="15"/>
        <v>0</v>
      </c>
      <c r="M217" s="51" t="str">
        <f>COUNTIFS(Bets[Date],L217,Bets[Result],"W")&amp;"-"&amp;COUNTIFS(Bets[Date],L217,Bets[Result],"L")&amp;IF(COUNTIFS(Bets[Date],L217,Bets[Result],"Push")&gt;0,"-"&amp;COUNTIFS(Bets[Date],L217,Bets[Result],"Push"),"")</f>
        <v>0-0</v>
      </c>
      <c r="N217" s="52" t="str">
        <f>IFERROR(COUNTIFS(Bets[Date],L217,Bets[Result],"W")/(COUNTIFS(Bets[Date],L217,Bets[Result],"W")+COUNTIFS(Bets[Date],L217,Bets[Result],"L")),"")</f>
        <v/>
      </c>
      <c r="O217" s="38">
        <f>SUMIF(Bets[Date],L217,Bets[Profit])</f>
        <v>0</v>
      </c>
      <c r="P217" s="37" t="str">
        <f>IFERROR("("&amp;ROUND(SUMIF(Bets[Date],L217,Bets[Profit])/SUMIF(Bets[Date],L217,Bets[Risk]),2)*100&amp;"%)","")</f>
        <v/>
      </c>
    </row>
    <row r="218" spans="1:16" x14ac:dyDescent="0.25">
      <c r="A218" s="35">
        <f t="shared" si="12"/>
        <v>25</v>
      </c>
      <c r="B218" s="5">
        <v>43476</v>
      </c>
      <c r="C218" s="5" t="s">
        <v>134</v>
      </c>
      <c r="D218" s="57" t="s">
        <v>342</v>
      </c>
      <c r="E218" s="7" t="s">
        <v>201</v>
      </c>
      <c r="F218" s="33">
        <v>10</v>
      </c>
      <c r="G218" s="63">
        <v>-105</v>
      </c>
      <c r="H218" s="9" t="s">
        <v>6</v>
      </c>
      <c r="I2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1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18" s="36"/>
      <c r="L218" s="36">
        <f t="shared" si="15"/>
        <v>0</v>
      </c>
      <c r="M218" s="51" t="str">
        <f>COUNTIFS(Bets[Date],L218,Bets[Result],"W")&amp;"-"&amp;COUNTIFS(Bets[Date],L218,Bets[Result],"L")&amp;IF(COUNTIFS(Bets[Date],L218,Bets[Result],"Push")&gt;0,"-"&amp;COUNTIFS(Bets[Date],L218,Bets[Result],"Push"),"")</f>
        <v>0-0</v>
      </c>
      <c r="N218" s="52" t="str">
        <f>IFERROR(COUNTIFS(Bets[Date],L218,Bets[Result],"W")/(COUNTIFS(Bets[Date],L218,Bets[Result],"W")+COUNTIFS(Bets[Date],L218,Bets[Result],"L")),"")</f>
        <v/>
      </c>
      <c r="O218" s="38">
        <f>SUMIF(Bets[Date],L218,Bets[Profit])</f>
        <v>0</v>
      </c>
      <c r="P218" s="37" t="str">
        <f>IFERROR("("&amp;ROUND(SUMIF(Bets[Date],L218,Bets[Profit])/SUMIF(Bets[Date],L218,Bets[Risk]),2)*100&amp;"%)","")</f>
        <v/>
      </c>
    </row>
    <row r="219" spans="1:16" x14ac:dyDescent="0.25">
      <c r="A219" s="35">
        <f t="shared" si="12"/>
        <v>25</v>
      </c>
      <c r="B219" s="5">
        <v>43476</v>
      </c>
      <c r="C219" s="5" t="s">
        <v>134</v>
      </c>
      <c r="D219" s="57" t="s">
        <v>342</v>
      </c>
      <c r="E219" s="7" t="s">
        <v>343</v>
      </c>
      <c r="F219" s="33">
        <v>10</v>
      </c>
      <c r="G219" s="63">
        <v>-105</v>
      </c>
      <c r="H219" s="9" t="s">
        <v>36</v>
      </c>
      <c r="I2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21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19" s="36"/>
      <c r="L219" s="36">
        <f t="shared" si="15"/>
        <v>0</v>
      </c>
      <c r="M219" s="51" t="str">
        <f>COUNTIFS(Bets[Date],L219,Bets[Result],"W")&amp;"-"&amp;COUNTIFS(Bets[Date],L219,Bets[Result],"L")&amp;IF(COUNTIFS(Bets[Date],L219,Bets[Result],"Push")&gt;0,"-"&amp;COUNTIFS(Bets[Date],L219,Bets[Result],"Push"),"")</f>
        <v>0-0</v>
      </c>
      <c r="N219" s="52" t="str">
        <f>IFERROR(COUNTIFS(Bets[Date],L219,Bets[Result],"W")/(COUNTIFS(Bets[Date],L219,Bets[Result],"W")+COUNTIFS(Bets[Date],L219,Bets[Result],"L")),"")</f>
        <v/>
      </c>
      <c r="O219" s="38">
        <f>SUMIF(Bets[Date],L219,Bets[Profit])</f>
        <v>0</v>
      </c>
      <c r="P219" s="37" t="str">
        <f>IFERROR("("&amp;ROUND(SUMIF(Bets[Date],L219,Bets[Profit])/SUMIF(Bets[Date],L219,Bets[Risk]),2)*100&amp;"%)","")</f>
        <v/>
      </c>
    </row>
    <row r="220" spans="1:16" x14ac:dyDescent="0.25">
      <c r="A220" s="35">
        <f t="shared" si="12"/>
        <v>25</v>
      </c>
      <c r="B220" s="5">
        <v>43476</v>
      </c>
      <c r="C220" s="5" t="s">
        <v>134</v>
      </c>
      <c r="D220" s="57" t="s">
        <v>344</v>
      </c>
      <c r="E220" s="7" t="s">
        <v>147</v>
      </c>
      <c r="F220" s="33">
        <v>10</v>
      </c>
      <c r="G220" s="63">
        <v>-105</v>
      </c>
      <c r="H220" s="9" t="s">
        <v>6</v>
      </c>
      <c r="I2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0" s="36"/>
      <c r="L220" s="36">
        <f t="shared" si="15"/>
        <v>0</v>
      </c>
      <c r="M220" s="51" t="str">
        <f>COUNTIFS(Bets[Date],L220,Bets[Result],"W")&amp;"-"&amp;COUNTIFS(Bets[Date],L220,Bets[Result],"L")&amp;IF(COUNTIFS(Bets[Date],L220,Bets[Result],"Push")&gt;0,"-"&amp;COUNTIFS(Bets[Date],L220,Bets[Result],"Push"),"")</f>
        <v>0-0</v>
      </c>
      <c r="N220" s="52" t="str">
        <f>IFERROR(COUNTIFS(Bets[Date],L220,Bets[Result],"W")/(COUNTIFS(Bets[Date],L220,Bets[Result],"W")+COUNTIFS(Bets[Date],L220,Bets[Result],"L")),"")</f>
        <v/>
      </c>
      <c r="O220" s="38">
        <f>SUMIF(Bets[Date],L220,Bets[Profit])</f>
        <v>0</v>
      </c>
      <c r="P220" s="37" t="str">
        <f>IFERROR("("&amp;ROUND(SUMIF(Bets[Date],L220,Bets[Profit])/SUMIF(Bets[Date],L220,Bets[Risk]),2)*100&amp;"%)","")</f>
        <v/>
      </c>
    </row>
    <row r="221" spans="1:16" x14ac:dyDescent="0.25">
      <c r="A221" s="35">
        <f t="shared" si="12"/>
        <v>25</v>
      </c>
      <c r="B221" s="5">
        <v>43476</v>
      </c>
      <c r="C221" s="5" t="s">
        <v>134</v>
      </c>
      <c r="D221" s="57" t="s">
        <v>345</v>
      </c>
      <c r="E221" s="7" t="s">
        <v>279</v>
      </c>
      <c r="F221" s="33">
        <v>10</v>
      </c>
      <c r="G221" s="63">
        <v>-110</v>
      </c>
      <c r="H221" s="9" t="s">
        <v>6</v>
      </c>
      <c r="I2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21" s="36"/>
      <c r="L221" s="36">
        <f t="shared" si="15"/>
        <v>0</v>
      </c>
      <c r="M221" s="51" t="str">
        <f>COUNTIFS(Bets[Date],L221,Bets[Result],"W")&amp;"-"&amp;COUNTIFS(Bets[Date],L221,Bets[Result],"L")&amp;IF(COUNTIFS(Bets[Date],L221,Bets[Result],"Push")&gt;0,"-"&amp;COUNTIFS(Bets[Date],L221,Bets[Result],"Push"),"")</f>
        <v>0-0</v>
      </c>
      <c r="N221" s="52" t="str">
        <f>IFERROR(COUNTIFS(Bets[Date],L221,Bets[Result],"W")/(COUNTIFS(Bets[Date],L221,Bets[Result],"W")+COUNTIFS(Bets[Date],L221,Bets[Result],"L")),"")</f>
        <v/>
      </c>
      <c r="O221" s="38">
        <f>SUMIF(Bets[Date],L221,Bets[Profit])</f>
        <v>0</v>
      </c>
      <c r="P221" s="37" t="str">
        <f>IFERROR("("&amp;ROUND(SUMIF(Bets[Date],L221,Bets[Profit])/SUMIF(Bets[Date],L221,Bets[Risk]),2)*100&amp;"%)","")</f>
        <v/>
      </c>
    </row>
    <row r="222" spans="1:16" x14ac:dyDescent="0.25">
      <c r="A222" s="35">
        <f t="shared" si="12"/>
        <v>25</v>
      </c>
      <c r="B222" s="5">
        <v>43476</v>
      </c>
      <c r="C222" s="5" t="s">
        <v>134</v>
      </c>
      <c r="D222" s="57" t="s">
        <v>346</v>
      </c>
      <c r="E222" s="7" t="s">
        <v>276</v>
      </c>
      <c r="F222" s="33">
        <v>10</v>
      </c>
      <c r="G222" s="63">
        <v>-105</v>
      </c>
      <c r="H222" s="9" t="s">
        <v>6</v>
      </c>
      <c r="I2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22" s="36"/>
      <c r="L222" s="36">
        <f t="shared" si="15"/>
        <v>0</v>
      </c>
      <c r="M222" s="51" t="str">
        <f>COUNTIFS(Bets[Date],L222,Bets[Result],"W")&amp;"-"&amp;COUNTIFS(Bets[Date],L222,Bets[Result],"L")&amp;IF(COUNTIFS(Bets[Date],L222,Bets[Result],"Push")&gt;0,"-"&amp;COUNTIFS(Bets[Date],L222,Bets[Result],"Push"),"")</f>
        <v>0-0</v>
      </c>
      <c r="N222" s="52" t="str">
        <f>IFERROR(COUNTIFS(Bets[Date],L222,Bets[Result],"W")/(COUNTIFS(Bets[Date],L222,Bets[Result],"W")+COUNTIFS(Bets[Date],L222,Bets[Result],"L")),"")</f>
        <v/>
      </c>
      <c r="O222" s="38">
        <f>SUMIF(Bets[Date],L222,Bets[Profit])</f>
        <v>0</v>
      </c>
      <c r="P222" s="37" t="str">
        <f>IFERROR("("&amp;ROUND(SUMIF(Bets[Date],L222,Bets[Profit])/SUMIF(Bets[Date],L222,Bets[Risk]),2)*100&amp;"%)","")</f>
        <v/>
      </c>
    </row>
    <row r="223" spans="1:16" x14ac:dyDescent="0.25">
      <c r="A223" s="35">
        <f t="shared" si="12"/>
        <v>25</v>
      </c>
      <c r="B223" s="5">
        <v>43476</v>
      </c>
      <c r="C223" s="5" t="s">
        <v>134</v>
      </c>
      <c r="D223" s="57" t="s">
        <v>346</v>
      </c>
      <c r="E223" s="7" t="s">
        <v>347</v>
      </c>
      <c r="F223" s="33">
        <v>10</v>
      </c>
      <c r="G223" s="63">
        <v>-105</v>
      </c>
      <c r="H223" s="9" t="s">
        <v>36</v>
      </c>
      <c r="I2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22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3" s="36"/>
      <c r="L223" s="36">
        <f t="shared" si="15"/>
        <v>0</v>
      </c>
      <c r="M223" s="51" t="str">
        <f>COUNTIFS(Bets[Date],L223,Bets[Result],"W")&amp;"-"&amp;COUNTIFS(Bets[Date],L223,Bets[Result],"L")&amp;IF(COUNTIFS(Bets[Date],L223,Bets[Result],"Push")&gt;0,"-"&amp;COUNTIFS(Bets[Date],L223,Bets[Result],"Push"),"")</f>
        <v>0-0</v>
      </c>
      <c r="N223" s="52" t="str">
        <f>IFERROR(COUNTIFS(Bets[Date],L223,Bets[Result],"W")/(COUNTIFS(Bets[Date],L223,Bets[Result],"W")+COUNTIFS(Bets[Date],L223,Bets[Result],"L")),"")</f>
        <v/>
      </c>
      <c r="O223" s="38">
        <f>SUMIF(Bets[Date],L223,Bets[Profit])</f>
        <v>0</v>
      </c>
      <c r="P223" s="37" t="str">
        <f>IFERROR("("&amp;ROUND(SUMIF(Bets[Date],L223,Bets[Profit])/SUMIF(Bets[Date],L223,Bets[Risk]),2)*100&amp;"%)","")</f>
        <v/>
      </c>
    </row>
    <row r="224" spans="1:16" x14ac:dyDescent="0.25">
      <c r="A224" s="35">
        <f t="shared" si="12"/>
        <v>26</v>
      </c>
      <c r="B224" s="5">
        <v>43479</v>
      </c>
      <c r="C224" s="5" t="s">
        <v>134</v>
      </c>
      <c r="D224" s="57" t="s">
        <v>352</v>
      </c>
      <c r="E224" s="7" t="s">
        <v>353</v>
      </c>
      <c r="F224" s="33">
        <v>10</v>
      </c>
      <c r="G224" s="71">
        <v>-115</v>
      </c>
      <c r="H224" s="9" t="s">
        <v>6</v>
      </c>
      <c r="I2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24" s="36"/>
      <c r="L224" s="36">
        <f t="shared" si="15"/>
        <v>0</v>
      </c>
      <c r="M224" s="51" t="str">
        <f>COUNTIFS(Bets[Date],L224,Bets[Result],"W")&amp;"-"&amp;COUNTIFS(Bets[Date],L224,Bets[Result],"L")&amp;IF(COUNTIFS(Bets[Date],L224,Bets[Result],"Push")&gt;0,"-"&amp;COUNTIFS(Bets[Date],L224,Bets[Result],"Push"),"")</f>
        <v>0-0</v>
      </c>
      <c r="N224" s="52" t="str">
        <f>IFERROR(COUNTIFS(Bets[Date],L224,Bets[Result],"W")/(COUNTIFS(Bets[Date],L224,Bets[Result],"W")+COUNTIFS(Bets[Date],L224,Bets[Result],"L")),"")</f>
        <v/>
      </c>
      <c r="O224" s="38">
        <f>SUMIF(Bets[Date],L224,Bets[Profit])</f>
        <v>0</v>
      </c>
      <c r="P224" s="37" t="str">
        <f>IFERROR("("&amp;ROUND(SUMIF(Bets[Date],L224,Bets[Profit])/SUMIF(Bets[Date],L224,Bets[Risk]),2)*100&amp;"%)","")</f>
        <v/>
      </c>
    </row>
    <row r="225" spans="1:16" x14ac:dyDescent="0.25">
      <c r="A225" s="35">
        <f t="shared" si="12"/>
        <v>26</v>
      </c>
      <c r="B225" s="5">
        <v>43479</v>
      </c>
      <c r="C225" s="5" t="s">
        <v>134</v>
      </c>
      <c r="D225" s="57" t="s">
        <v>352</v>
      </c>
      <c r="E225" s="7" t="s">
        <v>324</v>
      </c>
      <c r="F225" s="33">
        <v>10</v>
      </c>
      <c r="G225" s="71">
        <v>-110</v>
      </c>
      <c r="H225" s="9" t="s">
        <v>6</v>
      </c>
      <c r="I2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5" s="36"/>
      <c r="L225" s="36">
        <f t="shared" si="15"/>
        <v>0</v>
      </c>
      <c r="M225" s="51" t="str">
        <f>COUNTIFS(Bets[Date],L225,Bets[Result],"W")&amp;"-"&amp;COUNTIFS(Bets[Date],L225,Bets[Result],"L")&amp;IF(COUNTIFS(Bets[Date],L225,Bets[Result],"Push")&gt;0,"-"&amp;COUNTIFS(Bets[Date],L225,Bets[Result],"Push"),"")</f>
        <v>0-0</v>
      </c>
      <c r="N225" s="52" t="str">
        <f>IFERROR(COUNTIFS(Bets[Date],L225,Bets[Result],"W")/(COUNTIFS(Bets[Date],L225,Bets[Result],"W")+COUNTIFS(Bets[Date],L225,Bets[Result],"L")),"")</f>
        <v/>
      </c>
      <c r="O225" s="38">
        <f>SUMIF(Bets[Date],L225,Bets[Profit])</f>
        <v>0</v>
      </c>
      <c r="P225" s="37" t="str">
        <f>IFERROR("("&amp;ROUND(SUMIF(Bets[Date],L225,Bets[Profit])/SUMIF(Bets[Date],L225,Bets[Risk]),2)*100&amp;"%)","")</f>
        <v/>
      </c>
    </row>
    <row r="226" spans="1:16" x14ac:dyDescent="0.25">
      <c r="A226" s="35">
        <f t="shared" si="12"/>
        <v>26</v>
      </c>
      <c r="B226" s="5">
        <v>43479</v>
      </c>
      <c r="C226" s="5" t="s">
        <v>134</v>
      </c>
      <c r="D226" s="57" t="s">
        <v>354</v>
      </c>
      <c r="E226" s="7" t="s">
        <v>130</v>
      </c>
      <c r="F226" s="33">
        <v>10</v>
      </c>
      <c r="G226" s="71">
        <v>-105</v>
      </c>
      <c r="H226" s="9" t="s">
        <v>6</v>
      </c>
      <c r="I2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26" s="36"/>
      <c r="L226" s="36">
        <f t="shared" si="15"/>
        <v>0</v>
      </c>
      <c r="M226" s="51" t="str">
        <f>COUNTIFS(Bets[Date],L226,Bets[Result],"W")&amp;"-"&amp;COUNTIFS(Bets[Date],L226,Bets[Result],"L")&amp;IF(COUNTIFS(Bets[Date],L226,Bets[Result],"Push")&gt;0,"-"&amp;COUNTIFS(Bets[Date],L226,Bets[Result],"Push"),"")</f>
        <v>0-0</v>
      </c>
      <c r="N226" s="52" t="str">
        <f>IFERROR(COUNTIFS(Bets[Date],L226,Bets[Result],"W")/(COUNTIFS(Bets[Date],L226,Bets[Result],"W")+COUNTIFS(Bets[Date],L226,Bets[Result],"L")),"")</f>
        <v/>
      </c>
      <c r="O226" s="38">
        <f>SUMIF(Bets[Date],L226,Bets[Profit])</f>
        <v>0</v>
      </c>
      <c r="P226" s="37" t="str">
        <f>IFERROR("("&amp;ROUND(SUMIF(Bets[Date],L226,Bets[Profit])/SUMIF(Bets[Date],L226,Bets[Risk]),2)*100&amp;"%)","")</f>
        <v/>
      </c>
    </row>
    <row r="227" spans="1:16" x14ac:dyDescent="0.25">
      <c r="A227" s="35">
        <f t="shared" si="12"/>
        <v>26</v>
      </c>
      <c r="B227" s="5">
        <v>43479</v>
      </c>
      <c r="C227" s="5" t="s">
        <v>134</v>
      </c>
      <c r="D227" s="57" t="s">
        <v>354</v>
      </c>
      <c r="E227" s="7" t="s">
        <v>355</v>
      </c>
      <c r="F227" s="33">
        <v>10</v>
      </c>
      <c r="G227" s="71">
        <v>-105</v>
      </c>
      <c r="H227" s="9" t="s">
        <v>36</v>
      </c>
      <c r="I2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22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7" s="36"/>
      <c r="L227" s="36">
        <f t="shared" si="15"/>
        <v>0</v>
      </c>
      <c r="M227" s="51" t="str">
        <f>COUNTIFS(Bets[Date],L227,Bets[Result],"W")&amp;"-"&amp;COUNTIFS(Bets[Date],L227,Bets[Result],"L")&amp;IF(COUNTIFS(Bets[Date],L227,Bets[Result],"Push")&gt;0,"-"&amp;COUNTIFS(Bets[Date],L227,Bets[Result],"Push"),"")</f>
        <v>0-0</v>
      </c>
      <c r="N227" s="52" t="str">
        <f>IFERROR(COUNTIFS(Bets[Date],L227,Bets[Result],"W")/(COUNTIFS(Bets[Date],L227,Bets[Result],"W")+COUNTIFS(Bets[Date],L227,Bets[Result],"L")),"")</f>
        <v/>
      </c>
      <c r="O227" s="38">
        <f>SUMIF(Bets[Date],L227,Bets[Profit])</f>
        <v>0</v>
      </c>
      <c r="P227" s="37" t="str">
        <f>IFERROR("("&amp;ROUND(SUMIF(Bets[Date],L227,Bets[Profit])/SUMIF(Bets[Date],L227,Bets[Risk]),2)*100&amp;"%)","")</f>
        <v/>
      </c>
    </row>
    <row r="228" spans="1:16" x14ac:dyDescent="0.25">
      <c r="A228" s="35">
        <f t="shared" si="12"/>
        <v>26</v>
      </c>
      <c r="B228" s="5">
        <v>43479</v>
      </c>
      <c r="C228" s="5" t="s">
        <v>134</v>
      </c>
      <c r="D228" s="57" t="s">
        <v>356</v>
      </c>
      <c r="E228" s="7" t="s">
        <v>357</v>
      </c>
      <c r="F228" s="33">
        <v>10</v>
      </c>
      <c r="G228" s="71">
        <v>-105</v>
      </c>
      <c r="H228" s="9" t="s">
        <v>6</v>
      </c>
      <c r="I2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28" s="36"/>
      <c r="L228" s="36">
        <f t="shared" si="15"/>
        <v>0</v>
      </c>
      <c r="M228" s="51" t="str">
        <f>COUNTIFS(Bets[Date],L228,Bets[Result],"W")&amp;"-"&amp;COUNTIFS(Bets[Date],L228,Bets[Result],"L")&amp;IF(COUNTIFS(Bets[Date],L228,Bets[Result],"Push")&gt;0,"-"&amp;COUNTIFS(Bets[Date],L228,Bets[Result],"Push"),"")</f>
        <v>0-0</v>
      </c>
      <c r="N228" s="52" t="str">
        <f>IFERROR(COUNTIFS(Bets[Date],L228,Bets[Result],"W")/(COUNTIFS(Bets[Date],L228,Bets[Result],"W")+COUNTIFS(Bets[Date],L228,Bets[Result],"L")),"")</f>
        <v/>
      </c>
      <c r="O228" s="38">
        <f>SUMIF(Bets[Date],L228,Bets[Profit])</f>
        <v>0</v>
      </c>
      <c r="P228" s="37" t="str">
        <f>IFERROR("("&amp;ROUND(SUMIF(Bets[Date],L228,Bets[Profit])/SUMIF(Bets[Date],L228,Bets[Risk]),2)*100&amp;"%)","")</f>
        <v/>
      </c>
    </row>
    <row r="229" spans="1:16" x14ac:dyDescent="0.25">
      <c r="A229" s="35">
        <f t="shared" si="12"/>
        <v>26</v>
      </c>
      <c r="B229" s="5">
        <v>43479</v>
      </c>
      <c r="C229" s="5" t="s">
        <v>134</v>
      </c>
      <c r="D229" s="57" t="s">
        <v>356</v>
      </c>
      <c r="E229" s="7" t="s">
        <v>358</v>
      </c>
      <c r="F229" s="33">
        <v>10</v>
      </c>
      <c r="G229" s="71">
        <v>-105</v>
      </c>
      <c r="H229" s="9" t="s">
        <v>6</v>
      </c>
      <c r="I2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2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29" s="36"/>
      <c r="L229" s="36">
        <f t="shared" si="15"/>
        <v>0</v>
      </c>
      <c r="M229" s="51" t="str">
        <f>COUNTIFS(Bets[Date],L229,Bets[Result],"W")&amp;"-"&amp;COUNTIFS(Bets[Date],L229,Bets[Result],"L")&amp;IF(COUNTIFS(Bets[Date],L229,Bets[Result],"Push")&gt;0,"-"&amp;COUNTIFS(Bets[Date],L229,Bets[Result],"Push"),"")</f>
        <v>0-0</v>
      </c>
      <c r="N229" s="52" t="str">
        <f>IFERROR(COUNTIFS(Bets[Date],L229,Bets[Result],"W")/(COUNTIFS(Bets[Date],L229,Bets[Result],"W")+COUNTIFS(Bets[Date],L229,Bets[Result],"L")),"")</f>
        <v/>
      </c>
      <c r="O229" s="38">
        <f>SUMIF(Bets[Date],L229,Bets[Profit])</f>
        <v>0</v>
      </c>
      <c r="P229" s="37" t="str">
        <f>IFERROR("("&amp;ROUND(SUMIF(Bets[Date],L229,Bets[Profit])/SUMIF(Bets[Date],L229,Bets[Risk]),2)*100&amp;"%)","")</f>
        <v/>
      </c>
    </row>
    <row r="230" spans="1:16" x14ac:dyDescent="0.25">
      <c r="A230" s="35">
        <f t="shared" si="12"/>
        <v>26</v>
      </c>
      <c r="B230" s="5">
        <v>43479</v>
      </c>
      <c r="C230" s="5" t="s">
        <v>134</v>
      </c>
      <c r="D230" s="57" t="s">
        <v>359</v>
      </c>
      <c r="E230" s="7" t="s">
        <v>360</v>
      </c>
      <c r="F230" s="33">
        <v>10</v>
      </c>
      <c r="G230" s="71">
        <v>-110</v>
      </c>
      <c r="H230" s="9" t="s">
        <v>36</v>
      </c>
      <c r="I2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3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30" s="36"/>
      <c r="L230" s="36">
        <f t="shared" si="15"/>
        <v>0</v>
      </c>
      <c r="M230" s="51" t="str">
        <f>COUNTIFS(Bets[Date],L230,Bets[Result],"W")&amp;"-"&amp;COUNTIFS(Bets[Date],L230,Bets[Result],"L")&amp;IF(COUNTIFS(Bets[Date],L230,Bets[Result],"Push")&gt;0,"-"&amp;COUNTIFS(Bets[Date],L230,Bets[Result],"Push"),"")</f>
        <v>0-0</v>
      </c>
      <c r="N230" s="52" t="str">
        <f>IFERROR(COUNTIFS(Bets[Date],L230,Bets[Result],"W")/(COUNTIFS(Bets[Date],L230,Bets[Result],"W")+COUNTIFS(Bets[Date],L230,Bets[Result],"L")),"")</f>
        <v/>
      </c>
      <c r="O230" s="38">
        <f>SUMIF(Bets[Date],L230,Bets[Profit])</f>
        <v>0</v>
      </c>
      <c r="P230" s="37" t="str">
        <f>IFERROR("("&amp;ROUND(SUMIF(Bets[Date],L230,Bets[Profit])/SUMIF(Bets[Date],L230,Bets[Risk]),2)*100&amp;"%)","")</f>
        <v/>
      </c>
    </row>
    <row r="231" spans="1:16" x14ac:dyDescent="0.25">
      <c r="A231" s="35">
        <f t="shared" si="12"/>
        <v>26</v>
      </c>
      <c r="B231" s="5">
        <v>43479</v>
      </c>
      <c r="C231" s="5" t="s">
        <v>134</v>
      </c>
      <c r="D231" s="57" t="s">
        <v>361</v>
      </c>
      <c r="E231" s="7" t="s">
        <v>216</v>
      </c>
      <c r="F231" s="33">
        <v>10</v>
      </c>
      <c r="G231" s="71">
        <v>-115</v>
      </c>
      <c r="H231" s="9" t="s">
        <v>36</v>
      </c>
      <c r="I2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23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31" s="36"/>
      <c r="L231" s="36">
        <f t="shared" si="15"/>
        <v>0</v>
      </c>
      <c r="M231" s="51" t="str">
        <f>COUNTIFS(Bets[Date],L231,Bets[Result],"W")&amp;"-"&amp;COUNTIFS(Bets[Date],L231,Bets[Result],"L")&amp;IF(COUNTIFS(Bets[Date],L231,Bets[Result],"Push")&gt;0,"-"&amp;COUNTIFS(Bets[Date],L231,Bets[Result],"Push"),"")</f>
        <v>0-0</v>
      </c>
      <c r="N231" s="52" t="str">
        <f>IFERROR(COUNTIFS(Bets[Date],L231,Bets[Result],"W")/(COUNTIFS(Bets[Date],L231,Bets[Result],"W")+COUNTIFS(Bets[Date],L231,Bets[Result],"L")),"")</f>
        <v/>
      </c>
      <c r="O231" s="38">
        <f>SUMIF(Bets[Date],L231,Bets[Profit])</f>
        <v>0</v>
      </c>
      <c r="P231" s="37" t="str">
        <f>IFERROR("("&amp;ROUND(SUMIF(Bets[Date],L231,Bets[Profit])/SUMIF(Bets[Date],L231,Bets[Risk]),2)*100&amp;"%)","")</f>
        <v/>
      </c>
    </row>
    <row r="232" spans="1:16" x14ac:dyDescent="0.25">
      <c r="A232" s="35">
        <f t="shared" si="12"/>
        <v>26</v>
      </c>
      <c r="B232" s="5">
        <v>43479</v>
      </c>
      <c r="C232" s="5" t="s">
        <v>134</v>
      </c>
      <c r="D232" s="57" t="s">
        <v>361</v>
      </c>
      <c r="E232" s="7" t="s">
        <v>362</v>
      </c>
      <c r="F232" s="33">
        <v>10</v>
      </c>
      <c r="G232" s="71">
        <v>-105</v>
      </c>
      <c r="H232" s="9" t="s">
        <v>6</v>
      </c>
      <c r="I2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3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32" s="36"/>
      <c r="L232" s="36">
        <f t="shared" si="15"/>
        <v>0</v>
      </c>
      <c r="M232" s="51" t="str">
        <f>COUNTIFS(Bets[Date],L232,Bets[Result],"W")&amp;"-"&amp;COUNTIFS(Bets[Date],L232,Bets[Result],"L")&amp;IF(COUNTIFS(Bets[Date],L232,Bets[Result],"Push")&gt;0,"-"&amp;COUNTIFS(Bets[Date],L232,Bets[Result],"Push"),"")</f>
        <v>0-0</v>
      </c>
      <c r="N232" s="52" t="str">
        <f>IFERROR(COUNTIFS(Bets[Date],L232,Bets[Result],"W")/(COUNTIFS(Bets[Date],L232,Bets[Result],"W")+COUNTIFS(Bets[Date],L232,Bets[Result],"L")),"")</f>
        <v/>
      </c>
      <c r="O232" s="38">
        <f>SUMIF(Bets[Date],L232,Bets[Profit])</f>
        <v>0</v>
      </c>
      <c r="P232" s="37" t="str">
        <f>IFERROR("("&amp;ROUND(SUMIF(Bets[Date],L232,Bets[Profit])/SUMIF(Bets[Date],L232,Bets[Risk]),2)*100&amp;"%)","")</f>
        <v/>
      </c>
    </row>
    <row r="233" spans="1:16" x14ac:dyDescent="0.25">
      <c r="A233" s="35">
        <f t="shared" si="12"/>
        <v>26</v>
      </c>
      <c r="B233" s="5">
        <v>43479</v>
      </c>
      <c r="C233" s="5" t="s">
        <v>134</v>
      </c>
      <c r="D233" s="57" t="s">
        <v>363</v>
      </c>
      <c r="E233" s="7" t="s">
        <v>364</v>
      </c>
      <c r="F233" s="33">
        <v>10</v>
      </c>
      <c r="G233" s="71">
        <v>-110</v>
      </c>
      <c r="H233" s="9" t="s">
        <v>36</v>
      </c>
      <c r="I2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3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33" s="36"/>
      <c r="L233" s="36">
        <f t="shared" si="15"/>
        <v>0</v>
      </c>
      <c r="M233" s="51" t="str">
        <f>COUNTIFS(Bets[Date],L233,Bets[Result],"W")&amp;"-"&amp;COUNTIFS(Bets[Date],L233,Bets[Result],"L")&amp;IF(COUNTIFS(Bets[Date],L233,Bets[Result],"Push")&gt;0,"-"&amp;COUNTIFS(Bets[Date],L233,Bets[Result],"Push"),"")</f>
        <v>0-0</v>
      </c>
      <c r="N233" s="52" t="str">
        <f>IFERROR(COUNTIFS(Bets[Date],L233,Bets[Result],"W")/(COUNTIFS(Bets[Date],L233,Bets[Result],"W")+COUNTIFS(Bets[Date],L233,Bets[Result],"L")),"")</f>
        <v/>
      </c>
      <c r="O233" s="38">
        <f>SUMIF(Bets[Date],L233,Bets[Profit])</f>
        <v>0</v>
      </c>
      <c r="P233" s="37" t="str">
        <f>IFERROR("("&amp;ROUND(SUMIF(Bets[Date],L233,Bets[Profit])/SUMIF(Bets[Date],L233,Bets[Risk]),2)*100&amp;"%)","")</f>
        <v/>
      </c>
    </row>
    <row r="234" spans="1:16" x14ac:dyDescent="0.25">
      <c r="A234" s="35">
        <f t="shared" si="12"/>
        <v>26</v>
      </c>
      <c r="B234" s="5">
        <v>43479</v>
      </c>
      <c r="C234" s="5" t="s">
        <v>134</v>
      </c>
      <c r="D234" s="57" t="s">
        <v>363</v>
      </c>
      <c r="E234" s="7" t="s">
        <v>365</v>
      </c>
      <c r="F234" s="33">
        <v>10</v>
      </c>
      <c r="G234" s="71">
        <v>-110</v>
      </c>
      <c r="H234" s="9" t="s">
        <v>36</v>
      </c>
      <c r="I2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3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34" s="36"/>
      <c r="L234" s="36">
        <f t="shared" si="15"/>
        <v>0</v>
      </c>
      <c r="M234" s="51" t="str">
        <f>COUNTIFS(Bets[Date],L234,Bets[Result],"W")&amp;"-"&amp;COUNTIFS(Bets[Date],L234,Bets[Result],"L")&amp;IF(COUNTIFS(Bets[Date],L234,Bets[Result],"Push")&gt;0,"-"&amp;COUNTIFS(Bets[Date],L234,Bets[Result],"Push"),"")</f>
        <v>0-0</v>
      </c>
      <c r="N234" s="52" t="str">
        <f>IFERROR(COUNTIFS(Bets[Date],L234,Bets[Result],"W")/(COUNTIFS(Bets[Date],L234,Bets[Result],"W")+COUNTIFS(Bets[Date],L234,Bets[Result],"L")),"")</f>
        <v/>
      </c>
      <c r="O234" s="38">
        <f>SUMIF(Bets[Date],L234,Bets[Profit])</f>
        <v>0</v>
      </c>
      <c r="P234" s="37" t="str">
        <f>IFERROR("("&amp;ROUND(SUMIF(Bets[Date],L234,Bets[Profit])/SUMIF(Bets[Date],L234,Bets[Risk]),2)*100&amp;"%)","")</f>
        <v/>
      </c>
    </row>
    <row r="235" spans="1:16" x14ac:dyDescent="0.25">
      <c r="A235" s="35">
        <f t="shared" si="12"/>
        <v>26</v>
      </c>
      <c r="B235" s="5">
        <v>43479</v>
      </c>
      <c r="C235" s="5" t="s">
        <v>134</v>
      </c>
      <c r="D235" s="57" t="s">
        <v>363</v>
      </c>
      <c r="E235" s="7" t="s">
        <v>184</v>
      </c>
      <c r="F235" s="33">
        <v>10</v>
      </c>
      <c r="G235" s="71">
        <v>120</v>
      </c>
      <c r="H235" s="9" t="s">
        <v>36</v>
      </c>
      <c r="I2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</v>
      </c>
      <c r="J23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35" s="36"/>
      <c r="L235" s="36">
        <f t="shared" si="15"/>
        <v>0</v>
      </c>
      <c r="M235" s="51" t="str">
        <f>COUNTIFS(Bets[Date],L235,Bets[Result],"W")&amp;"-"&amp;COUNTIFS(Bets[Date],L235,Bets[Result],"L")&amp;IF(COUNTIFS(Bets[Date],L235,Bets[Result],"Push")&gt;0,"-"&amp;COUNTIFS(Bets[Date],L235,Bets[Result],"Push"),"")</f>
        <v>0-0</v>
      </c>
      <c r="N235" s="52" t="str">
        <f>IFERROR(COUNTIFS(Bets[Date],L235,Bets[Result],"W")/(COUNTIFS(Bets[Date],L235,Bets[Result],"W")+COUNTIFS(Bets[Date],L235,Bets[Result],"L")),"")</f>
        <v/>
      </c>
      <c r="O235" s="38">
        <f>SUMIF(Bets[Date],L235,Bets[Profit])</f>
        <v>0</v>
      </c>
      <c r="P235" s="37" t="str">
        <f>IFERROR("("&amp;ROUND(SUMIF(Bets[Date],L235,Bets[Profit])/SUMIF(Bets[Date],L235,Bets[Risk]),2)*100&amp;"%)","")</f>
        <v/>
      </c>
    </row>
    <row r="236" spans="1:16" x14ac:dyDescent="0.25">
      <c r="A236" s="35">
        <f t="shared" si="12"/>
        <v>27</v>
      </c>
      <c r="B236" s="5">
        <v>43480</v>
      </c>
      <c r="C236" s="5" t="s">
        <v>134</v>
      </c>
      <c r="D236" s="57" t="s">
        <v>366</v>
      </c>
      <c r="E236" s="7" t="s">
        <v>333</v>
      </c>
      <c r="F236" s="33">
        <v>10</v>
      </c>
      <c r="G236" s="63">
        <v>-110</v>
      </c>
      <c r="H236" s="9" t="s">
        <v>6</v>
      </c>
      <c r="I2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3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36" s="36"/>
      <c r="L236" s="36">
        <f t="shared" si="15"/>
        <v>0</v>
      </c>
      <c r="M236" s="51" t="str">
        <f>COUNTIFS(Bets[Date],L236,Bets[Result],"W")&amp;"-"&amp;COUNTIFS(Bets[Date],L236,Bets[Result],"L")&amp;IF(COUNTIFS(Bets[Date],L236,Bets[Result],"Push")&gt;0,"-"&amp;COUNTIFS(Bets[Date],L236,Bets[Result],"Push"),"")</f>
        <v>0-0</v>
      </c>
      <c r="N236" s="52" t="str">
        <f>IFERROR(COUNTIFS(Bets[Date],L236,Bets[Result],"W")/(COUNTIFS(Bets[Date],L236,Bets[Result],"W")+COUNTIFS(Bets[Date],L236,Bets[Result],"L")),"")</f>
        <v/>
      </c>
      <c r="O236" s="38">
        <f>SUMIF(Bets[Date],L236,Bets[Profit])</f>
        <v>0</v>
      </c>
      <c r="P236" s="37" t="str">
        <f>IFERROR("("&amp;ROUND(SUMIF(Bets[Date],L236,Bets[Profit])/SUMIF(Bets[Date],L236,Bets[Risk]),2)*100&amp;"%)","")</f>
        <v/>
      </c>
    </row>
    <row r="237" spans="1:16" x14ac:dyDescent="0.25">
      <c r="A237" s="35">
        <f t="shared" si="12"/>
        <v>27</v>
      </c>
      <c r="B237" s="5">
        <v>43480</v>
      </c>
      <c r="C237" s="5" t="s">
        <v>134</v>
      </c>
      <c r="D237" s="57" t="s">
        <v>366</v>
      </c>
      <c r="E237" s="7" t="s">
        <v>367</v>
      </c>
      <c r="F237" s="33">
        <v>10</v>
      </c>
      <c r="G237" s="63">
        <v>-110</v>
      </c>
      <c r="H237" s="9" t="s">
        <v>6</v>
      </c>
      <c r="I2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3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37" s="36"/>
      <c r="L237" s="36">
        <f t="shared" si="15"/>
        <v>0</v>
      </c>
      <c r="M237" s="51" t="str">
        <f>COUNTIFS(Bets[Date],L237,Bets[Result],"W")&amp;"-"&amp;COUNTIFS(Bets[Date],L237,Bets[Result],"L")&amp;IF(COUNTIFS(Bets[Date],L237,Bets[Result],"Push")&gt;0,"-"&amp;COUNTIFS(Bets[Date],L237,Bets[Result],"Push"),"")</f>
        <v>0-0</v>
      </c>
      <c r="N237" s="52" t="str">
        <f>IFERROR(COUNTIFS(Bets[Date],L237,Bets[Result],"W")/(COUNTIFS(Bets[Date],L237,Bets[Result],"W")+COUNTIFS(Bets[Date],L237,Bets[Result],"L")),"")</f>
        <v/>
      </c>
      <c r="O237" s="38">
        <f>SUMIF(Bets[Date],L237,Bets[Profit])</f>
        <v>0</v>
      </c>
      <c r="P237" s="37" t="str">
        <f>IFERROR("("&amp;ROUND(SUMIF(Bets[Date],L237,Bets[Profit])/SUMIF(Bets[Date],L237,Bets[Risk]),2)*100&amp;"%)","")</f>
        <v/>
      </c>
    </row>
    <row r="238" spans="1:16" x14ac:dyDescent="0.25">
      <c r="A238" s="35">
        <f t="shared" si="12"/>
        <v>27</v>
      </c>
      <c r="B238" s="5">
        <v>43480</v>
      </c>
      <c r="C238" s="5" t="s">
        <v>134</v>
      </c>
      <c r="D238" s="57" t="s">
        <v>368</v>
      </c>
      <c r="E238" s="7" t="s">
        <v>340</v>
      </c>
      <c r="F238" s="33">
        <v>10</v>
      </c>
      <c r="G238" s="63">
        <v>-110</v>
      </c>
      <c r="H238" s="9" t="s">
        <v>6</v>
      </c>
      <c r="I2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3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38" s="36"/>
      <c r="L238" s="36">
        <f t="shared" si="15"/>
        <v>0</v>
      </c>
      <c r="M238" s="51" t="str">
        <f>COUNTIFS(Bets[Date],L238,Bets[Result],"W")&amp;"-"&amp;COUNTIFS(Bets[Date],L238,Bets[Result],"L")&amp;IF(COUNTIFS(Bets[Date],L238,Bets[Result],"Push")&gt;0,"-"&amp;COUNTIFS(Bets[Date],L238,Bets[Result],"Push"),"")</f>
        <v>0-0</v>
      </c>
      <c r="N238" s="52" t="str">
        <f>IFERROR(COUNTIFS(Bets[Date],L238,Bets[Result],"W")/(COUNTIFS(Bets[Date],L238,Bets[Result],"W")+COUNTIFS(Bets[Date],L238,Bets[Result],"L")),"")</f>
        <v/>
      </c>
      <c r="O238" s="38">
        <f>SUMIF(Bets[Date],L238,Bets[Profit])</f>
        <v>0</v>
      </c>
      <c r="P238" s="37" t="str">
        <f>IFERROR("("&amp;ROUND(SUMIF(Bets[Date],L238,Bets[Profit])/SUMIF(Bets[Date],L238,Bets[Risk]),2)*100&amp;"%)","")</f>
        <v/>
      </c>
    </row>
    <row r="239" spans="1:16" x14ac:dyDescent="0.25">
      <c r="A239" s="35">
        <f t="shared" si="12"/>
        <v>27</v>
      </c>
      <c r="B239" s="5">
        <v>43480</v>
      </c>
      <c r="C239" s="5" t="s">
        <v>134</v>
      </c>
      <c r="D239" s="57" t="s">
        <v>369</v>
      </c>
      <c r="E239" s="7" t="s">
        <v>182</v>
      </c>
      <c r="F239" s="33">
        <v>10</v>
      </c>
      <c r="G239" s="63">
        <v>-105</v>
      </c>
      <c r="H239" s="9" t="s">
        <v>6</v>
      </c>
      <c r="I2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3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39" s="36"/>
      <c r="L239" s="36">
        <f t="shared" si="15"/>
        <v>0</v>
      </c>
      <c r="M239" s="51" t="str">
        <f>COUNTIFS(Bets[Date],L239,Bets[Result],"W")&amp;"-"&amp;COUNTIFS(Bets[Date],L239,Bets[Result],"L")&amp;IF(COUNTIFS(Bets[Date],L239,Bets[Result],"Push")&gt;0,"-"&amp;COUNTIFS(Bets[Date],L239,Bets[Result],"Push"),"")</f>
        <v>0-0</v>
      </c>
      <c r="N239" s="52" t="str">
        <f>IFERROR(COUNTIFS(Bets[Date],L239,Bets[Result],"W")/(COUNTIFS(Bets[Date],L239,Bets[Result],"W")+COUNTIFS(Bets[Date],L239,Bets[Result],"L")),"")</f>
        <v/>
      </c>
      <c r="O239" s="38">
        <f>SUMIF(Bets[Date],L239,Bets[Profit])</f>
        <v>0</v>
      </c>
      <c r="P239" s="37" t="str">
        <f>IFERROR("("&amp;ROUND(SUMIF(Bets[Date],L239,Bets[Profit])/SUMIF(Bets[Date],L239,Bets[Risk]),2)*100&amp;"%)","")</f>
        <v/>
      </c>
    </row>
    <row r="240" spans="1:16" x14ac:dyDescent="0.25">
      <c r="A240" s="35">
        <f t="shared" si="12"/>
        <v>27</v>
      </c>
      <c r="B240" s="5">
        <v>43480</v>
      </c>
      <c r="C240" s="5" t="s">
        <v>134</v>
      </c>
      <c r="D240" s="57" t="s">
        <v>369</v>
      </c>
      <c r="E240" s="7" t="s">
        <v>370</v>
      </c>
      <c r="F240" s="33">
        <v>10</v>
      </c>
      <c r="G240" s="63">
        <v>-105</v>
      </c>
      <c r="H240" s="9" t="s">
        <v>6</v>
      </c>
      <c r="I2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4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40" s="36"/>
      <c r="L240" s="36">
        <f t="shared" si="15"/>
        <v>0</v>
      </c>
      <c r="M240" s="51" t="str">
        <f>COUNTIFS(Bets[Date],L240,Bets[Result],"W")&amp;"-"&amp;COUNTIFS(Bets[Date],L240,Bets[Result],"L")&amp;IF(COUNTIFS(Bets[Date],L240,Bets[Result],"Push")&gt;0,"-"&amp;COUNTIFS(Bets[Date],L240,Bets[Result],"Push"),"")</f>
        <v>0-0</v>
      </c>
      <c r="N240" s="52" t="str">
        <f>IFERROR(COUNTIFS(Bets[Date],L240,Bets[Result],"W")/(COUNTIFS(Bets[Date],L240,Bets[Result],"W")+COUNTIFS(Bets[Date],L240,Bets[Result],"L")),"")</f>
        <v/>
      </c>
      <c r="O240" s="38">
        <f>SUMIF(Bets[Date],L240,Bets[Profit])</f>
        <v>0</v>
      </c>
      <c r="P240" s="37" t="str">
        <f>IFERROR("("&amp;ROUND(SUMIF(Bets[Date],L240,Bets[Profit])/SUMIF(Bets[Date],L240,Bets[Risk]),2)*100&amp;"%)","")</f>
        <v/>
      </c>
    </row>
    <row r="241" spans="1:16" x14ac:dyDescent="0.25">
      <c r="A241" s="35">
        <f t="shared" si="12"/>
        <v>27</v>
      </c>
      <c r="B241" s="5">
        <v>43480</v>
      </c>
      <c r="C241" s="5" t="s">
        <v>134</v>
      </c>
      <c r="D241" s="57" t="s">
        <v>371</v>
      </c>
      <c r="E241" s="7" t="s">
        <v>372</v>
      </c>
      <c r="F241" s="33">
        <v>10</v>
      </c>
      <c r="G241" s="63">
        <v>-110</v>
      </c>
      <c r="H241" s="9" t="s">
        <v>36</v>
      </c>
      <c r="I2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4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41" s="36"/>
      <c r="L241" s="36">
        <f t="shared" si="15"/>
        <v>0</v>
      </c>
      <c r="M241" s="51" t="str">
        <f>COUNTIFS(Bets[Date],L241,Bets[Result],"W")&amp;"-"&amp;COUNTIFS(Bets[Date],L241,Bets[Result],"L")&amp;IF(COUNTIFS(Bets[Date],L241,Bets[Result],"Push")&gt;0,"-"&amp;COUNTIFS(Bets[Date],L241,Bets[Result],"Push"),"")</f>
        <v>0-0</v>
      </c>
      <c r="N241" s="52" t="str">
        <f>IFERROR(COUNTIFS(Bets[Date],L241,Bets[Result],"W")/(COUNTIFS(Bets[Date],L241,Bets[Result],"W")+COUNTIFS(Bets[Date],L241,Bets[Result],"L")),"")</f>
        <v/>
      </c>
      <c r="O241" s="38">
        <f>SUMIF(Bets[Date],L241,Bets[Profit])</f>
        <v>0</v>
      </c>
      <c r="P241" s="37" t="str">
        <f>IFERROR("("&amp;ROUND(SUMIF(Bets[Date],L241,Bets[Profit])/SUMIF(Bets[Date],L241,Bets[Risk]),2)*100&amp;"%)","")</f>
        <v/>
      </c>
    </row>
    <row r="242" spans="1:16" x14ac:dyDescent="0.25">
      <c r="A242" s="35">
        <f t="shared" si="12"/>
        <v>27</v>
      </c>
      <c r="B242" s="5">
        <v>43480</v>
      </c>
      <c r="C242" s="5" t="s">
        <v>134</v>
      </c>
      <c r="D242" s="57" t="s">
        <v>373</v>
      </c>
      <c r="E242" s="7" t="s">
        <v>216</v>
      </c>
      <c r="F242" s="33">
        <v>10</v>
      </c>
      <c r="G242" s="63">
        <v>-115</v>
      </c>
      <c r="H242" s="9" t="s">
        <v>6</v>
      </c>
      <c r="I2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24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42" s="36"/>
      <c r="L242" s="36">
        <f t="shared" si="15"/>
        <v>0</v>
      </c>
      <c r="M242" s="51" t="str">
        <f>COUNTIFS(Bets[Date],L242,Bets[Result],"W")&amp;"-"&amp;COUNTIFS(Bets[Date],L242,Bets[Result],"L")&amp;IF(COUNTIFS(Bets[Date],L242,Bets[Result],"Push")&gt;0,"-"&amp;COUNTIFS(Bets[Date],L242,Bets[Result],"Push"),"")</f>
        <v>0-0</v>
      </c>
      <c r="N242" s="52" t="str">
        <f>IFERROR(COUNTIFS(Bets[Date],L242,Bets[Result],"W")/(COUNTIFS(Bets[Date],L242,Bets[Result],"W")+COUNTIFS(Bets[Date],L242,Bets[Result],"L")),"")</f>
        <v/>
      </c>
      <c r="O242" s="38">
        <f>SUMIF(Bets[Date],L242,Bets[Profit])</f>
        <v>0</v>
      </c>
      <c r="P242" s="37" t="str">
        <f>IFERROR("("&amp;ROUND(SUMIF(Bets[Date],L242,Bets[Profit])/SUMIF(Bets[Date],L242,Bets[Risk]),2)*100&amp;"%)","")</f>
        <v/>
      </c>
    </row>
    <row r="243" spans="1:16" x14ac:dyDescent="0.25">
      <c r="A243" s="35">
        <f t="shared" si="12"/>
        <v>27</v>
      </c>
      <c r="B243" s="5">
        <v>43480</v>
      </c>
      <c r="C243" s="5" t="s">
        <v>134</v>
      </c>
      <c r="D243" s="57" t="s">
        <v>373</v>
      </c>
      <c r="E243" s="7" t="s">
        <v>374</v>
      </c>
      <c r="F243" s="33">
        <v>10</v>
      </c>
      <c r="G243" s="63">
        <v>-110</v>
      </c>
      <c r="H243" s="9" t="s">
        <v>36</v>
      </c>
      <c r="I2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4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43" s="36"/>
      <c r="L243" s="36">
        <f t="shared" si="15"/>
        <v>0</v>
      </c>
      <c r="M243" s="51" t="str">
        <f>COUNTIFS(Bets[Date],L243,Bets[Result],"W")&amp;"-"&amp;COUNTIFS(Bets[Date],L243,Bets[Result],"L")&amp;IF(COUNTIFS(Bets[Date],L243,Bets[Result],"Push")&gt;0,"-"&amp;COUNTIFS(Bets[Date],L243,Bets[Result],"Push"),"")</f>
        <v>0-0</v>
      </c>
      <c r="N243" s="52" t="str">
        <f>IFERROR(COUNTIFS(Bets[Date],L243,Bets[Result],"W")/(COUNTIFS(Bets[Date],L243,Bets[Result],"W")+COUNTIFS(Bets[Date],L243,Bets[Result],"L")),"")</f>
        <v/>
      </c>
      <c r="O243" s="38">
        <f>SUMIF(Bets[Date],L243,Bets[Profit])</f>
        <v>0</v>
      </c>
      <c r="P243" s="37" t="str">
        <f>IFERROR("("&amp;ROUND(SUMIF(Bets[Date],L243,Bets[Profit])/SUMIF(Bets[Date],L243,Bets[Risk]),2)*100&amp;"%)","")</f>
        <v/>
      </c>
    </row>
    <row r="244" spans="1:16" x14ac:dyDescent="0.25">
      <c r="A244" s="35">
        <f t="shared" si="12"/>
        <v>27</v>
      </c>
      <c r="B244" s="5">
        <v>43480</v>
      </c>
      <c r="C244" s="5" t="s">
        <v>134</v>
      </c>
      <c r="D244" s="57" t="s">
        <v>375</v>
      </c>
      <c r="E244" s="7" t="s">
        <v>376</v>
      </c>
      <c r="F244" s="33">
        <v>10</v>
      </c>
      <c r="G244" s="63">
        <v>-110</v>
      </c>
      <c r="H244" s="9" t="s">
        <v>36</v>
      </c>
      <c r="I2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4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44" s="36"/>
      <c r="L244" s="36">
        <f t="shared" si="15"/>
        <v>0</v>
      </c>
      <c r="M244" s="51" t="str">
        <f>COUNTIFS(Bets[Date],L244,Bets[Result],"W")&amp;"-"&amp;COUNTIFS(Bets[Date],L244,Bets[Result],"L")&amp;IF(COUNTIFS(Bets[Date],L244,Bets[Result],"Push")&gt;0,"-"&amp;COUNTIFS(Bets[Date],L244,Bets[Result],"Push"),"")</f>
        <v>0-0</v>
      </c>
      <c r="N244" s="52" t="str">
        <f>IFERROR(COUNTIFS(Bets[Date],L244,Bets[Result],"W")/(COUNTIFS(Bets[Date],L244,Bets[Result],"W")+COUNTIFS(Bets[Date],L244,Bets[Result],"L")),"")</f>
        <v/>
      </c>
      <c r="O244" s="38">
        <f>SUMIF(Bets[Date],L244,Bets[Profit])</f>
        <v>0</v>
      </c>
      <c r="P244" s="37" t="str">
        <f>IFERROR("("&amp;ROUND(SUMIF(Bets[Date],L244,Bets[Profit])/SUMIF(Bets[Date],L244,Bets[Risk]),2)*100&amp;"%)","")</f>
        <v/>
      </c>
    </row>
    <row r="245" spans="1:16" x14ac:dyDescent="0.25">
      <c r="A245" s="35">
        <f t="shared" si="12"/>
        <v>27</v>
      </c>
      <c r="B245" s="5">
        <v>43480</v>
      </c>
      <c r="C245" s="5" t="s">
        <v>134</v>
      </c>
      <c r="D245" s="57" t="s">
        <v>375</v>
      </c>
      <c r="E245" s="7" t="s">
        <v>377</v>
      </c>
      <c r="F245" s="33">
        <v>10</v>
      </c>
      <c r="G245" s="63">
        <v>-110</v>
      </c>
      <c r="H245" s="9" t="s">
        <v>65</v>
      </c>
      <c r="I2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24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45" s="36"/>
      <c r="L245" s="36">
        <f t="shared" si="15"/>
        <v>0</v>
      </c>
      <c r="M245" s="51" t="str">
        <f>COUNTIFS(Bets[Date],L245,Bets[Result],"W")&amp;"-"&amp;COUNTIFS(Bets[Date],L245,Bets[Result],"L")&amp;IF(COUNTIFS(Bets[Date],L245,Bets[Result],"Push")&gt;0,"-"&amp;COUNTIFS(Bets[Date],L245,Bets[Result],"Push"),"")</f>
        <v>0-0</v>
      </c>
      <c r="N245" s="52" t="str">
        <f>IFERROR(COUNTIFS(Bets[Date],L245,Bets[Result],"W")/(COUNTIFS(Bets[Date],L245,Bets[Result],"W")+COUNTIFS(Bets[Date],L245,Bets[Result],"L")),"")</f>
        <v/>
      </c>
      <c r="O245" s="38">
        <f>SUMIF(Bets[Date],L245,Bets[Profit])</f>
        <v>0</v>
      </c>
      <c r="P245" s="37" t="str">
        <f>IFERROR("("&amp;ROUND(SUMIF(Bets[Date],L245,Bets[Profit])/SUMIF(Bets[Date],L245,Bets[Risk]),2)*100&amp;"%)","")</f>
        <v/>
      </c>
    </row>
    <row r="246" spans="1:16" x14ac:dyDescent="0.25">
      <c r="A246" s="35">
        <f t="shared" si="12"/>
        <v>28</v>
      </c>
      <c r="B246" s="5">
        <v>43481</v>
      </c>
      <c r="C246" s="5" t="s">
        <v>134</v>
      </c>
      <c r="D246" s="57" t="s">
        <v>378</v>
      </c>
      <c r="E246" s="7" t="s">
        <v>379</v>
      </c>
      <c r="F246" s="33">
        <v>5</v>
      </c>
      <c r="G246" s="63">
        <v>-110</v>
      </c>
      <c r="H246" s="9" t="s">
        <v>6</v>
      </c>
      <c r="I2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4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46" s="36"/>
      <c r="L246" s="36">
        <f t="shared" si="15"/>
        <v>0</v>
      </c>
      <c r="M246" s="51" t="str">
        <f>COUNTIFS(Bets[Date],L246,Bets[Result],"W")&amp;"-"&amp;COUNTIFS(Bets[Date],L246,Bets[Result],"L")&amp;IF(COUNTIFS(Bets[Date],L246,Bets[Result],"Push")&gt;0,"-"&amp;COUNTIFS(Bets[Date],L246,Bets[Result],"Push"),"")</f>
        <v>0-0</v>
      </c>
      <c r="N246" s="52" t="str">
        <f>IFERROR(COUNTIFS(Bets[Date],L246,Bets[Result],"W")/(COUNTIFS(Bets[Date],L246,Bets[Result],"W")+COUNTIFS(Bets[Date],L246,Bets[Result],"L")),"")</f>
        <v/>
      </c>
      <c r="O246" s="38">
        <f>SUMIF(Bets[Date],L246,Bets[Profit])</f>
        <v>0</v>
      </c>
      <c r="P246" s="37" t="str">
        <f>IFERROR("("&amp;ROUND(SUMIF(Bets[Date],L246,Bets[Profit])/SUMIF(Bets[Date],L246,Bets[Risk]),2)*100&amp;"%)","")</f>
        <v/>
      </c>
    </row>
    <row r="247" spans="1:16" x14ac:dyDescent="0.25">
      <c r="A247" s="35">
        <f t="shared" si="12"/>
        <v>28</v>
      </c>
      <c r="B247" s="5">
        <v>43481</v>
      </c>
      <c r="C247" s="5" t="s">
        <v>134</v>
      </c>
      <c r="D247" s="57" t="s">
        <v>378</v>
      </c>
      <c r="E247" s="7" t="s">
        <v>380</v>
      </c>
      <c r="F247" s="33">
        <v>5</v>
      </c>
      <c r="G247" s="63">
        <v>-110</v>
      </c>
      <c r="H247" s="9" t="s">
        <v>6</v>
      </c>
      <c r="I2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4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47" s="36"/>
      <c r="L247" s="36">
        <f t="shared" si="15"/>
        <v>0</v>
      </c>
      <c r="M247" s="51" t="str">
        <f>COUNTIFS(Bets[Date],L247,Bets[Result],"W")&amp;"-"&amp;COUNTIFS(Bets[Date],L247,Bets[Result],"L")&amp;IF(COUNTIFS(Bets[Date],L247,Bets[Result],"Push")&gt;0,"-"&amp;COUNTIFS(Bets[Date],L247,Bets[Result],"Push"),"")</f>
        <v>0-0</v>
      </c>
      <c r="N247" s="52" t="str">
        <f>IFERROR(COUNTIFS(Bets[Date],L247,Bets[Result],"W")/(COUNTIFS(Bets[Date],L247,Bets[Result],"W")+COUNTIFS(Bets[Date],L247,Bets[Result],"L")),"")</f>
        <v/>
      </c>
      <c r="O247" s="38">
        <f>SUMIF(Bets[Date],L247,Bets[Profit])</f>
        <v>0</v>
      </c>
      <c r="P247" s="37" t="str">
        <f>IFERROR("("&amp;ROUND(SUMIF(Bets[Date],L247,Bets[Profit])/SUMIF(Bets[Date],L247,Bets[Risk]),2)*100&amp;"%)","")</f>
        <v/>
      </c>
    </row>
    <row r="248" spans="1:16" x14ac:dyDescent="0.25">
      <c r="A248" s="35">
        <f t="shared" si="12"/>
        <v>28</v>
      </c>
      <c r="B248" s="5">
        <v>43481</v>
      </c>
      <c r="C248" s="5" t="s">
        <v>134</v>
      </c>
      <c r="D248" s="57" t="s">
        <v>381</v>
      </c>
      <c r="E248" s="7" t="s">
        <v>264</v>
      </c>
      <c r="F248" s="33">
        <v>5</v>
      </c>
      <c r="G248" s="63">
        <v>-110</v>
      </c>
      <c r="H248" s="9" t="s">
        <v>6</v>
      </c>
      <c r="I2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4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48" s="36"/>
      <c r="L248" s="36">
        <f t="shared" si="15"/>
        <v>0</v>
      </c>
      <c r="M248" s="51" t="str">
        <f>COUNTIFS(Bets[Date],L248,Bets[Result],"W")&amp;"-"&amp;COUNTIFS(Bets[Date],L248,Bets[Result],"L")&amp;IF(COUNTIFS(Bets[Date],L248,Bets[Result],"Push")&gt;0,"-"&amp;COUNTIFS(Bets[Date],L248,Bets[Result],"Push"),"")</f>
        <v>0-0</v>
      </c>
      <c r="N248" s="52" t="str">
        <f>IFERROR(COUNTIFS(Bets[Date],L248,Bets[Result],"W")/(COUNTIFS(Bets[Date],L248,Bets[Result],"W")+COUNTIFS(Bets[Date],L248,Bets[Result],"L")),"")</f>
        <v/>
      </c>
      <c r="O248" s="38">
        <f>SUMIF(Bets[Date],L248,Bets[Profit])</f>
        <v>0</v>
      </c>
      <c r="P248" s="37" t="str">
        <f>IFERROR("("&amp;ROUND(SUMIF(Bets[Date],L248,Bets[Profit])/SUMIF(Bets[Date],L248,Bets[Risk]),2)*100&amp;"%)","")</f>
        <v/>
      </c>
    </row>
    <row r="249" spans="1:16" x14ac:dyDescent="0.25">
      <c r="A249" s="35">
        <f t="shared" si="12"/>
        <v>28</v>
      </c>
      <c r="B249" s="5">
        <v>43481</v>
      </c>
      <c r="C249" s="5" t="s">
        <v>134</v>
      </c>
      <c r="D249" s="57" t="s">
        <v>381</v>
      </c>
      <c r="E249" s="7" t="s">
        <v>355</v>
      </c>
      <c r="F249" s="33">
        <v>5</v>
      </c>
      <c r="G249" s="63">
        <v>-110</v>
      </c>
      <c r="H249" s="9" t="s">
        <v>6</v>
      </c>
      <c r="I2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4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49" s="36"/>
      <c r="L249" s="36">
        <f t="shared" si="15"/>
        <v>0</v>
      </c>
      <c r="M249" s="51" t="str">
        <f>COUNTIFS(Bets[Date],L249,Bets[Result],"W")&amp;"-"&amp;COUNTIFS(Bets[Date],L249,Bets[Result],"L")&amp;IF(COUNTIFS(Bets[Date],L249,Bets[Result],"Push")&gt;0,"-"&amp;COUNTIFS(Bets[Date],L249,Bets[Result],"Push"),"")</f>
        <v>0-0</v>
      </c>
      <c r="N249" s="52" t="str">
        <f>IFERROR(COUNTIFS(Bets[Date],L249,Bets[Result],"W")/(COUNTIFS(Bets[Date],L249,Bets[Result],"W")+COUNTIFS(Bets[Date],L249,Bets[Result],"L")),"")</f>
        <v/>
      </c>
      <c r="O249" s="38">
        <f>SUMIF(Bets[Date],L249,Bets[Profit])</f>
        <v>0</v>
      </c>
      <c r="P249" s="37" t="str">
        <f>IFERROR("("&amp;ROUND(SUMIF(Bets[Date],L249,Bets[Profit])/SUMIF(Bets[Date],L249,Bets[Risk]),2)*100&amp;"%)","")</f>
        <v/>
      </c>
    </row>
    <row r="250" spans="1:16" x14ac:dyDescent="0.25">
      <c r="A250" s="35">
        <f t="shared" si="12"/>
        <v>28</v>
      </c>
      <c r="B250" s="5">
        <v>43481</v>
      </c>
      <c r="C250" s="5" t="s">
        <v>134</v>
      </c>
      <c r="D250" s="57" t="s">
        <v>382</v>
      </c>
      <c r="E250" s="7" t="s">
        <v>179</v>
      </c>
      <c r="F250" s="33">
        <v>5</v>
      </c>
      <c r="G250" s="63">
        <v>-110</v>
      </c>
      <c r="H250" s="9" t="s">
        <v>65</v>
      </c>
      <c r="I2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25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50" s="36"/>
      <c r="L250" s="36">
        <f t="shared" si="15"/>
        <v>0</v>
      </c>
      <c r="M250" s="51" t="str">
        <f>COUNTIFS(Bets[Date],L250,Bets[Result],"W")&amp;"-"&amp;COUNTIFS(Bets[Date],L250,Bets[Result],"L")&amp;IF(COUNTIFS(Bets[Date],L250,Bets[Result],"Push")&gt;0,"-"&amp;COUNTIFS(Bets[Date],L250,Bets[Result],"Push"),"")</f>
        <v>0-0</v>
      </c>
      <c r="N250" s="52" t="str">
        <f>IFERROR(COUNTIFS(Bets[Date],L250,Bets[Result],"W")/(COUNTIFS(Bets[Date],L250,Bets[Result],"W")+COUNTIFS(Bets[Date],L250,Bets[Result],"L")),"")</f>
        <v/>
      </c>
      <c r="O250" s="38">
        <f>SUMIF(Bets[Date],L250,Bets[Profit])</f>
        <v>0</v>
      </c>
      <c r="P250" s="37" t="str">
        <f>IFERROR("("&amp;ROUND(SUMIF(Bets[Date],L250,Bets[Profit])/SUMIF(Bets[Date],L250,Bets[Risk]),2)*100&amp;"%)","")</f>
        <v/>
      </c>
    </row>
    <row r="251" spans="1:16" x14ac:dyDescent="0.25">
      <c r="A251" s="35">
        <f t="shared" si="12"/>
        <v>28</v>
      </c>
      <c r="B251" s="5">
        <v>43481</v>
      </c>
      <c r="C251" s="5" t="s">
        <v>134</v>
      </c>
      <c r="D251" s="57" t="s">
        <v>382</v>
      </c>
      <c r="E251" s="7" t="s">
        <v>383</v>
      </c>
      <c r="F251" s="33">
        <v>5</v>
      </c>
      <c r="G251" s="63">
        <v>-110</v>
      </c>
      <c r="H251" s="9" t="s">
        <v>36</v>
      </c>
      <c r="I2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5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51" s="36"/>
      <c r="L251" s="36">
        <f t="shared" si="15"/>
        <v>0</v>
      </c>
      <c r="M251" s="51" t="str">
        <f>COUNTIFS(Bets[Date],L251,Bets[Result],"W")&amp;"-"&amp;COUNTIFS(Bets[Date],L251,Bets[Result],"L")&amp;IF(COUNTIFS(Bets[Date],L251,Bets[Result],"Push")&gt;0,"-"&amp;COUNTIFS(Bets[Date],L251,Bets[Result],"Push"),"")</f>
        <v>0-0</v>
      </c>
      <c r="N251" s="52" t="str">
        <f>IFERROR(COUNTIFS(Bets[Date],L251,Bets[Result],"W")/(COUNTIFS(Bets[Date],L251,Bets[Result],"W")+COUNTIFS(Bets[Date],L251,Bets[Result],"L")),"")</f>
        <v/>
      </c>
      <c r="O251" s="38">
        <f>SUMIF(Bets[Date],L251,Bets[Profit])</f>
        <v>0</v>
      </c>
      <c r="P251" s="37" t="str">
        <f>IFERROR("("&amp;ROUND(SUMIF(Bets[Date],L251,Bets[Profit])/SUMIF(Bets[Date],L251,Bets[Risk]),2)*100&amp;"%)","")</f>
        <v/>
      </c>
    </row>
    <row r="252" spans="1:16" x14ac:dyDescent="0.25">
      <c r="A252" s="35">
        <f t="shared" si="12"/>
        <v>28</v>
      </c>
      <c r="B252" s="5">
        <v>43481</v>
      </c>
      <c r="C252" s="5" t="s">
        <v>134</v>
      </c>
      <c r="D252" s="57" t="s">
        <v>384</v>
      </c>
      <c r="E252" s="7" t="s">
        <v>112</v>
      </c>
      <c r="F252" s="33">
        <v>5</v>
      </c>
      <c r="G252" s="63">
        <v>-105</v>
      </c>
      <c r="H252" s="9" t="s">
        <v>6</v>
      </c>
      <c r="I2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5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52" s="36"/>
      <c r="L252" s="36">
        <f t="shared" si="15"/>
        <v>0</v>
      </c>
      <c r="M252" s="51" t="str">
        <f>COUNTIFS(Bets[Date],L252,Bets[Result],"W")&amp;"-"&amp;COUNTIFS(Bets[Date],L252,Bets[Result],"L")&amp;IF(COUNTIFS(Bets[Date],L252,Bets[Result],"Push")&gt;0,"-"&amp;COUNTIFS(Bets[Date],L252,Bets[Result],"Push"),"")</f>
        <v>0-0</v>
      </c>
      <c r="N252" s="52" t="str">
        <f>IFERROR(COUNTIFS(Bets[Date],L252,Bets[Result],"W")/(COUNTIFS(Bets[Date],L252,Bets[Result],"W")+COUNTIFS(Bets[Date],L252,Bets[Result],"L")),"")</f>
        <v/>
      </c>
      <c r="O252" s="38">
        <f>SUMIF(Bets[Date],L252,Bets[Profit])</f>
        <v>0</v>
      </c>
      <c r="P252" s="37" t="str">
        <f>IFERROR("("&amp;ROUND(SUMIF(Bets[Date],L252,Bets[Profit])/SUMIF(Bets[Date],L252,Bets[Risk]),2)*100&amp;"%)","")</f>
        <v/>
      </c>
    </row>
    <row r="253" spans="1:16" x14ac:dyDescent="0.25">
      <c r="A253" s="35">
        <f t="shared" si="12"/>
        <v>28</v>
      </c>
      <c r="B253" s="5">
        <v>43481</v>
      </c>
      <c r="C253" s="5" t="s">
        <v>134</v>
      </c>
      <c r="D253" s="57" t="s">
        <v>384</v>
      </c>
      <c r="E253" s="7" t="s">
        <v>385</v>
      </c>
      <c r="F253" s="33">
        <v>5</v>
      </c>
      <c r="G253" s="63">
        <v>-110</v>
      </c>
      <c r="H253" s="9" t="s">
        <v>6</v>
      </c>
      <c r="I2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5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53" s="36"/>
      <c r="L253" s="36">
        <f t="shared" si="15"/>
        <v>0</v>
      </c>
      <c r="M253" s="51" t="str">
        <f>COUNTIFS(Bets[Date],L253,Bets[Result],"W")&amp;"-"&amp;COUNTIFS(Bets[Date],L253,Bets[Result],"L")&amp;IF(COUNTIFS(Bets[Date],L253,Bets[Result],"Push")&gt;0,"-"&amp;COUNTIFS(Bets[Date],L253,Bets[Result],"Push"),"")</f>
        <v>0-0</v>
      </c>
      <c r="N253" s="52" t="str">
        <f>IFERROR(COUNTIFS(Bets[Date],L253,Bets[Result],"W")/(COUNTIFS(Bets[Date],L253,Bets[Result],"W")+COUNTIFS(Bets[Date],L253,Bets[Result],"L")),"")</f>
        <v/>
      </c>
      <c r="O253" s="38">
        <f>SUMIF(Bets[Date],L253,Bets[Profit])</f>
        <v>0</v>
      </c>
      <c r="P253" s="37" t="str">
        <f>IFERROR("("&amp;ROUND(SUMIF(Bets[Date],L253,Bets[Profit])/SUMIF(Bets[Date],L253,Bets[Risk]),2)*100&amp;"%)","")</f>
        <v/>
      </c>
    </row>
    <row r="254" spans="1:16" x14ac:dyDescent="0.25">
      <c r="A254" s="35">
        <f t="shared" si="12"/>
        <v>28</v>
      </c>
      <c r="B254" s="5">
        <v>43481</v>
      </c>
      <c r="C254" s="5" t="s">
        <v>134</v>
      </c>
      <c r="D254" s="57" t="s">
        <v>384</v>
      </c>
      <c r="E254" s="7" t="s">
        <v>192</v>
      </c>
      <c r="F254" s="33">
        <v>5</v>
      </c>
      <c r="G254" s="63">
        <v>110</v>
      </c>
      <c r="H254" s="9" t="s">
        <v>6</v>
      </c>
      <c r="I2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5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54" s="36"/>
      <c r="L254" s="36">
        <f t="shared" si="15"/>
        <v>0</v>
      </c>
      <c r="M254" s="51" t="str">
        <f>COUNTIFS(Bets[Date],L254,Bets[Result],"W")&amp;"-"&amp;COUNTIFS(Bets[Date],L254,Bets[Result],"L")&amp;IF(COUNTIFS(Bets[Date],L254,Bets[Result],"Push")&gt;0,"-"&amp;COUNTIFS(Bets[Date],L254,Bets[Result],"Push"),"")</f>
        <v>0-0</v>
      </c>
      <c r="N254" s="52" t="str">
        <f>IFERROR(COUNTIFS(Bets[Date],L254,Bets[Result],"W")/(COUNTIFS(Bets[Date],L254,Bets[Result],"W")+COUNTIFS(Bets[Date],L254,Bets[Result],"L")),"")</f>
        <v/>
      </c>
      <c r="O254" s="38">
        <f>SUMIF(Bets[Date],L254,Bets[Profit])</f>
        <v>0</v>
      </c>
      <c r="P254" s="37" t="str">
        <f>IFERROR("("&amp;ROUND(SUMIF(Bets[Date],L254,Bets[Profit])/SUMIF(Bets[Date],L254,Bets[Risk]),2)*100&amp;"%)","")</f>
        <v/>
      </c>
    </row>
    <row r="255" spans="1:16" x14ac:dyDescent="0.25">
      <c r="A255" s="35">
        <f t="shared" si="12"/>
        <v>28</v>
      </c>
      <c r="B255" s="5">
        <v>43481</v>
      </c>
      <c r="C255" s="5" t="s">
        <v>134</v>
      </c>
      <c r="D255" s="57" t="s">
        <v>386</v>
      </c>
      <c r="E255" s="7" t="s">
        <v>387</v>
      </c>
      <c r="F255" s="33">
        <v>5</v>
      </c>
      <c r="G255" s="63">
        <v>-110</v>
      </c>
      <c r="H255" s="9" t="s">
        <v>36</v>
      </c>
      <c r="I2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5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55" s="36"/>
      <c r="L255" s="36">
        <f t="shared" si="15"/>
        <v>0</v>
      </c>
      <c r="M255" s="51" t="str">
        <f>COUNTIFS(Bets[Date],L255,Bets[Result],"W")&amp;"-"&amp;COUNTIFS(Bets[Date],L255,Bets[Result],"L")&amp;IF(COUNTIFS(Bets[Date],L255,Bets[Result],"Push")&gt;0,"-"&amp;COUNTIFS(Bets[Date],L255,Bets[Result],"Push"),"")</f>
        <v>0-0</v>
      </c>
      <c r="N255" s="52" t="str">
        <f>IFERROR(COUNTIFS(Bets[Date],L255,Bets[Result],"W")/(COUNTIFS(Bets[Date],L255,Bets[Result],"W")+COUNTIFS(Bets[Date],L255,Bets[Result],"L")),"")</f>
        <v/>
      </c>
      <c r="O255" s="38">
        <f>SUMIF(Bets[Date],L255,Bets[Profit])</f>
        <v>0</v>
      </c>
      <c r="P255" s="37" t="str">
        <f>IFERROR("("&amp;ROUND(SUMIF(Bets[Date],L255,Bets[Profit])/SUMIF(Bets[Date],L255,Bets[Risk]),2)*100&amp;"%)","")</f>
        <v/>
      </c>
    </row>
    <row r="256" spans="1:16" x14ac:dyDescent="0.25">
      <c r="A256" s="35">
        <f t="shared" si="12"/>
        <v>28</v>
      </c>
      <c r="B256" s="5">
        <v>43481</v>
      </c>
      <c r="C256" s="5" t="s">
        <v>134</v>
      </c>
      <c r="D256" s="57" t="s">
        <v>388</v>
      </c>
      <c r="E256" s="7" t="s">
        <v>389</v>
      </c>
      <c r="F256" s="33">
        <v>5</v>
      </c>
      <c r="G256" s="63">
        <v>-110</v>
      </c>
      <c r="H256" s="9" t="s">
        <v>36</v>
      </c>
      <c r="I2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5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56" s="36"/>
      <c r="L256" s="36">
        <f t="shared" si="15"/>
        <v>0</v>
      </c>
      <c r="M256" s="51" t="str">
        <f>COUNTIFS(Bets[Date],L256,Bets[Result],"W")&amp;"-"&amp;COUNTIFS(Bets[Date],L256,Bets[Result],"L")&amp;IF(COUNTIFS(Bets[Date],L256,Bets[Result],"Push")&gt;0,"-"&amp;COUNTIFS(Bets[Date],L256,Bets[Result],"Push"),"")</f>
        <v>0-0</v>
      </c>
      <c r="N256" s="52" t="str">
        <f>IFERROR(COUNTIFS(Bets[Date],L256,Bets[Result],"W")/(COUNTIFS(Bets[Date],L256,Bets[Result],"W")+COUNTIFS(Bets[Date],L256,Bets[Result],"L")),"")</f>
        <v/>
      </c>
      <c r="O256" s="38">
        <f>SUMIF(Bets[Date],L256,Bets[Profit])</f>
        <v>0</v>
      </c>
      <c r="P256" s="37" t="str">
        <f>IFERROR("("&amp;ROUND(SUMIF(Bets[Date],L256,Bets[Profit])/SUMIF(Bets[Date],L256,Bets[Risk]),2)*100&amp;"%)","")</f>
        <v/>
      </c>
    </row>
    <row r="257" spans="1:16" x14ac:dyDescent="0.25">
      <c r="A257" s="35">
        <f t="shared" si="12"/>
        <v>28</v>
      </c>
      <c r="B257" s="5">
        <v>43481</v>
      </c>
      <c r="C257" s="5" t="s">
        <v>134</v>
      </c>
      <c r="D257" s="57" t="s">
        <v>390</v>
      </c>
      <c r="E257" s="7" t="s">
        <v>391</v>
      </c>
      <c r="F257" s="33">
        <v>5</v>
      </c>
      <c r="G257" s="63">
        <v>-105</v>
      </c>
      <c r="H257" s="9" t="s">
        <v>6</v>
      </c>
      <c r="I2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5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57" s="36"/>
      <c r="L257" s="36">
        <f t="shared" si="15"/>
        <v>0</v>
      </c>
      <c r="M257" s="51" t="str">
        <f>COUNTIFS(Bets[Date],L257,Bets[Result],"W")&amp;"-"&amp;COUNTIFS(Bets[Date],L257,Bets[Result],"L")&amp;IF(COUNTIFS(Bets[Date],L257,Bets[Result],"Push")&gt;0,"-"&amp;COUNTIFS(Bets[Date],L257,Bets[Result],"Push"),"")</f>
        <v>0-0</v>
      </c>
      <c r="N257" s="52" t="str">
        <f>IFERROR(COUNTIFS(Bets[Date],L257,Bets[Result],"W")/(COUNTIFS(Bets[Date],L257,Bets[Result],"W")+COUNTIFS(Bets[Date],L257,Bets[Result],"L")),"")</f>
        <v/>
      </c>
      <c r="O257" s="38">
        <f>SUMIF(Bets[Date],L257,Bets[Profit])</f>
        <v>0</v>
      </c>
      <c r="P257" s="37" t="str">
        <f>IFERROR("("&amp;ROUND(SUMIF(Bets[Date],L257,Bets[Profit])/SUMIF(Bets[Date],L257,Bets[Risk]),2)*100&amp;"%)","")</f>
        <v/>
      </c>
    </row>
    <row r="258" spans="1:16" x14ac:dyDescent="0.25">
      <c r="A258" s="35">
        <f t="shared" si="12"/>
        <v>28</v>
      </c>
      <c r="B258" s="5">
        <v>43481</v>
      </c>
      <c r="C258" s="5" t="s">
        <v>134</v>
      </c>
      <c r="D258" s="57" t="s">
        <v>390</v>
      </c>
      <c r="E258" s="7" t="s">
        <v>392</v>
      </c>
      <c r="F258" s="33">
        <v>5</v>
      </c>
      <c r="G258" s="63">
        <v>-110</v>
      </c>
      <c r="H258" s="9" t="s">
        <v>65</v>
      </c>
      <c r="I2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25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58" s="36"/>
      <c r="L258" s="36">
        <f t="shared" si="15"/>
        <v>0</v>
      </c>
      <c r="M258" s="51" t="str">
        <f>COUNTIFS(Bets[Date],L258,Bets[Result],"W")&amp;"-"&amp;COUNTIFS(Bets[Date],L258,Bets[Result],"L")&amp;IF(COUNTIFS(Bets[Date],L258,Bets[Result],"Push")&gt;0,"-"&amp;COUNTIFS(Bets[Date],L258,Bets[Result],"Push"),"")</f>
        <v>0-0</v>
      </c>
      <c r="N258" s="52" t="str">
        <f>IFERROR(COUNTIFS(Bets[Date],L258,Bets[Result],"W")/(COUNTIFS(Bets[Date],L258,Bets[Result],"W")+COUNTIFS(Bets[Date],L258,Bets[Result],"L")),"")</f>
        <v/>
      </c>
      <c r="O258" s="38">
        <f>SUMIF(Bets[Date],L258,Bets[Profit])</f>
        <v>0</v>
      </c>
      <c r="P258" s="37" t="str">
        <f>IFERROR("("&amp;ROUND(SUMIF(Bets[Date],L258,Bets[Profit])/SUMIF(Bets[Date],L258,Bets[Risk]),2)*100&amp;"%)","")</f>
        <v/>
      </c>
    </row>
    <row r="259" spans="1:16" x14ac:dyDescent="0.25">
      <c r="A259" s="35">
        <f t="shared" si="12"/>
        <v>28</v>
      </c>
      <c r="B259" s="5">
        <v>43481</v>
      </c>
      <c r="C259" s="5" t="s">
        <v>134</v>
      </c>
      <c r="D259" s="57" t="s">
        <v>393</v>
      </c>
      <c r="E259" s="7" t="s">
        <v>112</v>
      </c>
      <c r="F259" s="33">
        <v>5</v>
      </c>
      <c r="G259" s="63">
        <v>-110</v>
      </c>
      <c r="H259" s="9" t="s">
        <v>6</v>
      </c>
      <c r="I2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5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59" s="36"/>
      <c r="L259" s="36">
        <f t="shared" si="15"/>
        <v>0</v>
      </c>
      <c r="M259" s="51" t="str">
        <f>COUNTIFS(Bets[Date],L259,Bets[Result],"W")&amp;"-"&amp;COUNTIFS(Bets[Date],L259,Bets[Result],"L")&amp;IF(COUNTIFS(Bets[Date],L259,Bets[Result],"Push")&gt;0,"-"&amp;COUNTIFS(Bets[Date],L259,Bets[Result],"Push"),"")</f>
        <v>0-0</v>
      </c>
      <c r="N259" s="52" t="str">
        <f>IFERROR(COUNTIFS(Bets[Date],L259,Bets[Result],"W")/(COUNTIFS(Bets[Date],L259,Bets[Result],"W")+COUNTIFS(Bets[Date],L259,Bets[Result],"L")),"")</f>
        <v/>
      </c>
      <c r="O259" s="38">
        <f>SUMIF(Bets[Date],L259,Bets[Profit])</f>
        <v>0</v>
      </c>
      <c r="P259" s="37" t="str">
        <f>IFERROR("("&amp;ROUND(SUMIF(Bets[Date],L259,Bets[Profit])/SUMIF(Bets[Date],L259,Bets[Risk]),2)*100&amp;"%)","")</f>
        <v/>
      </c>
    </row>
    <row r="260" spans="1:16" x14ac:dyDescent="0.25">
      <c r="A260" s="35">
        <f t="shared" ref="A260:A323" si="16">IF(B260=B259,A259,A259+1)</f>
        <v>28</v>
      </c>
      <c r="B260" s="5">
        <v>43481</v>
      </c>
      <c r="C260" s="5" t="s">
        <v>134</v>
      </c>
      <c r="D260" s="57" t="s">
        <v>393</v>
      </c>
      <c r="E260" s="7" t="s">
        <v>394</v>
      </c>
      <c r="F260" s="33">
        <v>5</v>
      </c>
      <c r="G260" s="63">
        <v>-110</v>
      </c>
      <c r="H260" s="9" t="s">
        <v>6</v>
      </c>
      <c r="I2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6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60" s="36"/>
      <c r="L260" s="36">
        <f t="shared" si="15"/>
        <v>0</v>
      </c>
      <c r="M260" s="51" t="str">
        <f>COUNTIFS(Bets[Date],L260,Bets[Result],"W")&amp;"-"&amp;COUNTIFS(Bets[Date],L260,Bets[Result],"L")&amp;IF(COUNTIFS(Bets[Date],L260,Bets[Result],"Push")&gt;0,"-"&amp;COUNTIFS(Bets[Date],L260,Bets[Result],"Push"),"")</f>
        <v>0-0</v>
      </c>
      <c r="N260" s="52" t="str">
        <f>IFERROR(COUNTIFS(Bets[Date],L260,Bets[Result],"W")/(COUNTIFS(Bets[Date],L260,Bets[Result],"W")+COUNTIFS(Bets[Date],L260,Bets[Result],"L")),"")</f>
        <v/>
      </c>
      <c r="O260" s="38">
        <f>SUMIF(Bets[Date],L260,Bets[Profit])</f>
        <v>0</v>
      </c>
      <c r="P260" s="37" t="str">
        <f>IFERROR("("&amp;ROUND(SUMIF(Bets[Date],L260,Bets[Profit])/SUMIF(Bets[Date],L260,Bets[Risk]),2)*100&amp;"%)","")</f>
        <v/>
      </c>
    </row>
    <row r="261" spans="1:16" x14ac:dyDescent="0.25">
      <c r="A261" s="35">
        <f t="shared" si="16"/>
        <v>29</v>
      </c>
      <c r="B261" s="5">
        <v>43482</v>
      </c>
      <c r="C261" s="5" t="s">
        <v>134</v>
      </c>
      <c r="D261" s="57" t="s">
        <v>397</v>
      </c>
      <c r="E261" s="7" t="s">
        <v>398</v>
      </c>
      <c r="F261" s="33">
        <v>5</v>
      </c>
      <c r="G261" s="63">
        <v>-105</v>
      </c>
      <c r="H261" s="9" t="s">
        <v>6</v>
      </c>
      <c r="I2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6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61" s="36"/>
      <c r="L261" s="36">
        <f t="shared" si="15"/>
        <v>0</v>
      </c>
      <c r="M261" s="51" t="str">
        <f>COUNTIFS(Bets[Date],L261,Bets[Result],"W")&amp;"-"&amp;COUNTIFS(Bets[Date],L261,Bets[Result],"L")&amp;IF(COUNTIFS(Bets[Date],L261,Bets[Result],"Push")&gt;0,"-"&amp;COUNTIFS(Bets[Date],L261,Bets[Result],"Push"),"")</f>
        <v>0-0</v>
      </c>
      <c r="N261" s="52" t="str">
        <f>IFERROR(COUNTIFS(Bets[Date],L261,Bets[Result],"W")/(COUNTIFS(Bets[Date],L261,Bets[Result],"W")+COUNTIFS(Bets[Date],L261,Bets[Result],"L")),"")</f>
        <v/>
      </c>
      <c r="O261" s="38">
        <f>SUMIF(Bets[Date],L261,Bets[Profit])</f>
        <v>0</v>
      </c>
      <c r="P261" s="37" t="str">
        <f>IFERROR("("&amp;ROUND(SUMIF(Bets[Date],L261,Bets[Profit])/SUMIF(Bets[Date],L261,Bets[Risk]),2)*100&amp;"%)","")</f>
        <v/>
      </c>
    </row>
    <row r="262" spans="1:16" x14ac:dyDescent="0.25">
      <c r="A262" s="35">
        <f t="shared" si="16"/>
        <v>29</v>
      </c>
      <c r="B262" s="5">
        <v>43482</v>
      </c>
      <c r="C262" s="5" t="s">
        <v>134</v>
      </c>
      <c r="D262" s="57" t="s">
        <v>399</v>
      </c>
      <c r="E262" s="7" t="s">
        <v>109</v>
      </c>
      <c r="F262" s="33">
        <v>5</v>
      </c>
      <c r="G262" s="63">
        <v>-110</v>
      </c>
      <c r="H262" s="9" t="s">
        <v>36</v>
      </c>
      <c r="I2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62" s="36"/>
      <c r="L262" s="36">
        <f t="shared" si="15"/>
        <v>0</v>
      </c>
      <c r="M262" s="51" t="str">
        <f>COUNTIFS(Bets[Date],L262,Bets[Result],"W")&amp;"-"&amp;COUNTIFS(Bets[Date],L262,Bets[Result],"L")&amp;IF(COUNTIFS(Bets[Date],L262,Bets[Result],"Push")&gt;0,"-"&amp;COUNTIFS(Bets[Date],L262,Bets[Result],"Push"),"")</f>
        <v>0-0</v>
      </c>
      <c r="N262" s="52" t="str">
        <f>IFERROR(COUNTIFS(Bets[Date],L262,Bets[Result],"W")/(COUNTIFS(Bets[Date],L262,Bets[Result],"W")+COUNTIFS(Bets[Date],L262,Bets[Result],"L")),"")</f>
        <v/>
      </c>
      <c r="O262" s="38">
        <f>SUMIF(Bets[Date],L262,Bets[Profit])</f>
        <v>0</v>
      </c>
      <c r="P262" s="37" t="str">
        <f>IFERROR("("&amp;ROUND(SUMIF(Bets[Date],L262,Bets[Profit])/SUMIF(Bets[Date],L262,Bets[Risk]),2)*100&amp;"%)","")</f>
        <v/>
      </c>
    </row>
    <row r="263" spans="1:16" x14ac:dyDescent="0.25">
      <c r="A263" s="35">
        <f t="shared" si="16"/>
        <v>29</v>
      </c>
      <c r="B263" s="5">
        <v>43482</v>
      </c>
      <c r="C263" s="5" t="s">
        <v>134</v>
      </c>
      <c r="D263" s="57" t="s">
        <v>399</v>
      </c>
      <c r="E263" s="7" t="s">
        <v>400</v>
      </c>
      <c r="F263" s="33">
        <v>5</v>
      </c>
      <c r="G263" s="63">
        <v>-110</v>
      </c>
      <c r="H263" s="9" t="s">
        <v>36</v>
      </c>
      <c r="I2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63" s="36"/>
      <c r="L263" s="36">
        <f t="shared" si="15"/>
        <v>0</v>
      </c>
      <c r="M263" s="51" t="str">
        <f>COUNTIFS(Bets[Date],L263,Bets[Result],"W")&amp;"-"&amp;COUNTIFS(Bets[Date],L263,Bets[Result],"L")&amp;IF(COUNTIFS(Bets[Date],L263,Bets[Result],"Push")&gt;0,"-"&amp;COUNTIFS(Bets[Date],L263,Bets[Result],"Push"),"")</f>
        <v>0-0</v>
      </c>
      <c r="N263" s="52" t="str">
        <f>IFERROR(COUNTIFS(Bets[Date],L263,Bets[Result],"W")/(COUNTIFS(Bets[Date],L263,Bets[Result],"W")+COUNTIFS(Bets[Date],L263,Bets[Result],"L")),"")</f>
        <v/>
      </c>
      <c r="O263" s="38">
        <f>SUMIF(Bets[Date],L263,Bets[Profit])</f>
        <v>0</v>
      </c>
      <c r="P263" s="37" t="str">
        <f>IFERROR("("&amp;ROUND(SUMIF(Bets[Date],L263,Bets[Profit])/SUMIF(Bets[Date],L263,Bets[Risk]),2)*100&amp;"%)","")</f>
        <v/>
      </c>
    </row>
    <row r="264" spans="1:16" x14ac:dyDescent="0.25">
      <c r="A264" s="35">
        <f t="shared" si="16"/>
        <v>29</v>
      </c>
      <c r="B264" s="5">
        <v>43482</v>
      </c>
      <c r="C264" s="5" t="s">
        <v>134</v>
      </c>
      <c r="D264" s="57" t="s">
        <v>399</v>
      </c>
      <c r="E264" s="7" t="s">
        <v>401</v>
      </c>
      <c r="F264" s="33">
        <v>5</v>
      </c>
      <c r="G264" s="63">
        <v>130</v>
      </c>
      <c r="H264" s="9" t="s">
        <v>36</v>
      </c>
      <c r="I2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6.5</v>
      </c>
      <c r="J2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64" s="36"/>
      <c r="L264" s="36">
        <f t="shared" si="15"/>
        <v>0</v>
      </c>
      <c r="M264" s="51" t="str">
        <f>COUNTIFS(Bets[Date],L264,Bets[Result],"W")&amp;"-"&amp;COUNTIFS(Bets[Date],L264,Bets[Result],"L")&amp;IF(COUNTIFS(Bets[Date],L264,Bets[Result],"Push")&gt;0,"-"&amp;COUNTIFS(Bets[Date],L264,Bets[Result],"Push"),"")</f>
        <v>0-0</v>
      </c>
      <c r="N264" s="52" t="str">
        <f>IFERROR(COUNTIFS(Bets[Date],L264,Bets[Result],"W")/(COUNTIFS(Bets[Date],L264,Bets[Result],"W")+COUNTIFS(Bets[Date],L264,Bets[Result],"L")),"")</f>
        <v/>
      </c>
      <c r="O264" s="38">
        <f>SUMIF(Bets[Date],L264,Bets[Profit])</f>
        <v>0</v>
      </c>
      <c r="P264" s="37" t="str">
        <f>IFERROR("("&amp;ROUND(SUMIF(Bets[Date],L264,Bets[Profit])/SUMIF(Bets[Date],L264,Bets[Risk]),2)*100&amp;"%)","")</f>
        <v/>
      </c>
    </row>
    <row r="265" spans="1:16" x14ac:dyDescent="0.25">
      <c r="A265" s="35">
        <f t="shared" si="16"/>
        <v>29</v>
      </c>
      <c r="B265" s="5">
        <v>43482</v>
      </c>
      <c r="C265" s="5" t="s">
        <v>134</v>
      </c>
      <c r="D265" s="57" t="s">
        <v>402</v>
      </c>
      <c r="E265" s="7" t="s">
        <v>166</v>
      </c>
      <c r="F265" s="33">
        <v>5</v>
      </c>
      <c r="G265" s="63">
        <v>-115</v>
      </c>
      <c r="H265" s="9" t="s">
        <v>36</v>
      </c>
      <c r="I2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26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65" s="36"/>
      <c r="L265" s="36">
        <f t="shared" si="15"/>
        <v>0</v>
      </c>
      <c r="M265" s="51" t="str">
        <f>COUNTIFS(Bets[Date],L265,Bets[Result],"W")&amp;"-"&amp;COUNTIFS(Bets[Date],L265,Bets[Result],"L")&amp;IF(COUNTIFS(Bets[Date],L265,Bets[Result],"Push")&gt;0,"-"&amp;COUNTIFS(Bets[Date],L265,Bets[Result],"Push"),"")</f>
        <v>0-0</v>
      </c>
      <c r="N265" s="52" t="str">
        <f>IFERROR(COUNTIFS(Bets[Date],L265,Bets[Result],"W")/(COUNTIFS(Bets[Date],L265,Bets[Result],"W")+COUNTIFS(Bets[Date],L265,Bets[Result],"L")),"")</f>
        <v/>
      </c>
      <c r="O265" s="38">
        <f>SUMIF(Bets[Date],L265,Bets[Profit])</f>
        <v>0</v>
      </c>
      <c r="P265" s="37" t="str">
        <f>IFERROR("("&amp;ROUND(SUMIF(Bets[Date],L265,Bets[Profit])/SUMIF(Bets[Date],L265,Bets[Risk]),2)*100&amp;"%)","")</f>
        <v/>
      </c>
    </row>
    <row r="266" spans="1:16" x14ac:dyDescent="0.25">
      <c r="A266" s="35">
        <f t="shared" si="16"/>
        <v>29</v>
      </c>
      <c r="B266" s="5">
        <v>43482</v>
      </c>
      <c r="C266" s="5" t="s">
        <v>134</v>
      </c>
      <c r="D266" s="57" t="s">
        <v>402</v>
      </c>
      <c r="E266" s="7" t="s">
        <v>403</v>
      </c>
      <c r="F266" s="33">
        <v>5</v>
      </c>
      <c r="G266" s="63">
        <v>-105</v>
      </c>
      <c r="H266" s="9" t="s">
        <v>6</v>
      </c>
      <c r="I2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6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66" s="36"/>
      <c r="L266" s="36">
        <f t="shared" si="15"/>
        <v>0</v>
      </c>
      <c r="M266" s="51" t="str">
        <f>COUNTIFS(Bets[Date],L266,Bets[Result],"W")&amp;"-"&amp;COUNTIFS(Bets[Date],L266,Bets[Result],"L")&amp;IF(COUNTIFS(Bets[Date],L266,Bets[Result],"Push")&gt;0,"-"&amp;COUNTIFS(Bets[Date],L266,Bets[Result],"Push"),"")</f>
        <v>0-0</v>
      </c>
      <c r="N266" s="52" t="str">
        <f>IFERROR(COUNTIFS(Bets[Date],L266,Bets[Result],"W")/(COUNTIFS(Bets[Date],L266,Bets[Result],"W")+COUNTIFS(Bets[Date],L266,Bets[Result],"L")),"")</f>
        <v/>
      </c>
      <c r="O266" s="38">
        <f>SUMIF(Bets[Date],L266,Bets[Profit])</f>
        <v>0</v>
      </c>
      <c r="P266" s="37" t="str">
        <f>IFERROR("("&amp;ROUND(SUMIF(Bets[Date],L266,Bets[Profit])/SUMIF(Bets[Date],L266,Bets[Risk]),2)*100&amp;"%)","")</f>
        <v/>
      </c>
    </row>
    <row r="267" spans="1:16" x14ac:dyDescent="0.25">
      <c r="A267" s="35">
        <f t="shared" si="16"/>
        <v>29</v>
      </c>
      <c r="B267" s="5">
        <v>43482</v>
      </c>
      <c r="C267" s="5" t="s">
        <v>134</v>
      </c>
      <c r="D267" s="57" t="s">
        <v>402</v>
      </c>
      <c r="E267" s="7" t="s">
        <v>153</v>
      </c>
      <c r="F267" s="33">
        <v>5</v>
      </c>
      <c r="G267" s="63">
        <v>130</v>
      </c>
      <c r="H267" s="9" t="s">
        <v>6</v>
      </c>
      <c r="I2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6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67" s="36"/>
      <c r="L267" s="36">
        <f t="shared" si="15"/>
        <v>0</v>
      </c>
      <c r="M267" s="51" t="str">
        <f>COUNTIFS(Bets[Date],L267,Bets[Result],"W")&amp;"-"&amp;COUNTIFS(Bets[Date],L267,Bets[Result],"L")&amp;IF(COUNTIFS(Bets[Date],L267,Bets[Result],"Push")&gt;0,"-"&amp;COUNTIFS(Bets[Date],L267,Bets[Result],"Push"),"")</f>
        <v>0-0</v>
      </c>
      <c r="N267" s="52" t="str">
        <f>IFERROR(COUNTIFS(Bets[Date],L267,Bets[Result],"W")/(COUNTIFS(Bets[Date],L267,Bets[Result],"W")+COUNTIFS(Bets[Date],L267,Bets[Result],"L")),"")</f>
        <v/>
      </c>
      <c r="O267" s="38">
        <f>SUMIF(Bets[Date],L267,Bets[Profit])</f>
        <v>0</v>
      </c>
      <c r="P267" s="37" t="str">
        <f>IFERROR("("&amp;ROUND(SUMIF(Bets[Date],L267,Bets[Profit])/SUMIF(Bets[Date],L267,Bets[Risk]),2)*100&amp;"%)","")</f>
        <v/>
      </c>
    </row>
    <row r="268" spans="1:16" x14ac:dyDescent="0.25">
      <c r="A268" s="35">
        <f t="shared" si="16"/>
        <v>29</v>
      </c>
      <c r="B268" s="5">
        <v>43482</v>
      </c>
      <c r="C268" s="5" t="s">
        <v>134</v>
      </c>
      <c r="D268" s="57" t="s">
        <v>404</v>
      </c>
      <c r="E268" s="7" t="s">
        <v>144</v>
      </c>
      <c r="F268" s="33">
        <v>5</v>
      </c>
      <c r="G268" s="63">
        <v>-115</v>
      </c>
      <c r="H268" s="9" t="s">
        <v>6</v>
      </c>
      <c r="I2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6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68" s="36"/>
      <c r="L268" s="36">
        <f t="shared" si="15"/>
        <v>0</v>
      </c>
      <c r="M268" s="51" t="str">
        <f>COUNTIFS(Bets[Date],L268,Bets[Result],"W")&amp;"-"&amp;COUNTIFS(Bets[Date],L268,Bets[Result],"L")&amp;IF(COUNTIFS(Bets[Date],L268,Bets[Result],"Push")&gt;0,"-"&amp;COUNTIFS(Bets[Date],L268,Bets[Result],"Push"),"")</f>
        <v>0-0</v>
      </c>
      <c r="N268" s="52" t="str">
        <f>IFERROR(COUNTIFS(Bets[Date],L268,Bets[Result],"W")/(COUNTIFS(Bets[Date],L268,Bets[Result],"W")+COUNTIFS(Bets[Date],L268,Bets[Result],"L")),"")</f>
        <v/>
      </c>
      <c r="O268" s="38">
        <f>SUMIF(Bets[Date],L268,Bets[Profit])</f>
        <v>0</v>
      </c>
      <c r="P268" s="37" t="str">
        <f>IFERROR("("&amp;ROUND(SUMIF(Bets[Date],L268,Bets[Profit])/SUMIF(Bets[Date],L268,Bets[Risk]),2)*100&amp;"%)","")</f>
        <v/>
      </c>
    </row>
    <row r="269" spans="1:16" x14ac:dyDescent="0.25">
      <c r="A269" s="35">
        <f t="shared" si="16"/>
        <v>29</v>
      </c>
      <c r="B269" s="5">
        <v>43482</v>
      </c>
      <c r="C269" s="5" t="s">
        <v>134</v>
      </c>
      <c r="D269" s="57" t="s">
        <v>404</v>
      </c>
      <c r="E269" s="7" t="s">
        <v>405</v>
      </c>
      <c r="F269" s="33">
        <v>5</v>
      </c>
      <c r="G269" s="63">
        <v>-110</v>
      </c>
      <c r="H269" s="9" t="s">
        <v>36</v>
      </c>
      <c r="I2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6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69" s="36"/>
      <c r="L269" s="36">
        <f t="shared" si="15"/>
        <v>0</v>
      </c>
      <c r="M269" s="51" t="str">
        <f>COUNTIFS(Bets[Date],L269,Bets[Result],"W")&amp;"-"&amp;COUNTIFS(Bets[Date],L269,Bets[Result],"L")&amp;IF(COUNTIFS(Bets[Date],L269,Bets[Result],"Push")&gt;0,"-"&amp;COUNTIFS(Bets[Date],L269,Bets[Result],"Push"),"")</f>
        <v>0-0</v>
      </c>
      <c r="N269" s="52" t="str">
        <f>IFERROR(COUNTIFS(Bets[Date],L269,Bets[Result],"W")/(COUNTIFS(Bets[Date],L269,Bets[Result],"W")+COUNTIFS(Bets[Date],L269,Bets[Result],"L")),"")</f>
        <v/>
      </c>
      <c r="O269" s="38">
        <f>SUMIF(Bets[Date],L269,Bets[Profit])</f>
        <v>0</v>
      </c>
      <c r="P269" s="37" t="str">
        <f>IFERROR("("&amp;ROUND(SUMIF(Bets[Date],L269,Bets[Profit])/SUMIF(Bets[Date],L269,Bets[Risk]),2)*100&amp;"%)","")</f>
        <v/>
      </c>
    </row>
    <row r="270" spans="1:16" x14ac:dyDescent="0.25">
      <c r="A270" s="35">
        <f t="shared" si="16"/>
        <v>29</v>
      </c>
      <c r="B270" s="5">
        <v>43482</v>
      </c>
      <c r="C270" s="5" t="s">
        <v>134</v>
      </c>
      <c r="D270" s="57" t="s">
        <v>406</v>
      </c>
      <c r="E270" s="7" t="s">
        <v>407</v>
      </c>
      <c r="F270" s="33">
        <v>5</v>
      </c>
      <c r="G270" s="63">
        <v>-110</v>
      </c>
      <c r="H270" s="9" t="s">
        <v>6</v>
      </c>
      <c r="I2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70" s="36"/>
      <c r="L270" s="36">
        <f t="shared" si="15"/>
        <v>0</v>
      </c>
      <c r="M270" s="51" t="str">
        <f>COUNTIFS(Bets[Date],L270,Bets[Result],"W")&amp;"-"&amp;COUNTIFS(Bets[Date],L270,Bets[Result],"L")&amp;IF(COUNTIFS(Bets[Date],L270,Bets[Result],"Push")&gt;0,"-"&amp;COUNTIFS(Bets[Date],L270,Bets[Result],"Push"),"")</f>
        <v>0-0</v>
      </c>
      <c r="N270" s="52" t="str">
        <f>IFERROR(COUNTIFS(Bets[Date],L270,Bets[Result],"W")/(COUNTIFS(Bets[Date],L270,Bets[Result],"W")+COUNTIFS(Bets[Date],L270,Bets[Result],"L")),"")</f>
        <v/>
      </c>
      <c r="O270" s="38">
        <f>SUMIF(Bets[Date],L270,Bets[Profit])</f>
        <v>0</v>
      </c>
      <c r="P270" s="37" t="str">
        <f>IFERROR("("&amp;ROUND(SUMIF(Bets[Date],L270,Bets[Profit])/SUMIF(Bets[Date],L270,Bets[Risk]),2)*100&amp;"%)","")</f>
        <v/>
      </c>
    </row>
    <row r="271" spans="1:16" x14ac:dyDescent="0.25">
      <c r="A271" s="35">
        <f t="shared" si="16"/>
        <v>29</v>
      </c>
      <c r="B271" s="5">
        <v>43482</v>
      </c>
      <c r="C271" s="5" t="s">
        <v>134</v>
      </c>
      <c r="D271" s="57" t="s">
        <v>406</v>
      </c>
      <c r="E271" s="7" t="s">
        <v>1223</v>
      </c>
      <c r="F271" s="33">
        <v>5</v>
      </c>
      <c r="G271" s="63">
        <v>-110</v>
      </c>
      <c r="H271" s="9" t="s">
        <v>36</v>
      </c>
      <c r="I2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7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71" s="36"/>
      <c r="L271" s="36">
        <f t="shared" si="15"/>
        <v>0</v>
      </c>
      <c r="M271" s="51" t="str">
        <f>COUNTIFS(Bets[Date],L271,Bets[Result],"W")&amp;"-"&amp;COUNTIFS(Bets[Date],L271,Bets[Result],"L")&amp;IF(COUNTIFS(Bets[Date],L271,Bets[Result],"Push")&gt;0,"-"&amp;COUNTIFS(Bets[Date],L271,Bets[Result],"Push"),"")</f>
        <v>0-0</v>
      </c>
      <c r="N271" s="52" t="str">
        <f>IFERROR(COUNTIFS(Bets[Date],L271,Bets[Result],"W")/(COUNTIFS(Bets[Date],L271,Bets[Result],"W")+COUNTIFS(Bets[Date],L271,Bets[Result],"L")),"")</f>
        <v/>
      </c>
      <c r="O271" s="38">
        <f>SUMIF(Bets[Date],L271,Bets[Profit])</f>
        <v>0</v>
      </c>
      <c r="P271" s="37" t="str">
        <f>IFERROR("("&amp;ROUND(SUMIF(Bets[Date],L271,Bets[Profit])/SUMIF(Bets[Date],L271,Bets[Risk]),2)*100&amp;"%)","")</f>
        <v/>
      </c>
    </row>
    <row r="272" spans="1:16" x14ac:dyDescent="0.25">
      <c r="A272" s="35">
        <f t="shared" si="16"/>
        <v>30</v>
      </c>
      <c r="B272" s="5">
        <v>43483</v>
      </c>
      <c r="C272" s="5" t="s">
        <v>134</v>
      </c>
      <c r="D272" s="57" t="s">
        <v>420</v>
      </c>
      <c r="E272" s="7" t="s">
        <v>421</v>
      </c>
      <c r="F272" s="33">
        <v>5</v>
      </c>
      <c r="G272" s="63">
        <v>-110</v>
      </c>
      <c r="H272" s="9" t="s">
        <v>6</v>
      </c>
      <c r="I2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72" s="36"/>
      <c r="L272" s="36">
        <f t="shared" si="15"/>
        <v>0</v>
      </c>
      <c r="M272" s="51" t="str">
        <f>COUNTIFS(Bets[Date],L272,Bets[Result],"W")&amp;"-"&amp;COUNTIFS(Bets[Date],L272,Bets[Result],"L")&amp;IF(COUNTIFS(Bets[Date],L272,Bets[Result],"Push")&gt;0,"-"&amp;COUNTIFS(Bets[Date],L272,Bets[Result],"Push"),"")</f>
        <v>0-0</v>
      </c>
      <c r="N272" s="52" t="str">
        <f>IFERROR(COUNTIFS(Bets[Date],L272,Bets[Result],"W")/(COUNTIFS(Bets[Date],L272,Bets[Result],"W")+COUNTIFS(Bets[Date],L272,Bets[Result],"L")),"")</f>
        <v/>
      </c>
      <c r="O272" s="38">
        <f>SUMIF(Bets[Date],L272,Bets[Profit])</f>
        <v>0</v>
      </c>
      <c r="P272" s="37" t="str">
        <f>IFERROR("("&amp;ROUND(SUMIF(Bets[Date],L272,Bets[Profit])/SUMIF(Bets[Date],L272,Bets[Risk]),2)*100&amp;"%)","")</f>
        <v/>
      </c>
    </row>
    <row r="273" spans="1:16" x14ac:dyDescent="0.25">
      <c r="A273" s="35">
        <f t="shared" si="16"/>
        <v>30</v>
      </c>
      <c r="B273" s="5">
        <v>43483</v>
      </c>
      <c r="C273" s="5" t="s">
        <v>134</v>
      </c>
      <c r="D273" s="57" t="s">
        <v>420</v>
      </c>
      <c r="E273" s="7" t="s">
        <v>422</v>
      </c>
      <c r="F273" s="33">
        <v>5</v>
      </c>
      <c r="G273" s="63">
        <v>-110</v>
      </c>
      <c r="H273" s="9" t="s">
        <v>36</v>
      </c>
      <c r="I2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7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73" s="36"/>
      <c r="L273" s="36">
        <f t="shared" si="15"/>
        <v>0</v>
      </c>
      <c r="M273" s="51" t="str">
        <f>COUNTIFS(Bets[Date],L273,Bets[Result],"W")&amp;"-"&amp;COUNTIFS(Bets[Date],L273,Bets[Result],"L")&amp;IF(COUNTIFS(Bets[Date],L273,Bets[Result],"Push")&gt;0,"-"&amp;COUNTIFS(Bets[Date],L273,Bets[Result],"Push"),"")</f>
        <v>0-0</v>
      </c>
      <c r="N273" s="52" t="str">
        <f>IFERROR(COUNTIFS(Bets[Date],L273,Bets[Result],"W")/(COUNTIFS(Bets[Date],L273,Bets[Result],"W")+COUNTIFS(Bets[Date],L273,Bets[Result],"L")),"")</f>
        <v/>
      </c>
      <c r="O273" s="38">
        <f>SUMIF(Bets[Date],L273,Bets[Profit])</f>
        <v>0</v>
      </c>
      <c r="P273" s="37" t="str">
        <f>IFERROR("("&amp;ROUND(SUMIF(Bets[Date],L273,Bets[Profit])/SUMIF(Bets[Date],L273,Bets[Risk]),2)*100&amp;"%)","")</f>
        <v/>
      </c>
    </row>
    <row r="274" spans="1:16" x14ac:dyDescent="0.25">
      <c r="A274" s="35">
        <f t="shared" si="16"/>
        <v>30</v>
      </c>
      <c r="B274" s="5">
        <v>43483</v>
      </c>
      <c r="C274" s="5" t="s">
        <v>134</v>
      </c>
      <c r="D274" s="57" t="s">
        <v>420</v>
      </c>
      <c r="E274" s="7" t="s">
        <v>248</v>
      </c>
      <c r="F274" s="33">
        <v>5</v>
      </c>
      <c r="G274" s="63">
        <v>105</v>
      </c>
      <c r="H274" s="9" t="s">
        <v>36</v>
      </c>
      <c r="I2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5.25</v>
      </c>
      <c r="J27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74" s="36"/>
      <c r="L274" s="36">
        <f t="shared" si="15"/>
        <v>0</v>
      </c>
      <c r="M274" s="51" t="str">
        <f>COUNTIFS(Bets[Date],L274,Bets[Result],"W")&amp;"-"&amp;COUNTIFS(Bets[Date],L274,Bets[Result],"L")&amp;IF(COUNTIFS(Bets[Date],L274,Bets[Result],"Push")&gt;0,"-"&amp;COUNTIFS(Bets[Date],L274,Bets[Result],"Push"),"")</f>
        <v>0-0</v>
      </c>
      <c r="N274" s="52" t="str">
        <f>IFERROR(COUNTIFS(Bets[Date],L274,Bets[Result],"W")/(COUNTIFS(Bets[Date],L274,Bets[Result],"W")+COUNTIFS(Bets[Date],L274,Bets[Result],"L")),"")</f>
        <v/>
      </c>
      <c r="O274" s="38">
        <f>SUMIF(Bets[Date],L274,Bets[Profit])</f>
        <v>0</v>
      </c>
      <c r="P274" s="37" t="str">
        <f>IFERROR("("&amp;ROUND(SUMIF(Bets[Date],L274,Bets[Profit])/SUMIF(Bets[Date],L274,Bets[Risk]),2)*100&amp;"%)","")</f>
        <v/>
      </c>
    </row>
    <row r="275" spans="1:16" x14ac:dyDescent="0.25">
      <c r="A275" s="35">
        <f t="shared" si="16"/>
        <v>30</v>
      </c>
      <c r="B275" s="5">
        <v>43483</v>
      </c>
      <c r="C275" s="5" t="s">
        <v>134</v>
      </c>
      <c r="D275" s="57" t="s">
        <v>423</v>
      </c>
      <c r="E275" s="7" t="s">
        <v>125</v>
      </c>
      <c r="F275" s="33">
        <v>5</v>
      </c>
      <c r="G275" s="63">
        <v>-105</v>
      </c>
      <c r="H275" s="9" t="s">
        <v>36</v>
      </c>
      <c r="I2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27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75" s="36"/>
      <c r="L275" s="36">
        <f t="shared" si="15"/>
        <v>0</v>
      </c>
      <c r="M275" s="51" t="str">
        <f>COUNTIFS(Bets[Date],L275,Bets[Result],"W")&amp;"-"&amp;COUNTIFS(Bets[Date],L275,Bets[Result],"L")&amp;IF(COUNTIFS(Bets[Date],L275,Bets[Result],"Push")&gt;0,"-"&amp;COUNTIFS(Bets[Date],L275,Bets[Result],"Push"),"")</f>
        <v>0-0</v>
      </c>
      <c r="N275" s="52" t="str">
        <f>IFERROR(COUNTIFS(Bets[Date],L275,Bets[Result],"W")/(COUNTIFS(Bets[Date],L275,Bets[Result],"W")+COUNTIFS(Bets[Date],L275,Bets[Result],"L")),"")</f>
        <v/>
      </c>
      <c r="O275" s="38">
        <f>SUMIF(Bets[Date],L275,Bets[Profit])</f>
        <v>0</v>
      </c>
      <c r="P275" s="37" t="str">
        <f>IFERROR("("&amp;ROUND(SUMIF(Bets[Date],L275,Bets[Profit])/SUMIF(Bets[Date],L275,Bets[Risk]),2)*100&amp;"%)","")</f>
        <v/>
      </c>
    </row>
    <row r="276" spans="1:16" x14ac:dyDescent="0.25">
      <c r="A276" s="35">
        <f t="shared" si="16"/>
        <v>30</v>
      </c>
      <c r="B276" s="5">
        <v>43483</v>
      </c>
      <c r="C276" s="5" t="s">
        <v>134</v>
      </c>
      <c r="D276" s="57" t="s">
        <v>423</v>
      </c>
      <c r="E276" s="7" t="s">
        <v>424</v>
      </c>
      <c r="F276" s="33">
        <v>5</v>
      </c>
      <c r="G276" s="63">
        <v>-105</v>
      </c>
      <c r="H276" s="9" t="s">
        <v>6</v>
      </c>
      <c r="I2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76" s="36"/>
      <c r="L276" s="36">
        <f t="shared" ref="L276:L329" si="17">IFERROR(VLOOKUP(ROW()-3,A:B,2,0),0)</f>
        <v>0</v>
      </c>
      <c r="M276" s="51" t="str">
        <f>COUNTIFS(Bets[Date],L276,Bets[Result],"W")&amp;"-"&amp;COUNTIFS(Bets[Date],L276,Bets[Result],"L")&amp;IF(COUNTIFS(Bets[Date],L276,Bets[Result],"Push")&gt;0,"-"&amp;COUNTIFS(Bets[Date],L276,Bets[Result],"Push"),"")</f>
        <v>0-0</v>
      </c>
      <c r="N276" s="52" t="str">
        <f>IFERROR(COUNTIFS(Bets[Date],L276,Bets[Result],"W")/(COUNTIFS(Bets[Date],L276,Bets[Result],"W")+COUNTIFS(Bets[Date],L276,Bets[Result],"L")),"")</f>
        <v/>
      </c>
      <c r="O276" s="38">
        <f>SUMIF(Bets[Date],L276,Bets[Profit])</f>
        <v>0</v>
      </c>
      <c r="P276" s="37" t="str">
        <f>IFERROR("("&amp;ROUND(SUMIF(Bets[Date],L276,Bets[Profit])/SUMIF(Bets[Date],L276,Bets[Risk]),2)*100&amp;"%)","")</f>
        <v/>
      </c>
    </row>
    <row r="277" spans="1:16" x14ac:dyDescent="0.25">
      <c r="A277" s="35">
        <f t="shared" si="16"/>
        <v>30</v>
      </c>
      <c r="B277" s="5">
        <v>43483</v>
      </c>
      <c r="C277" s="5" t="s">
        <v>134</v>
      </c>
      <c r="D277" s="57" t="s">
        <v>425</v>
      </c>
      <c r="E277" s="7" t="s">
        <v>125</v>
      </c>
      <c r="F277" s="33">
        <v>5</v>
      </c>
      <c r="G277" s="63">
        <v>-105</v>
      </c>
      <c r="H277" s="9" t="s">
        <v>6</v>
      </c>
      <c r="I2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277" s="36"/>
      <c r="L277" s="36">
        <f t="shared" si="17"/>
        <v>0</v>
      </c>
      <c r="M277" s="51" t="str">
        <f>COUNTIFS(Bets[Date],L277,Bets[Result],"W")&amp;"-"&amp;COUNTIFS(Bets[Date],L277,Bets[Result],"L")&amp;IF(COUNTIFS(Bets[Date],L277,Bets[Result],"Push")&gt;0,"-"&amp;COUNTIFS(Bets[Date],L277,Bets[Result],"Push"),"")</f>
        <v>0-0</v>
      </c>
      <c r="N277" s="52" t="str">
        <f>IFERROR(COUNTIFS(Bets[Date],L277,Bets[Result],"W")/(COUNTIFS(Bets[Date],L277,Bets[Result],"W")+COUNTIFS(Bets[Date],L277,Bets[Result],"L")),"")</f>
        <v/>
      </c>
      <c r="O277" s="38">
        <f>SUMIF(Bets[Date],L277,Bets[Profit])</f>
        <v>0</v>
      </c>
      <c r="P277" s="37" t="str">
        <f>IFERROR("("&amp;ROUND(SUMIF(Bets[Date],L277,Bets[Profit])/SUMIF(Bets[Date],L277,Bets[Risk]),2)*100&amp;"%)","")</f>
        <v/>
      </c>
    </row>
    <row r="278" spans="1:16" x14ac:dyDescent="0.25">
      <c r="A278" s="35">
        <f t="shared" si="16"/>
        <v>30</v>
      </c>
      <c r="B278" s="5">
        <v>43483</v>
      </c>
      <c r="C278" s="5" t="s">
        <v>134</v>
      </c>
      <c r="D278" s="57" t="s">
        <v>425</v>
      </c>
      <c r="E278" s="7" t="s">
        <v>426</v>
      </c>
      <c r="F278" s="33">
        <v>5</v>
      </c>
      <c r="G278" s="63">
        <v>-110</v>
      </c>
      <c r="H278" s="9" t="s">
        <v>6</v>
      </c>
      <c r="I2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78" s="36"/>
      <c r="L278" s="36">
        <f t="shared" si="17"/>
        <v>0</v>
      </c>
      <c r="M278" s="51" t="str">
        <f>COUNTIFS(Bets[Date],L278,Bets[Result],"W")&amp;"-"&amp;COUNTIFS(Bets[Date],L278,Bets[Result],"L")&amp;IF(COUNTIFS(Bets[Date],L278,Bets[Result],"Push")&gt;0,"-"&amp;COUNTIFS(Bets[Date],L278,Bets[Result],"Push"),"")</f>
        <v>0-0</v>
      </c>
      <c r="N278" s="52" t="str">
        <f>IFERROR(COUNTIFS(Bets[Date],L278,Bets[Result],"W")/(COUNTIFS(Bets[Date],L278,Bets[Result],"W")+COUNTIFS(Bets[Date],L278,Bets[Result],"L")),"")</f>
        <v/>
      </c>
      <c r="O278" s="38">
        <f>SUMIF(Bets[Date],L278,Bets[Profit])</f>
        <v>0</v>
      </c>
      <c r="P278" s="37" t="str">
        <f>IFERROR("("&amp;ROUND(SUMIF(Bets[Date],L278,Bets[Profit])/SUMIF(Bets[Date],L278,Bets[Risk]),2)*100&amp;"%)","")</f>
        <v/>
      </c>
    </row>
    <row r="279" spans="1:16" x14ac:dyDescent="0.25">
      <c r="A279" s="35">
        <f t="shared" si="16"/>
        <v>30</v>
      </c>
      <c r="B279" s="5">
        <v>43483</v>
      </c>
      <c r="C279" s="5" t="s">
        <v>134</v>
      </c>
      <c r="D279" s="57" t="s">
        <v>427</v>
      </c>
      <c r="E279" s="7" t="s">
        <v>407</v>
      </c>
      <c r="F279" s="33">
        <v>5</v>
      </c>
      <c r="G279" s="63">
        <v>-110</v>
      </c>
      <c r="H279" s="9" t="s">
        <v>6</v>
      </c>
      <c r="I2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7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79" s="36"/>
      <c r="L279" s="36">
        <f t="shared" si="17"/>
        <v>0</v>
      </c>
      <c r="M279" s="51" t="str">
        <f>COUNTIFS(Bets[Date],L279,Bets[Result],"W")&amp;"-"&amp;COUNTIFS(Bets[Date],L279,Bets[Result],"L")&amp;IF(COUNTIFS(Bets[Date],L279,Bets[Result],"Push")&gt;0,"-"&amp;COUNTIFS(Bets[Date],L279,Bets[Result],"Push"),"")</f>
        <v>0-0</v>
      </c>
      <c r="N279" s="52" t="str">
        <f>IFERROR(COUNTIFS(Bets[Date],L279,Bets[Result],"W")/(COUNTIFS(Bets[Date],L279,Bets[Result],"W")+COUNTIFS(Bets[Date],L279,Bets[Result],"L")),"")</f>
        <v/>
      </c>
      <c r="O279" s="38">
        <f>SUMIF(Bets[Date],L279,Bets[Profit])</f>
        <v>0</v>
      </c>
      <c r="P279" s="37" t="str">
        <f>IFERROR("("&amp;ROUND(SUMIF(Bets[Date],L279,Bets[Profit])/SUMIF(Bets[Date],L279,Bets[Risk]),2)*100&amp;"%)","")</f>
        <v/>
      </c>
    </row>
    <row r="280" spans="1:16" x14ac:dyDescent="0.25">
      <c r="A280" s="35">
        <f t="shared" si="16"/>
        <v>30</v>
      </c>
      <c r="B280" s="5">
        <v>43483</v>
      </c>
      <c r="C280" s="5" t="s">
        <v>134</v>
      </c>
      <c r="D280" s="57" t="s">
        <v>427</v>
      </c>
      <c r="E280" s="7" t="s">
        <v>328</v>
      </c>
      <c r="F280" s="33">
        <v>5</v>
      </c>
      <c r="G280" s="63">
        <v>-110</v>
      </c>
      <c r="H280" s="9" t="s">
        <v>36</v>
      </c>
      <c r="I2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8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80" s="36"/>
      <c r="L280" s="36">
        <f t="shared" si="17"/>
        <v>0</v>
      </c>
      <c r="M280" s="51" t="str">
        <f>COUNTIFS(Bets[Date],L280,Bets[Result],"W")&amp;"-"&amp;COUNTIFS(Bets[Date],L280,Bets[Result],"L")&amp;IF(COUNTIFS(Bets[Date],L280,Bets[Result],"Push")&gt;0,"-"&amp;COUNTIFS(Bets[Date],L280,Bets[Result],"Push"),"")</f>
        <v>0-0</v>
      </c>
      <c r="N280" s="52" t="str">
        <f>IFERROR(COUNTIFS(Bets[Date],L280,Bets[Result],"W")/(COUNTIFS(Bets[Date],L280,Bets[Result],"W")+COUNTIFS(Bets[Date],L280,Bets[Result],"L")),"")</f>
        <v/>
      </c>
      <c r="O280" s="38">
        <f>SUMIF(Bets[Date],L280,Bets[Profit])</f>
        <v>0</v>
      </c>
      <c r="P280" s="37" t="str">
        <f>IFERROR("("&amp;ROUND(SUMIF(Bets[Date],L280,Bets[Profit])/SUMIF(Bets[Date],L280,Bets[Risk]),2)*100&amp;"%)","")</f>
        <v/>
      </c>
    </row>
    <row r="281" spans="1:16" x14ac:dyDescent="0.25">
      <c r="A281" s="35">
        <f t="shared" si="16"/>
        <v>30</v>
      </c>
      <c r="B281" s="5">
        <v>43483</v>
      </c>
      <c r="C281" s="5" t="s">
        <v>134</v>
      </c>
      <c r="D281" s="57" t="s">
        <v>428</v>
      </c>
      <c r="E281" s="7" t="s">
        <v>429</v>
      </c>
      <c r="F281" s="33">
        <v>5</v>
      </c>
      <c r="G281" s="63">
        <v>-110</v>
      </c>
      <c r="H281" s="9" t="s">
        <v>36</v>
      </c>
      <c r="I2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8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81" s="36"/>
      <c r="L281" s="36">
        <f t="shared" si="17"/>
        <v>0</v>
      </c>
      <c r="M281" s="51" t="str">
        <f>COUNTIFS(Bets[Date],L281,Bets[Result],"W")&amp;"-"&amp;COUNTIFS(Bets[Date],L281,Bets[Result],"L")&amp;IF(COUNTIFS(Bets[Date],L281,Bets[Result],"Push")&gt;0,"-"&amp;COUNTIFS(Bets[Date],L281,Bets[Result],"Push"),"")</f>
        <v>0-0</v>
      </c>
      <c r="N281" s="52" t="str">
        <f>IFERROR(COUNTIFS(Bets[Date],L281,Bets[Result],"W")/(COUNTIFS(Bets[Date],L281,Bets[Result],"W")+COUNTIFS(Bets[Date],L281,Bets[Result],"L")),"")</f>
        <v/>
      </c>
      <c r="O281" s="38">
        <f>SUMIF(Bets[Date],L281,Bets[Profit])</f>
        <v>0</v>
      </c>
      <c r="P281" s="37" t="str">
        <f>IFERROR("("&amp;ROUND(SUMIF(Bets[Date],L281,Bets[Profit])/SUMIF(Bets[Date],L281,Bets[Risk]),2)*100&amp;"%)","")</f>
        <v/>
      </c>
    </row>
    <row r="282" spans="1:16" x14ac:dyDescent="0.25">
      <c r="A282" s="35">
        <f t="shared" si="16"/>
        <v>30</v>
      </c>
      <c r="B282" s="5">
        <v>43483</v>
      </c>
      <c r="C282" s="5" t="s">
        <v>134</v>
      </c>
      <c r="D282" s="57" t="s">
        <v>430</v>
      </c>
      <c r="E282" s="7" t="s">
        <v>431</v>
      </c>
      <c r="F282" s="33">
        <v>5</v>
      </c>
      <c r="G282" s="63">
        <v>-110</v>
      </c>
      <c r="H282" s="9" t="s">
        <v>36</v>
      </c>
      <c r="I2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28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82" s="36"/>
      <c r="L282" s="36">
        <f t="shared" si="17"/>
        <v>0</v>
      </c>
      <c r="M282" s="51" t="str">
        <f>COUNTIFS(Bets[Date],L282,Bets[Result],"W")&amp;"-"&amp;COUNTIFS(Bets[Date],L282,Bets[Result],"L")&amp;IF(COUNTIFS(Bets[Date],L282,Bets[Result],"Push")&gt;0,"-"&amp;COUNTIFS(Bets[Date],L282,Bets[Result],"Push"),"")</f>
        <v>0-0</v>
      </c>
      <c r="N282" s="52" t="str">
        <f>IFERROR(COUNTIFS(Bets[Date],L282,Bets[Result],"W")/(COUNTIFS(Bets[Date],L282,Bets[Result],"W")+COUNTIFS(Bets[Date],L282,Bets[Result],"L")),"")</f>
        <v/>
      </c>
      <c r="O282" s="38">
        <f>SUMIF(Bets[Date],L282,Bets[Profit])</f>
        <v>0</v>
      </c>
      <c r="P282" s="37" t="str">
        <f>IFERROR("("&amp;ROUND(SUMIF(Bets[Date],L282,Bets[Profit])/SUMIF(Bets[Date],L282,Bets[Risk]),2)*100&amp;"%)","")</f>
        <v/>
      </c>
    </row>
    <row r="283" spans="1:16" x14ac:dyDescent="0.25">
      <c r="A283" s="35">
        <f t="shared" si="16"/>
        <v>30</v>
      </c>
      <c r="B283" s="5">
        <v>43483</v>
      </c>
      <c r="C283" s="5" t="s">
        <v>134</v>
      </c>
      <c r="D283" s="57" t="s">
        <v>430</v>
      </c>
      <c r="E283" s="7" t="s">
        <v>392</v>
      </c>
      <c r="F283" s="33">
        <v>5</v>
      </c>
      <c r="G283" s="63">
        <v>-115</v>
      </c>
      <c r="H283" s="9" t="s">
        <v>36</v>
      </c>
      <c r="I2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28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83" s="36"/>
      <c r="L283" s="36">
        <f t="shared" si="17"/>
        <v>0</v>
      </c>
      <c r="M283" s="51" t="str">
        <f>COUNTIFS(Bets[Date],L283,Bets[Result],"W")&amp;"-"&amp;COUNTIFS(Bets[Date],L283,Bets[Result],"L")&amp;IF(COUNTIFS(Bets[Date],L283,Bets[Result],"Push")&gt;0,"-"&amp;COUNTIFS(Bets[Date],L283,Bets[Result],"Push"),"")</f>
        <v>0-0</v>
      </c>
      <c r="N283" s="52" t="str">
        <f>IFERROR(COUNTIFS(Bets[Date],L283,Bets[Result],"W")/(COUNTIFS(Bets[Date],L283,Bets[Result],"W")+COUNTIFS(Bets[Date],L283,Bets[Result],"L")),"")</f>
        <v/>
      </c>
      <c r="O283" s="38">
        <f>SUMIF(Bets[Date],L283,Bets[Profit])</f>
        <v>0</v>
      </c>
      <c r="P283" s="37" t="str">
        <f>IFERROR("("&amp;ROUND(SUMIF(Bets[Date],L283,Bets[Profit])/SUMIF(Bets[Date],L283,Bets[Risk]),2)*100&amp;"%)","")</f>
        <v/>
      </c>
    </row>
    <row r="284" spans="1:16" x14ac:dyDescent="0.25">
      <c r="A284" s="35">
        <f t="shared" si="16"/>
        <v>30</v>
      </c>
      <c r="B284" s="5">
        <v>43483</v>
      </c>
      <c r="C284" s="5" t="s">
        <v>134</v>
      </c>
      <c r="D284" s="57" t="s">
        <v>432</v>
      </c>
      <c r="E284" s="7" t="s">
        <v>433</v>
      </c>
      <c r="F284" s="33">
        <v>5</v>
      </c>
      <c r="G284" s="63">
        <v>-115</v>
      </c>
      <c r="H284" s="9" t="s">
        <v>6</v>
      </c>
      <c r="I2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8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84" s="36"/>
      <c r="L284" s="36">
        <f t="shared" si="17"/>
        <v>0</v>
      </c>
      <c r="M284" s="51" t="str">
        <f>COUNTIFS(Bets[Date],L284,Bets[Result],"W")&amp;"-"&amp;COUNTIFS(Bets[Date],L284,Bets[Result],"L")&amp;IF(COUNTIFS(Bets[Date],L284,Bets[Result],"Push")&gt;0,"-"&amp;COUNTIFS(Bets[Date],L284,Bets[Result],"Push"),"")</f>
        <v>0-0</v>
      </c>
      <c r="N284" s="52" t="str">
        <f>IFERROR(COUNTIFS(Bets[Date],L284,Bets[Result],"W")/(COUNTIFS(Bets[Date],L284,Bets[Result],"W")+COUNTIFS(Bets[Date],L284,Bets[Result],"L")),"")</f>
        <v/>
      </c>
      <c r="O284" s="38">
        <f>SUMIF(Bets[Date],L284,Bets[Profit])</f>
        <v>0</v>
      </c>
      <c r="P284" s="37" t="str">
        <f>IFERROR("("&amp;ROUND(SUMIF(Bets[Date],L284,Bets[Profit])/SUMIF(Bets[Date],L284,Bets[Risk]),2)*100&amp;"%)","")</f>
        <v/>
      </c>
    </row>
    <row r="285" spans="1:16" x14ac:dyDescent="0.25">
      <c r="A285" s="35">
        <f t="shared" si="16"/>
        <v>30</v>
      </c>
      <c r="B285" s="5">
        <v>43483</v>
      </c>
      <c r="C285" s="5" t="s">
        <v>134</v>
      </c>
      <c r="D285" s="57" t="s">
        <v>432</v>
      </c>
      <c r="E285" s="7" t="s">
        <v>184</v>
      </c>
      <c r="F285" s="33">
        <v>5</v>
      </c>
      <c r="G285" s="63">
        <v>120</v>
      </c>
      <c r="H285" s="9" t="s">
        <v>6</v>
      </c>
      <c r="I2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28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285" s="36"/>
      <c r="L285" s="36">
        <f t="shared" si="17"/>
        <v>0</v>
      </c>
      <c r="M285" s="51" t="str">
        <f>COUNTIFS(Bets[Date],L285,Bets[Result],"W")&amp;"-"&amp;COUNTIFS(Bets[Date],L285,Bets[Result],"L")&amp;IF(COUNTIFS(Bets[Date],L285,Bets[Result],"Push")&gt;0,"-"&amp;COUNTIFS(Bets[Date],L285,Bets[Result],"Push"),"")</f>
        <v>0-0</v>
      </c>
      <c r="N285" s="52" t="str">
        <f>IFERROR(COUNTIFS(Bets[Date],L285,Bets[Result],"W")/(COUNTIFS(Bets[Date],L285,Bets[Result],"W")+COUNTIFS(Bets[Date],L285,Bets[Result],"L")),"")</f>
        <v/>
      </c>
      <c r="O285" s="38">
        <f>SUMIF(Bets[Date],L285,Bets[Profit])</f>
        <v>0</v>
      </c>
      <c r="P285" s="37" t="str">
        <f>IFERROR("("&amp;ROUND(SUMIF(Bets[Date],L285,Bets[Profit])/SUMIF(Bets[Date],L285,Bets[Risk]),2)*100&amp;"%)","")</f>
        <v/>
      </c>
    </row>
    <row r="286" spans="1:16" x14ac:dyDescent="0.25">
      <c r="A286" s="35">
        <f t="shared" si="16"/>
        <v>30</v>
      </c>
      <c r="B286" s="5">
        <v>43483</v>
      </c>
      <c r="C286" s="5" t="s">
        <v>419</v>
      </c>
      <c r="D286" s="57" t="s">
        <v>414</v>
      </c>
      <c r="E286" s="7" t="s">
        <v>408</v>
      </c>
      <c r="F286" s="33">
        <v>1</v>
      </c>
      <c r="G286" s="67">
        <v>-115</v>
      </c>
      <c r="H286" s="9" t="s">
        <v>36</v>
      </c>
      <c r="I2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28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86" s="36"/>
      <c r="L286" s="36">
        <f t="shared" si="17"/>
        <v>0</v>
      </c>
      <c r="M286" s="51" t="str">
        <f>COUNTIFS(Bets[Date],L286,Bets[Result],"W")&amp;"-"&amp;COUNTIFS(Bets[Date],L286,Bets[Result],"L")&amp;IF(COUNTIFS(Bets[Date],L286,Bets[Result],"Push")&gt;0,"-"&amp;COUNTIFS(Bets[Date],L286,Bets[Result],"Push"),"")</f>
        <v>0-0</v>
      </c>
      <c r="N286" s="52" t="str">
        <f>IFERROR(COUNTIFS(Bets[Date],L286,Bets[Result],"W")/(COUNTIFS(Bets[Date],L286,Bets[Result],"W")+COUNTIFS(Bets[Date],L286,Bets[Result],"L")),"")</f>
        <v/>
      </c>
      <c r="O286" s="38">
        <f>SUMIF(Bets[Date],L286,Bets[Profit])</f>
        <v>0</v>
      </c>
      <c r="P286" s="37" t="str">
        <f>IFERROR("("&amp;ROUND(SUMIF(Bets[Date],L286,Bets[Profit])/SUMIF(Bets[Date],L286,Bets[Risk]),2)*100&amp;"%)","")</f>
        <v/>
      </c>
    </row>
    <row r="287" spans="1:16" x14ac:dyDescent="0.25">
      <c r="A287" s="35">
        <f t="shared" si="16"/>
        <v>30</v>
      </c>
      <c r="B287" s="5">
        <v>43483</v>
      </c>
      <c r="C287" s="5" t="s">
        <v>419</v>
      </c>
      <c r="D287" s="57" t="s">
        <v>414</v>
      </c>
      <c r="E287" s="7" t="s">
        <v>409</v>
      </c>
      <c r="F287" s="33">
        <v>1</v>
      </c>
      <c r="G287" s="67">
        <v>-115</v>
      </c>
      <c r="H287" s="9" t="s">
        <v>36</v>
      </c>
      <c r="I2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28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87" s="36"/>
      <c r="L287" s="36">
        <f t="shared" si="17"/>
        <v>0</v>
      </c>
      <c r="M287" s="51" t="str">
        <f>COUNTIFS(Bets[Date],L287,Bets[Result],"W")&amp;"-"&amp;COUNTIFS(Bets[Date],L287,Bets[Result],"L")&amp;IF(COUNTIFS(Bets[Date],L287,Bets[Result],"Push")&gt;0,"-"&amp;COUNTIFS(Bets[Date],L287,Bets[Result],"Push"),"")</f>
        <v>0-0</v>
      </c>
      <c r="N287" s="52" t="str">
        <f>IFERROR(COUNTIFS(Bets[Date],L287,Bets[Result],"W")/(COUNTIFS(Bets[Date],L287,Bets[Result],"W")+COUNTIFS(Bets[Date],L287,Bets[Result],"L")),"")</f>
        <v/>
      </c>
      <c r="O287" s="38">
        <f>SUMIF(Bets[Date],L287,Bets[Profit])</f>
        <v>0</v>
      </c>
      <c r="P287" s="37" t="str">
        <f>IFERROR("("&amp;ROUND(SUMIF(Bets[Date],L287,Bets[Profit])/SUMIF(Bets[Date],L287,Bets[Risk]),2)*100&amp;"%)","")</f>
        <v/>
      </c>
    </row>
    <row r="288" spans="1:16" x14ac:dyDescent="0.25">
      <c r="A288" s="35">
        <f t="shared" si="16"/>
        <v>30</v>
      </c>
      <c r="B288" s="5">
        <v>43483</v>
      </c>
      <c r="C288" s="5" t="s">
        <v>419</v>
      </c>
      <c r="D288" s="57" t="s">
        <v>415</v>
      </c>
      <c r="E288" s="7" t="s">
        <v>410</v>
      </c>
      <c r="F288" s="33">
        <v>1</v>
      </c>
      <c r="G288" s="67">
        <v>-105</v>
      </c>
      <c r="H288" s="9" t="s">
        <v>6</v>
      </c>
      <c r="I2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28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88" s="36"/>
      <c r="L288" s="36">
        <f t="shared" si="17"/>
        <v>0</v>
      </c>
      <c r="M288" s="51" t="str">
        <f>COUNTIFS(Bets[Date],L288,Bets[Result],"W")&amp;"-"&amp;COUNTIFS(Bets[Date],L288,Bets[Result],"L")&amp;IF(COUNTIFS(Bets[Date],L288,Bets[Result],"Push")&gt;0,"-"&amp;COUNTIFS(Bets[Date],L288,Bets[Result],"Push"),"")</f>
        <v>0-0</v>
      </c>
      <c r="N288" s="52" t="str">
        <f>IFERROR(COUNTIFS(Bets[Date],L288,Bets[Result],"W")/(COUNTIFS(Bets[Date],L288,Bets[Result],"W")+COUNTIFS(Bets[Date],L288,Bets[Result],"L")),"")</f>
        <v/>
      </c>
      <c r="O288" s="38">
        <f>SUMIF(Bets[Date],L288,Bets[Profit])</f>
        <v>0</v>
      </c>
      <c r="P288" s="37" t="str">
        <f>IFERROR("("&amp;ROUND(SUMIF(Bets[Date],L288,Bets[Profit])/SUMIF(Bets[Date],L288,Bets[Risk]),2)*100&amp;"%)","")</f>
        <v/>
      </c>
    </row>
    <row r="289" spans="1:16" x14ac:dyDescent="0.25">
      <c r="A289" s="35">
        <f t="shared" si="16"/>
        <v>30</v>
      </c>
      <c r="B289" s="5">
        <v>43483</v>
      </c>
      <c r="C289" s="5" t="s">
        <v>419</v>
      </c>
      <c r="D289" s="57" t="s">
        <v>416</v>
      </c>
      <c r="E289" s="7" t="s">
        <v>411</v>
      </c>
      <c r="F289" s="33">
        <v>1</v>
      </c>
      <c r="G289" s="67">
        <v>-110</v>
      </c>
      <c r="H289" s="9" t="s">
        <v>65</v>
      </c>
      <c r="I2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28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89" s="36"/>
      <c r="L289" s="36">
        <f t="shared" si="17"/>
        <v>0</v>
      </c>
      <c r="M289" s="51" t="str">
        <f>COUNTIFS(Bets[Date],L289,Bets[Result],"W")&amp;"-"&amp;COUNTIFS(Bets[Date],L289,Bets[Result],"L")&amp;IF(COUNTIFS(Bets[Date],L289,Bets[Result],"Push")&gt;0,"-"&amp;COUNTIFS(Bets[Date],L289,Bets[Result],"Push"),"")</f>
        <v>0-0</v>
      </c>
      <c r="N289" s="52" t="str">
        <f>IFERROR(COUNTIFS(Bets[Date],L289,Bets[Result],"W")/(COUNTIFS(Bets[Date],L289,Bets[Result],"W")+COUNTIFS(Bets[Date],L289,Bets[Result],"L")),"")</f>
        <v/>
      </c>
      <c r="O289" s="38">
        <f>SUMIF(Bets[Date],L289,Bets[Profit])</f>
        <v>0</v>
      </c>
      <c r="P289" s="37" t="str">
        <f>IFERROR("("&amp;ROUND(SUMIF(Bets[Date],L289,Bets[Profit])/SUMIF(Bets[Date],L289,Bets[Risk]),2)*100&amp;"%)","")</f>
        <v/>
      </c>
    </row>
    <row r="290" spans="1:16" x14ac:dyDescent="0.25">
      <c r="A290" s="35">
        <f t="shared" si="16"/>
        <v>30</v>
      </c>
      <c r="B290" s="5">
        <v>43483</v>
      </c>
      <c r="C290" s="5" t="s">
        <v>419</v>
      </c>
      <c r="D290" s="57" t="s">
        <v>417</v>
      </c>
      <c r="E290" s="7" t="s">
        <v>412</v>
      </c>
      <c r="F290" s="33">
        <v>1</v>
      </c>
      <c r="G290" s="67">
        <v>-110</v>
      </c>
      <c r="H290" s="9" t="s">
        <v>36</v>
      </c>
      <c r="I2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29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90" s="36"/>
      <c r="L290" s="36">
        <f t="shared" si="17"/>
        <v>0</v>
      </c>
      <c r="M290" s="51" t="str">
        <f>COUNTIFS(Bets[Date],L290,Bets[Result],"W")&amp;"-"&amp;COUNTIFS(Bets[Date],L290,Bets[Result],"L")&amp;IF(COUNTIFS(Bets[Date],L290,Bets[Result],"Push")&gt;0,"-"&amp;COUNTIFS(Bets[Date],L290,Bets[Result],"Push"),"")</f>
        <v>0-0</v>
      </c>
      <c r="N290" s="52" t="str">
        <f>IFERROR(COUNTIFS(Bets[Date],L290,Bets[Result],"W")/(COUNTIFS(Bets[Date],L290,Bets[Result],"W")+COUNTIFS(Bets[Date],L290,Bets[Result],"L")),"")</f>
        <v/>
      </c>
      <c r="O290" s="38">
        <f>SUMIF(Bets[Date],L290,Bets[Profit])</f>
        <v>0</v>
      </c>
      <c r="P290" s="37" t="str">
        <f>IFERROR("("&amp;ROUND(SUMIF(Bets[Date],L290,Bets[Profit])/SUMIF(Bets[Date],L290,Bets[Risk]),2)*100&amp;"%)","")</f>
        <v/>
      </c>
    </row>
    <row r="291" spans="1:16" x14ac:dyDescent="0.25">
      <c r="A291" s="35">
        <f t="shared" si="16"/>
        <v>30</v>
      </c>
      <c r="B291" s="5">
        <v>43483</v>
      </c>
      <c r="C291" s="5" t="s">
        <v>419</v>
      </c>
      <c r="D291" s="57" t="s">
        <v>418</v>
      </c>
      <c r="E291" s="7" t="s">
        <v>413</v>
      </c>
      <c r="F291" s="33">
        <v>1</v>
      </c>
      <c r="G291" s="67">
        <v>-110</v>
      </c>
      <c r="H291" s="9" t="s">
        <v>36</v>
      </c>
      <c r="I2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29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91" s="36"/>
      <c r="L291" s="36">
        <f t="shared" si="17"/>
        <v>0</v>
      </c>
      <c r="M291" s="51" t="str">
        <f>COUNTIFS(Bets[Date],L291,Bets[Result],"W")&amp;"-"&amp;COUNTIFS(Bets[Date],L291,Bets[Result],"L")&amp;IF(COUNTIFS(Bets[Date],L291,Bets[Result],"Push")&gt;0,"-"&amp;COUNTIFS(Bets[Date],L291,Bets[Result],"Push"),"")</f>
        <v>0-0</v>
      </c>
      <c r="N291" s="52" t="str">
        <f>IFERROR(COUNTIFS(Bets[Date],L291,Bets[Result],"W")/(COUNTIFS(Bets[Date],L291,Bets[Result],"W")+COUNTIFS(Bets[Date],L291,Bets[Result],"L")),"")</f>
        <v/>
      </c>
      <c r="O291" s="38">
        <f>SUMIF(Bets[Date],L291,Bets[Profit])</f>
        <v>0</v>
      </c>
      <c r="P291" s="37" t="str">
        <f>IFERROR("("&amp;ROUND(SUMIF(Bets[Date],L291,Bets[Profit])/SUMIF(Bets[Date],L291,Bets[Risk]),2)*100&amp;"%)","")</f>
        <v/>
      </c>
    </row>
    <row r="292" spans="1:16" x14ac:dyDescent="0.25">
      <c r="A292" s="35">
        <f t="shared" si="16"/>
        <v>31</v>
      </c>
      <c r="B292" s="5">
        <v>43485</v>
      </c>
      <c r="C292" s="5" t="s">
        <v>133</v>
      </c>
      <c r="D292" s="57" t="s">
        <v>435</v>
      </c>
      <c r="E292" s="7" t="s">
        <v>436</v>
      </c>
      <c r="F292" s="33">
        <v>10</v>
      </c>
      <c r="G292" s="67">
        <v>-110</v>
      </c>
      <c r="H292" s="9" t="s">
        <v>36</v>
      </c>
      <c r="I2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2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92" s="36"/>
      <c r="L292" s="36">
        <f t="shared" si="17"/>
        <v>0</v>
      </c>
      <c r="M292" s="51" t="str">
        <f>COUNTIFS(Bets[Date],L292,Bets[Result],"W")&amp;"-"&amp;COUNTIFS(Bets[Date],L292,Bets[Result],"L")&amp;IF(COUNTIFS(Bets[Date],L292,Bets[Result],"Push")&gt;0,"-"&amp;COUNTIFS(Bets[Date],L292,Bets[Result],"Push"),"")</f>
        <v>0-0</v>
      </c>
      <c r="N292" s="52" t="str">
        <f>IFERROR(COUNTIFS(Bets[Date],L292,Bets[Result],"W")/(COUNTIFS(Bets[Date],L292,Bets[Result],"W")+COUNTIFS(Bets[Date],L292,Bets[Result],"L")),"")</f>
        <v/>
      </c>
      <c r="O292" s="38">
        <f>SUMIF(Bets[Date],L292,Bets[Profit])</f>
        <v>0</v>
      </c>
      <c r="P292" s="37" t="str">
        <f>IFERROR("("&amp;ROUND(SUMIF(Bets[Date],L292,Bets[Profit])/SUMIF(Bets[Date],L292,Bets[Risk]),2)*100&amp;"%)","")</f>
        <v/>
      </c>
    </row>
    <row r="293" spans="1:16" x14ac:dyDescent="0.25">
      <c r="A293" s="35">
        <f t="shared" si="16"/>
        <v>32</v>
      </c>
      <c r="B293" s="5">
        <v>43486</v>
      </c>
      <c r="C293" s="5" t="s">
        <v>419</v>
      </c>
      <c r="D293" s="57" t="s">
        <v>437</v>
      </c>
      <c r="E293" s="7" t="s">
        <v>438</v>
      </c>
      <c r="F293" s="33">
        <v>2</v>
      </c>
      <c r="G293" s="67">
        <v>-110</v>
      </c>
      <c r="H293" s="9" t="s">
        <v>36</v>
      </c>
      <c r="I2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29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93" s="36"/>
      <c r="L293" s="36">
        <f t="shared" si="17"/>
        <v>0</v>
      </c>
      <c r="M293" s="51" t="str">
        <f>COUNTIFS(Bets[Date],L293,Bets[Result],"W")&amp;"-"&amp;COUNTIFS(Bets[Date],L293,Bets[Result],"L")&amp;IF(COUNTIFS(Bets[Date],L293,Bets[Result],"Push")&gt;0,"-"&amp;COUNTIFS(Bets[Date],L293,Bets[Result],"Push"),"")</f>
        <v>0-0</v>
      </c>
      <c r="N293" s="52" t="str">
        <f>IFERROR(COUNTIFS(Bets[Date],L293,Bets[Result],"W")/(COUNTIFS(Bets[Date],L293,Bets[Result],"W")+COUNTIFS(Bets[Date],L293,Bets[Result],"L")),"")</f>
        <v/>
      </c>
      <c r="O293" s="38">
        <f>SUMIF(Bets[Date],L293,Bets[Profit])</f>
        <v>0</v>
      </c>
      <c r="P293" s="37" t="str">
        <f>IFERROR("("&amp;ROUND(SUMIF(Bets[Date],L293,Bets[Profit])/SUMIF(Bets[Date],L293,Bets[Risk]),2)*100&amp;"%)","")</f>
        <v/>
      </c>
    </row>
    <row r="294" spans="1:16" x14ac:dyDescent="0.25">
      <c r="A294" s="35">
        <f t="shared" si="16"/>
        <v>32</v>
      </c>
      <c r="B294" s="5">
        <v>43486</v>
      </c>
      <c r="C294" s="5" t="s">
        <v>419</v>
      </c>
      <c r="D294" s="57" t="s">
        <v>437</v>
      </c>
      <c r="E294" s="7" t="s">
        <v>439</v>
      </c>
      <c r="F294" s="33">
        <v>2</v>
      </c>
      <c r="G294" s="67">
        <v>-105</v>
      </c>
      <c r="H294" s="9" t="s">
        <v>36</v>
      </c>
      <c r="I2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29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94" s="36"/>
      <c r="L294" s="36">
        <f t="shared" si="17"/>
        <v>0</v>
      </c>
      <c r="M294" s="51" t="str">
        <f>COUNTIFS(Bets[Date],L294,Bets[Result],"W")&amp;"-"&amp;COUNTIFS(Bets[Date],L294,Bets[Result],"L")&amp;IF(COUNTIFS(Bets[Date],L294,Bets[Result],"Push")&gt;0,"-"&amp;COUNTIFS(Bets[Date],L294,Bets[Result],"Push"),"")</f>
        <v>0-0</v>
      </c>
      <c r="N294" s="52" t="str">
        <f>IFERROR(COUNTIFS(Bets[Date],L294,Bets[Result],"W")/(COUNTIFS(Bets[Date],L294,Bets[Result],"W")+COUNTIFS(Bets[Date],L294,Bets[Result],"L")),"")</f>
        <v/>
      </c>
      <c r="O294" s="38">
        <f>SUMIF(Bets[Date],L294,Bets[Profit])</f>
        <v>0</v>
      </c>
      <c r="P294" s="37" t="str">
        <f>IFERROR("("&amp;ROUND(SUMIF(Bets[Date],L294,Bets[Profit])/SUMIF(Bets[Date],L294,Bets[Risk]),2)*100&amp;"%)","")</f>
        <v/>
      </c>
    </row>
    <row r="295" spans="1:16" x14ac:dyDescent="0.25">
      <c r="A295" s="35">
        <f t="shared" si="16"/>
        <v>32</v>
      </c>
      <c r="B295" s="5">
        <v>43486</v>
      </c>
      <c r="C295" s="5" t="s">
        <v>419</v>
      </c>
      <c r="D295" s="57" t="s">
        <v>440</v>
      </c>
      <c r="E295" s="7" t="s">
        <v>441</v>
      </c>
      <c r="F295" s="33">
        <v>2</v>
      </c>
      <c r="G295" s="67">
        <v>-110</v>
      </c>
      <c r="H295" s="9" t="s">
        <v>6</v>
      </c>
      <c r="I2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29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95" s="36"/>
      <c r="L295" s="36">
        <f t="shared" si="17"/>
        <v>0</v>
      </c>
      <c r="M295" s="51" t="str">
        <f>COUNTIFS(Bets[Date],L295,Bets[Result],"W")&amp;"-"&amp;COUNTIFS(Bets[Date],L295,Bets[Result],"L")&amp;IF(COUNTIFS(Bets[Date],L295,Bets[Result],"Push")&gt;0,"-"&amp;COUNTIFS(Bets[Date],L295,Bets[Result],"Push"),"")</f>
        <v>0-0</v>
      </c>
      <c r="N295" s="52" t="str">
        <f>IFERROR(COUNTIFS(Bets[Date],L295,Bets[Result],"W")/(COUNTIFS(Bets[Date],L295,Bets[Result],"W")+COUNTIFS(Bets[Date],L295,Bets[Result],"L")),"")</f>
        <v/>
      </c>
      <c r="O295" s="38">
        <f>SUMIF(Bets[Date],L295,Bets[Profit])</f>
        <v>0</v>
      </c>
      <c r="P295" s="37" t="str">
        <f>IFERROR("("&amp;ROUND(SUMIF(Bets[Date],L295,Bets[Profit])/SUMIF(Bets[Date],L295,Bets[Risk]),2)*100&amp;"%)","")</f>
        <v/>
      </c>
    </row>
    <row r="296" spans="1:16" x14ac:dyDescent="0.25">
      <c r="A296" s="35">
        <f t="shared" si="16"/>
        <v>32</v>
      </c>
      <c r="B296" s="5">
        <v>43486</v>
      </c>
      <c r="C296" s="5" t="s">
        <v>419</v>
      </c>
      <c r="D296" s="57" t="s">
        <v>440</v>
      </c>
      <c r="E296" s="7" t="s">
        <v>442</v>
      </c>
      <c r="F296" s="33">
        <v>2</v>
      </c>
      <c r="G296" s="67">
        <v>-110</v>
      </c>
      <c r="H296" s="9" t="s">
        <v>6</v>
      </c>
      <c r="I2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29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96" s="36"/>
      <c r="L296" s="36">
        <f t="shared" si="17"/>
        <v>0</v>
      </c>
      <c r="M296" s="51" t="str">
        <f>COUNTIFS(Bets[Date],L296,Bets[Result],"W")&amp;"-"&amp;COUNTIFS(Bets[Date],L296,Bets[Result],"L")&amp;IF(COUNTIFS(Bets[Date],L296,Bets[Result],"Push")&gt;0,"-"&amp;COUNTIFS(Bets[Date],L296,Bets[Result],"Push"),"")</f>
        <v>0-0</v>
      </c>
      <c r="N296" s="52" t="str">
        <f>IFERROR(COUNTIFS(Bets[Date],L296,Bets[Result],"W")/(COUNTIFS(Bets[Date],L296,Bets[Result],"W")+COUNTIFS(Bets[Date],L296,Bets[Result],"L")),"")</f>
        <v/>
      </c>
      <c r="O296" s="38">
        <f>SUMIF(Bets[Date],L296,Bets[Profit])</f>
        <v>0</v>
      </c>
      <c r="P296" s="37" t="str">
        <f>IFERROR("("&amp;ROUND(SUMIF(Bets[Date],L296,Bets[Profit])/SUMIF(Bets[Date],L296,Bets[Risk]),2)*100&amp;"%)","")</f>
        <v/>
      </c>
    </row>
    <row r="297" spans="1:16" x14ac:dyDescent="0.25">
      <c r="A297" s="35">
        <f t="shared" si="16"/>
        <v>32</v>
      </c>
      <c r="B297" s="5">
        <v>43486</v>
      </c>
      <c r="C297" s="5" t="s">
        <v>419</v>
      </c>
      <c r="D297" s="57" t="s">
        <v>443</v>
      </c>
      <c r="E297" s="7" t="s">
        <v>444</v>
      </c>
      <c r="F297" s="33">
        <v>2</v>
      </c>
      <c r="G297" s="67">
        <v>-110</v>
      </c>
      <c r="H297" s="9" t="s">
        <v>36</v>
      </c>
      <c r="I2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29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297" s="36"/>
      <c r="L297" s="36">
        <f t="shared" si="17"/>
        <v>0</v>
      </c>
      <c r="M297" s="51" t="str">
        <f>COUNTIFS(Bets[Date],L297,Bets[Result],"W")&amp;"-"&amp;COUNTIFS(Bets[Date],L297,Bets[Result],"L")&amp;IF(COUNTIFS(Bets[Date],L297,Bets[Result],"Push")&gt;0,"-"&amp;COUNTIFS(Bets[Date],L297,Bets[Result],"Push"),"")</f>
        <v>0-0</v>
      </c>
      <c r="N297" s="52" t="str">
        <f>IFERROR(COUNTIFS(Bets[Date],L297,Bets[Result],"W")/(COUNTIFS(Bets[Date],L297,Bets[Result],"W")+COUNTIFS(Bets[Date],L297,Bets[Result],"L")),"")</f>
        <v/>
      </c>
      <c r="O297" s="38">
        <f>SUMIF(Bets[Date],L297,Bets[Profit])</f>
        <v>0</v>
      </c>
      <c r="P297" s="37" t="str">
        <f>IFERROR("("&amp;ROUND(SUMIF(Bets[Date],L297,Bets[Profit])/SUMIF(Bets[Date],L297,Bets[Risk]),2)*100&amp;"%)","")</f>
        <v/>
      </c>
    </row>
    <row r="298" spans="1:16" x14ac:dyDescent="0.25">
      <c r="A298" s="35">
        <f t="shared" si="16"/>
        <v>32</v>
      </c>
      <c r="B298" s="5">
        <v>43486</v>
      </c>
      <c r="C298" s="5" t="s">
        <v>419</v>
      </c>
      <c r="D298" s="57" t="s">
        <v>443</v>
      </c>
      <c r="E298" s="7" t="s">
        <v>445</v>
      </c>
      <c r="F298" s="33">
        <v>2</v>
      </c>
      <c r="G298" s="67">
        <v>-105</v>
      </c>
      <c r="H298" s="9" t="s">
        <v>6</v>
      </c>
      <c r="I2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29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298" s="36"/>
      <c r="L298" s="36">
        <f t="shared" si="17"/>
        <v>0</v>
      </c>
      <c r="M298" s="51" t="str">
        <f>COUNTIFS(Bets[Date],L298,Bets[Result],"W")&amp;"-"&amp;COUNTIFS(Bets[Date],L298,Bets[Result],"L")&amp;IF(COUNTIFS(Bets[Date],L298,Bets[Result],"Push")&gt;0,"-"&amp;COUNTIFS(Bets[Date],L298,Bets[Result],"Push"),"")</f>
        <v>0-0</v>
      </c>
      <c r="N298" s="52" t="str">
        <f>IFERROR(COUNTIFS(Bets[Date],L298,Bets[Result],"W")/(COUNTIFS(Bets[Date],L298,Bets[Result],"W")+COUNTIFS(Bets[Date],L298,Bets[Result],"L")),"")</f>
        <v/>
      </c>
      <c r="O298" s="38">
        <f>SUMIF(Bets[Date],L298,Bets[Profit])</f>
        <v>0</v>
      </c>
      <c r="P298" s="37" t="str">
        <f>IFERROR("("&amp;ROUND(SUMIF(Bets[Date],L298,Bets[Profit])/SUMIF(Bets[Date],L298,Bets[Risk]),2)*100&amp;"%)","")</f>
        <v/>
      </c>
    </row>
    <row r="299" spans="1:16" x14ac:dyDescent="0.25">
      <c r="A299" s="35">
        <f t="shared" si="16"/>
        <v>32</v>
      </c>
      <c r="B299" s="5">
        <v>43486</v>
      </c>
      <c r="C299" s="5" t="s">
        <v>419</v>
      </c>
      <c r="D299" s="57" t="s">
        <v>446</v>
      </c>
      <c r="E299" s="7" t="s">
        <v>447</v>
      </c>
      <c r="F299" s="33">
        <v>2</v>
      </c>
      <c r="G299" s="67">
        <v>-110</v>
      </c>
      <c r="H299" s="9" t="s">
        <v>6</v>
      </c>
      <c r="I2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29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299" s="36"/>
      <c r="L299" s="36">
        <f t="shared" si="17"/>
        <v>0</v>
      </c>
      <c r="M299" s="51" t="str">
        <f>COUNTIFS(Bets[Date],L299,Bets[Result],"W")&amp;"-"&amp;COUNTIFS(Bets[Date],L299,Bets[Result],"L")&amp;IF(COUNTIFS(Bets[Date],L299,Bets[Result],"Push")&gt;0,"-"&amp;COUNTIFS(Bets[Date],L299,Bets[Result],"Push"),"")</f>
        <v>0-0</v>
      </c>
      <c r="N299" s="52" t="str">
        <f>IFERROR(COUNTIFS(Bets[Date],L299,Bets[Result],"W")/(COUNTIFS(Bets[Date],L299,Bets[Result],"W")+COUNTIFS(Bets[Date],L299,Bets[Result],"L")),"")</f>
        <v/>
      </c>
      <c r="O299" s="38">
        <f>SUMIF(Bets[Date],L299,Bets[Profit])</f>
        <v>0</v>
      </c>
      <c r="P299" s="37" t="str">
        <f>IFERROR("("&amp;ROUND(SUMIF(Bets[Date],L299,Bets[Profit])/SUMIF(Bets[Date],L299,Bets[Risk]),2)*100&amp;"%)","")</f>
        <v/>
      </c>
    </row>
    <row r="300" spans="1:16" x14ac:dyDescent="0.25">
      <c r="A300" s="35">
        <f t="shared" si="16"/>
        <v>32</v>
      </c>
      <c r="B300" s="5">
        <v>43486</v>
      </c>
      <c r="C300" s="5" t="s">
        <v>419</v>
      </c>
      <c r="D300" s="57" t="s">
        <v>446</v>
      </c>
      <c r="E300" s="7" t="s">
        <v>448</v>
      </c>
      <c r="F300" s="33">
        <v>2</v>
      </c>
      <c r="G300" s="67">
        <v>-110</v>
      </c>
      <c r="H300" s="9" t="s">
        <v>6</v>
      </c>
      <c r="I3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0" s="36"/>
      <c r="L300" s="36">
        <f t="shared" si="17"/>
        <v>0</v>
      </c>
      <c r="M300" s="51" t="str">
        <f>COUNTIFS(Bets[Date],L300,Bets[Result],"W")&amp;"-"&amp;COUNTIFS(Bets[Date],L300,Bets[Result],"L")&amp;IF(COUNTIFS(Bets[Date],L300,Bets[Result],"Push")&gt;0,"-"&amp;COUNTIFS(Bets[Date],L300,Bets[Result],"Push"),"")</f>
        <v>0-0</v>
      </c>
      <c r="N300" s="52" t="str">
        <f>IFERROR(COUNTIFS(Bets[Date],L300,Bets[Result],"W")/(COUNTIFS(Bets[Date],L300,Bets[Result],"W")+COUNTIFS(Bets[Date],L300,Bets[Result],"L")),"")</f>
        <v/>
      </c>
      <c r="O300" s="38">
        <f>SUMIF(Bets[Date],L300,Bets[Profit])</f>
        <v>0</v>
      </c>
      <c r="P300" s="37" t="str">
        <f>IFERROR("("&amp;ROUND(SUMIF(Bets[Date],L300,Bets[Profit])/SUMIF(Bets[Date],L300,Bets[Risk]),2)*100&amp;"%)","")</f>
        <v/>
      </c>
    </row>
    <row r="301" spans="1:16" x14ac:dyDescent="0.25">
      <c r="A301" s="35">
        <f t="shared" si="16"/>
        <v>32</v>
      </c>
      <c r="B301" s="5">
        <v>43486</v>
      </c>
      <c r="C301" s="5" t="s">
        <v>419</v>
      </c>
      <c r="D301" s="57" t="s">
        <v>449</v>
      </c>
      <c r="E301" s="7" t="s">
        <v>450</v>
      </c>
      <c r="F301" s="33">
        <v>2</v>
      </c>
      <c r="G301" s="67">
        <v>-110</v>
      </c>
      <c r="H301" s="9" t="s">
        <v>36</v>
      </c>
      <c r="I3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0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01" s="36"/>
      <c r="L301" s="36">
        <f t="shared" si="17"/>
        <v>0</v>
      </c>
      <c r="M301" s="51" t="str">
        <f>COUNTIFS(Bets[Date],L301,Bets[Result],"W")&amp;"-"&amp;COUNTIFS(Bets[Date],L301,Bets[Result],"L")&amp;IF(COUNTIFS(Bets[Date],L301,Bets[Result],"Push")&gt;0,"-"&amp;COUNTIFS(Bets[Date],L301,Bets[Result],"Push"),"")</f>
        <v>0-0</v>
      </c>
      <c r="N301" s="52" t="str">
        <f>IFERROR(COUNTIFS(Bets[Date],L301,Bets[Result],"W")/(COUNTIFS(Bets[Date],L301,Bets[Result],"W")+COUNTIFS(Bets[Date],L301,Bets[Result],"L")),"")</f>
        <v/>
      </c>
      <c r="O301" s="38">
        <f>SUMIF(Bets[Date],L301,Bets[Profit])</f>
        <v>0</v>
      </c>
      <c r="P301" s="37" t="str">
        <f>IFERROR("("&amp;ROUND(SUMIF(Bets[Date],L301,Bets[Profit])/SUMIF(Bets[Date],L301,Bets[Risk]),2)*100&amp;"%)","")</f>
        <v/>
      </c>
    </row>
    <row r="302" spans="1:16" x14ac:dyDescent="0.25">
      <c r="A302" s="35">
        <f t="shared" si="16"/>
        <v>32</v>
      </c>
      <c r="B302" s="5">
        <v>43486</v>
      </c>
      <c r="C302" s="5" t="s">
        <v>419</v>
      </c>
      <c r="D302" s="57" t="s">
        <v>449</v>
      </c>
      <c r="E302" s="7" t="s">
        <v>451</v>
      </c>
      <c r="F302" s="33">
        <v>2</v>
      </c>
      <c r="G302" s="67">
        <v>-110</v>
      </c>
      <c r="H302" s="9" t="s">
        <v>6</v>
      </c>
      <c r="I3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2" s="36"/>
      <c r="L302" s="36">
        <f t="shared" si="17"/>
        <v>0</v>
      </c>
      <c r="M302" s="51" t="str">
        <f>COUNTIFS(Bets[Date],L302,Bets[Result],"W")&amp;"-"&amp;COUNTIFS(Bets[Date],L302,Bets[Result],"L")&amp;IF(COUNTIFS(Bets[Date],L302,Bets[Result],"Push")&gt;0,"-"&amp;COUNTIFS(Bets[Date],L302,Bets[Result],"Push"),"")</f>
        <v>0-0</v>
      </c>
      <c r="N302" s="52" t="str">
        <f>IFERROR(COUNTIFS(Bets[Date],L302,Bets[Result],"W")/(COUNTIFS(Bets[Date],L302,Bets[Result],"W")+COUNTIFS(Bets[Date],L302,Bets[Result],"L")),"")</f>
        <v/>
      </c>
      <c r="O302" s="38">
        <f>SUMIF(Bets[Date],L302,Bets[Profit])</f>
        <v>0</v>
      </c>
      <c r="P302" s="37" t="str">
        <f>IFERROR("("&amp;ROUND(SUMIF(Bets[Date],L302,Bets[Profit])/SUMIF(Bets[Date],L302,Bets[Risk]),2)*100&amp;"%)","")</f>
        <v/>
      </c>
    </row>
    <row r="303" spans="1:16" x14ac:dyDescent="0.25">
      <c r="A303" s="35">
        <f t="shared" si="16"/>
        <v>32</v>
      </c>
      <c r="B303" s="5">
        <v>43486</v>
      </c>
      <c r="C303" s="5" t="s">
        <v>419</v>
      </c>
      <c r="D303" s="57" t="s">
        <v>452</v>
      </c>
      <c r="E303" s="7" t="s">
        <v>453</v>
      </c>
      <c r="F303" s="33">
        <v>2</v>
      </c>
      <c r="G303" s="67">
        <v>-110</v>
      </c>
      <c r="H303" s="9" t="s">
        <v>36</v>
      </c>
      <c r="I3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0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03" s="36"/>
      <c r="L303" s="36">
        <f t="shared" si="17"/>
        <v>0</v>
      </c>
      <c r="M303" s="51" t="str">
        <f>COUNTIFS(Bets[Date],L303,Bets[Result],"W")&amp;"-"&amp;COUNTIFS(Bets[Date],L303,Bets[Result],"L")&amp;IF(COUNTIFS(Bets[Date],L303,Bets[Result],"Push")&gt;0,"-"&amp;COUNTIFS(Bets[Date],L303,Bets[Result],"Push"),"")</f>
        <v>0-0</v>
      </c>
      <c r="N303" s="52" t="str">
        <f>IFERROR(COUNTIFS(Bets[Date],L303,Bets[Result],"W")/(COUNTIFS(Bets[Date],L303,Bets[Result],"W")+COUNTIFS(Bets[Date],L303,Bets[Result],"L")),"")</f>
        <v/>
      </c>
      <c r="O303" s="38">
        <f>SUMIF(Bets[Date],L303,Bets[Profit])</f>
        <v>0</v>
      </c>
      <c r="P303" s="37" t="str">
        <f>IFERROR("("&amp;ROUND(SUMIF(Bets[Date],L303,Bets[Profit])/SUMIF(Bets[Date],L303,Bets[Risk]),2)*100&amp;"%)","")</f>
        <v/>
      </c>
    </row>
    <row r="304" spans="1:16" x14ac:dyDescent="0.25">
      <c r="A304" s="35">
        <f t="shared" si="16"/>
        <v>32</v>
      </c>
      <c r="B304" s="5">
        <v>43486</v>
      </c>
      <c r="C304" s="5" t="s">
        <v>419</v>
      </c>
      <c r="D304" s="57" t="s">
        <v>452</v>
      </c>
      <c r="E304" s="7" t="s">
        <v>454</v>
      </c>
      <c r="F304" s="33">
        <v>2</v>
      </c>
      <c r="G304" s="67">
        <v>-105</v>
      </c>
      <c r="H304" s="9" t="s">
        <v>6</v>
      </c>
      <c r="I3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4" s="36"/>
      <c r="L304" s="36">
        <f t="shared" si="17"/>
        <v>0</v>
      </c>
      <c r="M304" s="51" t="str">
        <f>COUNTIFS(Bets[Date],L304,Bets[Result],"W")&amp;"-"&amp;COUNTIFS(Bets[Date],L304,Bets[Result],"L")&amp;IF(COUNTIFS(Bets[Date],L304,Bets[Result],"Push")&gt;0,"-"&amp;COUNTIFS(Bets[Date],L304,Bets[Result],"Push"),"")</f>
        <v>0-0</v>
      </c>
      <c r="N304" s="52" t="str">
        <f>IFERROR(COUNTIFS(Bets[Date],L304,Bets[Result],"W")/(COUNTIFS(Bets[Date],L304,Bets[Result],"W")+COUNTIFS(Bets[Date],L304,Bets[Result],"L")),"")</f>
        <v/>
      </c>
      <c r="O304" s="38">
        <f>SUMIF(Bets[Date],L304,Bets[Profit])</f>
        <v>0</v>
      </c>
      <c r="P304" s="37" t="str">
        <f>IFERROR("("&amp;ROUND(SUMIF(Bets[Date],L304,Bets[Profit])/SUMIF(Bets[Date],L304,Bets[Risk]),2)*100&amp;"%)","")</f>
        <v/>
      </c>
    </row>
    <row r="305" spans="1:16" x14ac:dyDescent="0.25">
      <c r="A305" s="35">
        <f t="shared" si="16"/>
        <v>33</v>
      </c>
      <c r="B305" s="5">
        <v>43487</v>
      </c>
      <c r="C305" s="5" t="s">
        <v>419</v>
      </c>
      <c r="D305" s="57" t="s">
        <v>462</v>
      </c>
      <c r="E305" s="7" t="s">
        <v>463</v>
      </c>
      <c r="F305" s="33">
        <v>2</v>
      </c>
      <c r="G305" s="67">
        <v>-110</v>
      </c>
      <c r="H305" s="9" t="s">
        <v>6</v>
      </c>
      <c r="I3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05" s="36"/>
      <c r="L305" s="36">
        <f t="shared" si="17"/>
        <v>0</v>
      </c>
      <c r="M305" s="51" t="str">
        <f>COUNTIFS(Bets[Date],L305,Bets[Result],"W")&amp;"-"&amp;COUNTIFS(Bets[Date],L305,Bets[Result],"L")&amp;IF(COUNTIFS(Bets[Date],L305,Bets[Result],"Push")&gt;0,"-"&amp;COUNTIFS(Bets[Date],L305,Bets[Result],"Push"),"")</f>
        <v>0-0</v>
      </c>
      <c r="N305" s="52" t="str">
        <f>IFERROR(COUNTIFS(Bets[Date],L305,Bets[Result],"W")/(COUNTIFS(Bets[Date],L305,Bets[Result],"W")+COUNTIFS(Bets[Date],L305,Bets[Result],"L")),"")</f>
        <v/>
      </c>
      <c r="O305" s="38">
        <f>SUMIF(Bets[Date],L305,Bets[Profit])</f>
        <v>0</v>
      </c>
      <c r="P305" s="37" t="str">
        <f>IFERROR("("&amp;ROUND(SUMIF(Bets[Date],L305,Bets[Profit])/SUMIF(Bets[Date],L305,Bets[Risk]),2)*100&amp;"%)","")</f>
        <v/>
      </c>
    </row>
    <row r="306" spans="1:16" x14ac:dyDescent="0.25">
      <c r="A306" s="35">
        <f t="shared" si="16"/>
        <v>33</v>
      </c>
      <c r="B306" s="5">
        <v>43487</v>
      </c>
      <c r="C306" s="5" t="s">
        <v>419</v>
      </c>
      <c r="D306" s="57" t="s">
        <v>462</v>
      </c>
      <c r="E306" s="7" t="s">
        <v>442</v>
      </c>
      <c r="F306" s="33">
        <v>2</v>
      </c>
      <c r="G306" s="67">
        <v>-110</v>
      </c>
      <c r="H306" s="9" t="s">
        <v>6</v>
      </c>
      <c r="I3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6" s="36"/>
      <c r="L306" s="36">
        <f t="shared" si="17"/>
        <v>0</v>
      </c>
      <c r="M306" s="51" t="str">
        <f>COUNTIFS(Bets[Date],L306,Bets[Result],"W")&amp;"-"&amp;COUNTIFS(Bets[Date],L306,Bets[Result],"L")&amp;IF(COUNTIFS(Bets[Date],L306,Bets[Result],"Push")&gt;0,"-"&amp;COUNTIFS(Bets[Date],L306,Bets[Result],"Push"),"")</f>
        <v>0-0</v>
      </c>
      <c r="N306" s="52" t="str">
        <f>IFERROR(COUNTIFS(Bets[Date],L306,Bets[Result],"W")/(COUNTIFS(Bets[Date],L306,Bets[Result],"W")+COUNTIFS(Bets[Date],L306,Bets[Result],"L")),"")</f>
        <v/>
      </c>
      <c r="O306" s="38">
        <f>SUMIF(Bets[Date],L306,Bets[Profit])</f>
        <v>0</v>
      </c>
      <c r="P306" s="37" t="str">
        <f>IFERROR("("&amp;ROUND(SUMIF(Bets[Date],L306,Bets[Profit])/SUMIF(Bets[Date],L306,Bets[Risk]),2)*100&amp;"%)","")</f>
        <v/>
      </c>
    </row>
    <row r="307" spans="1:16" x14ac:dyDescent="0.25">
      <c r="A307" s="35">
        <f t="shared" si="16"/>
        <v>33</v>
      </c>
      <c r="B307" s="5">
        <v>43487</v>
      </c>
      <c r="C307" s="5" t="s">
        <v>419</v>
      </c>
      <c r="D307" s="57" t="s">
        <v>464</v>
      </c>
      <c r="E307" s="7" t="s">
        <v>465</v>
      </c>
      <c r="F307" s="33">
        <v>2</v>
      </c>
      <c r="G307" s="67">
        <v>-110</v>
      </c>
      <c r="H307" s="31" t="s">
        <v>36</v>
      </c>
      <c r="I3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0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07" s="36"/>
      <c r="L307" s="36">
        <f t="shared" si="17"/>
        <v>0</v>
      </c>
      <c r="M307" s="51" t="str">
        <f>COUNTIFS(Bets[Date],L307,Bets[Result],"W")&amp;"-"&amp;COUNTIFS(Bets[Date],L307,Bets[Result],"L")&amp;IF(COUNTIFS(Bets[Date],L307,Bets[Result],"Push")&gt;0,"-"&amp;COUNTIFS(Bets[Date],L307,Bets[Result],"Push"),"")</f>
        <v>0-0</v>
      </c>
      <c r="N307" s="52" t="str">
        <f>IFERROR(COUNTIFS(Bets[Date],L307,Bets[Result],"W")/(COUNTIFS(Bets[Date],L307,Bets[Result],"W")+COUNTIFS(Bets[Date],L307,Bets[Result],"L")),"")</f>
        <v/>
      </c>
      <c r="O307" s="38">
        <f>SUMIF(Bets[Date],L307,Bets[Profit])</f>
        <v>0</v>
      </c>
      <c r="P307" s="37" t="str">
        <f>IFERROR("("&amp;ROUND(SUMIF(Bets[Date],L307,Bets[Profit])/SUMIF(Bets[Date],L307,Bets[Risk]),2)*100&amp;"%)","")</f>
        <v/>
      </c>
    </row>
    <row r="308" spans="1:16" x14ac:dyDescent="0.25">
      <c r="A308" s="35">
        <f t="shared" si="16"/>
        <v>33</v>
      </c>
      <c r="B308" s="5">
        <v>43487</v>
      </c>
      <c r="C308" s="5" t="s">
        <v>419</v>
      </c>
      <c r="D308" s="57" t="s">
        <v>466</v>
      </c>
      <c r="E308" s="7" t="s">
        <v>467</v>
      </c>
      <c r="F308" s="33">
        <v>2</v>
      </c>
      <c r="G308" s="67">
        <v>-110</v>
      </c>
      <c r="H308" s="31" t="s">
        <v>6</v>
      </c>
      <c r="I3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0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08" s="36"/>
      <c r="L308" s="36">
        <f t="shared" si="17"/>
        <v>0</v>
      </c>
      <c r="M308" s="51" t="str">
        <f>COUNTIFS(Bets[Date],L308,Bets[Result],"W")&amp;"-"&amp;COUNTIFS(Bets[Date],L308,Bets[Result],"L")&amp;IF(COUNTIFS(Bets[Date],L308,Bets[Result],"Push")&gt;0,"-"&amp;COUNTIFS(Bets[Date],L308,Bets[Result],"Push"),"")</f>
        <v>0-0</v>
      </c>
      <c r="N308" s="52" t="str">
        <f>IFERROR(COUNTIFS(Bets[Date],L308,Bets[Result],"W")/(COUNTIFS(Bets[Date],L308,Bets[Result],"W")+COUNTIFS(Bets[Date],L308,Bets[Result],"L")),"")</f>
        <v/>
      </c>
      <c r="O308" s="38">
        <f>SUMIF(Bets[Date],L308,Bets[Profit])</f>
        <v>0</v>
      </c>
      <c r="P308" s="37" t="str">
        <f>IFERROR("("&amp;ROUND(SUMIF(Bets[Date],L308,Bets[Profit])/SUMIF(Bets[Date],L308,Bets[Risk]),2)*100&amp;"%)","")</f>
        <v/>
      </c>
    </row>
    <row r="309" spans="1:16" x14ac:dyDescent="0.25">
      <c r="A309" s="35">
        <f t="shared" si="16"/>
        <v>33</v>
      </c>
      <c r="B309" s="5">
        <v>43487</v>
      </c>
      <c r="C309" s="5" t="s">
        <v>419</v>
      </c>
      <c r="D309" s="57" t="s">
        <v>466</v>
      </c>
      <c r="E309" s="7" t="s">
        <v>468</v>
      </c>
      <c r="F309" s="33">
        <v>2</v>
      </c>
      <c r="G309" s="67">
        <v>-115</v>
      </c>
      <c r="H309" s="31" t="s">
        <v>36</v>
      </c>
      <c r="I3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0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09" s="36"/>
      <c r="L309" s="36">
        <f t="shared" si="17"/>
        <v>0</v>
      </c>
      <c r="M309" s="51" t="str">
        <f>COUNTIFS(Bets[Date],L309,Bets[Result],"W")&amp;"-"&amp;COUNTIFS(Bets[Date],L309,Bets[Result],"L")&amp;IF(COUNTIFS(Bets[Date],L309,Bets[Result],"Push")&gt;0,"-"&amp;COUNTIFS(Bets[Date],L309,Bets[Result],"Push"),"")</f>
        <v>0-0</v>
      </c>
      <c r="N309" s="52" t="str">
        <f>IFERROR(COUNTIFS(Bets[Date],L309,Bets[Result],"W")/(COUNTIFS(Bets[Date],L309,Bets[Result],"W")+COUNTIFS(Bets[Date],L309,Bets[Result],"L")),"")</f>
        <v/>
      </c>
      <c r="O309" s="38">
        <f>SUMIF(Bets[Date],L309,Bets[Profit])</f>
        <v>0</v>
      </c>
      <c r="P309" s="37" t="str">
        <f>IFERROR("("&amp;ROUND(SUMIF(Bets[Date],L309,Bets[Profit])/SUMIF(Bets[Date],L309,Bets[Risk]),2)*100&amp;"%)","")</f>
        <v/>
      </c>
    </row>
    <row r="310" spans="1:16" x14ac:dyDescent="0.25">
      <c r="A310" s="35">
        <f t="shared" si="16"/>
        <v>33</v>
      </c>
      <c r="B310" s="5">
        <v>43487</v>
      </c>
      <c r="C310" s="5" t="s">
        <v>419</v>
      </c>
      <c r="D310" s="57" t="s">
        <v>469</v>
      </c>
      <c r="E310" s="7" t="s">
        <v>470</v>
      </c>
      <c r="F310" s="33">
        <v>2</v>
      </c>
      <c r="G310" s="67">
        <v>-115</v>
      </c>
      <c r="H310" s="31" t="s">
        <v>36</v>
      </c>
      <c r="I3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1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10" s="36"/>
      <c r="L310" s="36">
        <f t="shared" si="17"/>
        <v>0</v>
      </c>
      <c r="M310" s="51" t="str">
        <f>COUNTIFS(Bets[Date],L310,Bets[Result],"W")&amp;"-"&amp;COUNTIFS(Bets[Date],L310,Bets[Result],"L")&amp;IF(COUNTIFS(Bets[Date],L310,Bets[Result],"Push")&gt;0,"-"&amp;COUNTIFS(Bets[Date],L310,Bets[Result],"Push"),"")</f>
        <v>0-0</v>
      </c>
      <c r="N310" s="52" t="str">
        <f>IFERROR(COUNTIFS(Bets[Date],L310,Bets[Result],"W")/(COUNTIFS(Bets[Date],L310,Bets[Result],"W")+COUNTIFS(Bets[Date],L310,Bets[Result],"L")),"")</f>
        <v/>
      </c>
      <c r="O310" s="38">
        <f>SUMIF(Bets[Date],L310,Bets[Profit])</f>
        <v>0</v>
      </c>
      <c r="P310" s="37" t="str">
        <f>IFERROR("("&amp;ROUND(SUMIF(Bets[Date],L310,Bets[Profit])/SUMIF(Bets[Date],L310,Bets[Risk]),2)*100&amp;"%)","")</f>
        <v/>
      </c>
    </row>
    <row r="311" spans="1:16" x14ac:dyDescent="0.25">
      <c r="A311" s="35">
        <f t="shared" si="16"/>
        <v>33</v>
      </c>
      <c r="B311" s="5">
        <v>43487</v>
      </c>
      <c r="C311" s="5" t="s">
        <v>419</v>
      </c>
      <c r="D311" s="57" t="s">
        <v>471</v>
      </c>
      <c r="E311" s="7" t="s">
        <v>485</v>
      </c>
      <c r="F311" s="33">
        <v>2</v>
      </c>
      <c r="G311" s="67">
        <v>-110</v>
      </c>
      <c r="H311" s="31" t="s">
        <v>36</v>
      </c>
      <c r="I3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1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11" s="36"/>
      <c r="L311" s="36">
        <f t="shared" si="17"/>
        <v>0</v>
      </c>
      <c r="M311" s="51" t="str">
        <f>COUNTIFS(Bets[Date],L311,Bets[Result],"W")&amp;"-"&amp;COUNTIFS(Bets[Date],L311,Bets[Result],"L")&amp;IF(COUNTIFS(Bets[Date],L311,Bets[Result],"Push")&gt;0,"-"&amp;COUNTIFS(Bets[Date],L311,Bets[Result],"Push"),"")</f>
        <v>0-0</v>
      </c>
      <c r="N311" s="52" t="str">
        <f>IFERROR(COUNTIFS(Bets[Date],L311,Bets[Result],"W")/(COUNTIFS(Bets[Date],L311,Bets[Result],"W")+COUNTIFS(Bets[Date],L311,Bets[Result],"L")),"")</f>
        <v/>
      </c>
      <c r="O311" s="38">
        <f>SUMIF(Bets[Date],L311,Bets[Profit])</f>
        <v>0</v>
      </c>
      <c r="P311" s="37" t="str">
        <f>IFERROR("("&amp;ROUND(SUMIF(Bets[Date],L311,Bets[Profit])/SUMIF(Bets[Date],L311,Bets[Risk]),2)*100&amp;"%)","")</f>
        <v/>
      </c>
    </row>
    <row r="312" spans="1:16" x14ac:dyDescent="0.25">
      <c r="A312" s="35">
        <f t="shared" si="16"/>
        <v>33</v>
      </c>
      <c r="B312" s="5">
        <v>43487</v>
      </c>
      <c r="C312" s="5" t="s">
        <v>419</v>
      </c>
      <c r="D312" s="57" t="s">
        <v>471</v>
      </c>
      <c r="E312" s="7" t="s">
        <v>472</v>
      </c>
      <c r="F312" s="33">
        <v>2</v>
      </c>
      <c r="G312" s="67">
        <v>-110</v>
      </c>
      <c r="H312" s="31" t="s">
        <v>6</v>
      </c>
      <c r="I3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12" s="36"/>
      <c r="L312" s="36">
        <f t="shared" si="17"/>
        <v>0</v>
      </c>
      <c r="M312" s="51" t="str">
        <f>COUNTIFS(Bets[Date],L312,Bets[Result],"W")&amp;"-"&amp;COUNTIFS(Bets[Date],L312,Bets[Result],"L")&amp;IF(COUNTIFS(Bets[Date],L312,Bets[Result],"Push")&gt;0,"-"&amp;COUNTIFS(Bets[Date],L312,Bets[Result],"Push"),"")</f>
        <v>0-0</v>
      </c>
      <c r="N312" s="52" t="str">
        <f>IFERROR(COUNTIFS(Bets[Date],L312,Bets[Result],"W")/(COUNTIFS(Bets[Date],L312,Bets[Result],"W")+COUNTIFS(Bets[Date],L312,Bets[Result],"L")),"")</f>
        <v/>
      </c>
      <c r="O312" s="38">
        <f>SUMIF(Bets[Date],L312,Bets[Profit])</f>
        <v>0</v>
      </c>
      <c r="P312" s="37" t="str">
        <f>IFERROR("("&amp;ROUND(SUMIF(Bets[Date],L312,Bets[Profit])/SUMIF(Bets[Date],L312,Bets[Risk]),2)*100&amp;"%)","")</f>
        <v/>
      </c>
    </row>
    <row r="313" spans="1:16" x14ac:dyDescent="0.25">
      <c r="A313" s="35">
        <f t="shared" si="16"/>
        <v>33</v>
      </c>
      <c r="B313" s="5">
        <v>43487</v>
      </c>
      <c r="C313" s="5" t="s">
        <v>419</v>
      </c>
      <c r="D313" s="57" t="s">
        <v>473</v>
      </c>
      <c r="E313" s="7" t="s">
        <v>474</v>
      </c>
      <c r="F313" s="33">
        <v>2</v>
      </c>
      <c r="G313" s="67">
        <v>-110</v>
      </c>
      <c r="H313" s="31" t="s">
        <v>36</v>
      </c>
      <c r="I3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1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13" s="36"/>
      <c r="L313" s="36">
        <f t="shared" si="17"/>
        <v>0</v>
      </c>
      <c r="M313" s="51" t="str">
        <f>COUNTIFS(Bets[Date],L313,Bets[Result],"W")&amp;"-"&amp;COUNTIFS(Bets[Date],L313,Bets[Result],"L")&amp;IF(COUNTIFS(Bets[Date],L313,Bets[Result],"Push")&gt;0,"-"&amp;COUNTIFS(Bets[Date],L313,Bets[Result],"Push"),"")</f>
        <v>0-0</v>
      </c>
      <c r="N313" s="52" t="str">
        <f>IFERROR(COUNTIFS(Bets[Date],L313,Bets[Result],"W")/(COUNTIFS(Bets[Date],L313,Bets[Result],"W")+COUNTIFS(Bets[Date],L313,Bets[Result],"L")),"")</f>
        <v/>
      </c>
      <c r="O313" s="38">
        <f>SUMIF(Bets[Date],L313,Bets[Profit])</f>
        <v>0</v>
      </c>
      <c r="P313" s="37" t="str">
        <f>IFERROR("("&amp;ROUND(SUMIF(Bets[Date],L313,Bets[Profit])/SUMIF(Bets[Date],L313,Bets[Risk]),2)*100&amp;"%)","")</f>
        <v/>
      </c>
    </row>
    <row r="314" spans="1:16" x14ac:dyDescent="0.25">
      <c r="A314" s="35">
        <f t="shared" si="16"/>
        <v>33</v>
      </c>
      <c r="B314" s="5">
        <v>43487</v>
      </c>
      <c r="C314" s="5" t="s">
        <v>419</v>
      </c>
      <c r="D314" s="57" t="s">
        <v>473</v>
      </c>
      <c r="E314" s="7" t="s">
        <v>475</v>
      </c>
      <c r="F314" s="33">
        <v>2</v>
      </c>
      <c r="G314" s="67">
        <v>-110</v>
      </c>
      <c r="H314" s="31" t="s">
        <v>6</v>
      </c>
      <c r="I3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14" s="36"/>
      <c r="L314" s="36">
        <f t="shared" si="17"/>
        <v>0</v>
      </c>
      <c r="M314" s="51" t="str">
        <f>COUNTIFS(Bets[Date],L314,Bets[Result],"W")&amp;"-"&amp;COUNTIFS(Bets[Date],L314,Bets[Result],"L")&amp;IF(COUNTIFS(Bets[Date],L314,Bets[Result],"Push")&gt;0,"-"&amp;COUNTIFS(Bets[Date],L314,Bets[Result],"Push"),"")</f>
        <v>0-0</v>
      </c>
      <c r="N314" s="52" t="str">
        <f>IFERROR(COUNTIFS(Bets[Date],L314,Bets[Result],"W")/(COUNTIFS(Bets[Date],L314,Bets[Result],"W")+COUNTIFS(Bets[Date],L314,Bets[Result],"L")),"")</f>
        <v/>
      </c>
      <c r="O314" s="38">
        <f>SUMIF(Bets[Date],L314,Bets[Profit])</f>
        <v>0</v>
      </c>
      <c r="P314" s="37" t="str">
        <f>IFERROR("("&amp;ROUND(SUMIF(Bets[Date],L314,Bets[Profit])/SUMIF(Bets[Date],L314,Bets[Risk]),2)*100&amp;"%)","")</f>
        <v/>
      </c>
    </row>
    <row r="315" spans="1:16" x14ac:dyDescent="0.25">
      <c r="A315" s="35">
        <f t="shared" si="16"/>
        <v>33</v>
      </c>
      <c r="B315" s="5">
        <v>43487</v>
      </c>
      <c r="C315" s="5" t="s">
        <v>419</v>
      </c>
      <c r="D315" s="57" t="s">
        <v>476</v>
      </c>
      <c r="E315" s="7" t="s">
        <v>477</v>
      </c>
      <c r="F315" s="33">
        <v>2</v>
      </c>
      <c r="G315" s="67">
        <v>-115</v>
      </c>
      <c r="H315" s="31" t="s">
        <v>6</v>
      </c>
      <c r="I3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15" s="36"/>
      <c r="L315" s="36">
        <f t="shared" si="17"/>
        <v>0</v>
      </c>
      <c r="M315" s="51" t="str">
        <f>COUNTIFS(Bets[Date],L315,Bets[Result],"W")&amp;"-"&amp;COUNTIFS(Bets[Date],L315,Bets[Result],"L")&amp;IF(COUNTIFS(Bets[Date],L315,Bets[Result],"Push")&gt;0,"-"&amp;COUNTIFS(Bets[Date],L315,Bets[Result],"Push"),"")</f>
        <v>0-0</v>
      </c>
      <c r="N315" s="52" t="str">
        <f>IFERROR(COUNTIFS(Bets[Date],L315,Bets[Result],"W")/(COUNTIFS(Bets[Date],L315,Bets[Result],"W")+COUNTIFS(Bets[Date],L315,Bets[Result],"L")),"")</f>
        <v/>
      </c>
      <c r="O315" s="38">
        <f>SUMIF(Bets[Date],L315,Bets[Profit])</f>
        <v>0</v>
      </c>
      <c r="P315" s="37" t="str">
        <f>IFERROR("("&amp;ROUND(SUMIF(Bets[Date],L315,Bets[Profit])/SUMIF(Bets[Date],L315,Bets[Risk]),2)*100&amp;"%)","")</f>
        <v/>
      </c>
    </row>
    <row r="316" spans="1:16" x14ac:dyDescent="0.25">
      <c r="A316" s="35">
        <f t="shared" si="16"/>
        <v>33</v>
      </c>
      <c r="B316" s="5">
        <v>43487</v>
      </c>
      <c r="C316" s="5" t="s">
        <v>419</v>
      </c>
      <c r="D316" s="57" t="s">
        <v>476</v>
      </c>
      <c r="E316" s="7" t="s">
        <v>478</v>
      </c>
      <c r="F316" s="33">
        <v>2</v>
      </c>
      <c r="G316" s="67">
        <v>-105</v>
      </c>
      <c r="H316" s="31" t="s">
        <v>6</v>
      </c>
      <c r="I3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16" s="36"/>
      <c r="L316" s="36">
        <f t="shared" si="17"/>
        <v>0</v>
      </c>
      <c r="M316" s="51" t="str">
        <f>COUNTIFS(Bets[Date],L316,Bets[Result],"W")&amp;"-"&amp;COUNTIFS(Bets[Date],L316,Bets[Result],"L")&amp;IF(COUNTIFS(Bets[Date],L316,Bets[Result],"Push")&gt;0,"-"&amp;COUNTIFS(Bets[Date],L316,Bets[Result],"Push"),"")</f>
        <v>0-0</v>
      </c>
      <c r="N316" s="52" t="str">
        <f>IFERROR(COUNTIFS(Bets[Date],L316,Bets[Result],"W")/(COUNTIFS(Bets[Date],L316,Bets[Result],"W")+COUNTIFS(Bets[Date],L316,Bets[Result],"L")),"")</f>
        <v/>
      </c>
      <c r="O316" s="38">
        <f>SUMIF(Bets[Date],L316,Bets[Profit])</f>
        <v>0</v>
      </c>
      <c r="P316" s="37" t="str">
        <f>IFERROR("("&amp;ROUND(SUMIF(Bets[Date],L316,Bets[Profit])/SUMIF(Bets[Date],L316,Bets[Risk]),2)*100&amp;"%)","")</f>
        <v/>
      </c>
    </row>
    <row r="317" spans="1:16" x14ac:dyDescent="0.25">
      <c r="A317" s="35">
        <f t="shared" si="16"/>
        <v>33</v>
      </c>
      <c r="B317" s="5">
        <v>43487</v>
      </c>
      <c r="C317" s="5" t="s">
        <v>419</v>
      </c>
      <c r="D317" s="57" t="s">
        <v>479</v>
      </c>
      <c r="E317" s="7" t="s">
        <v>480</v>
      </c>
      <c r="F317" s="33">
        <v>2</v>
      </c>
      <c r="G317" s="67">
        <v>-115</v>
      </c>
      <c r="H317" s="31" t="s">
        <v>36</v>
      </c>
      <c r="I3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1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17" s="36"/>
      <c r="L317" s="36">
        <f t="shared" si="17"/>
        <v>0</v>
      </c>
      <c r="M317" s="51" t="str">
        <f>COUNTIFS(Bets[Date],L317,Bets[Result],"W")&amp;"-"&amp;COUNTIFS(Bets[Date],L317,Bets[Result],"L")&amp;IF(COUNTIFS(Bets[Date],L317,Bets[Result],"Push")&gt;0,"-"&amp;COUNTIFS(Bets[Date],L317,Bets[Result],"Push"),"")</f>
        <v>0-0</v>
      </c>
      <c r="N317" s="52" t="str">
        <f>IFERROR(COUNTIFS(Bets[Date],L317,Bets[Result],"W")/(COUNTIFS(Bets[Date],L317,Bets[Result],"W")+COUNTIFS(Bets[Date],L317,Bets[Result],"L")),"")</f>
        <v/>
      </c>
      <c r="O317" s="38">
        <f>SUMIF(Bets[Date],L317,Bets[Profit])</f>
        <v>0</v>
      </c>
      <c r="P317" s="37" t="str">
        <f>IFERROR("("&amp;ROUND(SUMIF(Bets[Date],L317,Bets[Profit])/SUMIF(Bets[Date],L317,Bets[Risk]),2)*100&amp;"%)","")</f>
        <v/>
      </c>
    </row>
    <row r="318" spans="1:16" x14ac:dyDescent="0.25">
      <c r="A318" s="35">
        <f t="shared" si="16"/>
        <v>33</v>
      </c>
      <c r="B318" s="5">
        <v>43487</v>
      </c>
      <c r="C318" s="5" t="s">
        <v>419</v>
      </c>
      <c r="D318" s="57" t="s">
        <v>479</v>
      </c>
      <c r="E318" s="7" t="s">
        <v>481</v>
      </c>
      <c r="F318" s="33">
        <v>2</v>
      </c>
      <c r="G318" s="67">
        <v>-115</v>
      </c>
      <c r="H318" s="9" t="s">
        <v>6</v>
      </c>
      <c r="I3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18" s="36"/>
      <c r="L318" s="36">
        <f t="shared" si="17"/>
        <v>0</v>
      </c>
      <c r="M318" s="51" t="str">
        <f>COUNTIFS(Bets[Date],L318,Bets[Result],"W")&amp;"-"&amp;COUNTIFS(Bets[Date],L318,Bets[Result],"L")&amp;IF(COUNTIFS(Bets[Date],L318,Bets[Result],"Push")&gt;0,"-"&amp;COUNTIFS(Bets[Date],L318,Bets[Result],"Push"),"")</f>
        <v>0-0</v>
      </c>
      <c r="N318" s="52" t="str">
        <f>IFERROR(COUNTIFS(Bets[Date],L318,Bets[Result],"W")/(COUNTIFS(Bets[Date],L318,Bets[Result],"W")+COUNTIFS(Bets[Date],L318,Bets[Result],"L")),"")</f>
        <v/>
      </c>
      <c r="O318" s="38">
        <f>SUMIF(Bets[Date],L318,Bets[Profit])</f>
        <v>0</v>
      </c>
      <c r="P318" s="37" t="str">
        <f>IFERROR("("&amp;ROUND(SUMIF(Bets[Date],L318,Bets[Profit])/SUMIF(Bets[Date],L318,Bets[Risk]),2)*100&amp;"%)","")</f>
        <v/>
      </c>
    </row>
    <row r="319" spans="1:16" x14ac:dyDescent="0.25">
      <c r="A319" s="35">
        <f t="shared" si="16"/>
        <v>33</v>
      </c>
      <c r="B319" s="5">
        <v>43487</v>
      </c>
      <c r="C319" s="5" t="s">
        <v>419</v>
      </c>
      <c r="D319" s="57" t="s">
        <v>482</v>
      </c>
      <c r="E319" s="7" t="s">
        <v>483</v>
      </c>
      <c r="F319" s="33">
        <v>2</v>
      </c>
      <c r="G319" s="67">
        <v>-110</v>
      </c>
      <c r="H319" s="9" t="s">
        <v>6</v>
      </c>
      <c r="I3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1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19" s="36"/>
      <c r="L319" s="36">
        <f t="shared" si="17"/>
        <v>0</v>
      </c>
      <c r="M319" s="51" t="str">
        <f>COUNTIFS(Bets[Date],L319,Bets[Result],"W")&amp;"-"&amp;COUNTIFS(Bets[Date],L319,Bets[Result],"L")&amp;IF(COUNTIFS(Bets[Date],L319,Bets[Result],"Push")&gt;0,"-"&amp;COUNTIFS(Bets[Date],L319,Bets[Result],"Push"),"")</f>
        <v>0-0</v>
      </c>
      <c r="N319" s="52" t="str">
        <f>IFERROR(COUNTIFS(Bets[Date],L319,Bets[Result],"W")/(COUNTIFS(Bets[Date],L319,Bets[Result],"W")+COUNTIFS(Bets[Date],L319,Bets[Result],"L")),"")</f>
        <v/>
      </c>
      <c r="O319" s="38">
        <f>SUMIF(Bets[Date],L319,Bets[Profit])</f>
        <v>0</v>
      </c>
      <c r="P319" s="37" t="str">
        <f>IFERROR("("&amp;ROUND(SUMIF(Bets[Date],L319,Bets[Profit])/SUMIF(Bets[Date],L319,Bets[Risk]),2)*100&amp;"%)","")</f>
        <v/>
      </c>
    </row>
    <row r="320" spans="1:16" x14ac:dyDescent="0.25">
      <c r="A320" s="35">
        <f t="shared" si="16"/>
        <v>33</v>
      </c>
      <c r="B320" s="5">
        <v>43487</v>
      </c>
      <c r="C320" s="5" t="s">
        <v>419</v>
      </c>
      <c r="D320" s="57" t="s">
        <v>482</v>
      </c>
      <c r="E320" s="7" t="s">
        <v>484</v>
      </c>
      <c r="F320" s="33">
        <v>2</v>
      </c>
      <c r="G320" s="67">
        <v>-110</v>
      </c>
      <c r="H320" s="31" t="s">
        <v>36</v>
      </c>
      <c r="I3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2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20" s="36"/>
      <c r="L320" s="36">
        <f t="shared" si="17"/>
        <v>0</v>
      </c>
      <c r="M320" s="51" t="str">
        <f>COUNTIFS(Bets[Date],L320,Bets[Result],"W")&amp;"-"&amp;COUNTIFS(Bets[Date],L320,Bets[Result],"L")&amp;IF(COUNTIFS(Bets[Date],L320,Bets[Result],"Push")&gt;0,"-"&amp;COUNTIFS(Bets[Date],L320,Bets[Result],"Push"),"")</f>
        <v>0-0</v>
      </c>
      <c r="N320" s="52" t="str">
        <f>IFERROR(COUNTIFS(Bets[Date],L320,Bets[Result],"W")/(COUNTIFS(Bets[Date],L320,Bets[Result],"W")+COUNTIFS(Bets[Date],L320,Bets[Result],"L")),"")</f>
        <v/>
      </c>
      <c r="O320" s="38">
        <f>SUMIF(Bets[Date],L320,Bets[Profit])</f>
        <v>0</v>
      </c>
      <c r="P320" s="37" t="str">
        <f>IFERROR("("&amp;ROUND(SUMIF(Bets[Date],L320,Bets[Profit])/SUMIF(Bets[Date],L320,Bets[Risk]),2)*100&amp;"%)","")</f>
        <v/>
      </c>
    </row>
    <row r="321" spans="1:16" x14ac:dyDescent="0.25">
      <c r="A321" s="35">
        <f t="shared" si="16"/>
        <v>34</v>
      </c>
      <c r="B321" s="5">
        <v>43489</v>
      </c>
      <c r="C321" s="5" t="s">
        <v>134</v>
      </c>
      <c r="D321" s="57" t="s">
        <v>502</v>
      </c>
      <c r="E321" s="7" t="s">
        <v>503</v>
      </c>
      <c r="F321" s="33">
        <v>4</v>
      </c>
      <c r="G321" s="63">
        <v>-110</v>
      </c>
      <c r="H321" s="9" t="s">
        <v>36</v>
      </c>
      <c r="I3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3.6363636363636362</v>
      </c>
      <c r="J32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21" s="36"/>
      <c r="L321" s="36">
        <f t="shared" si="17"/>
        <v>0</v>
      </c>
      <c r="M321" s="51" t="str">
        <f>COUNTIFS(Bets[Date],L321,Bets[Result],"W")&amp;"-"&amp;COUNTIFS(Bets[Date],L321,Bets[Result],"L")&amp;IF(COUNTIFS(Bets[Date],L321,Bets[Result],"Push")&gt;0,"-"&amp;COUNTIFS(Bets[Date],L321,Bets[Result],"Push"),"")</f>
        <v>0-0</v>
      </c>
      <c r="N321" s="52" t="str">
        <f>IFERROR(COUNTIFS(Bets[Date],L321,Bets[Result],"W")/(COUNTIFS(Bets[Date],L321,Bets[Result],"W")+COUNTIFS(Bets[Date],L321,Bets[Result],"L")),"")</f>
        <v/>
      </c>
      <c r="O321" s="38">
        <f>SUMIF(Bets[Date],L321,Bets[Profit])</f>
        <v>0</v>
      </c>
      <c r="P321" s="37" t="str">
        <f>IFERROR("("&amp;ROUND(SUMIF(Bets[Date],L321,Bets[Profit])/SUMIF(Bets[Date],L321,Bets[Risk]),2)*100&amp;"%)","")</f>
        <v/>
      </c>
    </row>
    <row r="322" spans="1:16" x14ac:dyDescent="0.25">
      <c r="A322" s="35">
        <f t="shared" si="16"/>
        <v>34</v>
      </c>
      <c r="B322" s="5">
        <v>43489</v>
      </c>
      <c r="C322" s="5" t="s">
        <v>134</v>
      </c>
      <c r="D322" s="57" t="s">
        <v>502</v>
      </c>
      <c r="E322" s="7" t="s">
        <v>504</v>
      </c>
      <c r="F322" s="33">
        <v>4</v>
      </c>
      <c r="G322" s="63">
        <v>-105</v>
      </c>
      <c r="H322" s="9" t="s">
        <v>6</v>
      </c>
      <c r="I3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32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22" s="36"/>
      <c r="L322" s="36">
        <f t="shared" si="17"/>
        <v>0</v>
      </c>
      <c r="M322" s="51" t="str">
        <f>COUNTIFS(Bets[Date],L322,Bets[Result],"W")&amp;"-"&amp;COUNTIFS(Bets[Date],L322,Bets[Result],"L")&amp;IF(COUNTIFS(Bets[Date],L322,Bets[Result],"Push")&gt;0,"-"&amp;COUNTIFS(Bets[Date],L322,Bets[Result],"Push"),"")</f>
        <v>0-0</v>
      </c>
      <c r="N322" s="52" t="str">
        <f>IFERROR(COUNTIFS(Bets[Date],L322,Bets[Result],"W")/(COUNTIFS(Bets[Date],L322,Bets[Result],"W")+COUNTIFS(Bets[Date],L322,Bets[Result],"L")),"")</f>
        <v/>
      </c>
      <c r="O322" s="38">
        <f>SUMIF(Bets[Date],L322,Bets[Profit])</f>
        <v>0</v>
      </c>
      <c r="P322" s="37" t="str">
        <f>IFERROR("("&amp;ROUND(SUMIF(Bets[Date],L322,Bets[Profit])/SUMIF(Bets[Date],L322,Bets[Risk]),2)*100&amp;"%)","")</f>
        <v/>
      </c>
    </row>
    <row r="323" spans="1:16" x14ac:dyDescent="0.25">
      <c r="A323" s="35">
        <f t="shared" si="16"/>
        <v>34</v>
      </c>
      <c r="B323" s="5">
        <v>43489</v>
      </c>
      <c r="C323" s="5" t="s">
        <v>134</v>
      </c>
      <c r="D323" s="57" t="s">
        <v>505</v>
      </c>
      <c r="E323" s="7" t="s">
        <v>506</v>
      </c>
      <c r="F323" s="33">
        <v>4</v>
      </c>
      <c r="G323" s="63">
        <v>-105</v>
      </c>
      <c r="H323" s="9" t="s">
        <v>6</v>
      </c>
      <c r="I3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32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23" s="36"/>
      <c r="L323" s="36">
        <f t="shared" si="17"/>
        <v>0</v>
      </c>
      <c r="M323" s="51" t="str">
        <f>COUNTIFS(Bets[Date],L323,Bets[Result],"W")&amp;"-"&amp;COUNTIFS(Bets[Date],L323,Bets[Result],"L")&amp;IF(COUNTIFS(Bets[Date],L323,Bets[Result],"Push")&gt;0,"-"&amp;COUNTIFS(Bets[Date],L323,Bets[Result],"Push"),"")</f>
        <v>0-0</v>
      </c>
      <c r="N323" s="52" t="str">
        <f>IFERROR(COUNTIFS(Bets[Date],L323,Bets[Result],"W")/(COUNTIFS(Bets[Date],L323,Bets[Result],"W")+COUNTIFS(Bets[Date],L323,Bets[Result],"L")),"")</f>
        <v/>
      </c>
      <c r="O323" s="38">
        <f>SUMIF(Bets[Date],L323,Bets[Profit])</f>
        <v>0</v>
      </c>
      <c r="P323" s="37" t="str">
        <f>IFERROR("("&amp;ROUND(SUMIF(Bets[Date],L323,Bets[Profit])/SUMIF(Bets[Date],L323,Bets[Risk]),2)*100&amp;"%)","")</f>
        <v/>
      </c>
    </row>
    <row r="324" spans="1:16" x14ac:dyDescent="0.25">
      <c r="A324" s="35">
        <f t="shared" ref="A324:A387" si="18">IF(B324=B323,A323,A323+1)</f>
        <v>34</v>
      </c>
      <c r="B324" s="5">
        <v>43489</v>
      </c>
      <c r="C324" s="5" t="s">
        <v>134</v>
      </c>
      <c r="D324" s="57" t="s">
        <v>505</v>
      </c>
      <c r="E324" s="7" t="s">
        <v>507</v>
      </c>
      <c r="F324" s="33">
        <v>4</v>
      </c>
      <c r="G324" s="63">
        <v>-110</v>
      </c>
      <c r="H324" s="9" t="s">
        <v>36</v>
      </c>
      <c r="I3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3.6363636363636362</v>
      </c>
      <c r="J32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24" s="36"/>
      <c r="L324" s="36">
        <f t="shared" si="17"/>
        <v>0</v>
      </c>
      <c r="M324" s="51" t="str">
        <f>COUNTIFS(Bets[Date],L324,Bets[Result],"W")&amp;"-"&amp;COUNTIFS(Bets[Date],L324,Bets[Result],"L")&amp;IF(COUNTIFS(Bets[Date],L324,Bets[Result],"Push")&gt;0,"-"&amp;COUNTIFS(Bets[Date],L324,Bets[Result],"Push"),"")</f>
        <v>0-0</v>
      </c>
      <c r="N324" s="52" t="str">
        <f>IFERROR(COUNTIFS(Bets[Date],L324,Bets[Result],"W")/(COUNTIFS(Bets[Date],L324,Bets[Result],"W")+COUNTIFS(Bets[Date],L324,Bets[Result],"L")),"")</f>
        <v/>
      </c>
      <c r="O324" s="38">
        <f>SUMIF(Bets[Date],L324,Bets[Profit])</f>
        <v>0</v>
      </c>
      <c r="P324" s="37" t="str">
        <f>IFERROR("("&amp;ROUND(SUMIF(Bets[Date],L324,Bets[Profit])/SUMIF(Bets[Date],L324,Bets[Risk]),2)*100&amp;"%)","")</f>
        <v/>
      </c>
    </row>
    <row r="325" spans="1:16" x14ac:dyDescent="0.25">
      <c r="A325" s="35">
        <f t="shared" si="18"/>
        <v>34</v>
      </c>
      <c r="B325" s="5">
        <v>43489</v>
      </c>
      <c r="C325" s="5" t="s">
        <v>134</v>
      </c>
      <c r="D325" s="57" t="s">
        <v>505</v>
      </c>
      <c r="E325" s="7" t="s">
        <v>184</v>
      </c>
      <c r="F325" s="33">
        <v>4</v>
      </c>
      <c r="G325" s="63">
        <v>600</v>
      </c>
      <c r="H325" s="9" t="s">
        <v>6</v>
      </c>
      <c r="I3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32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325" s="36"/>
      <c r="L325" s="36">
        <f t="shared" si="17"/>
        <v>0</v>
      </c>
      <c r="M325" s="51" t="str">
        <f>COUNTIFS(Bets[Date],L325,Bets[Result],"W")&amp;"-"&amp;COUNTIFS(Bets[Date],L325,Bets[Result],"L")&amp;IF(COUNTIFS(Bets[Date],L325,Bets[Result],"Push")&gt;0,"-"&amp;COUNTIFS(Bets[Date],L325,Bets[Result],"Push"),"")</f>
        <v>0-0</v>
      </c>
      <c r="N325" s="52" t="str">
        <f>IFERROR(COUNTIFS(Bets[Date],L325,Bets[Result],"W")/(COUNTIFS(Bets[Date],L325,Bets[Result],"W")+COUNTIFS(Bets[Date],L325,Bets[Result],"L")),"")</f>
        <v/>
      </c>
      <c r="O325" s="38">
        <f>SUMIF(Bets[Date],L325,Bets[Profit])</f>
        <v>0</v>
      </c>
      <c r="P325" s="37" t="str">
        <f>IFERROR("("&amp;ROUND(SUMIF(Bets[Date],L325,Bets[Profit])/SUMIF(Bets[Date],L325,Bets[Risk]),2)*100&amp;"%)","")</f>
        <v/>
      </c>
    </row>
    <row r="326" spans="1:16" x14ac:dyDescent="0.25">
      <c r="A326" s="35">
        <f t="shared" si="18"/>
        <v>34</v>
      </c>
      <c r="B326" s="5">
        <v>43489</v>
      </c>
      <c r="C326" s="5" t="s">
        <v>134</v>
      </c>
      <c r="D326" s="57" t="s">
        <v>508</v>
      </c>
      <c r="E326" s="7" t="s">
        <v>455</v>
      </c>
      <c r="F326" s="33">
        <v>4</v>
      </c>
      <c r="G326" s="63">
        <v>-105</v>
      </c>
      <c r="H326" s="9" t="s">
        <v>6</v>
      </c>
      <c r="I3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32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26" s="36"/>
      <c r="L326" s="36">
        <f t="shared" si="17"/>
        <v>0</v>
      </c>
      <c r="M326" s="51" t="str">
        <f>COUNTIFS(Bets[Date],L326,Bets[Result],"W")&amp;"-"&amp;COUNTIFS(Bets[Date],L326,Bets[Result],"L")&amp;IF(COUNTIFS(Bets[Date],L326,Bets[Result],"Push")&gt;0,"-"&amp;COUNTIFS(Bets[Date],L326,Bets[Result],"Push"),"")</f>
        <v>0-0</v>
      </c>
      <c r="N326" s="52" t="str">
        <f>IFERROR(COUNTIFS(Bets[Date],L326,Bets[Result],"W")/(COUNTIFS(Bets[Date],L326,Bets[Result],"W")+COUNTIFS(Bets[Date],L326,Bets[Result],"L")),"")</f>
        <v/>
      </c>
      <c r="O326" s="38">
        <f>SUMIF(Bets[Date],L326,Bets[Profit])</f>
        <v>0</v>
      </c>
      <c r="P326" s="37" t="str">
        <f>IFERROR("("&amp;ROUND(SUMIF(Bets[Date],L326,Bets[Profit])/SUMIF(Bets[Date],L326,Bets[Risk]),2)*100&amp;"%)","")</f>
        <v/>
      </c>
    </row>
    <row r="327" spans="1:16" x14ac:dyDescent="0.25">
      <c r="A327" s="35">
        <f t="shared" si="18"/>
        <v>34</v>
      </c>
      <c r="B327" s="5">
        <v>43489</v>
      </c>
      <c r="C327" s="5" t="s">
        <v>134</v>
      </c>
      <c r="D327" s="57" t="s">
        <v>508</v>
      </c>
      <c r="E327" s="7" t="s">
        <v>509</v>
      </c>
      <c r="F327" s="33">
        <v>4</v>
      </c>
      <c r="G327" s="63">
        <v>-110</v>
      </c>
      <c r="H327" s="9" t="s">
        <v>36</v>
      </c>
      <c r="I3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3.6363636363636362</v>
      </c>
      <c r="J32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27" s="36"/>
      <c r="L327" s="36">
        <f t="shared" si="17"/>
        <v>0</v>
      </c>
      <c r="M327" s="51" t="str">
        <f>COUNTIFS(Bets[Date],L327,Bets[Result],"W")&amp;"-"&amp;COUNTIFS(Bets[Date],L327,Bets[Result],"L")&amp;IF(COUNTIFS(Bets[Date],L327,Bets[Result],"Push")&gt;0,"-"&amp;COUNTIFS(Bets[Date],L327,Bets[Result],"Push"),"")</f>
        <v>0-0</v>
      </c>
      <c r="N327" s="52" t="str">
        <f>IFERROR(COUNTIFS(Bets[Date],L327,Bets[Result],"W")/(COUNTIFS(Bets[Date],L327,Bets[Result],"W")+COUNTIFS(Bets[Date],L327,Bets[Result],"L")),"")</f>
        <v/>
      </c>
      <c r="O327" s="38">
        <f>SUMIF(Bets[Date],L327,Bets[Profit])</f>
        <v>0</v>
      </c>
      <c r="P327" s="37" t="str">
        <f>IFERROR("("&amp;ROUND(SUMIF(Bets[Date],L327,Bets[Profit])/SUMIF(Bets[Date],L327,Bets[Risk]),2)*100&amp;"%)","")</f>
        <v/>
      </c>
    </row>
    <row r="328" spans="1:16" x14ac:dyDescent="0.25">
      <c r="A328" s="35">
        <f t="shared" si="18"/>
        <v>34</v>
      </c>
      <c r="B328" s="5">
        <v>43489</v>
      </c>
      <c r="C328" s="5" t="s">
        <v>134</v>
      </c>
      <c r="D328" s="57" t="s">
        <v>510</v>
      </c>
      <c r="E328" s="7" t="s">
        <v>166</v>
      </c>
      <c r="F328" s="33">
        <v>4</v>
      </c>
      <c r="G328" s="63">
        <v>-110</v>
      </c>
      <c r="H328" s="9" t="s">
        <v>36</v>
      </c>
      <c r="I3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3.6363636363636362</v>
      </c>
      <c r="J32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28" s="36"/>
      <c r="L328" s="36">
        <f t="shared" si="17"/>
        <v>0</v>
      </c>
      <c r="M328" s="51" t="str">
        <f>COUNTIFS(Bets[Date],L328,Bets[Result],"W")&amp;"-"&amp;COUNTIFS(Bets[Date],L328,Bets[Result],"L")&amp;IF(COUNTIFS(Bets[Date],L328,Bets[Result],"Push")&gt;0,"-"&amp;COUNTIFS(Bets[Date],L328,Bets[Result],"Push"),"")</f>
        <v>0-0</v>
      </c>
      <c r="N328" s="52" t="str">
        <f>IFERROR(COUNTIFS(Bets[Date],L328,Bets[Result],"W")/(COUNTIFS(Bets[Date],L328,Bets[Result],"W")+COUNTIFS(Bets[Date],L328,Bets[Result],"L")),"")</f>
        <v/>
      </c>
      <c r="O328" s="38">
        <f>SUMIF(Bets[Date],L328,Bets[Profit])</f>
        <v>0</v>
      </c>
      <c r="P328" s="37" t="str">
        <f>IFERROR("("&amp;ROUND(SUMIF(Bets[Date],L328,Bets[Profit])/SUMIF(Bets[Date],L328,Bets[Risk]),2)*100&amp;"%)","")</f>
        <v/>
      </c>
    </row>
    <row r="329" spans="1:16" x14ac:dyDescent="0.25">
      <c r="A329" s="35">
        <f t="shared" si="18"/>
        <v>34</v>
      </c>
      <c r="B329" s="5">
        <v>43489</v>
      </c>
      <c r="C329" s="5" t="s">
        <v>134</v>
      </c>
      <c r="D329" s="57" t="s">
        <v>510</v>
      </c>
      <c r="E329" s="7" t="s">
        <v>511</v>
      </c>
      <c r="F329" s="33">
        <v>4</v>
      </c>
      <c r="G329" s="63">
        <v>-110</v>
      </c>
      <c r="H329" s="9" t="s">
        <v>36</v>
      </c>
      <c r="I3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3.6363636363636362</v>
      </c>
      <c r="J32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29" s="36"/>
      <c r="L329" s="36">
        <f t="shared" si="17"/>
        <v>0</v>
      </c>
      <c r="M329" s="51" t="str">
        <f>COUNTIFS(Bets[Date],L329,Bets[Result],"W")&amp;"-"&amp;COUNTIFS(Bets[Date],L329,Bets[Result],"L")&amp;IF(COUNTIFS(Bets[Date],L329,Bets[Result],"Push")&gt;0,"-"&amp;COUNTIFS(Bets[Date],L329,Bets[Result],"Push"),"")</f>
        <v>0-0</v>
      </c>
      <c r="N329" s="52" t="str">
        <f>IFERROR(COUNTIFS(Bets[Date],L329,Bets[Result],"W")/(COUNTIFS(Bets[Date],L329,Bets[Result],"W")+COUNTIFS(Bets[Date],L329,Bets[Result],"L")),"")</f>
        <v/>
      </c>
      <c r="O329" s="38">
        <f>SUMIF(Bets[Date],L329,Bets[Profit])</f>
        <v>0</v>
      </c>
      <c r="P329" s="37" t="str">
        <f>IFERROR("("&amp;ROUND(SUMIF(Bets[Date],L329,Bets[Profit])/SUMIF(Bets[Date],L329,Bets[Risk]),2)*100&amp;"%)","")</f>
        <v/>
      </c>
    </row>
    <row r="330" spans="1:16" x14ac:dyDescent="0.25">
      <c r="A330" s="35">
        <f t="shared" si="18"/>
        <v>34</v>
      </c>
      <c r="B330" s="5">
        <v>43489</v>
      </c>
      <c r="C330" s="5" t="s">
        <v>419</v>
      </c>
      <c r="D330" s="57" t="s">
        <v>495</v>
      </c>
      <c r="E330" s="7" t="s">
        <v>486</v>
      </c>
      <c r="F330" s="33">
        <v>2</v>
      </c>
      <c r="G330" s="67">
        <v>-110</v>
      </c>
      <c r="H330" s="31" t="s">
        <v>36</v>
      </c>
      <c r="I3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30" s="36"/>
      <c r="N330" s="40"/>
      <c r="O330" s="37"/>
    </row>
    <row r="331" spans="1:16" x14ac:dyDescent="0.25">
      <c r="A331" s="35">
        <f t="shared" si="18"/>
        <v>34</v>
      </c>
      <c r="B331" s="5">
        <v>43489</v>
      </c>
      <c r="C331" s="5" t="s">
        <v>419</v>
      </c>
      <c r="D331" s="57" t="s">
        <v>495</v>
      </c>
      <c r="E331" s="7" t="s">
        <v>487</v>
      </c>
      <c r="F331" s="33">
        <v>2</v>
      </c>
      <c r="G331" s="67">
        <v>-110</v>
      </c>
      <c r="H331" s="31" t="s">
        <v>36</v>
      </c>
      <c r="I3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31" s="36"/>
      <c r="N331" s="40"/>
      <c r="O331" s="37"/>
    </row>
    <row r="332" spans="1:16" x14ac:dyDescent="0.25">
      <c r="A332" s="35">
        <f t="shared" si="18"/>
        <v>34</v>
      </c>
      <c r="B332" s="5">
        <v>43489</v>
      </c>
      <c r="C332" s="5" t="s">
        <v>419</v>
      </c>
      <c r="D332" s="57" t="s">
        <v>496</v>
      </c>
      <c r="E332" s="7" t="s">
        <v>488</v>
      </c>
      <c r="F332" s="33">
        <v>2</v>
      </c>
      <c r="G332" s="67">
        <v>-110</v>
      </c>
      <c r="H332" s="31" t="s">
        <v>36</v>
      </c>
      <c r="I3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32" s="36"/>
      <c r="N332" s="40"/>
      <c r="O332" s="37"/>
    </row>
    <row r="333" spans="1:16" x14ac:dyDescent="0.25">
      <c r="A333" s="35">
        <f t="shared" si="18"/>
        <v>34</v>
      </c>
      <c r="B333" s="5">
        <v>43489</v>
      </c>
      <c r="C333" s="5" t="s">
        <v>419</v>
      </c>
      <c r="D333" s="57" t="s">
        <v>497</v>
      </c>
      <c r="E333" s="7" t="s">
        <v>489</v>
      </c>
      <c r="F333" s="33">
        <v>2</v>
      </c>
      <c r="G333" s="67">
        <v>-115</v>
      </c>
      <c r="H333" s="31" t="s">
        <v>6</v>
      </c>
      <c r="I3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3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33" s="36"/>
      <c r="N333" s="40"/>
      <c r="O333" s="37"/>
    </row>
    <row r="334" spans="1:16" x14ac:dyDescent="0.25">
      <c r="A334" s="35">
        <f t="shared" si="18"/>
        <v>34</v>
      </c>
      <c r="B334" s="5">
        <v>43489</v>
      </c>
      <c r="C334" s="5" t="s">
        <v>419</v>
      </c>
      <c r="D334" s="57" t="s">
        <v>498</v>
      </c>
      <c r="E334" s="7" t="s">
        <v>490</v>
      </c>
      <c r="F334" s="33">
        <v>2</v>
      </c>
      <c r="G334" s="67">
        <v>-110</v>
      </c>
      <c r="H334" s="31" t="s">
        <v>6</v>
      </c>
      <c r="I3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3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34" s="36"/>
      <c r="N334" s="40"/>
      <c r="O334" s="37"/>
    </row>
    <row r="335" spans="1:16" x14ac:dyDescent="0.25">
      <c r="A335" s="35">
        <f t="shared" si="18"/>
        <v>34</v>
      </c>
      <c r="B335" s="5">
        <v>43489</v>
      </c>
      <c r="C335" s="5" t="s">
        <v>419</v>
      </c>
      <c r="D335" s="57" t="s">
        <v>499</v>
      </c>
      <c r="E335" s="7" t="s">
        <v>491</v>
      </c>
      <c r="F335" s="33">
        <v>2</v>
      </c>
      <c r="G335" s="67">
        <v>-110</v>
      </c>
      <c r="H335" s="31" t="s">
        <v>36</v>
      </c>
      <c r="I3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35" s="36"/>
      <c r="N335" s="40"/>
      <c r="O335" s="37"/>
    </row>
    <row r="336" spans="1:16" x14ac:dyDescent="0.25">
      <c r="A336" s="35">
        <f t="shared" si="18"/>
        <v>34</v>
      </c>
      <c r="B336" s="5">
        <v>43489</v>
      </c>
      <c r="C336" s="5" t="s">
        <v>419</v>
      </c>
      <c r="D336" s="57" t="s">
        <v>499</v>
      </c>
      <c r="E336" s="7" t="s">
        <v>439</v>
      </c>
      <c r="F336" s="33">
        <v>2</v>
      </c>
      <c r="G336" s="67">
        <v>-110</v>
      </c>
      <c r="H336" s="31" t="s">
        <v>36</v>
      </c>
      <c r="I3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36" s="36"/>
      <c r="N336" s="40"/>
      <c r="O336" s="37"/>
    </row>
    <row r="337" spans="1:15" x14ac:dyDescent="0.25">
      <c r="A337" s="35">
        <f t="shared" si="18"/>
        <v>34</v>
      </c>
      <c r="B337" s="5">
        <v>43489</v>
      </c>
      <c r="C337" s="5" t="s">
        <v>419</v>
      </c>
      <c r="D337" s="57" t="s">
        <v>500</v>
      </c>
      <c r="E337" s="7" t="s">
        <v>492</v>
      </c>
      <c r="F337" s="33">
        <v>2</v>
      </c>
      <c r="G337" s="67">
        <v>-110</v>
      </c>
      <c r="H337" s="31" t="s">
        <v>36</v>
      </c>
      <c r="I3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3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37" s="36"/>
      <c r="N337" s="40"/>
      <c r="O337" s="37"/>
    </row>
    <row r="338" spans="1:15" x14ac:dyDescent="0.25">
      <c r="A338" s="35">
        <f t="shared" si="18"/>
        <v>34</v>
      </c>
      <c r="B338" s="5">
        <v>43489</v>
      </c>
      <c r="C338" s="5" t="s">
        <v>419</v>
      </c>
      <c r="D338" s="57" t="s">
        <v>500</v>
      </c>
      <c r="E338" s="7" t="s">
        <v>493</v>
      </c>
      <c r="F338" s="33">
        <v>2</v>
      </c>
      <c r="G338" s="67">
        <v>-115</v>
      </c>
      <c r="H338" s="31" t="s">
        <v>6</v>
      </c>
      <c r="I3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3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38" s="36"/>
      <c r="N338" s="40"/>
      <c r="O338" s="37"/>
    </row>
    <row r="339" spans="1:15" x14ac:dyDescent="0.25">
      <c r="A339" s="35">
        <f t="shared" si="18"/>
        <v>34</v>
      </c>
      <c r="B339" s="5">
        <v>43489</v>
      </c>
      <c r="C339" s="5" t="s">
        <v>419</v>
      </c>
      <c r="D339" s="57" t="s">
        <v>501</v>
      </c>
      <c r="E339" s="7" t="s">
        <v>494</v>
      </c>
      <c r="F339" s="33">
        <v>2</v>
      </c>
      <c r="G339" s="67">
        <v>-105</v>
      </c>
      <c r="H339" s="31" t="s">
        <v>36</v>
      </c>
      <c r="I3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33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39" s="36"/>
      <c r="N339" s="40"/>
      <c r="O339" s="37"/>
    </row>
    <row r="340" spans="1:15" x14ac:dyDescent="0.25">
      <c r="A340" s="35">
        <f t="shared" si="18"/>
        <v>34</v>
      </c>
      <c r="B340" s="5">
        <v>43489</v>
      </c>
      <c r="C340" s="5" t="s">
        <v>419</v>
      </c>
      <c r="D340" s="57" t="s">
        <v>501</v>
      </c>
      <c r="E340" s="7" t="s">
        <v>489</v>
      </c>
      <c r="F340" s="33">
        <v>2</v>
      </c>
      <c r="G340" s="67">
        <v>-110</v>
      </c>
      <c r="H340" s="31" t="s">
        <v>6</v>
      </c>
      <c r="I3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4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40" s="36"/>
      <c r="N340" s="40"/>
      <c r="O340" s="37"/>
    </row>
    <row r="341" spans="1:15" x14ac:dyDescent="0.25">
      <c r="A341" s="35">
        <f t="shared" si="18"/>
        <v>35</v>
      </c>
      <c r="B341" s="5">
        <v>43490</v>
      </c>
      <c r="C341" s="5" t="s">
        <v>419</v>
      </c>
      <c r="D341" s="57" t="s">
        <v>512</v>
      </c>
      <c r="E341" s="7" t="s">
        <v>483</v>
      </c>
      <c r="F341" s="33">
        <v>2</v>
      </c>
      <c r="G341" s="67">
        <v>-110</v>
      </c>
      <c r="H341" s="31" t="s">
        <v>36</v>
      </c>
      <c r="I3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4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41" s="36"/>
      <c r="N341" s="40"/>
      <c r="O341" s="37"/>
    </row>
    <row r="342" spans="1:15" x14ac:dyDescent="0.25">
      <c r="A342" s="35">
        <f t="shared" si="18"/>
        <v>35</v>
      </c>
      <c r="B342" s="5">
        <v>43490</v>
      </c>
      <c r="C342" s="5" t="s">
        <v>419</v>
      </c>
      <c r="D342" s="57" t="s">
        <v>512</v>
      </c>
      <c r="E342" s="7" t="s">
        <v>513</v>
      </c>
      <c r="F342" s="33">
        <v>2</v>
      </c>
      <c r="G342" s="67">
        <v>-105</v>
      </c>
      <c r="H342" s="31" t="s">
        <v>6</v>
      </c>
      <c r="I3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4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42" s="36"/>
      <c r="N342" s="40"/>
      <c r="O342" s="37"/>
    </row>
    <row r="343" spans="1:15" x14ac:dyDescent="0.25">
      <c r="A343" s="35">
        <f t="shared" si="18"/>
        <v>35</v>
      </c>
      <c r="B343" s="5">
        <v>43490</v>
      </c>
      <c r="C343" s="5" t="s">
        <v>419</v>
      </c>
      <c r="D343" s="57" t="s">
        <v>514</v>
      </c>
      <c r="E343" s="7" t="s">
        <v>515</v>
      </c>
      <c r="F343" s="33">
        <v>2</v>
      </c>
      <c r="G343" s="67">
        <v>-110</v>
      </c>
      <c r="H343" s="31" t="s">
        <v>36</v>
      </c>
      <c r="I3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4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43" s="36"/>
      <c r="N343" s="40"/>
      <c r="O343" s="37"/>
    </row>
    <row r="344" spans="1:15" x14ac:dyDescent="0.25">
      <c r="A344" s="35">
        <f t="shared" si="18"/>
        <v>35</v>
      </c>
      <c r="B344" s="5">
        <v>43490</v>
      </c>
      <c r="C344" s="5" t="s">
        <v>419</v>
      </c>
      <c r="D344" s="57" t="s">
        <v>514</v>
      </c>
      <c r="E344" s="7" t="s">
        <v>516</v>
      </c>
      <c r="F344" s="33">
        <v>2</v>
      </c>
      <c r="G344" s="67">
        <v>-115</v>
      </c>
      <c r="H344" s="31" t="s">
        <v>36</v>
      </c>
      <c r="I3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4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44" s="36"/>
      <c r="N344" s="40"/>
      <c r="O344" s="37"/>
    </row>
    <row r="345" spans="1:15" x14ac:dyDescent="0.25">
      <c r="A345" s="35">
        <f t="shared" si="18"/>
        <v>35</v>
      </c>
      <c r="B345" s="5">
        <v>43490</v>
      </c>
      <c r="C345" s="5" t="s">
        <v>419</v>
      </c>
      <c r="D345" s="57" t="s">
        <v>517</v>
      </c>
      <c r="E345" s="7" t="s">
        <v>518</v>
      </c>
      <c r="F345" s="33">
        <v>2</v>
      </c>
      <c r="G345" s="67">
        <v>-110</v>
      </c>
      <c r="H345" s="31" t="s">
        <v>36</v>
      </c>
      <c r="I3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4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45" s="36"/>
      <c r="N345" s="40"/>
      <c r="O345" s="37"/>
    </row>
    <row r="346" spans="1:15" x14ac:dyDescent="0.25">
      <c r="A346" s="35">
        <f t="shared" si="18"/>
        <v>35</v>
      </c>
      <c r="B346" s="5">
        <v>43490</v>
      </c>
      <c r="C346" s="5" t="s">
        <v>419</v>
      </c>
      <c r="D346" s="57" t="s">
        <v>517</v>
      </c>
      <c r="E346" s="7" t="s">
        <v>519</v>
      </c>
      <c r="F346" s="33">
        <v>2</v>
      </c>
      <c r="G346" s="67">
        <v>-105</v>
      </c>
      <c r="H346" s="31" t="s">
        <v>36</v>
      </c>
      <c r="I3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34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46" s="36"/>
      <c r="N346" s="40"/>
      <c r="O346" s="37"/>
    </row>
    <row r="347" spans="1:15" x14ac:dyDescent="0.25">
      <c r="A347" s="35">
        <f t="shared" si="18"/>
        <v>35</v>
      </c>
      <c r="B347" s="5">
        <v>43490</v>
      </c>
      <c r="C347" s="5" t="s">
        <v>419</v>
      </c>
      <c r="D347" s="57" t="s">
        <v>520</v>
      </c>
      <c r="E347" s="7" t="s">
        <v>521</v>
      </c>
      <c r="F347" s="33">
        <v>2</v>
      </c>
      <c r="G347" s="67">
        <v>-110</v>
      </c>
      <c r="H347" s="31" t="s">
        <v>36</v>
      </c>
      <c r="I3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4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47" s="36"/>
      <c r="N347" s="40"/>
      <c r="O347" s="37"/>
    </row>
    <row r="348" spans="1:15" x14ac:dyDescent="0.25">
      <c r="A348" s="35">
        <f t="shared" si="18"/>
        <v>35</v>
      </c>
      <c r="B348" s="5">
        <v>43490</v>
      </c>
      <c r="C348" s="5" t="s">
        <v>419</v>
      </c>
      <c r="D348" s="57" t="s">
        <v>520</v>
      </c>
      <c r="E348" s="7" t="s">
        <v>522</v>
      </c>
      <c r="F348" s="33">
        <v>2</v>
      </c>
      <c r="G348" s="67">
        <v>-115</v>
      </c>
      <c r="H348" s="31" t="s">
        <v>36</v>
      </c>
      <c r="I3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4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48" s="36"/>
      <c r="N348" s="40"/>
      <c r="O348" s="37"/>
    </row>
    <row r="349" spans="1:15" x14ac:dyDescent="0.25">
      <c r="A349" s="35">
        <f t="shared" si="18"/>
        <v>35</v>
      </c>
      <c r="B349" s="5">
        <v>43490</v>
      </c>
      <c r="C349" s="5" t="s">
        <v>419</v>
      </c>
      <c r="D349" s="57" t="s">
        <v>523</v>
      </c>
      <c r="E349" s="7" t="s">
        <v>524</v>
      </c>
      <c r="F349" s="33">
        <v>2</v>
      </c>
      <c r="G349" s="67">
        <v>-105</v>
      </c>
      <c r="H349" s="31" t="s">
        <v>6</v>
      </c>
      <c r="I3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4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49" s="36"/>
      <c r="N349" s="40"/>
      <c r="O349" s="37"/>
    </row>
    <row r="350" spans="1:15" x14ac:dyDescent="0.25">
      <c r="A350" s="35">
        <f t="shared" si="18"/>
        <v>35</v>
      </c>
      <c r="B350" s="5">
        <v>43490</v>
      </c>
      <c r="C350" s="5" t="s">
        <v>419</v>
      </c>
      <c r="D350" s="57" t="s">
        <v>523</v>
      </c>
      <c r="E350" s="7" t="s">
        <v>525</v>
      </c>
      <c r="F350" s="33">
        <v>2</v>
      </c>
      <c r="G350" s="67">
        <v>-115</v>
      </c>
      <c r="H350" s="31" t="s">
        <v>36</v>
      </c>
      <c r="I3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35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50" s="36"/>
      <c r="N350" s="40"/>
      <c r="O350" s="37"/>
    </row>
    <row r="351" spans="1:15" x14ac:dyDescent="0.25">
      <c r="A351" s="35">
        <f t="shared" si="18"/>
        <v>35</v>
      </c>
      <c r="B351" s="5">
        <v>43490</v>
      </c>
      <c r="C351" s="5" t="s">
        <v>419</v>
      </c>
      <c r="D351" s="57" t="s">
        <v>526</v>
      </c>
      <c r="E351" s="7" t="s">
        <v>527</v>
      </c>
      <c r="F351" s="33">
        <v>2</v>
      </c>
      <c r="G351" s="67">
        <v>-105</v>
      </c>
      <c r="H351" s="31" t="s">
        <v>6</v>
      </c>
      <c r="I3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5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51" s="36"/>
      <c r="N351" s="40"/>
      <c r="O351" s="37"/>
    </row>
    <row r="352" spans="1:15" x14ac:dyDescent="0.25">
      <c r="A352" s="35">
        <f t="shared" si="18"/>
        <v>35</v>
      </c>
      <c r="B352" s="5">
        <v>43490</v>
      </c>
      <c r="C352" s="5" t="s">
        <v>419</v>
      </c>
      <c r="D352" s="57" t="s">
        <v>526</v>
      </c>
      <c r="E352" s="7" t="s">
        <v>528</v>
      </c>
      <c r="F352" s="33">
        <v>2</v>
      </c>
      <c r="G352" s="67">
        <v>-105</v>
      </c>
      <c r="H352" s="31" t="s">
        <v>36</v>
      </c>
      <c r="I3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35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52" s="36"/>
      <c r="N352" s="40"/>
      <c r="O352" s="37"/>
    </row>
    <row r="353" spans="1:15" x14ac:dyDescent="0.25">
      <c r="A353" s="35">
        <f t="shared" si="18"/>
        <v>35</v>
      </c>
      <c r="B353" s="5">
        <v>43490</v>
      </c>
      <c r="C353" s="5" t="s">
        <v>419</v>
      </c>
      <c r="D353" s="57" t="s">
        <v>526</v>
      </c>
      <c r="E353" s="7" t="s">
        <v>529</v>
      </c>
      <c r="F353" s="33">
        <v>2</v>
      </c>
      <c r="G353" s="67">
        <v>130</v>
      </c>
      <c r="H353" s="31" t="s">
        <v>6</v>
      </c>
      <c r="I3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5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353" s="36"/>
      <c r="N353" s="40"/>
      <c r="O353" s="37"/>
    </row>
    <row r="354" spans="1:15" x14ac:dyDescent="0.25">
      <c r="A354" s="35">
        <f t="shared" si="18"/>
        <v>36</v>
      </c>
      <c r="B354" s="5">
        <v>43491</v>
      </c>
      <c r="C354" s="5" t="s">
        <v>419</v>
      </c>
      <c r="D354" s="57" t="s">
        <v>544</v>
      </c>
      <c r="E354" s="7" t="s">
        <v>545</v>
      </c>
      <c r="F354" s="33">
        <v>5</v>
      </c>
      <c r="G354" s="67">
        <v>-110</v>
      </c>
      <c r="H354" s="31" t="s">
        <v>36</v>
      </c>
      <c r="I3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5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54" s="36"/>
      <c r="N354" s="40"/>
      <c r="O354" s="37"/>
    </row>
    <row r="355" spans="1:15" x14ac:dyDescent="0.25">
      <c r="A355" s="35">
        <f t="shared" si="18"/>
        <v>36</v>
      </c>
      <c r="B355" s="5">
        <v>43491</v>
      </c>
      <c r="C355" s="5" t="s">
        <v>419</v>
      </c>
      <c r="D355" s="57" t="s">
        <v>546</v>
      </c>
      <c r="E355" s="7" t="s">
        <v>547</v>
      </c>
      <c r="F355" s="33">
        <v>5</v>
      </c>
      <c r="G355" s="67">
        <v>-115</v>
      </c>
      <c r="H355" s="31" t="s">
        <v>36</v>
      </c>
      <c r="I3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5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55" s="36"/>
      <c r="N355" s="40"/>
      <c r="O355" s="37"/>
    </row>
    <row r="356" spans="1:15" x14ac:dyDescent="0.25">
      <c r="A356" s="35">
        <f t="shared" si="18"/>
        <v>36</v>
      </c>
      <c r="B356" s="5">
        <v>43491</v>
      </c>
      <c r="C356" s="5" t="s">
        <v>419</v>
      </c>
      <c r="D356" s="57" t="s">
        <v>548</v>
      </c>
      <c r="E356" s="7" t="s">
        <v>549</v>
      </c>
      <c r="F356" s="33">
        <v>5</v>
      </c>
      <c r="G356" s="67">
        <v>-110</v>
      </c>
      <c r="H356" s="31" t="s">
        <v>6</v>
      </c>
      <c r="I3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5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56" s="36"/>
      <c r="N356" s="40"/>
      <c r="O356" s="37"/>
    </row>
    <row r="357" spans="1:15" x14ac:dyDescent="0.25">
      <c r="A357" s="35">
        <f t="shared" si="18"/>
        <v>36</v>
      </c>
      <c r="B357" s="5">
        <v>43491</v>
      </c>
      <c r="C357" s="5" t="s">
        <v>419</v>
      </c>
      <c r="D357" s="57" t="s">
        <v>550</v>
      </c>
      <c r="E357" s="7" t="s">
        <v>551</v>
      </c>
      <c r="F357" s="33">
        <v>5</v>
      </c>
      <c r="G357" s="67">
        <v>-115</v>
      </c>
      <c r="H357" s="31" t="s">
        <v>6</v>
      </c>
      <c r="I3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5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57" s="36"/>
      <c r="N357" s="40"/>
      <c r="O357" s="37"/>
    </row>
    <row r="358" spans="1:15" x14ac:dyDescent="0.25">
      <c r="A358" s="35">
        <f t="shared" si="18"/>
        <v>36</v>
      </c>
      <c r="B358" s="5">
        <v>43491</v>
      </c>
      <c r="C358" s="5" t="s">
        <v>419</v>
      </c>
      <c r="D358" s="57" t="s">
        <v>550</v>
      </c>
      <c r="E358" s="7" t="s">
        <v>468</v>
      </c>
      <c r="F358" s="33">
        <v>5</v>
      </c>
      <c r="G358" s="67">
        <v>-105</v>
      </c>
      <c r="H358" s="31" t="s">
        <v>6</v>
      </c>
      <c r="I3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5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58" s="36"/>
      <c r="N358" s="40"/>
      <c r="O358" s="37"/>
    </row>
    <row r="359" spans="1:15" x14ac:dyDescent="0.25">
      <c r="A359" s="35">
        <f t="shared" si="18"/>
        <v>36</v>
      </c>
      <c r="B359" s="5">
        <v>43491</v>
      </c>
      <c r="C359" s="5" t="s">
        <v>419</v>
      </c>
      <c r="D359" s="57" t="s">
        <v>552</v>
      </c>
      <c r="E359" s="7" t="s">
        <v>553</v>
      </c>
      <c r="F359" s="33">
        <v>5</v>
      </c>
      <c r="G359" s="67">
        <v>-110</v>
      </c>
      <c r="H359" s="31" t="s">
        <v>36</v>
      </c>
      <c r="I3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5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59" s="36"/>
      <c r="N359" s="40"/>
      <c r="O359" s="37"/>
    </row>
    <row r="360" spans="1:15" x14ac:dyDescent="0.25">
      <c r="A360" s="35">
        <f t="shared" si="18"/>
        <v>36</v>
      </c>
      <c r="B360" s="5">
        <v>43491</v>
      </c>
      <c r="C360" s="5" t="s">
        <v>419</v>
      </c>
      <c r="D360" s="57" t="s">
        <v>554</v>
      </c>
      <c r="E360" s="7" t="s">
        <v>555</v>
      </c>
      <c r="F360" s="33">
        <v>10</v>
      </c>
      <c r="G360" s="67">
        <v>-110</v>
      </c>
      <c r="H360" s="31" t="s">
        <v>36</v>
      </c>
      <c r="I3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36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60" s="36"/>
      <c r="N360" s="40"/>
      <c r="O360" s="37"/>
    </row>
    <row r="361" spans="1:15" x14ac:dyDescent="0.25">
      <c r="A361" s="35">
        <f t="shared" si="18"/>
        <v>37</v>
      </c>
      <c r="B361" s="5">
        <v>43492</v>
      </c>
      <c r="C361" s="5" t="s">
        <v>1181</v>
      </c>
      <c r="D361" s="57" t="s">
        <v>556</v>
      </c>
      <c r="E361" s="7" t="s">
        <v>557</v>
      </c>
      <c r="F361" s="33">
        <v>12.5</v>
      </c>
      <c r="G361" s="67">
        <v>-125</v>
      </c>
      <c r="H361" s="9" t="s">
        <v>36</v>
      </c>
      <c r="I3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3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61" s="36"/>
      <c r="N361" s="40"/>
      <c r="O361" s="37"/>
    </row>
    <row r="362" spans="1:15" x14ac:dyDescent="0.25">
      <c r="A362" s="35">
        <f t="shared" si="18"/>
        <v>38</v>
      </c>
      <c r="B362" s="5">
        <v>43493</v>
      </c>
      <c r="C362" s="5" t="s">
        <v>134</v>
      </c>
      <c r="D362" s="57" t="s">
        <v>558</v>
      </c>
      <c r="E362" s="7" t="s">
        <v>216</v>
      </c>
      <c r="F362" s="33">
        <v>2</v>
      </c>
      <c r="G362" s="63">
        <v>-110</v>
      </c>
      <c r="H362" s="9" t="s">
        <v>6</v>
      </c>
      <c r="I3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62" s="36"/>
      <c r="N362" s="40"/>
      <c r="O362" s="37"/>
    </row>
    <row r="363" spans="1:15" x14ac:dyDescent="0.25">
      <c r="A363" s="35">
        <f t="shared" si="18"/>
        <v>38</v>
      </c>
      <c r="B363" s="5">
        <v>43493</v>
      </c>
      <c r="C363" s="5" t="s">
        <v>134</v>
      </c>
      <c r="D363" s="57" t="s">
        <v>558</v>
      </c>
      <c r="E363" s="7" t="s">
        <v>559</v>
      </c>
      <c r="F363" s="33">
        <v>2</v>
      </c>
      <c r="G363" s="63">
        <v>-105</v>
      </c>
      <c r="H363" s="9" t="s">
        <v>36</v>
      </c>
      <c r="I3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3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63" s="36"/>
      <c r="N363" s="40"/>
      <c r="O363" s="37"/>
    </row>
    <row r="364" spans="1:15" x14ac:dyDescent="0.25">
      <c r="A364" s="35">
        <f t="shared" si="18"/>
        <v>38</v>
      </c>
      <c r="B364" s="5">
        <v>43493</v>
      </c>
      <c r="C364" s="5" t="s">
        <v>134</v>
      </c>
      <c r="D364" s="57" t="s">
        <v>560</v>
      </c>
      <c r="E364" s="7" t="s">
        <v>561</v>
      </c>
      <c r="F364" s="33">
        <v>2</v>
      </c>
      <c r="G364" s="63">
        <v>-110</v>
      </c>
      <c r="H364" s="9" t="s">
        <v>6</v>
      </c>
      <c r="I3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64" s="36"/>
      <c r="N364" s="40"/>
      <c r="O364" s="37"/>
    </row>
    <row r="365" spans="1:15" x14ac:dyDescent="0.25">
      <c r="A365" s="35">
        <f t="shared" si="18"/>
        <v>38</v>
      </c>
      <c r="B365" s="5">
        <v>43493</v>
      </c>
      <c r="C365" s="5" t="s">
        <v>134</v>
      </c>
      <c r="D365" s="57" t="s">
        <v>270</v>
      </c>
      <c r="E365" s="7" t="s">
        <v>455</v>
      </c>
      <c r="F365" s="33">
        <v>2</v>
      </c>
      <c r="G365" s="63">
        <v>-110</v>
      </c>
      <c r="H365" s="9" t="s">
        <v>36</v>
      </c>
      <c r="I3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6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65" s="36"/>
      <c r="N365" s="40"/>
      <c r="O365" s="37"/>
    </row>
    <row r="366" spans="1:15" x14ac:dyDescent="0.25">
      <c r="A366" s="35">
        <f t="shared" si="18"/>
        <v>38</v>
      </c>
      <c r="B366" s="5">
        <v>43493</v>
      </c>
      <c r="C366" s="5" t="s">
        <v>134</v>
      </c>
      <c r="D366" s="57" t="s">
        <v>270</v>
      </c>
      <c r="E366" s="7" t="s">
        <v>562</v>
      </c>
      <c r="F366" s="33">
        <v>2</v>
      </c>
      <c r="G366" s="63">
        <v>-110</v>
      </c>
      <c r="H366" s="9" t="s">
        <v>6</v>
      </c>
      <c r="I3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6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66" s="36"/>
      <c r="N366" s="40"/>
      <c r="O366" s="37"/>
    </row>
    <row r="367" spans="1:15" x14ac:dyDescent="0.25">
      <c r="A367" s="35">
        <f t="shared" si="18"/>
        <v>38</v>
      </c>
      <c r="B367" s="5">
        <v>43493</v>
      </c>
      <c r="C367" s="5" t="s">
        <v>134</v>
      </c>
      <c r="D367" s="57" t="s">
        <v>563</v>
      </c>
      <c r="E367" s="7" t="s">
        <v>379</v>
      </c>
      <c r="F367" s="33">
        <v>2</v>
      </c>
      <c r="G367" s="63">
        <v>-110</v>
      </c>
      <c r="H367" s="9" t="s">
        <v>36</v>
      </c>
      <c r="I3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36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67" s="36"/>
      <c r="N367" s="40"/>
      <c r="O367" s="37"/>
    </row>
    <row r="368" spans="1:15" x14ac:dyDescent="0.25">
      <c r="A368" s="35">
        <f t="shared" si="18"/>
        <v>38</v>
      </c>
      <c r="B368" s="5">
        <v>43493</v>
      </c>
      <c r="C368" s="5" t="s">
        <v>134</v>
      </c>
      <c r="D368" s="57" t="s">
        <v>563</v>
      </c>
      <c r="E368" s="7" t="s">
        <v>564</v>
      </c>
      <c r="F368" s="33">
        <v>2</v>
      </c>
      <c r="G368" s="63">
        <v>-110</v>
      </c>
      <c r="H368" s="9" t="s">
        <v>6</v>
      </c>
      <c r="I3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6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68" s="36"/>
      <c r="N368" s="40"/>
      <c r="O368" s="37"/>
    </row>
    <row r="369" spans="1:15" x14ac:dyDescent="0.25">
      <c r="A369" s="35">
        <f t="shared" si="18"/>
        <v>38</v>
      </c>
      <c r="B369" s="5">
        <v>43493</v>
      </c>
      <c r="C369" s="5" t="s">
        <v>134</v>
      </c>
      <c r="D369" s="57" t="s">
        <v>565</v>
      </c>
      <c r="E369" s="7" t="s">
        <v>506</v>
      </c>
      <c r="F369" s="33">
        <v>2</v>
      </c>
      <c r="G369" s="63">
        <v>-110</v>
      </c>
      <c r="H369" s="9" t="s">
        <v>6</v>
      </c>
      <c r="I3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6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69" s="36"/>
      <c r="N369" s="40"/>
      <c r="O369" s="37"/>
    </row>
    <row r="370" spans="1:15" x14ac:dyDescent="0.25">
      <c r="A370" s="35">
        <f t="shared" si="18"/>
        <v>38</v>
      </c>
      <c r="B370" s="5">
        <v>43493</v>
      </c>
      <c r="C370" s="5" t="s">
        <v>134</v>
      </c>
      <c r="D370" s="57" t="s">
        <v>565</v>
      </c>
      <c r="E370" s="7" t="s">
        <v>566</v>
      </c>
      <c r="F370" s="33">
        <v>2</v>
      </c>
      <c r="G370" s="63">
        <v>-115</v>
      </c>
      <c r="H370" s="9" t="s">
        <v>6</v>
      </c>
      <c r="I3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37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70" s="36"/>
      <c r="N370" s="40"/>
      <c r="O370" s="37"/>
    </row>
    <row r="371" spans="1:15" x14ac:dyDescent="0.25">
      <c r="A371" s="35">
        <f t="shared" si="18"/>
        <v>38</v>
      </c>
      <c r="B371" s="5">
        <v>43493</v>
      </c>
      <c r="C371" s="5" t="s">
        <v>419</v>
      </c>
      <c r="D371" s="57" t="s">
        <v>530</v>
      </c>
      <c r="E371" s="7" t="s">
        <v>531</v>
      </c>
      <c r="F371" s="33">
        <v>5</v>
      </c>
      <c r="G371" s="67">
        <v>-105</v>
      </c>
      <c r="H371" s="31" t="s">
        <v>36</v>
      </c>
      <c r="I3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37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71" s="36"/>
      <c r="N371" s="40"/>
      <c r="O371" s="37"/>
    </row>
    <row r="372" spans="1:15" x14ac:dyDescent="0.25">
      <c r="A372" s="35">
        <f t="shared" si="18"/>
        <v>38</v>
      </c>
      <c r="B372" s="5">
        <v>43493</v>
      </c>
      <c r="C372" s="5" t="s">
        <v>419</v>
      </c>
      <c r="D372" s="57" t="s">
        <v>530</v>
      </c>
      <c r="E372" s="7" t="s">
        <v>519</v>
      </c>
      <c r="F372" s="33">
        <v>5</v>
      </c>
      <c r="G372" s="67">
        <v>-105</v>
      </c>
      <c r="H372" s="31" t="s">
        <v>36</v>
      </c>
      <c r="I3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37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72" s="36"/>
      <c r="N372" s="40"/>
      <c r="O372" s="37"/>
    </row>
    <row r="373" spans="1:15" x14ac:dyDescent="0.25">
      <c r="A373" s="35">
        <f t="shared" si="18"/>
        <v>38</v>
      </c>
      <c r="B373" s="5">
        <v>43493</v>
      </c>
      <c r="C373" s="5" t="s">
        <v>419</v>
      </c>
      <c r="D373" s="57" t="s">
        <v>532</v>
      </c>
      <c r="E373" s="7" t="s">
        <v>493</v>
      </c>
      <c r="F373" s="33">
        <v>5</v>
      </c>
      <c r="G373" s="67">
        <v>-110</v>
      </c>
      <c r="H373" s="31" t="s">
        <v>36</v>
      </c>
      <c r="I3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7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73" s="36"/>
      <c r="N373" s="40"/>
      <c r="O373" s="37"/>
    </row>
    <row r="374" spans="1:15" x14ac:dyDescent="0.25">
      <c r="A374" s="35">
        <f t="shared" si="18"/>
        <v>38</v>
      </c>
      <c r="B374" s="5">
        <v>43493</v>
      </c>
      <c r="C374" s="5" t="s">
        <v>419</v>
      </c>
      <c r="D374" s="57" t="s">
        <v>532</v>
      </c>
      <c r="E374" s="7" t="s">
        <v>533</v>
      </c>
      <c r="F374" s="33">
        <v>5</v>
      </c>
      <c r="G374" s="67">
        <v>-110</v>
      </c>
      <c r="H374" s="31" t="s">
        <v>6</v>
      </c>
      <c r="I3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7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74" s="36"/>
      <c r="N374" s="40"/>
      <c r="O374" s="37"/>
    </row>
    <row r="375" spans="1:15" x14ac:dyDescent="0.25">
      <c r="A375" s="35">
        <f t="shared" si="18"/>
        <v>38</v>
      </c>
      <c r="B375" s="5">
        <v>43493</v>
      </c>
      <c r="C375" s="5" t="s">
        <v>419</v>
      </c>
      <c r="D375" s="57" t="s">
        <v>534</v>
      </c>
      <c r="E375" s="7" t="s">
        <v>535</v>
      </c>
      <c r="F375" s="33">
        <v>5</v>
      </c>
      <c r="G375" s="67">
        <v>-115</v>
      </c>
      <c r="H375" s="31" t="s">
        <v>6</v>
      </c>
      <c r="I3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7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75" s="36"/>
      <c r="N375" s="40"/>
      <c r="O375" s="37"/>
    </row>
    <row r="376" spans="1:15" x14ac:dyDescent="0.25">
      <c r="A376" s="35">
        <f t="shared" si="18"/>
        <v>38</v>
      </c>
      <c r="B376" s="5">
        <v>43493</v>
      </c>
      <c r="C376" s="5" t="s">
        <v>419</v>
      </c>
      <c r="D376" s="57" t="s">
        <v>534</v>
      </c>
      <c r="E376" s="7" t="s">
        <v>536</v>
      </c>
      <c r="F376" s="33">
        <v>5</v>
      </c>
      <c r="G376" s="67">
        <v>-110</v>
      </c>
      <c r="H376" s="31" t="s">
        <v>36</v>
      </c>
      <c r="I3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7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76" s="36"/>
      <c r="N376" s="40"/>
      <c r="O376" s="37"/>
    </row>
    <row r="377" spans="1:15" x14ac:dyDescent="0.25">
      <c r="A377" s="35">
        <f t="shared" si="18"/>
        <v>38</v>
      </c>
      <c r="B377" s="5">
        <v>43493</v>
      </c>
      <c r="C377" s="5" t="s">
        <v>419</v>
      </c>
      <c r="D377" s="57" t="s">
        <v>537</v>
      </c>
      <c r="E377" s="7" t="s">
        <v>493</v>
      </c>
      <c r="F377" s="33">
        <v>5</v>
      </c>
      <c r="G377" s="67">
        <v>-110</v>
      </c>
      <c r="H377" s="31" t="s">
        <v>36</v>
      </c>
      <c r="I3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7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77" s="36"/>
      <c r="N377" s="40"/>
      <c r="O377" s="37"/>
    </row>
    <row r="378" spans="1:15" x14ac:dyDescent="0.25">
      <c r="A378" s="35">
        <f t="shared" si="18"/>
        <v>38</v>
      </c>
      <c r="B378" s="5">
        <v>43493</v>
      </c>
      <c r="C378" s="5" t="s">
        <v>419</v>
      </c>
      <c r="D378" s="57" t="s">
        <v>538</v>
      </c>
      <c r="E378" s="7" t="s">
        <v>539</v>
      </c>
      <c r="F378" s="33">
        <v>5</v>
      </c>
      <c r="G378" s="67">
        <v>-115</v>
      </c>
      <c r="H378" s="31" t="s">
        <v>36</v>
      </c>
      <c r="I3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7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78" s="36"/>
      <c r="N378" s="40"/>
      <c r="O378" s="37"/>
    </row>
    <row r="379" spans="1:15" x14ac:dyDescent="0.25">
      <c r="A379" s="35">
        <f t="shared" si="18"/>
        <v>38</v>
      </c>
      <c r="B379" s="5">
        <v>43493</v>
      </c>
      <c r="C379" s="5" t="s">
        <v>419</v>
      </c>
      <c r="D379" s="57" t="s">
        <v>538</v>
      </c>
      <c r="E379" s="7" t="s">
        <v>540</v>
      </c>
      <c r="F379" s="33">
        <v>5</v>
      </c>
      <c r="G379" s="67">
        <v>-115</v>
      </c>
      <c r="H379" s="31" t="s">
        <v>36</v>
      </c>
      <c r="I3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7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79" s="36"/>
      <c r="N379" s="40"/>
      <c r="O379" s="37"/>
    </row>
    <row r="380" spans="1:15" x14ac:dyDescent="0.25">
      <c r="A380" s="35">
        <f t="shared" si="18"/>
        <v>38</v>
      </c>
      <c r="B380" s="5">
        <v>43493</v>
      </c>
      <c r="C380" s="5" t="s">
        <v>419</v>
      </c>
      <c r="D380" s="57" t="s">
        <v>541</v>
      </c>
      <c r="E380" s="7" t="s">
        <v>542</v>
      </c>
      <c r="F380" s="33">
        <v>5</v>
      </c>
      <c r="G380" s="67">
        <v>-110</v>
      </c>
      <c r="H380" s="31" t="s">
        <v>36</v>
      </c>
      <c r="I3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8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80" s="36"/>
      <c r="N380" s="40"/>
      <c r="O380" s="37"/>
    </row>
    <row r="381" spans="1:15" x14ac:dyDescent="0.25">
      <c r="A381" s="35">
        <f t="shared" si="18"/>
        <v>38</v>
      </c>
      <c r="B381" s="5">
        <v>43493</v>
      </c>
      <c r="C381" s="5" t="s">
        <v>419</v>
      </c>
      <c r="D381" s="57" t="s">
        <v>541</v>
      </c>
      <c r="E381" s="7" t="s">
        <v>543</v>
      </c>
      <c r="F381" s="33">
        <v>5</v>
      </c>
      <c r="G381" s="67">
        <v>-115</v>
      </c>
      <c r="H381" s="31" t="s">
        <v>6</v>
      </c>
      <c r="I3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8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81" s="36"/>
      <c r="N381" s="40"/>
      <c r="O381" s="37"/>
    </row>
    <row r="382" spans="1:15" x14ac:dyDescent="0.25">
      <c r="A382" s="35">
        <f t="shared" si="18"/>
        <v>39</v>
      </c>
      <c r="B382" s="5">
        <v>43494</v>
      </c>
      <c r="C382" s="5" t="s">
        <v>419</v>
      </c>
      <c r="D382" s="57" t="s">
        <v>567</v>
      </c>
      <c r="E382" s="7" t="s">
        <v>568</v>
      </c>
      <c r="F382" s="33">
        <v>5</v>
      </c>
      <c r="G382" s="67">
        <v>-110</v>
      </c>
      <c r="H382" s="31" t="s">
        <v>6</v>
      </c>
      <c r="I3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8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82" s="36"/>
      <c r="N382" s="40"/>
      <c r="O382" s="37"/>
    </row>
    <row r="383" spans="1:15" x14ac:dyDescent="0.25">
      <c r="A383" s="35">
        <f t="shared" si="18"/>
        <v>39</v>
      </c>
      <c r="B383" s="5">
        <v>43494</v>
      </c>
      <c r="C383" s="5" t="s">
        <v>419</v>
      </c>
      <c r="D383" s="57" t="s">
        <v>567</v>
      </c>
      <c r="E383" s="7" t="s">
        <v>569</v>
      </c>
      <c r="F383" s="33">
        <v>5</v>
      </c>
      <c r="G383" s="67">
        <v>-110</v>
      </c>
      <c r="H383" s="31" t="s">
        <v>36</v>
      </c>
      <c r="I3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8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83" s="36"/>
      <c r="N383" s="40"/>
      <c r="O383" s="37"/>
    </row>
    <row r="384" spans="1:15" x14ac:dyDescent="0.25">
      <c r="A384" s="35">
        <f t="shared" si="18"/>
        <v>39</v>
      </c>
      <c r="B384" s="5">
        <v>43494</v>
      </c>
      <c r="C384" s="5" t="s">
        <v>419</v>
      </c>
      <c r="D384" s="57" t="s">
        <v>570</v>
      </c>
      <c r="E384" s="7" t="s">
        <v>571</v>
      </c>
      <c r="F384" s="33">
        <v>5</v>
      </c>
      <c r="G384" s="67">
        <v>-110</v>
      </c>
      <c r="H384" s="31" t="s">
        <v>36</v>
      </c>
      <c r="I3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8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84" s="36"/>
      <c r="N384" s="40"/>
      <c r="O384" s="37"/>
    </row>
    <row r="385" spans="1:15" x14ac:dyDescent="0.25">
      <c r="A385" s="35">
        <f t="shared" si="18"/>
        <v>39</v>
      </c>
      <c r="B385" s="5">
        <v>43494</v>
      </c>
      <c r="C385" s="5" t="s">
        <v>419</v>
      </c>
      <c r="D385" s="57" t="s">
        <v>570</v>
      </c>
      <c r="E385" s="7" t="s">
        <v>572</v>
      </c>
      <c r="F385" s="33">
        <v>5</v>
      </c>
      <c r="G385" s="67">
        <v>-105</v>
      </c>
      <c r="H385" s="31" t="s">
        <v>6</v>
      </c>
      <c r="I3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8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85" s="36"/>
      <c r="N385" s="40"/>
      <c r="O385" s="37"/>
    </row>
    <row r="386" spans="1:15" x14ac:dyDescent="0.25">
      <c r="A386" s="35">
        <f t="shared" si="18"/>
        <v>39</v>
      </c>
      <c r="B386" s="5">
        <v>43494</v>
      </c>
      <c r="C386" s="5" t="s">
        <v>419</v>
      </c>
      <c r="D386" s="57" t="s">
        <v>573</v>
      </c>
      <c r="E386" s="7" t="s">
        <v>574</v>
      </c>
      <c r="F386" s="33">
        <v>5</v>
      </c>
      <c r="G386" s="67">
        <v>-105</v>
      </c>
      <c r="H386" s="31" t="s">
        <v>36</v>
      </c>
      <c r="I3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38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86" s="36"/>
      <c r="N386" s="40"/>
      <c r="O386" s="37"/>
    </row>
    <row r="387" spans="1:15" x14ac:dyDescent="0.25">
      <c r="A387" s="35">
        <f t="shared" si="18"/>
        <v>39</v>
      </c>
      <c r="B387" s="5">
        <v>43494</v>
      </c>
      <c r="C387" s="5" t="s">
        <v>419</v>
      </c>
      <c r="D387" s="57" t="s">
        <v>573</v>
      </c>
      <c r="E387" s="7" t="s">
        <v>513</v>
      </c>
      <c r="F387" s="33">
        <v>5</v>
      </c>
      <c r="G387" s="67">
        <v>-115</v>
      </c>
      <c r="H387" s="9" t="s">
        <v>36</v>
      </c>
      <c r="I3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8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87" s="36"/>
      <c r="N387" s="40"/>
      <c r="O387" s="37"/>
    </row>
    <row r="388" spans="1:15" x14ac:dyDescent="0.25">
      <c r="A388" s="35">
        <f t="shared" ref="A388:A451" si="19">IF(B388=B387,A387,A387+1)</f>
        <v>39</v>
      </c>
      <c r="B388" s="5">
        <v>43494</v>
      </c>
      <c r="C388" s="5" t="s">
        <v>419</v>
      </c>
      <c r="D388" s="57" t="s">
        <v>575</v>
      </c>
      <c r="E388" s="7" t="s">
        <v>576</v>
      </c>
      <c r="F388" s="33">
        <v>5</v>
      </c>
      <c r="G388" s="67">
        <v>-110</v>
      </c>
      <c r="H388" s="9" t="s">
        <v>6</v>
      </c>
      <c r="I3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8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388" s="36"/>
      <c r="N388" s="40"/>
      <c r="O388" s="37"/>
    </row>
    <row r="389" spans="1:15" x14ac:dyDescent="0.25">
      <c r="A389" s="35">
        <f t="shared" si="19"/>
        <v>39</v>
      </c>
      <c r="B389" s="5">
        <v>43494</v>
      </c>
      <c r="C389" s="5" t="s">
        <v>419</v>
      </c>
      <c r="D389" s="57" t="s">
        <v>575</v>
      </c>
      <c r="E389" s="7" t="s">
        <v>577</v>
      </c>
      <c r="F389" s="33">
        <v>5</v>
      </c>
      <c r="G389" s="67">
        <v>-115</v>
      </c>
      <c r="H389" s="9" t="s">
        <v>36</v>
      </c>
      <c r="I3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8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389" s="36"/>
      <c r="N389" s="40"/>
      <c r="O389" s="37"/>
    </row>
    <row r="390" spans="1:15" x14ac:dyDescent="0.25">
      <c r="A390" s="35">
        <f t="shared" si="19"/>
        <v>39</v>
      </c>
      <c r="B390" s="5">
        <v>43494</v>
      </c>
      <c r="C390" s="5" t="s">
        <v>419</v>
      </c>
      <c r="D390" s="57" t="s">
        <v>578</v>
      </c>
      <c r="E390" s="7" t="s">
        <v>579</v>
      </c>
      <c r="F390" s="33">
        <v>5</v>
      </c>
      <c r="G390" s="67">
        <v>-115</v>
      </c>
      <c r="H390" s="9" t="s">
        <v>36</v>
      </c>
      <c r="I3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39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0" s="36"/>
      <c r="N390" s="40"/>
      <c r="O390" s="37"/>
    </row>
    <row r="391" spans="1:15" x14ac:dyDescent="0.25">
      <c r="A391" s="35">
        <f t="shared" si="19"/>
        <v>39</v>
      </c>
      <c r="B391" s="5">
        <v>43494</v>
      </c>
      <c r="C391" s="5" t="s">
        <v>419</v>
      </c>
      <c r="D391" s="57" t="s">
        <v>578</v>
      </c>
      <c r="E391" s="7" t="s">
        <v>580</v>
      </c>
      <c r="F391" s="33">
        <v>5</v>
      </c>
      <c r="G391" s="67">
        <v>-105</v>
      </c>
      <c r="H391" s="9" t="s">
        <v>6</v>
      </c>
      <c r="I3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39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91" s="36"/>
      <c r="N391" s="40"/>
      <c r="O391" s="37"/>
    </row>
    <row r="392" spans="1:15" x14ac:dyDescent="0.25">
      <c r="A392" s="35">
        <f t="shared" si="19"/>
        <v>39</v>
      </c>
      <c r="B392" s="5">
        <v>43494</v>
      </c>
      <c r="C392" s="5" t="s">
        <v>419</v>
      </c>
      <c r="D392" s="57" t="s">
        <v>581</v>
      </c>
      <c r="E392" s="7" t="s">
        <v>582</v>
      </c>
      <c r="F392" s="33">
        <v>5</v>
      </c>
      <c r="G392" s="67">
        <v>-110</v>
      </c>
      <c r="H392" s="9" t="s">
        <v>65</v>
      </c>
      <c r="I3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39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2" s="36"/>
      <c r="N392" s="40"/>
      <c r="O392" s="37"/>
    </row>
    <row r="393" spans="1:15" x14ac:dyDescent="0.25">
      <c r="A393" s="35">
        <f t="shared" si="19"/>
        <v>39</v>
      </c>
      <c r="B393" s="5">
        <v>43494</v>
      </c>
      <c r="C393" s="5" t="s">
        <v>419</v>
      </c>
      <c r="D393" s="57" t="s">
        <v>583</v>
      </c>
      <c r="E393" s="7" t="s">
        <v>584</v>
      </c>
      <c r="F393" s="33">
        <v>5</v>
      </c>
      <c r="G393" s="67">
        <v>-110</v>
      </c>
      <c r="H393" s="9" t="s">
        <v>36</v>
      </c>
      <c r="I3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39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3" s="36"/>
      <c r="N393" s="40"/>
      <c r="O393" s="37"/>
    </row>
    <row r="394" spans="1:15" x14ac:dyDescent="0.25">
      <c r="A394" s="35">
        <f t="shared" si="19"/>
        <v>40</v>
      </c>
      <c r="B394" s="5">
        <v>43495</v>
      </c>
      <c r="C394" s="5" t="s">
        <v>134</v>
      </c>
      <c r="D394" s="57" t="s">
        <v>606</v>
      </c>
      <c r="E394" s="7" t="s">
        <v>222</v>
      </c>
      <c r="F394" s="33">
        <v>1</v>
      </c>
      <c r="G394" s="63">
        <v>-115</v>
      </c>
      <c r="H394" s="9" t="s">
        <v>36</v>
      </c>
      <c r="I3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39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94" s="36"/>
      <c r="N394" s="40"/>
      <c r="O394" s="37"/>
    </row>
    <row r="395" spans="1:15" x14ac:dyDescent="0.25">
      <c r="A395" s="35">
        <f t="shared" si="19"/>
        <v>40</v>
      </c>
      <c r="B395" s="5">
        <v>43495</v>
      </c>
      <c r="C395" s="5" t="s">
        <v>134</v>
      </c>
      <c r="D395" s="57" t="s">
        <v>606</v>
      </c>
      <c r="E395" s="7" t="s">
        <v>607</v>
      </c>
      <c r="F395" s="33">
        <v>1</v>
      </c>
      <c r="G395" s="63">
        <v>-110</v>
      </c>
      <c r="H395" s="9" t="s">
        <v>36</v>
      </c>
      <c r="I3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39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5" s="36"/>
      <c r="N395" s="40"/>
      <c r="O395" s="37"/>
    </row>
    <row r="396" spans="1:15" x14ac:dyDescent="0.25">
      <c r="A396" s="35">
        <f t="shared" si="19"/>
        <v>40</v>
      </c>
      <c r="B396" s="5">
        <v>43495</v>
      </c>
      <c r="C396" s="5" t="s">
        <v>134</v>
      </c>
      <c r="D396" s="57" t="s">
        <v>608</v>
      </c>
      <c r="E396" s="7" t="s">
        <v>130</v>
      </c>
      <c r="F396" s="33">
        <v>1</v>
      </c>
      <c r="G396" s="63">
        <v>-105</v>
      </c>
      <c r="H396" s="9" t="s">
        <v>6</v>
      </c>
      <c r="I3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39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96" s="36"/>
      <c r="N396" s="40"/>
      <c r="O396" s="37"/>
    </row>
    <row r="397" spans="1:15" x14ac:dyDescent="0.25">
      <c r="A397" s="35">
        <f t="shared" si="19"/>
        <v>40</v>
      </c>
      <c r="B397" s="5">
        <v>43495</v>
      </c>
      <c r="C397" s="5" t="s">
        <v>134</v>
      </c>
      <c r="D397" s="57" t="s">
        <v>608</v>
      </c>
      <c r="E397" s="7" t="s">
        <v>609</v>
      </c>
      <c r="F397" s="33">
        <v>1</v>
      </c>
      <c r="G397" s="63">
        <v>-110</v>
      </c>
      <c r="H397" s="9" t="s">
        <v>6</v>
      </c>
      <c r="I3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39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7" s="36"/>
      <c r="N397" s="40"/>
      <c r="O397" s="37"/>
    </row>
    <row r="398" spans="1:15" x14ac:dyDescent="0.25">
      <c r="A398" s="35">
        <f t="shared" si="19"/>
        <v>40</v>
      </c>
      <c r="B398" s="5">
        <v>43495</v>
      </c>
      <c r="C398" s="5" t="s">
        <v>134</v>
      </c>
      <c r="D398" s="57" t="s">
        <v>610</v>
      </c>
      <c r="E398" s="7" t="s">
        <v>611</v>
      </c>
      <c r="F398" s="33">
        <v>1</v>
      </c>
      <c r="G398" s="63">
        <v>-110</v>
      </c>
      <c r="H398" s="9" t="s">
        <v>36</v>
      </c>
      <c r="I3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39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398" s="36"/>
      <c r="N398" s="40"/>
      <c r="O398" s="37"/>
    </row>
    <row r="399" spans="1:15" x14ac:dyDescent="0.25">
      <c r="A399" s="35">
        <f t="shared" si="19"/>
        <v>40</v>
      </c>
      <c r="B399" s="5">
        <v>43495</v>
      </c>
      <c r="C399" s="5" t="s">
        <v>134</v>
      </c>
      <c r="D399" s="57" t="s">
        <v>610</v>
      </c>
      <c r="E399" s="7" t="s">
        <v>612</v>
      </c>
      <c r="F399" s="33">
        <v>1</v>
      </c>
      <c r="G399" s="63">
        <v>-105</v>
      </c>
      <c r="H399" s="9" t="s">
        <v>6</v>
      </c>
      <c r="I3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39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399" s="36"/>
      <c r="N399" s="40"/>
      <c r="O399" s="37"/>
    </row>
    <row r="400" spans="1:15" x14ac:dyDescent="0.25">
      <c r="A400" s="35">
        <f t="shared" si="19"/>
        <v>40</v>
      </c>
      <c r="B400" s="5">
        <v>43495</v>
      </c>
      <c r="C400" s="5" t="s">
        <v>134</v>
      </c>
      <c r="D400" s="57" t="s">
        <v>613</v>
      </c>
      <c r="E400" s="7" t="s">
        <v>614</v>
      </c>
      <c r="F400" s="33">
        <v>1</v>
      </c>
      <c r="G400" s="63">
        <v>-110</v>
      </c>
      <c r="H400" s="9" t="s">
        <v>6</v>
      </c>
      <c r="I4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00" s="36"/>
      <c r="N400" s="40"/>
      <c r="O400" s="37"/>
    </row>
    <row r="401" spans="1:15" x14ac:dyDescent="0.25">
      <c r="A401" s="35">
        <f t="shared" si="19"/>
        <v>40</v>
      </c>
      <c r="B401" s="5">
        <v>43495</v>
      </c>
      <c r="C401" s="5" t="s">
        <v>134</v>
      </c>
      <c r="D401" s="57" t="s">
        <v>613</v>
      </c>
      <c r="E401" s="7" t="s">
        <v>225</v>
      </c>
      <c r="F401" s="33">
        <v>1</v>
      </c>
      <c r="G401" s="63">
        <v>-110</v>
      </c>
      <c r="H401" s="9" t="s">
        <v>36</v>
      </c>
      <c r="I4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40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01" s="36"/>
      <c r="N401" s="40"/>
      <c r="O401" s="37"/>
    </row>
    <row r="402" spans="1:15" x14ac:dyDescent="0.25">
      <c r="A402" s="35">
        <f t="shared" si="19"/>
        <v>40</v>
      </c>
      <c r="B402" s="5">
        <v>43495</v>
      </c>
      <c r="C402" s="5" t="s">
        <v>134</v>
      </c>
      <c r="D402" s="57" t="s">
        <v>615</v>
      </c>
      <c r="E402" s="7" t="s">
        <v>1224</v>
      </c>
      <c r="F402" s="33">
        <v>1</v>
      </c>
      <c r="G402" s="63">
        <v>-110</v>
      </c>
      <c r="H402" s="9" t="s">
        <v>6</v>
      </c>
      <c r="I4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02" s="36"/>
      <c r="N402" s="40"/>
      <c r="O402" s="37"/>
    </row>
    <row r="403" spans="1:15" x14ac:dyDescent="0.25">
      <c r="A403" s="35">
        <f t="shared" si="19"/>
        <v>40</v>
      </c>
      <c r="B403" s="5">
        <v>43495</v>
      </c>
      <c r="C403" s="5" t="s">
        <v>134</v>
      </c>
      <c r="D403" s="57" t="s">
        <v>615</v>
      </c>
      <c r="E403" s="7" t="s">
        <v>163</v>
      </c>
      <c r="F403" s="33">
        <v>1</v>
      </c>
      <c r="G403" s="63">
        <v>-115</v>
      </c>
      <c r="H403" s="9" t="s">
        <v>6</v>
      </c>
      <c r="I4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03" s="36"/>
      <c r="N403" s="40"/>
      <c r="O403" s="37"/>
    </row>
    <row r="404" spans="1:15" x14ac:dyDescent="0.25">
      <c r="A404" s="35">
        <f t="shared" si="19"/>
        <v>40</v>
      </c>
      <c r="B404" s="5">
        <v>43495</v>
      </c>
      <c r="C404" s="5" t="s">
        <v>134</v>
      </c>
      <c r="D404" s="57" t="s">
        <v>616</v>
      </c>
      <c r="E404" s="7" t="s">
        <v>140</v>
      </c>
      <c r="F404" s="33">
        <v>1</v>
      </c>
      <c r="G404" s="63">
        <v>-110</v>
      </c>
      <c r="H404" s="9" t="s">
        <v>6</v>
      </c>
      <c r="I4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04" s="36"/>
      <c r="N404" s="40"/>
      <c r="O404" s="37"/>
    </row>
    <row r="405" spans="1:15" x14ac:dyDescent="0.25">
      <c r="A405" s="35">
        <f t="shared" si="19"/>
        <v>40</v>
      </c>
      <c r="B405" s="5">
        <v>43495</v>
      </c>
      <c r="C405" s="5" t="s">
        <v>134</v>
      </c>
      <c r="D405" s="57" t="s">
        <v>616</v>
      </c>
      <c r="E405" s="7" t="s">
        <v>147</v>
      </c>
      <c r="F405" s="33">
        <v>1</v>
      </c>
      <c r="G405" s="63">
        <v>-110</v>
      </c>
      <c r="H405" s="9" t="s">
        <v>6</v>
      </c>
      <c r="I4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05" s="36"/>
      <c r="N405" s="40"/>
      <c r="O405" s="37"/>
    </row>
    <row r="406" spans="1:15" x14ac:dyDescent="0.25">
      <c r="A406" s="35">
        <f t="shared" si="19"/>
        <v>40</v>
      </c>
      <c r="B406" s="5">
        <v>43495</v>
      </c>
      <c r="C406" s="5" t="s">
        <v>134</v>
      </c>
      <c r="D406" s="57" t="s">
        <v>617</v>
      </c>
      <c r="E406" s="7" t="s">
        <v>283</v>
      </c>
      <c r="F406" s="33">
        <v>1</v>
      </c>
      <c r="G406" s="63">
        <v>-105</v>
      </c>
      <c r="H406" s="9" t="s">
        <v>36</v>
      </c>
      <c r="I4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40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06" s="36"/>
      <c r="N406" s="40"/>
      <c r="O406" s="37"/>
    </row>
    <row r="407" spans="1:15" x14ac:dyDescent="0.25">
      <c r="A407" s="35">
        <f t="shared" si="19"/>
        <v>40</v>
      </c>
      <c r="B407" s="5">
        <v>43495</v>
      </c>
      <c r="C407" s="5" t="s">
        <v>134</v>
      </c>
      <c r="D407" s="57" t="s">
        <v>617</v>
      </c>
      <c r="E407" s="7" t="s">
        <v>127</v>
      </c>
      <c r="F407" s="33">
        <v>1</v>
      </c>
      <c r="G407" s="63">
        <v>-105</v>
      </c>
      <c r="H407" s="9" t="s">
        <v>6</v>
      </c>
      <c r="I4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07" s="36"/>
      <c r="N407" s="40"/>
      <c r="O407" s="37"/>
    </row>
    <row r="408" spans="1:15" x14ac:dyDescent="0.25">
      <c r="A408" s="35">
        <f t="shared" si="19"/>
        <v>40</v>
      </c>
      <c r="B408" s="5">
        <v>43495</v>
      </c>
      <c r="C408" s="5" t="s">
        <v>134</v>
      </c>
      <c r="D408" s="57" t="s">
        <v>618</v>
      </c>
      <c r="E408" s="7" t="s">
        <v>619</v>
      </c>
      <c r="F408" s="33">
        <v>1</v>
      </c>
      <c r="G408" s="63">
        <v>-110</v>
      </c>
      <c r="H408" s="9" t="s">
        <v>6</v>
      </c>
      <c r="I4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0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08" s="36"/>
      <c r="N408" s="40"/>
      <c r="O408" s="37"/>
    </row>
    <row r="409" spans="1:15" x14ac:dyDescent="0.25">
      <c r="A409" s="35">
        <f t="shared" si="19"/>
        <v>40</v>
      </c>
      <c r="B409" s="5">
        <v>43495</v>
      </c>
      <c r="C409" s="5" t="s">
        <v>419</v>
      </c>
      <c r="D409" s="57" t="s">
        <v>585</v>
      </c>
      <c r="E409" s="7" t="s">
        <v>586</v>
      </c>
      <c r="F409" s="33">
        <v>5</v>
      </c>
      <c r="G409" s="67">
        <v>-115</v>
      </c>
      <c r="H409" s="9" t="s">
        <v>36</v>
      </c>
      <c r="I4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0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09" s="36"/>
      <c r="N409" s="40"/>
      <c r="O409" s="37"/>
    </row>
    <row r="410" spans="1:15" x14ac:dyDescent="0.25">
      <c r="A410" s="35">
        <f t="shared" si="19"/>
        <v>40</v>
      </c>
      <c r="B410" s="5">
        <v>43495</v>
      </c>
      <c r="C410" s="5" t="s">
        <v>419</v>
      </c>
      <c r="D410" s="57" t="s">
        <v>585</v>
      </c>
      <c r="E410" s="7" t="s">
        <v>439</v>
      </c>
      <c r="F410" s="33">
        <v>5</v>
      </c>
      <c r="G410" s="67">
        <v>-110</v>
      </c>
      <c r="H410" s="9" t="s">
        <v>36</v>
      </c>
      <c r="I4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1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10" s="36"/>
      <c r="N410" s="40"/>
      <c r="O410" s="37"/>
    </row>
    <row r="411" spans="1:15" x14ac:dyDescent="0.25">
      <c r="A411" s="35">
        <f t="shared" si="19"/>
        <v>40</v>
      </c>
      <c r="B411" s="5">
        <v>43495</v>
      </c>
      <c r="C411" s="5" t="s">
        <v>419</v>
      </c>
      <c r="D411" s="57" t="s">
        <v>587</v>
      </c>
      <c r="E411" s="7" t="s">
        <v>588</v>
      </c>
      <c r="F411" s="33">
        <v>5</v>
      </c>
      <c r="G411" s="67">
        <v>-105</v>
      </c>
      <c r="H411" s="9" t="s">
        <v>6</v>
      </c>
      <c r="I4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1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11" s="36"/>
      <c r="N411" s="40"/>
      <c r="O411" s="37"/>
    </row>
    <row r="412" spans="1:15" x14ac:dyDescent="0.25">
      <c r="A412" s="35">
        <f t="shared" si="19"/>
        <v>40</v>
      </c>
      <c r="B412" s="5">
        <v>43495</v>
      </c>
      <c r="C412" s="5" t="s">
        <v>419</v>
      </c>
      <c r="D412" s="57" t="s">
        <v>589</v>
      </c>
      <c r="E412" s="7" t="s">
        <v>590</v>
      </c>
      <c r="F412" s="33">
        <v>5</v>
      </c>
      <c r="G412" s="67">
        <v>-110</v>
      </c>
      <c r="H412" s="9" t="s">
        <v>36</v>
      </c>
      <c r="I4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1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12" s="36"/>
      <c r="N412" s="40"/>
      <c r="O412" s="37"/>
    </row>
    <row r="413" spans="1:15" x14ac:dyDescent="0.25">
      <c r="A413" s="35">
        <f t="shared" si="19"/>
        <v>40</v>
      </c>
      <c r="B413" s="5">
        <v>43495</v>
      </c>
      <c r="C413" s="5" t="s">
        <v>419</v>
      </c>
      <c r="D413" s="57" t="s">
        <v>589</v>
      </c>
      <c r="E413" s="7" t="s">
        <v>474</v>
      </c>
      <c r="F413" s="33">
        <v>5</v>
      </c>
      <c r="G413" s="67">
        <v>-105</v>
      </c>
      <c r="H413" s="9" t="s">
        <v>36</v>
      </c>
      <c r="I4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41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13" s="36"/>
      <c r="N413" s="40"/>
      <c r="O413" s="37"/>
    </row>
    <row r="414" spans="1:15" x14ac:dyDescent="0.25">
      <c r="A414" s="35">
        <f t="shared" si="19"/>
        <v>40</v>
      </c>
      <c r="B414" s="5">
        <v>43495</v>
      </c>
      <c r="C414" s="5" t="s">
        <v>419</v>
      </c>
      <c r="D414" s="57" t="s">
        <v>591</v>
      </c>
      <c r="E414" s="7" t="s">
        <v>592</v>
      </c>
      <c r="F414" s="33">
        <v>5</v>
      </c>
      <c r="G414" s="67">
        <v>-115</v>
      </c>
      <c r="H414" s="9" t="s">
        <v>36</v>
      </c>
      <c r="I4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1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14" s="36"/>
      <c r="N414" s="40"/>
      <c r="O414" s="37"/>
    </row>
    <row r="415" spans="1:15" x14ac:dyDescent="0.25">
      <c r="A415" s="35">
        <f t="shared" si="19"/>
        <v>40</v>
      </c>
      <c r="B415" s="5">
        <v>43495</v>
      </c>
      <c r="C415" s="5" t="s">
        <v>419</v>
      </c>
      <c r="D415" s="57" t="s">
        <v>591</v>
      </c>
      <c r="E415" s="7" t="s">
        <v>593</v>
      </c>
      <c r="F415" s="33">
        <v>5</v>
      </c>
      <c r="G415" s="67">
        <v>-115</v>
      </c>
      <c r="H415" s="9" t="s">
        <v>6</v>
      </c>
      <c r="I4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1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15" s="36"/>
      <c r="N415" s="40"/>
      <c r="O415" s="37"/>
    </row>
    <row r="416" spans="1:15" x14ac:dyDescent="0.25">
      <c r="A416" s="35">
        <f t="shared" si="19"/>
        <v>40</v>
      </c>
      <c r="B416" s="5">
        <v>43495</v>
      </c>
      <c r="C416" s="5" t="s">
        <v>419</v>
      </c>
      <c r="D416" s="57" t="s">
        <v>594</v>
      </c>
      <c r="E416" s="7" t="s">
        <v>605</v>
      </c>
      <c r="F416" s="33">
        <v>5</v>
      </c>
      <c r="G416" s="67">
        <v>-110</v>
      </c>
      <c r="H416" s="9" t="s">
        <v>6</v>
      </c>
      <c r="I4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1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16" s="36"/>
      <c r="N416" s="40"/>
      <c r="O416" s="37"/>
    </row>
    <row r="417" spans="1:15" x14ac:dyDescent="0.25">
      <c r="A417" s="35">
        <f t="shared" si="19"/>
        <v>40</v>
      </c>
      <c r="B417" s="5">
        <v>43495</v>
      </c>
      <c r="C417" s="5" t="s">
        <v>419</v>
      </c>
      <c r="D417" s="57" t="s">
        <v>594</v>
      </c>
      <c r="E417" s="7" t="s">
        <v>519</v>
      </c>
      <c r="F417" s="33">
        <v>5</v>
      </c>
      <c r="G417" s="67">
        <v>-115</v>
      </c>
      <c r="H417" s="9" t="s">
        <v>36</v>
      </c>
      <c r="I4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1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17" s="36"/>
      <c r="N417" s="40"/>
      <c r="O417" s="37"/>
    </row>
    <row r="418" spans="1:15" x14ac:dyDescent="0.25">
      <c r="A418" s="35">
        <f t="shared" si="19"/>
        <v>40</v>
      </c>
      <c r="B418" s="5">
        <v>43495</v>
      </c>
      <c r="C418" s="5" t="s">
        <v>419</v>
      </c>
      <c r="D418" s="57" t="s">
        <v>595</v>
      </c>
      <c r="E418" s="7" t="s">
        <v>592</v>
      </c>
      <c r="F418" s="33">
        <v>5</v>
      </c>
      <c r="G418" s="67">
        <v>-110</v>
      </c>
      <c r="H418" s="9" t="s">
        <v>36</v>
      </c>
      <c r="I4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1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18" s="36"/>
      <c r="N418" s="40"/>
      <c r="O418" s="37"/>
    </row>
    <row r="419" spans="1:15" x14ac:dyDescent="0.25">
      <c r="A419" s="35">
        <f t="shared" si="19"/>
        <v>40</v>
      </c>
      <c r="B419" s="5">
        <v>43495</v>
      </c>
      <c r="C419" s="5" t="s">
        <v>419</v>
      </c>
      <c r="D419" s="57" t="s">
        <v>595</v>
      </c>
      <c r="E419" s="7" t="s">
        <v>596</v>
      </c>
      <c r="F419" s="33">
        <v>5</v>
      </c>
      <c r="G419" s="67">
        <v>-115</v>
      </c>
      <c r="H419" s="9" t="s">
        <v>6</v>
      </c>
      <c r="I4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1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19" s="36"/>
      <c r="N419" s="40"/>
      <c r="O419" s="37"/>
    </row>
    <row r="420" spans="1:15" x14ac:dyDescent="0.25">
      <c r="A420" s="35">
        <f t="shared" si="19"/>
        <v>40</v>
      </c>
      <c r="B420" s="5">
        <v>43495</v>
      </c>
      <c r="C420" s="5" t="s">
        <v>419</v>
      </c>
      <c r="D420" s="57" t="s">
        <v>597</v>
      </c>
      <c r="E420" s="7" t="s">
        <v>598</v>
      </c>
      <c r="F420" s="33">
        <v>5</v>
      </c>
      <c r="G420" s="67">
        <v>-115</v>
      </c>
      <c r="H420" s="9" t="s">
        <v>6</v>
      </c>
      <c r="I4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20" s="36"/>
      <c r="N420" s="40"/>
      <c r="O420" s="37"/>
    </row>
    <row r="421" spans="1:15" x14ac:dyDescent="0.25">
      <c r="A421" s="35">
        <f t="shared" si="19"/>
        <v>40</v>
      </c>
      <c r="B421" s="5">
        <v>43495</v>
      </c>
      <c r="C421" s="5" t="s">
        <v>419</v>
      </c>
      <c r="D421" s="57" t="s">
        <v>597</v>
      </c>
      <c r="E421" s="7" t="s">
        <v>599</v>
      </c>
      <c r="F421" s="33">
        <v>5</v>
      </c>
      <c r="G421" s="67">
        <v>-110</v>
      </c>
      <c r="H421" s="9" t="s">
        <v>6</v>
      </c>
      <c r="I4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1" s="36"/>
      <c r="N421" s="40"/>
      <c r="O421" s="37"/>
    </row>
    <row r="422" spans="1:15" x14ac:dyDescent="0.25">
      <c r="A422" s="35">
        <f t="shared" si="19"/>
        <v>40</v>
      </c>
      <c r="B422" s="5">
        <v>43495</v>
      </c>
      <c r="C422" s="5" t="s">
        <v>419</v>
      </c>
      <c r="D422" s="57" t="s">
        <v>600</v>
      </c>
      <c r="E422" s="7" t="s">
        <v>454</v>
      </c>
      <c r="F422" s="33">
        <v>5</v>
      </c>
      <c r="G422" s="67">
        <v>-110</v>
      </c>
      <c r="H422" s="9" t="s">
        <v>36</v>
      </c>
      <c r="I4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2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22" s="36"/>
      <c r="N422" s="40"/>
      <c r="O422" s="37"/>
    </row>
    <row r="423" spans="1:15" x14ac:dyDescent="0.25">
      <c r="A423" s="35">
        <f t="shared" si="19"/>
        <v>40</v>
      </c>
      <c r="B423" s="5">
        <v>43495</v>
      </c>
      <c r="C423" s="5" t="s">
        <v>419</v>
      </c>
      <c r="D423" s="57" t="s">
        <v>601</v>
      </c>
      <c r="E423" s="7" t="s">
        <v>602</v>
      </c>
      <c r="F423" s="33">
        <v>5</v>
      </c>
      <c r="G423" s="67">
        <v>-110</v>
      </c>
      <c r="H423" s="9" t="s">
        <v>6</v>
      </c>
      <c r="I4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3" s="36"/>
      <c r="N423" s="40"/>
      <c r="O423" s="37"/>
    </row>
    <row r="424" spans="1:15" x14ac:dyDescent="0.25">
      <c r="A424" s="35">
        <f t="shared" si="19"/>
        <v>40</v>
      </c>
      <c r="B424" s="5">
        <v>43495</v>
      </c>
      <c r="C424" s="5" t="s">
        <v>419</v>
      </c>
      <c r="D424" s="57" t="s">
        <v>601</v>
      </c>
      <c r="E424" s="7" t="s">
        <v>592</v>
      </c>
      <c r="F424" s="33">
        <v>5</v>
      </c>
      <c r="G424" s="67">
        <v>-105</v>
      </c>
      <c r="H424" s="9" t="s">
        <v>36</v>
      </c>
      <c r="I4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42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24" s="36"/>
      <c r="N424" s="40"/>
      <c r="O424" s="37"/>
    </row>
    <row r="425" spans="1:15" x14ac:dyDescent="0.25">
      <c r="A425" s="35">
        <f t="shared" si="19"/>
        <v>40</v>
      </c>
      <c r="B425" s="5">
        <v>43495</v>
      </c>
      <c r="C425" s="5" t="s">
        <v>419</v>
      </c>
      <c r="D425" s="57" t="s">
        <v>603</v>
      </c>
      <c r="E425" s="7" t="s">
        <v>604</v>
      </c>
      <c r="F425" s="33">
        <v>5</v>
      </c>
      <c r="G425" s="67">
        <v>-110</v>
      </c>
      <c r="H425" s="9" t="s">
        <v>6</v>
      </c>
      <c r="I4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5" s="36"/>
      <c r="N425" s="40"/>
      <c r="O425" s="37"/>
    </row>
    <row r="426" spans="1:15" x14ac:dyDescent="0.25">
      <c r="A426" s="35">
        <f t="shared" si="19"/>
        <v>41</v>
      </c>
      <c r="B426" s="5">
        <v>43496</v>
      </c>
      <c r="C426" s="5" t="s">
        <v>419</v>
      </c>
      <c r="D426" s="57" t="s">
        <v>620</v>
      </c>
      <c r="E426" s="7" t="s">
        <v>621</v>
      </c>
      <c r="F426" s="33">
        <v>5</v>
      </c>
      <c r="G426" s="67">
        <v>-110</v>
      </c>
      <c r="H426" s="9" t="s">
        <v>36</v>
      </c>
      <c r="I4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2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6" s="36"/>
      <c r="N426" s="40"/>
      <c r="O426" s="37"/>
    </row>
    <row r="427" spans="1:15" x14ac:dyDescent="0.25">
      <c r="A427" s="35">
        <f t="shared" si="19"/>
        <v>41</v>
      </c>
      <c r="B427" s="5">
        <v>43496</v>
      </c>
      <c r="C427" s="5" t="s">
        <v>419</v>
      </c>
      <c r="D427" s="57" t="s">
        <v>620</v>
      </c>
      <c r="E427" s="7" t="s">
        <v>622</v>
      </c>
      <c r="F427" s="33">
        <v>5</v>
      </c>
      <c r="G427" s="67">
        <v>-115</v>
      </c>
      <c r="H427" s="9" t="s">
        <v>6</v>
      </c>
      <c r="I4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27" s="36"/>
      <c r="N427" s="40"/>
      <c r="O427" s="37"/>
    </row>
    <row r="428" spans="1:15" x14ac:dyDescent="0.25">
      <c r="A428" s="35">
        <f t="shared" si="19"/>
        <v>41</v>
      </c>
      <c r="B428" s="5">
        <v>43496</v>
      </c>
      <c r="C428" s="5" t="s">
        <v>419</v>
      </c>
      <c r="D428" s="57" t="s">
        <v>623</v>
      </c>
      <c r="E428" s="7" t="s">
        <v>637</v>
      </c>
      <c r="F428" s="33">
        <v>5</v>
      </c>
      <c r="G428" s="67">
        <v>-110</v>
      </c>
      <c r="H428" s="9" t="s">
        <v>6</v>
      </c>
      <c r="I4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2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28" s="36"/>
      <c r="N428" s="40"/>
      <c r="O428" s="37"/>
    </row>
    <row r="429" spans="1:15" x14ac:dyDescent="0.25">
      <c r="A429" s="35">
        <f t="shared" si="19"/>
        <v>41</v>
      </c>
      <c r="B429" s="5">
        <v>43496</v>
      </c>
      <c r="C429" s="5" t="s">
        <v>419</v>
      </c>
      <c r="D429" s="57" t="s">
        <v>624</v>
      </c>
      <c r="E429" s="7" t="s">
        <v>625</v>
      </c>
      <c r="F429" s="33">
        <v>5</v>
      </c>
      <c r="G429" s="67">
        <v>-110</v>
      </c>
      <c r="H429" s="9" t="s">
        <v>36</v>
      </c>
      <c r="I4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2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29" s="36"/>
      <c r="N429" s="40"/>
      <c r="O429" s="37"/>
    </row>
    <row r="430" spans="1:15" x14ac:dyDescent="0.25">
      <c r="A430" s="35">
        <f t="shared" si="19"/>
        <v>41</v>
      </c>
      <c r="B430" s="5">
        <v>43496</v>
      </c>
      <c r="C430" s="5" t="s">
        <v>419</v>
      </c>
      <c r="D430" s="57" t="s">
        <v>624</v>
      </c>
      <c r="E430" s="7" t="s">
        <v>638</v>
      </c>
      <c r="F430" s="33">
        <v>5</v>
      </c>
      <c r="G430" s="67">
        <v>-110</v>
      </c>
      <c r="H430" s="9" t="s">
        <v>36</v>
      </c>
      <c r="I4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3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30" s="36"/>
      <c r="N430" s="40"/>
      <c r="O430" s="37"/>
    </row>
    <row r="431" spans="1:15" x14ac:dyDescent="0.25">
      <c r="A431" s="35">
        <f t="shared" si="19"/>
        <v>41</v>
      </c>
      <c r="B431" s="5">
        <v>43496</v>
      </c>
      <c r="C431" s="5" t="s">
        <v>419</v>
      </c>
      <c r="D431" s="57" t="s">
        <v>626</v>
      </c>
      <c r="E431" s="7" t="s">
        <v>627</v>
      </c>
      <c r="F431" s="33">
        <v>5</v>
      </c>
      <c r="G431" s="67">
        <v>-105</v>
      </c>
      <c r="H431" s="9" t="s">
        <v>6</v>
      </c>
      <c r="I4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3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31" s="36"/>
      <c r="N431" s="40"/>
      <c r="O431" s="37"/>
    </row>
    <row r="432" spans="1:15" x14ac:dyDescent="0.25">
      <c r="A432" s="35">
        <f t="shared" si="19"/>
        <v>41</v>
      </c>
      <c r="B432" s="5">
        <v>43496</v>
      </c>
      <c r="C432" s="5" t="s">
        <v>419</v>
      </c>
      <c r="D432" s="57" t="s">
        <v>626</v>
      </c>
      <c r="E432" s="7" t="s">
        <v>489</v>
      </c>
      <c r="F432" s="33">
        <v>5</v>
      </c>
      <c r="G432" s="67">
        <v>-110</v>
      </c>
      <c r="H432" s="9" t="s">
        <v>36</v>
      </c>
      <c r="I4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3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32" s="36"/>
      <c r="N432" s="40"/>
      <c r="O432" s="37"/>
    </row>
    <row r="433" spans="1:15" x14ac:dyDescent="0.25">
      <c r="A433" s="35">
        <f t="shared" si="19"/>
        <v>41</v>
      </c>
      <c r="B433" s="5">
        <v>43496</v>
      </c>
      <c r="C433" s="5" t="s">
        <v>419</v>
      </c>
      <c r="D433" s="57" t="s">
        <v>628</v>
      </c>
      <c r="E433" s="7" t="s">
        <v>639</v>
      </c>
      <c r="F433" s="33">
        <v>5</v>
      </c>
      <c r="G433" s="67">
        <v>-110</v>
      </c>
      <c r="H433" s="9" t="s">
        <v>36</v>
      </c>
      <c r="I4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3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33" s="36"/>
      <c r="N433" s="40"/>
      <c r="O433" s="37"/>
    </row>
    <row r="434" spans="1:15" x14ac:dyDescent="0.25">
      <c r="A434" s="35">
        <f t="shared" si="19"/>
        <v>41</v>
      </c>
      <c r="B434" s="5">
        <v>43496</v>
      </c>
      <c r="C434" s="5" t="s">
        <v>419</v>
      </c>
      <c r="D434" s="57" t="s">
        <v>628</v>
      </c>
      <c r="E434" s="7" t="s">
        <v>629</v>
      </c>
      <c r="F434" s="33">
        <v>5</v>
      </c>
      <c r="G434" s="67">
        <v>-105</v>
      </c>
      <c r="H434" s="9" t="s">
        <v>6</v>
      </c>
      <c r="I4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3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34" s="36"/>
      <c r="N434" s="40"/>
      <c r="O434" s="37"/>
    </row>
    <row r="435" spans="1:15" x14ac:dyDescent="0.25">
      <c r="A435" s="35">
        <f t="shared" si="19"/>
        <v>41</v>
      </c>
      <c r="B435" s="5">
        <v>43496</v>
      </c>
      <c r="C435" s="5" t="s">
        <v>419</v>
      </c>
      <c r="D435" s="57" t="s">
        <v>630</v>
      </c>
      <c r="E435" s="7" t="s">
        <v>631</v>
      </c>
      <c r="F435" s="33">
        <v>5</v>
      </c>
      <c r="G435" s="67">
        <v>-110</v>
      </c>
      <c r="H435" s="9" t="s">
        <v>36</v>
      </c>
      <c r="I4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3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35" s="36"/>
      <c r="N435" s="40"/>
      <c r="O435" s="37"/>
    </row>
    <row r="436" spans="1:15" x14ac:dyDescent="0.25">
      <c r="A436" s="35">
        <f t="shared" si="19"/>
        <v>41</v>
      </c>
      <c r="B436" s="5">
        <v>43496</v>
      </c>
      <c r="C436" s="5" t="s">
        <v>419</v>
      </c>
      <c r="D436" s="57" t="s">
        <v>630</v>
      </c>
      <c r="E436" s="7" t="s">
        <v>632</v>
      </c>
      <c r="F436" s="33">
        <v>5</v>
      </c>
      <c r="G436" s="67">
        <v>-110</v>
      </c>
      <c r="H436" s="9" t="s">
        <v>6</v>
      </c>
      <c r="I4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3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36" s="36"/>
      <c r="N436" s="40"/>
      <c r="O436" s="37"/>
    </row>
    <row r="437" spans="1:15" x14ac:dyDescent="0.25">
      <c r="A437" s="35">
        <f t="shared" si="19"/>
        <v>41</v>
      </c>
      <c r="B437" s="5">
        <v>43496</v>
      </c>
      <c r="C437" s="5" t="s">
        <v>419</v>
      </c>
      <c r="D437" s="57" t="s">
        <v>633</v>
      </c>
      <c r="E437" s="7" t="s">
        <v>634</v>
      </c>
      <c r="F437" s="33">
        <v>5</v>
      </c>
      <c r="G437" s="67">
        <v>-110</v>
      </c>
      <c r="H437" s="9" t="s">
        <v>6</v>
      </c>
      <c r="I4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3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37" s="36"/>
      <c r="N437" s="40"/>
      <c r="O437" s="37"/>
    </row>
    <row r="438" spans="1:15" x14ac:dyDescent="0.25">
      <c r="A438" s="35">
        <f t="shared" si="19"/>
        <v>41</v>
      </c>
      <c r="B438" s="5">
        <v>43496</v>
      </c>
      <c r="C438" s="5" t="s">
        <v>419</v>
      </c>
      <c r="D438" s="57" t="s">
        <v>635</v>
      </c>
      <c r="E438" s="7" t="s">
        <v>636</v>
      </c>
      <c r="F438" s="33">
        <v>5</v>
      </c>
      <c r="G438" s="67">
        <v>-110</v>
      </c>
      <c r="H438" s="9" t="s">
        <v>6</v>
      </c>
      <c r="I4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3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38" s="36"/>
      <c r="N438" s="40"/>
      <c r="O438" s="37"/>
    </row>
    <row r="439" spans="1:15" x14ac:dyDescent="0.25">
      <c r="A439" s="35">
        <f t="shared" si="19"/>
        <v>41</v>
      </c>
      <c r="B439" s="5">
        <v>43496</v>
      </c>
      <c r="C439" s="5" t="s">
        <v>419</v>
      </c>
      <c r="D439" s="57" t="s">
        <v>635</v>
      </c>
      <c r="E439" s="7" t="s">
        <v>528</v>
      </c>
      <c r="F439" s="33">
        <v>5</v>
      </c>
      <c r="G439" s="67">
        <v>-110</v>
      </c>
      <c r="H439" s="9" t="s">
        <v>65</v>
      </c>
      <c r="I4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43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39" s="36"/>
      <c r="N439" s="40"/>
      <c r="O439" s="37"/>
    </row>
    <row r="440" spans="1:15" x14ac:dyDescent="0.25">
      <c r="A440" s="35">
        <f t="shared" si="19"/>
        <v>42</v>
      </c>
      <c r="B440" s="5">
        <v>43497</v>
      </c>
      <c r="C440" s="5" t="s">
        <v>419</v>
      </c>
      <c r="D440" s="57" t="s">
        <v>642</v>
      </c>
      <c r="E440" s="7" t="s">
        <v>665</v>
      </c>
      <c r="F440" s="33">
        <v>5</v>
      </c>
      <c r="G440" s="67">
        <v>-110</v>
      </c>
      <c r="H440" s="9" t="s">
        <v>6</v>
      </c>
      <c r="I4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4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40" s="36"/>
      <c r="N440" s="40"/>
      <c r="O440" s="37"/>
    </row>
    <row r="441" spans="1:15" x14ac:dyDescent="0.25">
      <c r="A441" s="35">
        <f t="shared" si="19"/>
        <v>42</v>
      </c>
      <c r="B441" s="5">
        <v>43497</v>
      </c>
      <c r="C441" s="5" t="s">
        <v>419</v>
      </c>
      <c r="D441" s="57" t="s">
        <v>642</v>
      </c>
      <c r="E441" s="7" t="s">
        <v>643</v>
      </c>
      <c r="F441" s="33">
        <v>5</v>
      </c>
      <c r="G441" s="67">
        <v>-110</v>
      </c>
      <c r="H441" s="9" t="s">
        <v>36</v>
      </c>
      <c r="I4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4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41" s="36"/>
      <c r="N441" s="40"/>
      <c r="O441" s="37"/>
    </row>
    <row r="442" spans="1:15" x14ac:dyDescent="0.25">
      <c r="A442" s="35">
        <f t="shared" si="19"/>
        <v>42</v>
      </c>
      <c r="B442" s="5">
        <v>43497</v>
      </c>
      <c r="C442" s="5" t="s">
        <v>419</v>
      </c>
      <c r="D442" s="57" t="s">
        <v>642</v>
      </c>
      <c r="E442" s="7" t="s">
        <v>644</v>
      </c>
      <c r="F442" s="33">
        <v>5</v>
      </c>
      <c r="G442" s="67">
        <v>-260</v>
      </c>
      <c r="H442" s="9" t="s">
        <v>6</v>
      </c>
      <c r="I4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4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42" s="36"/>
      <c r="N442" s="40"/>
      <c r="O442" s="37"/>
    </row>
    <row r="443" spans="1:15" x14ac:dyDescent="0.25">
      <c r="A443" s="35">
        <f t="shared" si="19"/>
        <v>42</v>
      </c>
      <c r="B443" s="5">
        <v>43497</v>
      </c>
      <c r="C443" s="5" t="s">
        <v>419</v>
      </c>
      <c r="D443" s="57" t="s">
        <v>645</v>
      </c>
      <c r="E443" s="7" t="s">
        <v>646</v>
      </c>
      <c r="F443" s="33">
        <v>5</v>
      </c>
      <c r="G443" s="67">
        <v>-105</v>
      </c>
      <c r="H443" s="9" t="s">
        <v>36</v>
      </c>
      <c r="I4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44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43" s="36"/>
      <c r="N443" s="40"/>
      <c r="O443" s="37"/>
    </row>
    <row r="444" spans="1:15" x14ac:dyDescent="0.25">
      <c r="A444" s="35">
        <f t="shared" si="19"/>
        <v>42</v>
      </c>
      <c r="B444" s="5">
        <v>43497</v>
      </c>
      <c r="C444" s="5" t="s">
        <v>419</v>
      </c>
      <c r="D444" s="57" t="s">
        <v>647</v>
      </c>
      <c r="E444" s="7" t="s">
        <v>648</v>
      </c>
      <c r="F444" s="33">
        <v>5</v>
      </c>
      <c r="G444" s="67">
        <v>-110</v>
      </c>
      <c r="H444" s="9" t="s">
        <v>36</v>
      </c>
      <c r="I4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4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44" s="36"/>
      <c r="N444" s="40"/>
      <c r="O444" s="37"/>
    </row>
    <row r="445" spans="1:15" x14ac:dyDescent="0.25">
      <c r="A445" s="35">
        <f t="shared" si="19"/>
        <v>42</v>
      </c>
      <c r="B445" s="5">
        <v>43497</v>
      </c>
      <c r="C445" s="5" t="s">
        <v>419</v>
      </c>
      <c r="D445" s="57" t="s">
        <v>647</v>
      </c>
      <c r="E445" s="7" t="s">
        <v>493</v>
      </c>
      <c r="F445" s="33">
        <v>5</v>
      </c>
      <c r="G445" s="67">
        <v>-105</v>
      </c>
      <c r="H445" s="9" t="s">
        <v>36</v>
      </c>
      <c r="I4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44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45" s="36"/>
      <c r="N445" s="40"/>
      <c r="O445" s="37"/>
    </row>
    <row r="446" spans="1:15" x14ac:dyDescent="0.25">
      <c r="A446" s="35">
        <f t="shared" si="19"/>
        <v>42</v>
      </c>
      <c r="B446" s="5">
        <v>43497</v>
      </c>
      <c r="C446" s="5" t="s">
        <v>419</v>
      </c>
      <c r="D446" s="57" t="s">
        <v>647</v>
      </c>
      <c r="E446" s="7" t="s">
        <v>649</v>
      </c>
      <c r="F446" s="33">
        <v>5</v>
      </c>
      <c r="G446" s="67">
        <v>-125</v>
      </c>
      <c r="H446" s="9" t="s">
        <v>36</v>
      </c>
      <c r="I4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</v>
      </c>
      <c r="J44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46" s="36"/>
      <c r="N446" s="40"/>
      <c r="O446" s="37"/>
    </row>
    <row r="447" spans="1:15" x14ac:dyDescent="0.25">
      <c r="A447" s="35">
        <f t="shared" si="19"/>
        <v>42</v>
      </c>
      <c r="B447" s="5">
        <v>43497</v>
      </c>
      <c r="C447" s="5" t="s">
        <v>419</v>
      </c>
      <c r="D447" s="57" t="s">
        <v>650</v>
      </c>
      <c r="E447" s="7" t="s">
        <v>651</v>
      </c>
      <c r="F447" s="33">
        <v>5</v>
      </c>
      <c r="G447" s="67">
        <v>-110</v>
      </c>
      <c r="H447" s="9" t="s">
        <v>6</v>
      </c>
      <c r="I4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4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47" s="36"/>
      <c r="N447" s="40"/>
      <c r="O447" s="37"/>
    </row>
    <row r="448" spans="1:15" x14ac:dyDescent="0.25">
      <c r="A448" s="35">
        <f t="shared" si="19"/>
        <v>42</v>
      </c>
      <c r="B448" s="5">
        <v>43497</v>
      </c>
      <c r="C448" s="5" t="s">
        <v>419</v>
      </c>
      <c r="D448" s="57" t="s">
        <v>650</v>
      </c>
      <c r="E448" s="7" t="s">
        <v>652</v>
      </c>
      <c r="F448" s="33">
        <v>5</v>
      </c>
      <c r="G448" s="67">
        <v>-210</v>
      </c>
      <c r="H448" s="9" t="s">
        <v>6</v>
      </c>
      <c r="I4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4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48" s="36"/>
      <c r="N448" s="40"/>
      <c r="O448" s="37"/>
    </row>
    <row r="449" spans="1:15" x14ac:dyDescent="0.25">
      <c r="A449" s="35">
        <f t="shared" si="19"/>
        <v>42</v>
      </c>
      <c r="B449" s="5">
        <v>43497</v>
      </c>
      <c r="C449" s="5" t="s">
        <v>419</v>
      </c>
      <c r="D449" s="57" t="s">
        <v>650</v>
      </c>
      <c r="E449" s="7" t="s">
        <v>481</v>
      </c>
      <c r="F449" s="33">
        <v>5</v>
      </c>
      <c r="G449" s="67">
        <v>-110</v>
      </c>
      <c r="H449" s="9" t="s">
        <v>36</v>
      </c>
      <c r="I4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4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49" s="36"/>
      <c r="N449" s="40"/>
      <c r="O449" s="37"/>
    </row>
    <row r="450" spans="1:15" x14ac:dyDescent="0.25">
      <c r="A450" s="35">
        <f t="shared" si="19"/>
        <v>42</v>
      </c>
      <c r="B450" s="5">
        <v>43497</v>
      </c>
      <c r="C450" s="5" t="s">
        <v>419</v>
      </c>
      <c r="D450" s="57" t="s">
        <v>653</v>
      </c>
      <c r="E450" s="7" t="s">
        <v>654</v>
      </c>
      <c r="F450" s="33">
        <v>5</v>
      </c>
      <c r="G450" s="67">
        <v>-115</v>
      </c>
      <c r="H450" s="9" t="s">
        <v>6</v>
      </c>
      <c r="I4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50" s="36"/>
      <c r="N450" s="40"/>
      <c r="O450" s="37"/>
    </row>
    <row r="451" spans="1:15" x14ac:dyDescent="0.25">
      <c r="A451" s="35">
        <f t="shared" si="19"/>
        <v>42</v>
      </c>
      <c r="B451" s="5">
        <v>43497</v>
      </c>
      <c r="C451" s="5" t="s">
        <v>419</v>
      </c>
      <c r="D451" s="57" t="s">
        <v>653</v>
      </c>
      <c r="E451" s="7" t="s">
        <v>655</v>
      </c>
      <c r="F451" s="33">
        <v>5</v>
      </c>
      <c r="G451" s="67">
        <v>145</v>
      </c>
      <c r="H451" s="9" t="s">
        <v>6</v>
      </c>
      <c r="I4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451" s="36"/>
      <c r="N451" s="40"/>
      <c r="O451" s="37"/>
    </row>
    <row r="452" spans="1:15" x14ac:dyDescent="0.25">
      <c r="A452" s="35">
        <f t="shared" ref="A452:A515" si="20">IF(B452=B451,A451,A451+1)</f>
        <v>42</v>
      </c>
      <c r="B452" s="5">
        <v>43497</v>
      </c>
      <c r="C452" s="5" t="s">
        <v>419</v>
      </c>
      <c r="D452" s="57" t="s">
        <v>656</v>
      </c>
      <c r="E452" s="7" t="s">
        <v>483</v>
      </c>
      <c r="F452" s="33">
        <v>5</v>
      </c>
      <c r="G452" s="67">
        <v>-110</v>
      </c>
      <c r="H452" s="9" t="s">
        <v>6</v>
      </c>
      <c r="I4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52" s="36"/>
      <c r="N452" s="40"/>
      <c r="O452" s="37"/>
    </row>
    <row r="453" spans="1:15" x14ac:dyDescent="0.25">
      <c r="A453" s="35">
        <f t="shared" si="20"/>
        <v>42</v>
      </c>
      <c r="B453" s="5">
        <v>43497</v>
      </c>
      <c r="C453" s="5" t="s">
        <v>419</v>
      </c>
      <c r="D453" s="57" t="s">
        <v>656</v>
      </c>
      <c r="E453" s="7" t="s">
        <v>657</v>
      </c>
      <c r="F453" s="33">
        <v>5</v>
      </c>
      <c r="G453" s="67">
        <v>-380</v>
      </c>
      <c r="H453" s="9" t="s">
        <v>6</v>
      </c>
      <c r="I4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53" s="36"/>
      <c r="N453" s="40"/>
      <c r="O453" s="37"/>
    </row>
    <row r="454" spans="1:15" x14ac:dyDescent="0.25">
      <c r="A454" s="35">
        <f t="shared" si="20"/>
        <v>42</v>
      </c>
      <c r="B454" s="5">
        <v>43497</v>
      </c>
      <c r="C454" s="5" t="s">
        <v>419</v>
      </c>
      <c r="D454" s="57" t="s">
        <v>656</v>
      </c>
      <c r="E454" s="7" t="s">
        <v>489</v>
      </c>
      <c r="F454" s="33">
        <v>5</v>
      </c>
      <c r="G454" s="67">
        <v>-115</v>
      </c>
      <c r="H454" s="9" t="s">
        <v>6</v>
      </c>
      <c r="I4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54" s="36"/>
      <c r="N454" s="40"/>
      <c r="O454" s="37"/>
    </row>
    <row r="455" spans="1:15" x14ac:dyDescent="0.25">
      <c r="A455" s="35">
        <f t="shared" si="20"/>
        <v>42</v>
      </c>
      <c r="B455" s="5">
        <v>43497</v>
      </c>
      <c r="C455" s="5" t="s">
        <v>419</v>
      </c>
      <c r="D455" s="57" t="s">
        <v>658</v>
      </c>
      <c r="E455" s="7" t="s">
        <v>659</v>
      </c>
      <c r="F455" s="33">
        <v>5</v>
      </c>
      <c r="G455" s="67">
        <v>-110</v>
      </c>
      <c r="H455" s="9" t="s">
        <v>36</v>
      </c>
      <c r="I4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5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55" s="36"/>
      <c r="N455" s="40"/>
      <c r="O455" s="37"/>
    </row>
    <row r="456" spans="1:15" x14ac:dyDescent="0.25">
      <c r="A456" s="35">
        <f t="shared" si="20"/>
        <v>42</v>
      </c>
      <c r="B456" s="5">
        <v>43497</v>
      </c>
      <c r="C456" s="5" t="s">
        <v>419</v>
      </c>
      <c r="D456" s="57" t="s">
        <v>660</v>
      </c>
      <c r="E456" s="7" t="s">
        <v>493</v>
      </c>
      <c r="F456" s="33">
        <v>5</v>
      </c>
      <c r="G456" s="67">
        <v>-105</v>
      </c>
      <c r="H456" s="9" t="s">
        <v>6</v>
      </c>
      <c r="I4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56" s="36"/>
      <c r="N456" s="40"/>
      <c r="O456" s="37"/>
    </row>
    <row r="457" spans="1:15" x14ac:dyDescent="0.25">
      <c r="A457" s="35">
        <f t="shared" si="20"/>
        <v>42</v>
      </c>
      <c r="B457" s="5">
        <v>43497</v>
      </c>
      <c r="C457" s="5" t="s">
        <v>419</v>
      </c>
      <c r="D457" s="57" t="s">
        <v>660</v>
      </c>
      <c r="E457" s="7" t="s">
        <v>661</v>
      </c>
      <c r="F457" s="33">
        <v>5</v>
      </c>
      <c r="G457" s="67">
        <v>-110</v>
      </c>
      <c r="H457" s="9" t="s">
        <v>36</v>
      </c>
      <c r="I4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5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57" s="36"/>
      <c r="N457" s="40"/>
      <c r="O457" s="37"/>
    </row>
    <row r="458" spans="1:15" x14ac:dyDescent="0.25">
      <c r="A458" s="35">
        <f t="shared" si="20"/>
        <v>42</v>
      </c>
      <c r="B458" s="5">
        <v>43497</v>
      </c>
      <c r="C458" s="5" t="s">
        <v>419</v>
      </c>
      <c r="D458" s="57" t="s">
        <v>662</v>
      </c>
      <c r="E458" s="7" t="s">
        <v>663</v>
      </c>
      <c r="F458" s="33">
        <v>5</v>
      </c>
      <c r="G458" s="67">
        <v>-110</v>
      </c>
      <c r="H458" s="9" t="s">
        <v>6</v>
      </c>
      <c r="I4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58" s="36"/>
      <c r="N458" s="40"/>
      <c r="O458" s="37"/>
    </row>
    <row r="459" spans="1:15" x14ac:dyDescent="0.25">
      <c r="A459" s="35">
        <f t="shared" si="20"/>
        <v>42</v>
      </c>
      <c r="B459" s="5">
        <v>43497</v>
      </c>
      <c r="C459" s="5" t="s">
        <v>419</v>
      </c>
      <c r="D459" s="57" t="s">
        <v>662</v>
      </c>
      <c r="E459" s="7" t="s">
        <v>598</v>
      </c>
      <c r="F459" s="33">
        <v>5</v>
      </c>
      <c r="G459" s="67">
        <v>-105</v>
      </c>
      <c r="H459" s="9" t="s">
        <v>6</v>
      </c>
      <c r="I4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5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59" s="36"/>
      <c r="N459" s="40"/>
      <c r="O459" s="37"/>
    </row>
    <row r="460" spans="1:15" x14ac:dyDescent="0.25">
      <c r="A460" s="35">
        <f t="shared" si="20"/>
        <v>42</v>
      </c>
      <c r="B460" s="5">
        <v>43497</v>
      </c>
      <c r="C460" s="5" t="s">
        <v>419</v>
      </c>
      <c r="D460" s="57" t="s">
        <v>662</v>
      </c>
      <c r="E460" s="7" t="s">
        <v>664</v>
      </c>
      <c r="F460" s="33">
        <v>5</v>
      </c>
      <c r="G460" s="67">
        <v>-135</v>
      </c>
      <c r="H460" s="9" t="s">
        <v>6</v>
      </c>
      <c r="I4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6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60" s="36"/>
      <c r="N460" s="40"/>
      <c r="O460" s="37"/>
    </row>
    <row r="461" spans="1:15" x14ac:dyDescent="0.25">
      <c r="A461" s="35">
        <f t="shared" si="20"/>
        <v>43</v>
      </c>
      <c r="B461" s="5">
        <v>43499</v>
      </c>
      <c r="C461" s="5" t="s">
        <v>133</v>
      </c>
      <c r="D461" s="57" t="s">
        <v>668</v>
      </c>
      <c r="E461" s="7" t="s">
        <v>436</v>
      </c>
      <c r="F461" s="33">
        <v>22</v>
      </c>
      <c r="G461" s="67">
        <v>-110</v>
      </c>
      <c r="H461" s="9" t="s">
        <v>36</v>
      </c>
      <c r="I4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4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61" s="36"/>
      <c r="N461" s="40"/>
      <c r="O461" s="37"/>
    </row>
    <row r="462" spans="1:15" ht="30" x14ac:dyDescent="0.25">
      <c r="A462" s="35">
        <f t="shared" si="20"/>
        <v>43</v>
      </c>
      <c r="B462" s="5">
        <v>43499</v>
      </c>
      <c r="C462" s="5" t="s">
        <v>133</v>
      </c>
      <c r="D462" s="58" t="s">
        <v>1179</v>
      </c>
      <c r="E462" s="46" t="s">
        <v>1180</v>
      </c>
      <c r="F462" s="33">
        <v>12.32</v>
      </c>
      <c r="G462" s="67">
        <v>244</v>
      </c>
      <c r="H462" s="9" t="s">
        <v>6</v>
      </c>
      <c r="I4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-12.32</v>
      </c>
      <c r="J4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462" s="36"/>
      <c r="N462" s="40"/>
      <c r="O462" s="37"/>
    </row>
    <row r="463" spans="1:15" x14ac:dyDescent="0.25">
      <c r="A463" s="35">
        <f t="shared" si="20"/>
        <v>43</v>
      </c>
      <c r="B463" s="5">
        <v>43499</v>
      </c>
      <c r="C463" s="5" t="s">
        <v>133</v>
      </c>
      <c r="D463" s="57" t="s">
        <v>240</v>
      </c>
      <c r="E463" s="7" t="s">
        <v>268</v>
      </c>
      <c r="F463" s="33">
        <v>5</v>
      </c>
      <c r="G463" s="67">
        <v>435</v>
      </c>
      <c r="H463" s="9" t="s">
        <v>6</v>
      </c>
      <c r="I4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/>
      </c>
      <c r="K463" s="36"/>
      <c r="N463" s="40"/>
      <c r="O463" s="37"/>
    </row>
    <row r="464" spans="1:15" x14ac:dyDescent="0.25">
      <c r="A464" s="35">
        <f t="shared" si="20"/>
        <v>43</v>
      </c>
      <c r="B464" s="5">
        <v>43499</v>
      </c>
      <c r="C464" s="5" t="s">
        <v>133</v>
      </c>
      <c r="D464" s="57" t="s">
        <v>666</v>
      </c>
      <c r="E464" s="7" t="s">
        <v>300</v>
      </c>
      <c r="F464" s="33">
        <v>10</v>
      </c>
      <c r="G464" s="67">
        <v>100</v>
      </c>
      <c r="H464" s="9" t="s">
        <v>6</v>
      </c>
      <c r="I4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4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/>
      </c>
      <c r="K464" s="36"/>
      <c r="N464" s="40"/>
      <c r="O464" s="37"/>
    </row>
    <row r="465" spans="1:15" x14ac:dyDescent="0.25">
      <c r="A465" s="35">
        <f t="shared" si="20"/>
        <v>43</v>
      </c>
      <c r="B465" s="5">
        <v>43499</v>
      </c>
      <c r="C465" s="5" t="s">
        <v>133</v>
      </c>
      <c r="D465" s="57" t="s">
        <v>667</v>
      </c>
      <c r="E465" s="7" t="s">
        <v>232</v>
      </c>
      <c r="F465" s="33">
        <v>10</v>
      </c>
      <c r="G465" s="67">
        <v>100</v>
      </c>
      <c r="H465" s="9" t="s">
        <v>6</v>
      </c>
      <c r="I4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4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65" s="36"/>
      <c r="N465" s="40"/>
      <c r="O465" s="37"/>
    </row>
    <row r="466" spans="1:15" x14ac:dyDescent="0.25">
      <c r="A466" s="35">
        <f t="shared" si="20"/>
        <v>44</v>
      </c>
      <c r="B466" s="5">
        <v>43500</v>
      </c>
      <c r="C466" s="5" t="s">
        <v>419</v>
      </c>
      <c r="D466" s="57" t="s">
        <v>669</v>
      </c>
      <c r="E466" s="7" t="s">
        <v>487</v>
      </c>
      <c r="F466" s="33">
        <v>5</v>
      </c>
      <c r="G466" s="67">
        <v>-110</v>
      </c>
      <c r="H466" s="9" t="s">
        <v>36</v>
      </c>
      <c r="I4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6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66" s="36"/>
      <c r="N466" s="40"/>
      <c r="O466" s="37"/>
    </row>
    <row r="467" spans="1:15" x14ac:dyDescent="0.25">
      <c r="A467" s="35">
        <f t="shared" si="20"/>
        <v>44</v>
      </c>
      <c r="B467" s="5">
        <v>43500</v>
      </c>
      <c r="C467" s="5" t="s">
        <v>419</v>
      </c>
      <c r="D467" s="57" t="s">
        <v>670</v>
      </c>
      <c r="E467" s="7" t="s">
        <v>568</v>
      </c>
      <c r="F467" s="33">
        <v>5</v>
      </c>
      <c r="G467" s="67">
        <v>-105</v>
      </c>
      <c r="H467" s="9" t="s">
        <v>65</v>
      </c>
      <c r="I4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46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67" s="36"/>
      <c r="N467" s="40"/>
      <c r="O467" s="37"/>
    </row>
    <row r="468" spans="1:15" x14ac:dyDescent="0.25">
      <c r="A468" s="35">
        <f t="shared" si="20"/>
        <v>44</v>
      </c>
      <c r="B468" s="5">
        <v>43500</v>
      </c>
      <c r="C468" s="5" t="s">
        <v>419</v>
      </c>
      <c r="D468" s="57" t="s">
        <v>670</v>
      </c>
      <c r="E468" s="7" t="s">
        <v>671</v>
      </c>
      <c r="F468" s="33">
        <v>5</v>
      </c>
      <c r="G468" s="67">
        <v>-105</v>
      </c>
      <c r="H468" s="9" t="s">
        <v>6</v>
      </c>
      <c r="I4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6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68" s="36"/>
      <c r="N468" s="40"/>
      <c r="O468" s="37"/>
    </row>
    <row r="469" spans="1:15" x14ac:dyDescent="0.25">
      <c r="A469" s="35">
        <f t="shared" si="20"/>
        <v>44</v>
      </c>
      <c r="B469" s="5">
        <v>43500</v>
      </c>
      <c r="C469" s="5" t="s">
        <v>419</v>
      </c>
      <c r="D469" s="57" t="s">
        <v>672</v>
      </c>
      <c r="E469" s="7" t="s">
        <v>580</v>
      </c>
      <c r="F469" s="33">
        <v>5</v>
      </c>
      <c r="G469" s="67">
        <v>-115</v>
      </c>
      <c r="H469" s="9" t="s">
        <v>36</v>
      </c>
      <c r="I4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6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69" s="36"/>
      <c r="N469" s="40"/>
      <c r="O469" s="37"/>
    </row>
    <row r="470" spans="1:15" x14ac:dyDescent="0.25">
      <c r="A470" s="35">
        <f t="shared" si="20"/>
        <v>44</v>
      </c>
      <c r="B470" s="5">
        <v>43500</v>
      </c>
      <c r="C470" s="5" t="s">
        <v>419</v>
      </c>
      <c r="D470" s="57" t="s">
        <v>672</v>
      </c>
      <c r="E470" s="7" t="s">
        <v>673</v>
      </c>
      <c r="F470" s="33">
        <v>5</v>
      </c>
      <c r="G470" s="67">
        <v>-110</v>
      </c>
      <c r="H470" s="9" t="s">
        <v>6</v>
      </c>
      <c r="I4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70" s="36"/>
      <c r="N470" s="40"/>
      <c r="O470" s="37"/>
    </row>
    <row r="471" spans="1:15" x14ac:dyDescent="0.25">
      <c r="A471" s="35">
        <f t="shared" si="20"/>
        <v>44</v>
      </c>
      <c r="B471" s="5">
        <v>43500</v>
      </c>
      <c r="C471" s="5" t="s">
        <v>419</v>
      </c>
      <c r="D471" s="57" t="s">
        <v>674</v>
      </c>
      <c r="E471" s="7" t="s">
        <v>675</v>
      </c>
      <c r="F471" s="33">
        <v>5</v>
      </c>
      <c r="G471" s="67">
        <v>-110</v>
      </c>
      <c r="H471" s="9" t="s">
        <v>6</v>
      </c>
      <c r="I4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71" s="36"/>
      <c r="N471" s="40"/>
      <c r="O471" s="37"/>
    </row>
    <row r="472" spans="1:15" x14ac:dyDescent="0.25">
      <c r="A472" s="35">
        <f t="shared" si="20"/>
        <v>44</v>
      </c>
      <c r="B472" s="5">
        <v>43500</v>
      </c>
      <c r="C472" s="5" t="s">
        <v>419</v>
      </c>
      <c r="D472" s="57" t="s">
        <v>674</v>
      </c>
      <c r="E472" s="7" t="s">
        <v>676</v>
      </c>
      <c r="F472" s="33">
        <v>5</v>
      </c>
      <c r="G472" s="67">
        <v>-110</v>
      </c>
      <c r="H472" s="9" t="s">
        <v>36</v>
      </c>
      <c r="I4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7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72" s="36"/>
      <c r="N472" s="40"/>
      <c r="O472" s="37"/>
    </row>
    <row r="473" spans="1:15" x14ac:dyDescent="0.25">
      <c r="A473" s="35">
        <f t="shared" si="20"/>
        <v>44</v>
      </c>
      <c r="B473" s="5">
        <v>43500</v>
      </c>
      <c r="C473" s="5" t="s">
        <v>419</v>
      </c>
      <c r="D473" s="57" t="s">
        <v>677</v>
      </c>
      <c r="E473" s="7" t="s">
        <v>678</v>
      </c>
      <c r="F473" s="33">
        <v>5</v>
      </c>
      <c r="G473" s="67">
        <v>-115</v>
      </c>
      <c r="H473" s="9" t="s">
        <v>6</v>
      </c>
      <c r="I4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73" s="36"/>
      <c r="N473" s="40"/>
      <c r="O473" s="37"/>
    </row>
    <row r="474" spans="1:15" x14ac:dyDescent="0.25">
      <c r="A474" s="35">
        <f t="shared" si="20"/>
        <v>44</v>
      </c>
      <c r="B474" s="5">
        <v>43500</v>
      </c>
      <c r="C474" s="5" t="s">
        <v>419</v>
      </c>
      <c r="D474" s="57" t="s">
        <v>677</v>
      </c>
      <c r="E474" s="7" t="s">
        <v>679</v>
      </c>
      <c r="F474" s="33">
        <v>5</v>
      </c>
      <c r="G474" s="67">
        <v>-110</v>
      </c>
      <c r="H474" s="9" t="s">
        <v>36</v>
      </c>
      <c r="I4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7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74" s="36"/>
      <c r="N474" s="40"/>
      <c r="O474" s="37"/>
    </row>
    <row r="475" spans="1:15" x14ac:dyDescent="0.25">
      <c r="A475" s="35">
        <f t="shared" si="20"/>
        <v>44</v>
      </c>
      <c r="B475" s="5">
        <v>43500</v>
      </c>
      <c r="C475" s="5" t="s">
        <v>419</v>
      </c>
      <c r="D475" s="57" t="s">
        <v>680</v>
      </c>
      <c r="E475" s="7" t="s">
        <v>681</v>
      </c>
      <c r="F475" s="33">
        <v>5</v>
      </c>
      <c r="G475" s="67">
        <v>-105</v>
      </c>
      <c r="H475" s="9" t="s">
        <v>6</v>
      </c>
      <c r="I4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75" s="36"/>
      <c r="N475" s="40"/>
      <c r="O475" s="37"/>
    </row>
    <row r="476" spans="1:15" x14ac:dyDescent="0.25">
      <c r="A476" s="35">
        <f t="shared" si="20"/>
        <v>44</v>
      </c>
      <c r="B476" s="5">
        <v>43500</v>
      </c>
      <c r="C476" s="5" t="s">
        <v>419</v>
      </c>
      <c r="D476" s="57" t="s">
        <v>680</v>
      </c>
      <c r="E476" s="7" t="s">
        <v>682</v>
      </c>
      <c r="F476" s="33">
        <v>5</v>
      </c>
      <c r="G476" s="67">
        <v>-150</v>
      </c>
      <c r="H476" s="9" t="s">
        <v>36</v>
      </c>
      <c r="I4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3.3333333333333335</v>
      </c>
      <c r="J47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76" s="36"/>
      <c r="N476" s="40"/>
      <c r="O476" s="37"/>
    </row>
    <row r="477" spans="1:15" x14ac:dyDescent="0.25">
      <c r="A477" s="35">
        <f t="shared" si="20"/>
        <v>44</v>
      </c>
      <c r="B477" s="5">
        <v>43500</v>
      </c>
      <c r="C477" s="5" t="s">
        <v>419</v>
      </c>
      <c r="D477" s="57" t="s">
        <v>680</v>
      </c>
      <c r="E477" s="7" t="s">
        <v>683</v>
      </c>
      <c r="F477" s="33">
        <v>5</v>
      </c>
      <c r="G477" s="67">
        <v>-110</v>
      </c>
      <c r="H477" s="9" t="s">
        <v>6</v>
      </c>
      <c r="I4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77" s="36"/>
      <c r="N477" s="40"/>
      <c r="O477" s="37"/>
    </row>
    <row r="478" spans="1:15" x14ac:dyDescent="0.25">
      <c r="A478" s="35">
        <f t="shared" si="20"/>
        <v>44</v>
      </c>
      <c r="B478" s="5">
        <v>43500</v>
      </c>
      <c r="C478" s="5" t="s">
        <v>419</v>
      </c>
      <c r="D478" s="57" t="s">
        <v>684</v>
      </c>
      <c r="E478" s="7" t="s">
        <v>685</v>
      </c>
      <c r="F478" s="33">
        <v>5</v>
      </c>
      <c r="G478" s="67">
        <v>-110</v>
      </c>
      <c r="H478" s="9" t="s">
        <v>36</v>
      </c>
      <c r="I4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7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78" s="36"/>
      <c r="N478" s="40"/>
      <c r="O478" s="37"/>
    </row>
    <row r="479" spans="1:15" x14ac:dyDescent="0.25">
      <c r="A479" s="35">
        <f t="shared" si="20"/>
        <v>44</v>
      </c>
      <c r="B479" s="5">
        <v>43500</v>
      </c>
      <c r="C479" s="5" t="s">
        <v>419</v>
      </c>
      <c r="D479" s="57" t="s">
        <v>684</v>
      </c>
      <c r="E479" s="7" t="s">
        <v>686</v>
      </c>
      <c r="F479" s="33">
        <v>5</v>
      </c>
      <c r="G479" s="67">
        <v>-110</v>
      </c>
      <c r="H479" s="9" t="s">
        <v>6</v>
      </c>
      <c r="I4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7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79" s="36"/>
      <c r="N479" s="40"/>
      <c r="O479" s="37"/>
    </row>
    <row r="480" spans="1:15" x14ac:dyDescent="0.25">
      <c r="A480" s="35">
        <f t="shared" si="20"/>
        <v>44</v>
      </c>
      <c r="B480" s="5">
        <v>43500</v>
      </c>
      <c r="C480" s="5" t="s">
        <v>419</v>
      </c>
      <c r="D480" s="57" t="s">
        <v>684</v>
      </c>
      <c r="E480" s="7" t="s">
        <v>687</v>
      </c>
      <c r="F480" s="33">
        <v>5</v>
      </c>
      <c r="G480" s="67">
        <v>-225</v>
      </c>
      <c r="H480" s="9" t="s">
        <v>36</v>
      </c>
      <c r="I4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2.2222222222222223</v>
      </c>
      <c r="J48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80" s="36"/>
      <c r="N480" s="40"/>
      <c r="O480" s="37"/>
    </row>
    <row r="481" spans="1:15" x14ac:dyDescent="0.25">
      <c r="A481" s="35">
        <f t="shared" si="20"/>
        <v>45</v>
      </c>
      <c r="B481" s="5">
        <v>43502</v>
      </c>
      <c r="C481" s="5" t="s">
        <v>134</v>
      </c>
      <c r="D481" s="57" t="s">
        <v>713</v>
      </c>
      <c r="E481" s="7" t="s">
        <v>714</v>
      </c>
      <c r="F481" s="33">
        <v>1</v>
      </c>
      <c r="G481" s="63">
        <v>-110</v>
      </c>
      <c r="H481" s="9" t="s">
        <v>6</v>
      </c>
      <c r="I4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8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81" s="36"/>
      <c r="N481" s="40"/>
      <c r="O481" s="37"/>
    </row>
    <row r="482" spans="1:15" x14ac:dyDescent="0.25">
      <c r="A482" s="35">
        <f t="shared" si="20"/>
        <v>45</v>
      </c>
      <c r="B482" s="5">
        <v>43502</v>
      </c>
      <c r="C482" s="5" t="s">
        <v>134</v>
      </c>
      <c r="D482" s="57" t="s">
        <v>713</v>
      </c>
      <c r="E482" s="7" t="s">
        <v>264</v>
      </c>
      <c r="F482" s="33">
        <v>1</v>
      </c>
      <c r="G482" s="63">
        <v>-105</v>
      </c>
      <c r="H482" s="9" t="s">
        <v>6</v>
      </c>
      <c r="I4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8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82" s="36"/>
      <c r="N482" s="40"/>
      <c r="O482" s="37"/>
    </row>
    <row r="483" spans="1:15" x14ac:dyDescent="0.25">
      <c r="A483" s="35">
        <f t="shared" si="20"/>
        <v>45</v>
      </c>
      <c r="B483" s="5">
        <v>43502</v>
      </c>
      <c r="C483" s="5" t="s">
        <v>134</v>
      </c>
      <c r="D483" s="57" t="s">
        <v>715</v>
      </c>
      <c r="E483" s="7" t="s">
        <v>716</v>
      </c>
      <c r="F483" s="33">
        <v>1</v>
      </c>
      <c r="G483" s="63">
        <v>-105</v>
      </c>
      <c r="H483" s="9" t="s">
        <v>36</v>
      </c>
      <c r="I4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48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83" s="36"/>
      <c r="N483" s="40"/>
      <c r="O483" s="37"/>
    </row>
    <row r="484" spans="1:15" x14ac:dyDescent="0.25">
      <c r="A484" s="35">
        <f t="shared" si="20"/>
        <v>45</v>
      </c>
      <c r="B484" s="5">
        <v>43502</v>
      </c>
      <c r="C484" s="5" t="s">
        <v>134</v>
      </c>
      <c r="D484" s="57" t="s">
        <v>715</v>
      </c>
      <c r="E484" s="7" t="s">
        <v>717</v>
      </c>
      <c r="F484" s="33">
        <v>1</v>
      </c>
      <c r="G484" s="63">
        <v>100</v>
      </c>
      <c r="H484" s="9" t="s">
        <v>36</v>
      </c>
      <c r="I4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48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484" s="36"/>
      <c r="N484" s="40"/>
      <c r="O484" s="37"/>
    </row>
    <row r="485" spans="1:15" x14ac:dyDescent="0.25">
      <c r="A485" s="35">
        <f t="shared" si="20"/>
        <v>45</v>
      </c>
      <c r="B485" s="5">
        <v>43502</v>
      </c>
      <c r="C485" s="5" t="s">
        <v>134</v>
      </c>
      <c r="D485" s="57" t="s">
        <v>715</v>
      </c>
      <c r="E485" s="7" t="s">
        <v>225</v>
      </c>
      <c r="F485" s="33">
        <v>1</v>
      </c>
      <c r="G485" s="63">
        <v>-105</v>
      </c>
      <c r="H485" s="9" t="s">
        <v>6</v>
      </c>
      <c r="I4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8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85" s="36"/>
      <c r="N485" s="40"/>
      <c r="O485" s="37"/>
    </row>
    <row r="486" spans="1:15" x14ac:dyDescent="0.25">
      <c r="A486" s="35">
        <f t="shared" si="20"/>
        <v>45</v>
      </c>
      <c r="B486" s="5">
        <v>43502</v>
      </c>
      <c r="C486" s="5" t="s">
        <v>134</v>
      </c>
      <c r="D486" s="57" t="s">
        <v>718</v>
      </c>
      <c r="E486" s="7" t="s">
        <v>689</v>
      </c>
      <c r="F486" s="33">
        <v>1</v>
      </c>
      <c r="G486" s="63">
        <v>-900</v>
      </c>
      <c r="H486" s="9" t="s">
        <v>36</v>
      </c>
      <c r="I4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0.1111111111111111</v>
      </c>
      <c r="J48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86" s="36"/>
      <c r="N486" s="40"/>
      <c r="O486" s="37"/>
    </row>
    <row r="487" spans="1:15" x14ac:dyDescent="0.25">
      <c r="A487" s="35">
        <f t="shared" si="20"/>
        <v>45</v>
      </c>
      <c r="B487" s="5">
        <v>43502</v>
      </c>
      <c r="C487" s="5" t="s">
        <v>134</v>
      </c>
      <c r="D487" s="57" t="s">
        <v>718</v>
      </c>
      <c r="E487" s="7" t="s">
        <v>719</v>
      </c>
      <c r="F487" s="33">
        <v>1</v>
      </c>
      <c r="G487" s="63">
        <v>-105</v>
      </c>
      <c r="H487" s="9" t="s">
        <v>36</v>
      </c>
      <c r="I4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48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87" s="36"/>
      <c r="N487" s="40"/>
      <c r="O487" s="37"/>
    </row>
    <row r="488" spans="1:15" x14ac:dyDescent="0.25">
      <c r="A488" s="35">
        <f t="shared" si="20"/>
        <v>45</v>
      </c>
      <c r="B488" s="5">
        <v>43502</v>
      </c>
      <c r="C488" s="5" t="s">
        <v>134</v>
      </c>
      <c r="D488" s="57" t="s">
        <v>720</v>
      </c>
      <c r="E488" s="7" t="s">
        <v>726</v>
      </c>
      <c r="F488" s="33">
        <v>1</v>
      </c>
      <c r="G488" s="63">
        <v>-110</v>
      </c>
      <c r="H488" s="9" t="s">
        <v>6</v>
      </c>
      <c r="I4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8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88" s="36"/>
      <c r="N488" s="40"/>
      <c r="O488" s="37"/>
    </row>
    <row r="489" spans="1:15" x14ac:dyDescent="0.25">
      <c r="A489" s="35">
        <f t="shared" si="20"/>
        <v>45</v>
      </c>
      <c r="B489" s="5">
        <v>43502</v>
      </c>
      <c r="C489" s="5" t="s">
        <v>134</v>
      </c>
      <c r="D489" s="57" t="s">
        <v>720</v>
      </c>
      <c r="E489" s="7" t="s">
        <v>612</v>
      </c>
      <c r="F489" s="33">
        <v>1</v>
      </c>
      <c r="G489" s="63">
        <v>-110</v>
      </c>
      <c r="H489" s="9" t="s">
        <v>6</v>
      </c>
      <c r="I4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8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489" s="36"/>
      <c r="N489" s="40"/>
      <c r="O489" s="37"/>
    </row>
    <row r="490" spans="1:15" x14ac:dyDescent="0.25">
      <c r="A490" s="35">
        <f t="shared" si="20"/>
        <v>45</v>
      </c>
      <c r="B490" s="5">
        <v>43502</v>
      </c>
      <c r="C490" s="5" t="s">
        <v>134</v>
      </c>
      <c r="D490" s="57" t="s">
        <v>721</v>
      </c>
      <c r="E490" s="7" t="s">
        <v>722</v>
      </c>
      <c r="F490" s="33">
        <v>1</v>
      </c>
      <c r="G490" s="63">
        <v>-1900</v>
      </c>
      <c r="H490" s="9" t="s">
        <v>36</v>
      </c>
      <c r="I4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5.2631578947368418E-2</v>
      </c>
      <c r="J49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490" s="36"/>
      <c r="N490" s="40"/>
      <c r="O490" s="37"/>
    </row>
    <row r="491" spans="1:15" x14ac:dyDescent="0.25">
      <c r="A491" s="35">
        <f t="shared" si="20"/>
        <v>45</v>
      </c>
      <c r="B491" s="5">
        <v>43502</v>
      </c>
      <c r="C491" s="5" t="s">
        <v>134</v>
      </c>
      <c r="D491" s="57" t="s">
        <v>721</v>
      </c>
      <c r="E491" s="7" t="s">
        <v>723</v>
      </c>
      <c r="F491" s="33">
        <v>1</v>
      </c>
      <c r="G491" s="63">
        <v>-110</v>
      </c>
      <c r="H491" s="9" t="s">
        <v>36</v>
      </c>
      <c r="I4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49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91" s="36"/>
      <c r="N491" s="40"/>
      <c r="O491" s="37"/>
    </row>
    <row r="492" spans="1:15" x14ac:dyDescent="0.25">
      <c r="A492" s="35">
        <f t="shared" si="20"/>
        <v>45</v>
      </c>
      <c r="B492" s="5">
        <v>43502</v>
      </c>
      <c r="C492" s="5" t="s">
        <v>134</v>
      </c>
      <c r="D492" s="57" t="s">
        <v>724</v>
      </c>
      <c r="E492" s="7" t="s">
        <v>403</v>
      </c>
      <c r="F492" s="33">
        <v>1</v>
      </c>
      <c r="G492" s="63">
        <v>-115</v>
      </c>
      <c r="H492" s="9" t="s">
        <v>6</v>
      </c>
      <c r="I4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9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92" s="36"/>
      <c r="N492" s="40"/>
      <c r="O492" s="37"/>
    </row>
    <row r="493" spans="1:15" x14ac:dyDescent="0.25">
      <c r="A493" s="35">
        <f t="shared" si="20"/>
        <v>45</v>
      </c>
      <c r="B493" s="5">
        <v>43502</v>
      </c>
      <c r="C493" s="5" t="s">
        <v>134</v>
      </c>
      <c r="D493" s="57" t="s">
        <v>724</v>
      </c>
      <c r="E493" s="7" t="s">
        <v>127</v>
      </c>
      <c r="F493" s="33">
        <v>1</v>
      </c>
      <c r="G493" s="63">
        <v>-110</v>
      </c>
      <c r="H493" s="9" t="s">
        <v>36</v>
      </c>
      <c r="I4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49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93" s="36"/>
      <c r="N493" s="40"/>
      <c r="O493" s="37"/>
    </row>
    <row r="494" spans="1:15" x14ac:dyDescent="0.25">
      <c r="A494" s="35">
        <f t="shared" si="20"/>
        <v>45</v>
      </c>
      <c r="B494" s="5">
        <v>43502</v>
      </c>
      <c r="C494" s="5" t="s">
        <v>134</v>
      </c>
      <c r="D494" s="57" t="s">
        <v>725</v>
      </c>
      <c r="E494" s="7" t="s">
        <v>336</v>
      </c>
      <c r="F494" s="33">
        <v>1</v>
      </c>
      <c r="G494" s="63">
        <v>-115</v>
      </c>
      <c r="H494" s="9" t="s">
        <v>6</v>
      </c>
      <c r="I4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49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94" s="36"/>
      <c r="N494" s="40"/>
      <c r="O494" s="37"/>
    </row>
    <row r="495" spans="1:15" x14ac:dyDescent="0.25">
      <c r="A495" s="35">
        <f t="shared" si="20"/>
        <v>45</v>
      </c>
      <c r="B495" s="5">
        <v>43502</v>
      </c>
      <c r="C495" s="5" t="s">
        <v>419</v>
      </c>
      <c r="D495" s="57" t="s">
        <v>690</v>
      </c>
      <c r="E495" s="7" t="s">
        <v>691</v>
      </c>
      <c r="F495" s="33">
        <v>5</v>
      </c>
      <c r="G495" s="67">
        <v>-115</v>
      </c>
      <c r="H495" s="9" t="s">
        <v>6</v>
      </c>
      <c r="I4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9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495" s="36"/>
      <c r="N495" s="40"/>
      <c r="O495" s="37"/>
    </row>
    <row r="496" spans="1:15" x14ac:dyDescent="0.25">
      <c r="A496" s="35">
        <f t="shared" si="20"/>
        <v>45</v>
      </c>
      <c r="B496" s="5">
        <v>43502</v>
      </c>
      <c r="C496" s="5" t="s">
        <v>419</v>
      </c>
      <c r="D496" s="57" t="s">
        <v>690</v>
      </c>
      <c r="E496" s="7" t="s">
        <v>692</v>
      </c>
      <c r="F496" s="33">
        <v>5</v>
      </c>
      <c r="G496" s="67">
        <v>160</v>
      </c>
      <c r="H496" s="9" t="s">
        <v>6</v>
      </c>
      <c r="I4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49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496" s="36"/>
      <c r="N496" s="40"/>
      <c r="O496" s="37"/>
    </row>
    <row r="497" spans="1:15" x14ac:dyDescent="0.25">
      <c r="A497" s="35">
        <f t="shared" si="20"/>
        <v>45</v>
      </c>
      <c r="B497" s="5">
        <v>43502</v>
      </c>
      <c r="C497" s="5" t="s">
        <v>419</v>
      </c>
      <c r="D497" s="57" t="s">
        <v>690</v>
      </c>
      <c r="E497" s="7" t="s">
        <v>693</v>
      </c>
      <c r="F497" s="33">
        <v>5</v>
      </c>
      <c r="G497" s="67">
        <v>-115</v>
      </c>
      <c r="H497" s="9" t="s">
        <v>36</v>
      </c>
      <c r="I4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9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497" s="36"/>
      <c r="N497" s="40"/>
      <c r="O497" s="37"/>
    </row>
    <row r="498" spans="1:15" x14ac:dyDescent="0.25">
      <c r="A498" s="35">
        <f t="shared" si="20"/>
        <v>45</v>
      </c>
      <c r="B498" s="5">
        <v>43502</v>
      </c>
      <c r="C498" s="5" t="s">
        <v>419</v>
      </c>
      <c r="D498" s="57" t="s">
        <v>694</v>
      </c>
      <c r="E498" s="7" t="s">
        <v>695</v>
      </c>
      <c r="F498" s="33">
        <v>5</v>
      </c>
      <c r="G498" s="67">
        <v>-110</v>
      </c>
      <c r="H498" s="9" t="s">
        <v>36</v>
      </c>
      <c r="I4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49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98" s="36"/>
      <c r="N498" s="40"/>
      <c r="O498" s="37"/>
    </row>
    <row r="499" spans="1:15" x14ac:dyDescent="0.25">
      <c r="A499" s="35">
        <f t="shared" si="20"/>
        <v>45</v>
      </c>
      <c r="B499" s="5">
        <v>43502</v>
      </c>
      <c r="C499" s="5" t="s">
        <v>419</v>
      </c>
      <c r="D499" s="57" t="s">
        <v>696</v>
      </c>
      <c r="E499" s="7" t="s">
        <v>697</v>
      </c>
      <c r="F499" s="33">
        <v>5</v>
      </c>
      <c r="G499" s="67">
        <v>-115</v>
      </c>
      <c r="H499" s="9" t="s">
        <v>36</v>
      </c>
      <c r="I4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49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499" s="36"/>
      <c r="N499" s="40"/>
      <c r="O499" s="37"/>
    </row>
    <row r="500" spans="1:15" x14ac:dyDescent="0.25">
      <c r="A500" s="35">
        <f t="shared" si="20"/>
        <v>45</v>
      </c>
      <c r="B500" s="5">
        <v>43502</v>
      </c>
      <c r="C500" s="5" t="s">
        <v>419</v>
      </c>
      <c r="D500" s="57" t="s">
        <v>696</v>
      </c>
      <c r="E500" s="7" t="s">
        <v>698</v>
      </c>
      <c r="F500" s="33">
        <v>5</v>
      </c>
      <c r="G500" s="67">
        <v>-115</v>
      </c>
      <c r="H500" s="9" t="s">
        <v>6</v>
      </c>
      <c r="I5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00" s="36"/>
      <c r="N500" s="40"/>
      <c r="O500" s="37"/>
    </row>
    <row r="501" spans="1:15" x14ac:dyDescent="0.25">
      <c r="A501" s="35">
        <f t="shared" si="20"/>
        <v>45</v>
      </c>
      <c r="B501" s="5">
        <v>43502</v>
      </c>
      <c r="C501" s="5" t="s">
        <v>419</v>
      </c>
      <c r="D501" s="57" t="s">
        <v>699</v>
      </c>
      <c r="E501" s="7" t="s">
        <v>700</v>
      </c>
      <c r="F501" s="33">
        <v>5</v>
      </c>
      <c r="G501" s="67">
        <v>-110</v>
      </c>
      <c r="H501" s="9" t="s">
        <v>6</v>
      </c>
      <c r="I5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01" s="36"/>
      <c r="N501" s="40"/>
      <c r="O501" s="37"/>
    </row>
    <row r="502" spans="1:15" x14ac:dyDescent="0.25">
      <c r="A502" s="35">
        <f t="shared" si="20"/>
        <v>45</v>
      </c>
      <c r="B502" s="5">
        <v>43502</v>
      </c>
      <c r="C502" s="5" t="s">
        <v>419</v>
      </c>
      <c r="D502" s="57" t="s">
        <v>699</v>
      </c>
      <c r="E502" s="7" t="s">
        <v>701</v>
      </c>
      <c r="F502" s="33">
        <v>5</v>
      </c>
      <c r="G502" s="67">
        <v>-125</v>
      </c>
      <c r="H502" s="9" t="s">
        <v>6</v>
      </c>
      <c r="I5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02" s="36"/>
      <c r="N502" s="40"/>
      <c r="O502" s="37"/>
    </row>
    <row r="503" spans="1:15" x14ac:dyDescent="0.25">
      <c r="A503" s="35">
        <f t="shared" si="20"/>
        <v>45</v>
      </c>
      <c r="B503" s="5">
        <v>43502</v>
      </c>
      <c r="C503" s="5" t="s">
        <v>419</v>
      </c>
      <c r="D503" s="57" t="s">
        <v>702</v>
      </c>
      <c r="E503" s="7" t="s">
        <v>703</v>
      </c>
      <c r="F503" s="33">
        <v>5</v>
      </c>
      <c r="G503" s="67">
        <v>-110</v>
      </c>
      <c r="H503" s="9" t="s">
        <v>6</v>
      </c>
      <c r="I5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03" s="36"/>
      <c r="N503" s="40"/>
      <c r="O503" s="37"/>
    </row>
    <row r="504" spans="1:15" x14ac:dyDescent="0.25">
      <c r="A504" s="35">
        <f t="shared" si="20"/>
        <v>45</v>
      </c>
      <c r="B504" s="5">
        <v>43502</v>
      </c>
      <c r="C504" s="5" t="s">
        <v>419</v>
      </c>
      <c r="D504" s="57" t="s">
        <v>704</v>
      </c>
      <c r="E504" s="7" t="s">
        <v>705</v>
      </c>
      <c r="F504" s="33">
        <v>5</v>
      </c>
      <c r="G504" s="67">
        <v>-105</v>
      </c>
      <c r="H504" s="9" t="s">
        <v>6</v>
      </c>
      <c r="I5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04" s="36"/>
      <c r="N504" s="40"/>
      <c r="O504" s="37"/>
    </row>
    <row r="505" spans="1:15" x14ac:dyDescent="0.25">
      <c r="A505" s="35">
        <f t="shared" si="20"/>
        <v>45</v>
      </c>
      <c r="B505" s="5">
        <v>43502</v>
      </c>
      <c r="C505" s="5" t="s">
        <v>419</v>
      </c>
      <c r="D505" s="57" t="s">
        <v>704</v>
      </c>
      <c r="E505" s="7" t="s">
        <v>683</v>
      </c>
      <c r="F505" s="33">
        <v>5</v>
      </c>
      <c r="G505" s="67">
        <v>-115</v>
      </c>
      <c r="H505" s="9" t="s">
        <v>36</v>
      </c>
      <c r="I5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50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05" s="36"/>
      <c r="N505" s="40"/>
      <c r="O505" s="37"/>
    </row>
    <row r="506" spans="1:15" x14ac:dyDescent="0.25">
      <c r="A506" s="35">
        <f t="shared" si="20"/>
        <v>45</v>
      </c>
      <c r="B506" s="5">
        <v>43502</v>
      </c>
      <c r="C506" s="5" t="s">
        <v>419</v>
      </c>
      <c r="D506" s="57" t="s">
        <v>706</v>
      </c>
      <c r="E506" s="7" t="s">
        <v>649</v>
      </c>
      <c r="F506" s="33">
        <v>5</v>
      </c>
      <c r="G506" s="67">
        <v>-225</v>
      </c>
      <c r="H506" s="9" t="s">
        <v>36</v>
      </c>
      <c r="I5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2.2222222222222223</v>
      </c>
      <c r="J50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06" s="36"/>
      <c r="N506" s="40"/>
      <c r="O506" s="37"/>
    </row>
    <row r="507" spans="1:15" x14ac:dyDescent="0.25">
      <c r="A507" s="35">
        <f t="shared" si="20"/>
        <v>45</v>
      </c>
      <c r="B507" s="5">
        <v>43502</v>
      </c>
      <c r="C507" s="5" t="s">
        <v>419</v>
      </c>
      <c r="D507" s="57" t="s">
        <v>706</v>
      </c>
      <c r="E507" s="7" t="s">
        <v>707</v>
      </c>
      <c r="F507" s="33">
        <v>5</v>
      </c>
      <c r="G507" s="67">
        <v>-110</v>
      </c>
      <c r="H507" s="9" t="s">
        <v>36</v>
      </c>
      <c r="I5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0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07" s="36"/>
      <c r="N507" s="40"/>
      <c r="O507" s="37"/>
    </row>
    <row r="508" spans="1:15" x14ac:dyDescent="0.25">
      <c r="A508" s="35">
        <f t="shared" si="20"/>
        <v>45</v>
      </c>
      <c r="B508" s="5">
        <v>43502</v>
      </c>
      <c r="C508" s="5" t="s">
        <v>419</v>
      </c>
      <c r="D508" s="57" t="s">
        <v>708</v>
      </c>
      <c r="E508" s="7" t="s">
        <v>709</v>
      </c>
      <c r="F508" s="33">
        <v>5</v>
      </c>
      <c r="G508" s="67">
        <v>-110</v>
      </c>
      <c r="H508" s="9" t="s">
        <v>6</v>
      </c>
      <c r="I5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0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08" s="36"/>
      <c r="N508" s="40"/>
      <c r="O508" s="37"/>
    </row>
    <row r="509" spans="1:15" x14ac:dyDescent="0.25">
      <c r="A509" s="35">
        <f t="shared" si="20"/>
        <v>45</v>
      </c>
      <c r="B509" s="5">
        <v>43502</v>
      </c>
      <c r="C509" s="5" t="s">
        <v>419</v>
      </c>
      <c r="D509" s="57" t="s">
        <v>710</v>
      </c>
      <c r="E509" s="7" t="s">
        <v>711</v>
      </c>
      <c r="F509" s="33">
        <v>5</v>
      </c>
      <c r="G509" s="67">
        <v>-105</v>
      </c>
      <c r="H509" s="9" t="s">
        <v>36</v>
      </c>
      <c r="I5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50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09" s="36"/>
      <c r="N509" s="40"/>
      <c r="O509" s="37"/>
    </row>
    <row r="510" spans="1:15" x14ac:dyDescent="0.25">
      <c r="A510" s="35">
        <f t="shared" si="20"/>
        <v>45</v>
      </c>
      <c r="B510" s="5">
        <v>43502</v>
      </c>
      <c r="C510" s="5" t="s">
        <v>419</v>
      </c>
      <c r="D510" s="57" t="s">
        <v>710</v>
      </c>
      <c r="E510" s="7" t="s">
        <v>712</v>
      </c>
      <c r="F510" s="33">
        <v>5</v>
      </c>
      <c r="G510" s="67">
        <v>-150</v>
      </c>
      <c r="H510" s="9" t="s">
        <v>36</v>
      </c>
      <c r="I5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3.3333333333333335</v>
      </c>
      <c r="J51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10" s="36"/>
      <c r="N510" s="40"/>
      <c r="O510" s="37"/>
    </row>
    <row r="511" spans="1:15" x14ac:dyDescent="0.25">
      <c r="A511" s="35">
        <f t="shared" si="20"/>
        <v>46</v>
      </c>
      <c r="B511" s="5">
        <v>43503</v>
      </c>
      <c r="C511" s="5" t="s">
        <v>134</v>
      </c>
      <c r="D511" s="57" t="s">
        <v>727</v>
      </c>
      <c r="E511" s="7" t="s">
        <v>728</v>
      </c>
      <c r="F511" s="33">
        <v>2</v>
      </c>
      <c r="G511" s="63">
        <v>-105</v>
      </c>
      <c r="H511" s="9" t="s">
        <v>36</v>
      </c>
      <c r="I5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1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11" s="36"/>
      <c r="N511" s="40"/>
      <c r="O511" s="37"/>
    </row>
    <row r="512" spans="1:15" x14ac:dyDescent="0.25">
      <c r="A512" s="35">
        <f t="shared" si="20"/>
        <v>46</v>
      </c>
      <c r="B512" s="5">
        <v>43503</v>
      </c>
      <c r="C512" s="5" t="s">
        <v>134</v>
      </c>
      <c r="D512" s="57" t="s">
        <v>727</v>
      </c>
      <c r="E512" s="7" t="s">
        <v>729</v>
      </c>
      <c r="F512" s="33">
        <v>2</v>
      </c>
      <c r="G512" s="63">
        <v>-110</v>
      </c>
      <c r="H512" s="9" t="s">
        <v>6</v>
      </c>
      <c r="I5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12" s="36"/>
      <c r="N512" s="40"/>
      <c r="O512" s="37"/>
    </row>
    <row r="513" spans="1:15" x14ac:dyDescent="0.25">
      <c r="A513" s="35">
        <f t="shared" si="20"/>
        <v>46</v>
      </c>
      <c r="B513" s="5">
        <v>43503</v>
      </c>
      <c r="C513" s="5" t="s">
        <v>134</v>
      </c>
      <c r="D513" s="57" t="s">
        <v>730</v>
      </c>
      <c r="E513" s="7" t="s">
        <v>728</v>
      </c>
      <c r="F513" s="33">
        <v>2</v>
      </c>
      <c r="G513" s="63">
        <v>-115</v>
      </c>
      <c r="H513" s="9" t="s">
        <v>6</v>
      </c>
      <c r="I5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13" s="36"/>
      <c r="N513" s="40"/>
      <c r="O513" s="37"/>
    </row>
    <row r="514" spans="1:15" x14ac:dyDescent="0.25">
      <c r="A514" s="35">
        <f t="shared" si="20"/>
        <v>46</v>
      </c>
      <c r="B514" s="5">
        <v>43503</v>
      </c>
      <c r="C514" s="5" t="s">
        <v>134</v>
      </c>
      <c r="D514" s="57" t="s">
        <v>730</v>
      </c>
      <c r="E514" s="7" t="s">
        <v>731</v>
      </c>
      <c r="F514" s="33">
        <v>2</v>
      </c>
      <c r="G514" s="63">
        <v>-110</v>
      </c>
      <c r="H514" s="9" t="s">
        <v>6</v>
      </c>
      <c r="I5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14" s="36"/>
      <c r="N514" s="40"/>
      <c r="O514" s="37"/>
    </row>
    <row r="515" spans="1:15" x14ac:dyDescent="0.25">
      <c r="A515" s="35">
        <f t="shared" si="20"/>
        <v>46</v>
      </c>
      <c r="B515" s="5">
        <v>43503</v>
      </c>
      <c r="C515" s="5" t="s">
        <v>134</v>
      </c>
      <c r="D515" s="57" t="s">
        <v>730</v>
      </c>
      <c r="E515" s="7" t="s">
        <v>732</v>
      </c>
      <c r="F515" s="33">
        <v>2</v>
      </c>
      <c r="G515" s="63">
        <v>110</v>
      </c>
      <c r="H515" s="9" t="s">
        <v>6</v>
      </c>
      <c r="I5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515" s="36"/>
      <c r="N515" s="40"/>
      <c r="O515" s="37"/>
    </row>
    <row r="516" spans="1:15" x14ac:dyDescent="0.25">
      <c r="A516" s="35">
        <f t="shared" ref="A516:A579" si="21">IF(B516=B515,A515,A515+1)</f>
        <v>46</v>
      </c>
      <c r="B516" s="5">
        <v>43503</v>
      </c>
      <c r="C516" s="5" t="s">
        <v>134</v>
      </c>
      <c r="D516" s="57" t="s">
        <v>733</v>
      </c>
      <c r="E516" s="7" t="s">
        <v>333</v>
      </c>
      <c r="F516" s="33">
        <v>2</v>
      </c>
      <c r="G516" s="63">
        <v>-105</v>
      </c>
      <c r="H516" s="9" t="s">
        <v>36</v>
      </c>
      <c r="I5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1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16" s="36"/>
      <c r="N516" s="40"/>
      <c r="O516" s="37"/>
    </row>
    <row r="517" spans="1:15" x14ac:dyDescent="0.25">
      <c r="A517" s="35">
        <f t="shared" si="21"/>
        <v>46</v>
      </c>
      <c r="B517" s="5">
        <v>43503</v>
      </c>
      <c r="C517" s="5" t="s">
        <v>134</v>
      </c>
      <c r="D517" s="57" t="s">
        <v>733</v>
      </c>
      <c r="E517" s="7" t="s">
        <v>734</v>
      </c>
      <c r="F517" s="33">
        <v>2</v>
      </c>
      <c r="G517" s="63">
        <v>-110</v>
      </c>
      <c r="H517" s="9" t="s">
        <v>36</v>
      </c>
      <c r="I5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1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17" s="36"/>
      <c r="N517" s="40"/>
      <c r="O517" s="37"/>
    </row>
    <row r="518" spans="1:15" x14ac:dyDescent="0.25">
      <c r="A518" s="35">
        <f t="shared" si="21"/>
        <v>46</v>
      </c>
      <c r="B518" s="5">
        <v>43503</v>
      </c>
      <c r="C518" s="5" t="s">
        <v>134</v>
      </c>
      <c r="D518" s="57" t="s">
        <v>735</v>
      </c>
      <c r="E518" s="7" t="s">
        <v>225</v>
      </c>
      <c r="F518" s="33">
        <v>2</v>
      </c>
      <c r="G518" s="63">
        <v>-110</v>
      </c>
      <c r="H518" s="9" t="s">
        <v>6</v>
      </c>
      <c r="I5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18" s="36"/>
      <c r="N518" s="40"/>
      <c r="O518" s="37"/>
    </row>
    <row r="519" spans="1:15" x14ac:dyDescent="0.25">
      <c r="A519" s="35">
        <f t="shared" si="21"/>
        <v>46</v>
      </c>
      <c r="B519" s="5">
        <v>43503</v>
      </c>
      <c r="C519" s="5" t="s">
        <v>134</v>
      </c>
      <c r="D519" s="57" t="s">
        <v>735</v>
      </c>
      <c r="E519" s="7" t="s">
        <v>456</v>
      </c>
      <c r="F519" s="33">
        <v>2</v>
      </c>
      <c r="G519" s="63">
        <v>-110</v>
      </c>
      <c r="H519" s="9" t="s">
        <v>6</v>
      </c>
      <c r="I5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1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19" s="36"/>
      <c r="N519" s="40"/>
      <c r="O519" s="37"/>
    </row>
    <row r="520" spans="1:15" x14ac:dyDescent="0.25">
      <c r="A520" s="35">
        <f t="shared" si="21"/>
        <v>46</v>
      </c>
      <c r="B520" s="5">
        <v>43503</v>
      </c>
      <c r="C520" s="5" t="s">
        <v>134</v>
      </c>
      <c r="D520" s="57" t="s">
        <v>736</v>
      </c>
      <c r="E520" s="7" t="s">
        <v>179</v>
      </c>
      <c r="F520" s="33">
        <v>2</v>
      </c>
      <c r="G520" s="63">
        <v>-110</v>
      </c>
      <c r="H520" s="9" t="s">
        <v>65</v>
      </c>
      <c r="I5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52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20" s="36"/>
      <c r="N520" s="40"/>
      <c r="O520" s="37"/>
    </row>
    <row r="521" spans="1:15" x14ac:dyDescent="0.25">
      <c r="A521" s="35">
        <f t="shared" si="21"/>
        <v>46</v>
      </c>
      <c r="B521" s="5">
        <v>43503</v>
      </c>
      <c r="C521" s="5" t="s">
        <v>134</v>
      </c>
      <c r="D521" s="57" t="s">
        <v>736</v>
      </c>
      <c r="E521" s="7" t="s">
        <v>737</v>
      </c>
      <c r="F521" s="33">
        <v>2</v>
      </c>
      <c r="G521" s="63">
        <v>-110</v>
      </c>
      <c r="H521" s="9" t="s">
        <v>36</v>
      </c>
      <c r="I5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2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21" s="36"/>
      <c r="N521" s="40"/>
      <c r="O521" s="37"/>
    </row>
    <row r="522" spans="1:15" x14ac:dyDescent="0.25">
      <c r="A522" s="35">
        <f t="shared" si="21"/>
        <v>46</v>
      </c>
      <c r="B522" s="5">
        <v>43503</v>
      </c>
      <c r="C522" s="5" t="s">
        <v>134</v>
      </c>
      <c r="D522" s="57" t="s">
        <v>738</v>
      </c>
      <c r="E522" s="7" t="s">
        <v>739</v>
      </c>
      <c r="F522" s="33">
        <v>2</v>
      </c>
      <c r="G522" s="63">
        <v>-110</v>
      </c>
      <c r="H522" s="9" t="s">
        <v>6</v>
      </c>
      <c r="I5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2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22" s="36"/>
      <c r="N522" s="40"/>
      <c r="O522" s="37"/>
    </row>
    <row r="523" spans="1:15" x14ac:dyDescent="0.25">
      <c r="A523" s="35">
        <f t="shared" si="21"/>
        <v>47</v>
      </c>
      <c r="B523" s="5">
        <v>43504</v>
      </c>
      <c r="C523" s="5" t="s">
        <v>134</v>
      </c>
      <c r="D523" s="57" t="s">
        <v>740</v>
      </c>
      <c r="E523" s="7" t="s">
        <v>174</v>
      </c>
      <c r="F523" s="33">
        <v>2</v>
      </c>
      <c r="G523" s="63">
        <v>-115</v>
      </c>
      <c r="H523" s="9" t="s">
        <v>36</v>
      </c>
      <c r="I5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52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23" s="36"/>
      <c r="N523" s="40"/>
      <c r="O523" s="37"/>
    </row>
    <row r="524" spans="1:15" x14ac:dyDescent="0.25">
      <c r="A524" s="35">
        <f t="shared" si="21"/>
        <v>47</v>
      </c>
      <c r="B524" s="5">
        <v>43504</v>
      </c>
      <c r="C524" s="5" t="s">
        <v>134</v>
      </c>
      <c r="D524" s="57" t="s">
        <v>740</v>
      </c>
      <c r="E524" s="7" t="s">
        <v>741</v>
      </c>
      <c r="F524" s="33">
        <v>2</v>
      </c>
      <c r="G524" s="63">
        <v>-105</v>
      </c>
      <c r="H524" s="9" t="s">
        <v>36</v>
      </c>
      <c r="I5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2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24" s="36"/>
      <c r="N524" s="40"/>
      <c r="O524" s="37"/>
    </row>
    <row r="525" spans="1:15" x14ac:dyDescent="0.25">
      <c r="A525" s="35">
        <f t="shared" si="21"/>
        <v>47</v>
      </c>
      <c r="B525" s="5">
        <v>43504</v>
      </c>
      <c r="C525" s="5" t="s">
        <v>134</v>
      </c>
      <c r="D525" s="57" t="s">
        <v>742</v>
      </c>
      <c r="E525" s="7" t="s">
        <v>219</v>
      </c>
      <c r="F525" s="33">
        <v>2</v>
      </c>
      <c r="G525" s="63">
        <v>-105</v>
      </c>
      <c r="H525" s="9" t="s">
        <v>36</v>
      </c>
      <c r="I5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2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25" s="36"/>
      <c r="N525" s="40"/>
      <c r="O525" s="37"/>
    </row>
    <row r="526" spans="1:15" x14ac:dyDescent="0.25">
      <c r="A526" s="35">
        <f t="shared" si="21"/>
        <v>47</v>
      </c>
      <c r="B526" s="5">
        <v>43504</v>
      </c>
      <c r="C526" s="5" t="s">
        <v>134</v>
      </c>
      <c r="D526" s="57" t="s">
        <v>742</v>
      </c>
      <c r="E526" s="7" t="s">
        <v>743</v>
      </c>
      <c r="F526" s="33">
        <v>2</v>
      </c>
      <c r="G526" s="63">
        <v>-105</v>
      </c>
      <c r="H526" s="9" t="s">
        <v>6</v>
      </c>
      <c r="I5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2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26" s="36"/>
      <c r="N526" s="40"/>
      <c r="O526" s="37"/>
    </row>
    <row r="527" spans="1:15" x14ac:dyDescent="0.25">
      <c r="A527" s="35">
        <f t="shared" si="21"/>
        <v>47</v>
      </c>
      <c r="B527" s="5">
        <v>43504</v>
      </c>
      <c r="C527" s="5" t="s">
        <v>134</v>
      </c>
      <c r="D527" s="57" t="s">
        <v>744</v>
      </c>
      <c r="E527" s="7" t="s">
        <v>641</v>
      </c>
      <c r="F527" s="33">
        <v>2</v>
      </c>
      <c r="G527" s="63">
        <v>-110</v>
      </c>
      <c r="H527" s="9" t="s">
        <v>36</v>
      </c>
      <c r="I5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2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27" s="36"/>
      <c r="N527" s="40"/>
      <c r="O527" s="37"/>
    </row>
    <row r="528" spans="1:15" x14ac:dyDescent="0.25">
      <c r="A528" s="35">
        <f t="shared" si="21"/>
        <v>47</v>
      </c>
      <c r="B528" s="5">
        <v>43504</v>
      </c>
      <c r="C528" s="5" t="s">
        <v>134</v>
      </c>
      <c r="D528" s="57" t="s">
        <v>745</v>
      </c>
      <c r="E528" s="7" t="s">
        <v>264</v>
      </c>
      <c r="F528" s="33">
        <v>2</v>
      </c>
      <c r="G528" s="63">
        <v>-105</v>
      </c>
      <c r="H528" s="9" t="s">
        <v>6</v>
      </c>
      <c r="I5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2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28" s="36"/>
      <c r="N528" s="40"/>
      <c r="O528" s="37"/>
    </row>
    <row r="529" spans="1:15" x14ac:dyDescent="0.25">
      <c r="A529" s="35">
        <f t="shared" si="21"/>
        <v>47</v>
      </c>
      <c r="B529" s="5">
        <v>43504</v>
      </c>
      <c r="C529" s="5" t="s">
        <v>134</v>
      </c>
      <c r="D529" s="57" t="s">
        <v>746</v>
      </c>
      <c r="E529" s="7" t="s">
        <v>276</v>
      </c>
      <c r="F529" s="33">
        <v>2</v>
      </c>
      <c r="G529" s="63">
        <v>-105</v>
      </c>
      <c r="H529" s="9" t="s">
        <v>6</v>
      </c>
      <c r="I5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2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29" s="36"/>
      <c r="N529" s="40"/>
      <c r="O529" s="37"/>
    </row>
    <row r="530" spans="1:15" x14ac:dyDescent="0.25">
      <c r="A530" s="35">
        <f t="shared" si="21"/>
        <v>47</v>
      </c>
      <c r="B530" s="5">
        <v>43504</v>
      </c>
      <c r="C530" s="5" t="s">
        <v>134</v>
      </c>
      <c r="D530" s="57" t="s">
        <v>746</v>
      </c>
      <c r="E530" s="7" t="s">
        <v>747</v>
      </c>
      <c r="F530" s="33">
        <v>2</v>
      </c>
      <c r="G530" s="63">
        <v>-110</v>
      </c>
      <c r="H530" s="9" t="s">
        <v>36</v>
      </c>
      <c r="I5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3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0" s="36"/>
      <c r="N530" s="40"/>
      <c r="O530" s="37"/>
    </row>
    <row r="531" spans="1:15" x14ac:dyDescent="0.25">
      <c r="A531" s="35">
        <f t="shared" si="21"/>
        <v>47</v>
      </c>
      <c r="B531" s="5">
        <v>43504</v>
      </c>
      <c r="C531" s="5" t="s">
        <v>134</v>
      </c>
      <c r="D531" s="57" t="s">
        <v>748</v>
      </c>
      <c r="E531" s="7" t="s">
        <v>333</v>
      </c>
      <c r="F531" s="33">
        <v>2</v>
      </c>
      <c r="G531" s="63">
        <v>-110</v>
      </c>
      <c r="H531" s="9" t="s">
        <v>36</v>
      </c>
      <c r="I5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3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31" s="36"/>
      <c r="N531" s="40"/>
      <c r="O531" s="37"/>
    </row>
    <row r="532" spans="1:15" x14ac:dyDescent="0.25">
      <c r="A532" s="35">
        <f t="shared" si="21"/>
        <v>47</v>
      </c>
      <c r="B532" s="5">
        <v>43504</v>
      </c>
      <c r="C532" s="5" t="s">
        <v>134</v>
      </c>
      <c r="D532" s="57" t="s">
        <v>748</v>
      </c>
      <c r="E532" s="7" t="s">
        <v>347</v>
      </c>
      <c r="F532" s="33">
        <v>2</v>
      </c>
      <c r="G532" s="63">
        <v>-115</v>
      </c>
      <c r="H532" s="9" t="s">
        <v>6</v>
      </c>
      <c r="I5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3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2" s="36"/>
      <c r="N532" s="40"/>
      <c r="O532" s="37"/>
    </row>
    <row r="533" spans="1:15" x14ac:dyDescent="0.25">
      <c r="A533" s="35">
        <f t="shared" si="21"/>
        <v>47</v>
      </c>
      <c r="B533" s="5">
        <v>43504</v>
      </c>
      <c r="C533" s="5" t="s">
        <v>134</v>
      </c>
      <c r="D533" s="57" t="s">
        <v>749</v>
      </c>
      <c r="E533" s="7" t="s">
        <v>336</v>
      </c>
      <c r="F533" s="33">
        <v>2</v>
      </c>
      <c r="G533" s="63">
        <v>-105</v>
      </c>
      <c r="H533" s="9" t="s">
        <v>6</v>
      </c>
      <c r="I5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3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33" s="36"/>
      <c r="N533" s="40"/>
      <c r="O533" s="37"/>
    </row>
    <row r="534" spans="1:15" x14ac:dyDescent="0.25">
      <c r="A534" s="35">
        <f t="shared" si="21"/>
        <v>47</v>
      </c>
      <c r="B534" s="5">
        <v>43504</v>
      </c>
      <c r="C534" s="5" t="s">
        <v>134</v>
      </c>
      <c r="D534" s="57" t="s">
        <v>750</v>
      </c>
      <c r="E534" s="7" t="s">
        <v>751</v>
      </c>
      <c r="F534" s="33">
        <v>2</v>
      </c>
      <c r="G534" s="63">
        <v>-110</v>
      </c>
      <c r="H534" s="9" t="s">
        <v>36</v>
      </c>
      <c r="I5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3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4" s="36"/>
      <c r="N534" s="40"/>
      <c r="O534" s="37"/>
    </row>
    <row r="535" spans="1:15" x14ac:dyDescent="0.25">
      <c r="A535" s="35">
        <f t="shared" si="21"/>
        <v>47</v>
      </c>
      <c r="B535" s="5">
        <v>43504</v>
      </c>
      <c r="C535" s="5" t="s">
        <v>419</v>
      </c>
      <c r="D535" s="57" t="s">
        <v>752</v>
      </c>
      <c r="E535" s="7" t="s">
        <v>753</v>
      </c>
      <c r="F535" s="33">
        <v>2</v>
      </c>
      <c r="G535" s="67">
        <v>-115</v>
      </c>
      <c r="H535" s="9" t="s">
        <v>36</v>
      </c>
      <c r="I5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53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35" s="36"/>
      <c r="N535" s="40"/>
      <c r="O535" s="37"/>
    </row>
    <row r="536" spans="1:15" x14ac:dyDescent="0.25">
      <c r="A536" s="35">
        <f t="shared" si="21"/>
        <v>47</v>
      </c>
      <c r="B536" s="5">
        <v>43504</v>
      </c>
      <c r="C536" s="5" t="s">
        <v>419</v>
      </c>
      <c r="D536" s="57" t="s">
        <v>752</v>
      </c>
      <c r="E536" s="7" t="s">
        <v>754</v>
      </c>
      <c r="F536" s="33">
        <v>2</v>
      </c>
      <c r="G536" s="67">
        <v>-105</v>
      </c>
      <c r="H536" s="9" t="s">
        <v>6</v>
      </c>
      <c r="I5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3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6" s="36"/>
      <c r="N536" s="40"/>
      <c r="O536" s="37"/>
    </row>
    <row r="537" spans="1:15" x14ac:dyDescent="0.25">
      <c r="A537" s="35">
        <f t="shared" si="21"/>
        <v>47</v>
      </c>
      <c r="B537" s="5">
        <v>43504</v>
      </c>
      <c r="C537" s="5" t="s">
        <v>419</v>
      </c>
      <c r="D537" s="57" t="s">
        <v>755</v>
      </c>
      <c r="E537" s="7" t="s">
        <v>756</v>
      </c>
      <c r="F537" s="33">
        <v>2</v>
      </c>
      <c r="G537" s="67">
        <v>-115</v>
      </c>
      <c r="H537" s="9" t="s">
        <v>36</v>
      </c>
      <c r="I5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53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37" s="36"/>
      <c r="N537" s="40"/>
      <c r="O537" s="37"/>
    </row>
    <row r="538" spans="1:15" x14ac:dyDescent="0.25">
      <c r="A538" s="35">
        <f t="shared" si="21"/>
        <v>47</v>
      </c>
      <c r="B538" s="5">
        <v>43504</v>
      </c>
      <c r="C538" s="5" t="s">
        <v>419</v>
      </c>
      <c r="D538" s="57" t="s">
        <v>755</v>
      </c>
      <c r="E538" s="7" t="s">
        <v>757</v>
      </c>
      <c r="F538" s="33">
        <v>2</v>
      </c>
      <c r="G538" s="67">
        <v>-115</v>
      </c>
      <c r="H538" s="9" t="s">
        <v>6</v>
      </c>
      <c r="I5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3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8" s="36"/>
      <c r="N538" s="40"/>
      <c r="O538" s="37"/>
    </row>
    <row r="539" spans="1:15" x14ac:dyDescent="0.25">
      <c r="A539" s="35">
        <f t="shared" si="21"/>
        <v>47</v>
      </c>
      <c r="B539" s="5">
        <v>43504</v>
      </c>
      <c r="C539" s="5" t="s">
        <v>419</v>
      </c>
      <c r="D539" s="57" t="s">
        <v>758</v>
      </c>
      <c r="E539" s="7" t="s">
        <v>759</v>
      </c>
      <c r="F539" s="33">
        <v>2</v>
      </c>
      <c r="G539" s="67">
        <v>-105</v>
      </c>
      <c r="H539" s="9" t="s">
        <v>36</v>
      </c>
      <c r="I5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3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39" s="36"/>
      <c r="N539" s="40"/>
      <c r="O539" s="37"/>
    </row>
    <row r="540" spans="1:15" x14ac:dyDescent="0.25">
      <c r="A540" s="35">
        <f t="shared" si="21"/>
        <v>47</v>
      </c>
      <c r="B540" s="5">
        <v>43504</v>
      </c>
      <c r="C540" s="5" t="s">
        <v>419</v>
      </c>
      <c r="D540" s="57" t="s">
        <v>760</v>
      </c>
      <c r="E540" s="7" t="s">
        <v>522</v>
      </c>
      <c r="F540" s="33">
        <v>2</v>
      </c>
      <c r="G540" s="67">
        <v>-105</v>
      </c>
      <c r="H540" s="9" t="s">
        <v>6</v>
      </c>
      <c r="I5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40" s="36"/>
      <c r="N540" s="40"/>
      <c r="O540" s="37"/>
    </row>
    <row r="541" spans="1:15" x14ac:dyDescent="0.25">
      <c r="A541" s="35">
        <f t="shared" si="21"/>
        <v>47</v>
      </c>
      <c r="B541" s="5">
        <v>43504</v>
      </c>
      <c r="C541" s="5" t="s">
        <v>419</v>
      </c>
      <c r="D541" s="57" t="s">
        <v>760</v>
      </c>
      <c r="E541" s="7" t="s">
        <v>761</v>
      </c>
      <c r="F541" s="33">
        <v>2</v>
      </c>
      <c r="G541" s="67">
        <v>-370</v>
      </c>
      <c r="H541" s="9" t="s">
        <v>36</v>
      </c>
      <c r="I5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0.54054054054054057</v>
      </c>
      <c r="J54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41" s="36"/>
      <c r="N541" s="40"/>
      <c r="O541" s="37"/>
    </row>
    <row r="542" spans="1:15" x14ac:dyDescent="0.25">
      <c r="A542" s="35">
        <f t="shared" si="21"/>
        <v>47</v>
      </c>
      <c r="B542" s="5">
        <v>43504</v>
      </c>
      <c r="C542" s="5" t="s">
        <v>419</v>
      </c>
      <c r="D542" s="57" t="s">
        <v>760</v>
      </c>
      <c r="E542" s="7" t="s">
        <v>762</v>
      </c>
      <c r="F542" s="33">
        <v>2</v>
      </c>
      <c r="G542" s="67">
        <v>-110</v>
      </c>
      <c r="H542" s="9" t="s">
        <v>36</v>
      </c>
      <c r="I5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4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42" s="36"/>
      <c r="N542" s="40"/>
      <c r="O542" s="37"/>
    </row>
    <row r="543" spans="1:15" x14ac:dyDescent="0.25">
      <c r="A543" s="35">
        <f t="shared" si="21"/>
        <v>47</v>
      </c>
      <c r="B543" s="5">
        <v>43504</v>
      </c>
      <c r="C543" s="5" t="s">
        <v>419</v>
      </c>
      <c r="D543" s="57" t="s">
        <v>763</v>
      </c>
      <c r="E543" s="7" t="s">
        <v>764</v>
      </c>
      <c r="F543" s="33">
        <v>2</v>
      </c>
      <c r="G543" s="67">
        <v>-110</v>
      </c>
      <c r="H543" s="9" t="s">
        <v>36</v>
      </c>
      <c r="I5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4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43" s="36"/>
      <c r="N543" s="40"/>
      <c r="O543" s="37"/>
    </row>
    <row r="544" spans="1:15" x14ac:dyDescent="0.25">
      <c r="A544" s="35">
        <f t="shared" si="21"/>
        <v>47</v>
      </c>
      <c r="B544" s="5">
        <v>43504</v>
      </c>
      <c r="C544" s="5" t="s">
        <v>419</v>
      </c>
      <c r="D544" s="57" t="s">
        <v>765</v>
      </c>
      <c r="E544" s="7" t="s">
        <v>766</v>
      </c>
      <c r="F544" s="33">
        <v>2</v>
      </c>
      <c r="G544" s="67">
        <v>-115</v>
      </c>
      <c r="H544" s="9" t="s">
        <v>6</v>
      </c>
      <c r="I5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44" s="36"/>
      <c r="N544" s="40"/>
      <c r="O544" s="37"/>
    </row>
    <row r="545" spans="1:15" x14ac:dyDescent="0.25">
      <c r="A545" s="35">
        <f t="shared" si="21"/>
        <v>47</v>
      </c>
      <c r="B545" s="5">
        <v>43504</v>
      </c>
      <c r="C545" s="5" t="s">
        <v>419</v>
      </c>
      <c r="D545" s="57" t="s">
        <v>765</v>
      </c>
      <c r="E545" s="7" t="s">
        <v>767</v>
      </c>
      <c r="F545" s="33">
        <v>2</v>
      </c>
      <c r="G545" s="67">
        <v>-140</v>
      </c>
      <c r="H545" s="9" t="s">
        <v>6</v>
      </c>
      <c r="I5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45" s="36"/>
      <c r="N545" s="40"/>
      <c r="O545" s="37"/>
    </row>
    <row r="546" spans="1:15" x14ac:dyDescent="0.25">
      <c r="A546" s="35">
        <f t="shared" si="21"/>
        <v>47</v>
      </c>
      <c r="B546" s="5">
        <v>43504</v>
      </c>
      <c r="C546" s="5" t="s">
        <v>419</v>
      </c>
      <c r="D546" s="57" t="s">
        <v>768</v>
      </c>
      <c r="E546" s="7" t="s">
        <v>769</v>
      </c>
      <c r="F546" s="33">
        <v>2</v>
      </c>
      <c r="G546" s="67">
        <v>-110</v>
      </c>
      <c r="H546" s="9" t="s">
        <v>6</v>
      </c>
      <c r="I5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46" s="36"/>
      <c r="N546" s="40"/>
      <c r="O546" s="37"/>
    </row>
    <row r="547" spans="1:15" x14ac:dyDescent="0.25">
      <c r="A547" s="35">
        <f t="shared" si="21"/>
        <v>47</v>
      </c>
      <c r="B547" s="5">
        <v>43504</v>
      </c>
      <c r="C547" s="5" t="s">
        <v>419</v>
      </c>
      <c r="D547" s="57" t="s">
        <v>768</v>
      </c>
      <c r="E547" s="7" t="s">
        <v>770</v>
      </c>
      <c r="F547" s="33">
        <v>2</v>
      </c>
      <c r="G547" s="67">
        <v>-105</v>
      </c>
      <c r="H547" s="9" t="s">
        <v>6</v>
      </c>
      <c r="I5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47" s="36"/>
      <c r="N547" s="40"/>
      <c r="O547" s="37"/>
    </row>
    <row r="548" spans="1:15" x14ac:dyDescent="0.25">
      <c r="A548" s="35">
        <f t="shared" si="21"/>
        <v>47</v>
      </c>
      <c r="B548" s="5">
        <v>43504</v>
      </c>
      <c r="C548" s="5" t="s">
        <v>419</v>
      </c>
      <c r="D548" s="57" t="s">
        <v>771</v>
      </c>
      <c r="E548" s="7" t="s">
        <v>780</v>
      </c>
      <c r="F548" s="33">
        <v>2</v>
      </c>
      <c r="G548" s="67">
        <v>-105</v>
      </c>
      <c r="H548" s="9" t="s">
        <v>6</v>
      </c>
      <c r="I5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48" s="36"/>
      <c r="N548" s="40"/>
      <c r="O548" s="37"/>
    </row>
    <row r="549" spans="1:15" x14ac:dyDescent="0.25">
      <c r="A549" s="35">
        <f t="shared" si="21"/>
        <v>47</v>
      </c>
      <c r="B549" s="5">
        <v>43504</v>
      </c>
      <c r="C549" s="5" t="s">
        <v>419</v>
      </c>
      <c r="D549" s="57" t="s">
        <v>771</v>
      </c>
      <c r="E549" s="7" t="s">
        <v>779</v>
      </c>
      <c r="F549" s="33">
        <v>2</v>
      </c>
      <c r="G549" s="67">
        <v>-110</v>
      </c>
      <c r="H549" s="9" t="s">
        <v>6</v>
      </c>
      <c r="I5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4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49" s="36"/>
      <c r="N549" s="40"/>
      <c r="O549" s="37"/>
    </row>
    <row r="550" spans="1:15" x14ac:dyDescent="0.25">
      <c r="A550" s="35">
        <f t="shared" si="21"/>
        <v>47</v>
      </c>
      <c r="B550" s="5">
        <v>43504</v>
      </c>
      <c r="C550" s="5" t="s">
        <v>419</v>
      </c>
      <c r="D550" s="57" t="s">
        <v>773</v>
      </c>
      <c r="E550" s="7" t="s">
        <v>774</v>
      </c>
      <c r="F550" s="33">
        <v>2</v>
      </c>
      <c r="G550" s="67">
        <v>-115</v>
      </c>
      <c r="H550" s="9" t="s">
        <v>6</v>
      </c>
      <c r="I5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50" s="36"/>
      <c r="N550" s="40"/>
      <c r="O550" s="37"/>
    </row>
    <row r="551" spans="1:15" x14ac:dyDescent="0.25">
      <c r="A551" s="35">
        <f t="shared" si="21"/>
        <v>47</v>
      </c>
      <c r="B551" s="5">
        <v>43504</v>
      </c>
      <c r="C551" s="5" t="s">
        <v>419</v>
      </c>
      <c r="D551" s="57" t="s">
        <v>773</v>
      </c>
      <c r="E551" s="7" t="s">
        <v>775</v>
      </c>
      <c r="F551" s="33">
        <v>2</v>
      </c>
      <c r="G551" s="67">
        <v>-105</v>
      </c>
      <c r="H551" s="9" t="s">
        <v>6</v>
      </c>
      <c r="I5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551" s="36"/>
      <c r="N551" s="40"/>
      <c r="O551" s="37"/>
    </row>
    <row r="552" spans="1:15" x14ac:dyDescent="0.25">
      <c r="A552" s="35">
        <f t="shared" si="21"/>
        <v>47</v>
      </c>
      <c r="B552" s="5">
        <v>43504</v>
      </c>
      <c r="C552" s="5" t="s">
        <v>419</v>
      </c>
      <c r="D552" s="57" t="s">
        <v>773</v>
      </c>
      <c r="E552" s="7" t="s">
        <v>776</v>
      </c>
      <c r="F552" s="33">
        <v>2</v>
      </c>
      <c r="G552" s="67">
        <v>-115</v>
      </c>
      <c r="H552" s="9" t="s">
        <v>36</v>
      </c>
      <c r="I5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55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52" s="36"/>
      <c r="N552" s="40"/>
      <c r="O552" s="37"/>
    </row>
    <row r="553" spans="1:15" x14ac:dyDescent="0.25">
      <c r="A553" s="35">
        <f t="shared" si="21"/>
        <v>47</v>
      </c>
      <c r="B553" s="5">
        <v>43504</v>
      </c>
      <c r="C553" s="5" t="s">
        <v>419</v>
      </c>
      <c r="D553" s="57" t="s">
        <v>777</v>
      </c>
      <c r="E553" s="7" t="s">
        <v>772</v>
      </c>
      <c r="F553" s="33">
        <v>2</v>
      </c>
      <c r="G553" s="67">
        <v>-115</v>
      </c>
      <c r="H553" s="9" t="s">
        <v>6</v>
      </c>
      <c r="I5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3" s="36"/>
      <c r="N553" s="40"/>
      <c r="O553" s="37"/>
    </row>
    <row r="554" spans="1:15" x14ac:dyDescent="0.25">
      <c r="A554" s="35">
        <f t="shared" si="21"/>
        <v>47</v>
      </c>
      <c r="B554" s="5">
        <v>43504</v>
      </c>
      <c r="C554" s="5" t="s">
        <v>419</v>
      </c>
      <c r="D554" s="57" t="s">
        <v>777</v>
      </c>
      <c r="E554" s="7" t="s">
        <v>778</v>
      </c>
      <c r="F554" s="33">
        <v>2</v>
      </c>
      <c r="G554" s="67">
        <v>-105</v>
      </c>
      <c r="H554" s="9" t="s">
        <v>36</v>
      </c>
      <c r="I5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5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54" s="36"/>
      <c r="N554" s="40"/>
      <c r="O554" s="37"/>
    </row>
    <row r="555" spans="1:15" x14ac:dyDescent="0.25">
      <c r="A555" s="35">
        <f t="shared" si="21"/>
        <v>48</v>
      </c>
      <c r="B555" s="5">
        <v>43505</v>
      </c>
      <c r="C555" s="5" t="s">
        <v>1182</v>
      </c>
      <c r="D555" s="57" t="s">
        <v>782</v>
      </c>
      <c r="E555" s="7" t="s">
        <v>351</v>
      </c>
      <c r="F555" s="33">
        <v>2</v>
      </c>
      <c r="G555" s="67">
        <v>-110</v>
      </c>
      <c r="H555" s="9" t="s">
        <v>6</v>
      </c>
      <c r="I5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5" s="36"/>
      <c r="N555" s="40"/>
      <c r="O555" s="37"/>
    </row>
    <row r="556" spans="1:15" x14ac:dyDescent="0.25">
      <c r="A556" s="35">
        <f t="shared" si="21"/>
        <v>48</v>
      </c>
      <c r="B556" s="5">
        <v>43505</v>
      </c>
      <c r="C556" s="5" t="s">
        <v>1182</v>
      </c>
      <c r="D556" s="57" t="s">
        <v>783</v>
      </c>
      <c r="E556" s="7" t="s">
        <v>351</v>
      </c>
      <c r="F556" s="33">
        <v>2</v>
      </c>
      <c r="G556" s="67">
        <v>-110</v>
      </c>
      <c r="H556" s="9" t="s">
        <v>6</v>
      </c>
      <c r="I5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6" s="36"/>
      <c r="N556" s="40"/>
      <c r="O556" s="37"/>
    </row>
    <row r="557" spans="1:15" x14ac:dyDescent="0.25">
      <c r="A557" s="35">
        <f t="shared" si="21"/>
        <v>49</v>
      </c>
      <c r="B557" s="5">
        <v>43506</v>
      </c>
      <c r="C557" s="5" t="s">
        <v>1182</v>
      </c>
      <c r="D557" s="57" t="s">
        <v>784</v>
      </c>
      <c r="E557" s="7" t="s">
        <v>34</v>
      </c>
      <c r="F557" s="33">
        <v>2</v>
      </c>
      <c r="G557" s="67">
        <v>-110</v>
      </c>
      <c r="H557" s="9" t="s">
        <v>6</v>
      </c>
      <c r="I5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7" s="36"/>
      <c r="N557" s="40"/>
      <c r="O557" s="37"/>
    </row>
    <row r="558" spans="1:15" x14ac:dyDescent="0.25">
      <c r="A558" s="35">
        <f t="shared" si="21"/>
        <v>49</v>
      </c>
      <c r="B558" s="5">
        <v>43506</v>
      </c>
      <c r="C558" s="5" t="s">
        <v>1182</v>
      </c>
      <c r="D558" s="57" t="s">
        <v>785</v>
      </c>
      <c r="E558" s="7" t="s">
        <v>786</v>
      </c>
      <c r="F558" s="33">
        <v>2</v>
      </c>
      <c r="G558" s="67">
        <v>-110</v>
      </c>
      <c r="H558" s="9" t="s">
        <v>36</v>
      </c>
      <c r="I5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58" s="36"/>
      <c r="N558" s="40"/>
      <c r="O558" s="37"/>
    </row>
    <row r="559" spans="1:15" x14ac:dyDescent="0.25">
      <c r="A559" s="35">
        <f t="shared" si="21"/>
        <v>50</v>
      </c>
      <c r="B559" s="5">
        <v>43507</v>
      </c>
      <c r="C559" s="5" t="s">
        <v>134</v>
      </c>
      <c r="D559" s="57" t="s">
        <v>787</v>
      </c>
      <c r="E559" s="7" t="s">
        <v>788</v>
      </c>
      <c r="F559" s="33">
        <v>5</v>
      </c>
      <c r="G559" s="63">
        <v>-110</v>
      </c>
      <c r="H559" s="9" t="s">
        <v>36</v>
      </c>
      <c r="I5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5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59" s="36"/>
      <c r="N559" s="40"/>
      <c r="O559" s="37"/>
    </row>
    <row r="560" spans="1:15" x14ac:dyDescent="0.25">
      <c r="A560" s="35">
        <f t="shared" si="21"/>
        <v>50</v>
      </c>
      <c r="B560" s="5">
        <v>43507</v>
      </c>
      <c r="C560" s="5" t="s">
        <v>134</v>
      </c>
      <c r="D560" s="57" t="s">
        <v>789</v>
      </c>
      <c r="E560" s="7" t="s">
        <v>140</v>
      </c>
      <c r="F560" s="33">
        <v>5</v>
      </c>
      <c r="G560" s="63">
        <v>-110</v>
      </c>
      <c r="H560" s="9" t="s">
        <v>36</v>
      </c>
      <c r="I5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6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60" s="36"/>
      <c r="N560" s="40"/>
      <c r="O560" s="37"/>
    </row>
    <row r="561" spans="1:15" x14ac:dyDescent="0.25">
      <c r="A561" s="35">
        <f t="shared" si="21"/>
        <v>50</v>
      </c>
      <c r="B561" s="5">
        <v>43507</v>
      </c>
      <c r="C561" s="5" t="s">
        <v>134</v>
      </c>
      <c r="D561" s="57" t="s">
        <v>790</v>
      </c>
      <c r="E561" s="7" t="s">
        <v>112</v>
      </c>
      <c r="F561" s="33">
        <v>5</v>
      </c>
      <c r="G561" s="63">
        <v>-115</v>
      </c>
      <c r="H561" s="9" t="s">
        <v>6</v>
      </c>
      <c r="I5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6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61" s="36"/>
      <c r="N561" s="40"/>
      <c r="O561" s="37"/>
    </row>
    <row r="562" spans="1:15" x14ac:dyDescent="0.25">
      <c r="A562" s="35">
        <f t="shared" si="21"/>
        <v>50</v>
      </c>
      <c r="B562" s="5">
        <v>43507</v>
      </c>
      <c r="C562" s="5" t="s">
        <v>134</v>
      </c>
      <c r="D562" s="57" t="s">
        <v>337</v>
      </c>
      <c r="E562" s="7" t="s">
        <v>225</v>
      </c>
      <c r="F562" s="33">
        <v>5</v>
      </c>
      <c r="G562" s="63">
        <v>-115</v>
      </c>
      <c r="H562" s="9" t="s">
        <v>6</v>
      </c>
      <c r="I5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62" s="36"/>
      <c r="N562" s="40"/>
      <c r="O562" s="37"/>
    </row>
    <row r="563" spans="1:15" x14ac:dyDescent="0.25">
      <c r="A563" s="35">
        <f t="shared" si="21"/>
        <v>50</v>
      </c>
      <c r="B563" s="5">
        <v>43507</v>
      </c>
      <c r="C563" s="5" t="s">
        <v>134</v>
      </c>
      <c r="D563" s="57" t="s">
        <v>791</v>
      </c>
      <c r="E563" s="7" t="s">
        <v>792</v>
      </c>
      <c r="F563" s="33">
        <v>5</v>
      </c>
      <c r="G563" s="63">
        <v>-115</v>
      </c>
      <c r="H563" s="9" t="s">
        <v>36</v>
      </c>
      <c r="I5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5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63" s="36"/>
      <c r="N563" s="40"/>
      <c r="O563" s="37"/>
    </row>
    <row r="564" spans="1:15" x14ac:dyDescent="0.25">
      <c r="A564" s="35">
        <f t="shared" si="21"/>
        <v>50</v>
      </c>
      <c r="B564" s="5">
        <v>43507</v>
      </c>
      <c r="C564" s="5" t="s">
        <v>134</v>
      </c>
      <c r="D564" s="57" t="s">
        <v>791</v>
      </c>
      <c r="E564" s="7" t="s">
        <v>793</v>
      </c>
      <c r="F564" s="33">
        <v>5</v>
      </c>
      <c r="G564" s="63">
        <v>-105</v>
      </c>
      <c r="H564" s="9" t="s">
        <v>36</v>
      </c>
      <c r="I5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5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64" s="36"/>
      <c r="N564" s="40"/>
      <c r="O564" s="37"/>
    </row>
    <row r="565" spans="1:15" ht="60" x14ac:dyDescent="0.25">
      <c r="A565" s="35">
        <f t="shared" si="21"/>
        <v>50</v>
      </c>
      <c r="B565" s="5">
        <v>43507</v>
      </c>
      <c r="C565" s="5" t="s">
        <v>134</v>
      </c>
      <c r="D565" s="58" t="s">
        <v>794</v>
      </c>
      <c r="E565" s="46" t="s">
        <v>795</v>
      </c>
      <c r="F565" s="33">
        <v>5</v>
      </c>
      <c r="G565" s="63">
        <v>502</v>
      </c>
      <c r="H565" s="9" t="s">
        <v>6</v>
      </c>
      <c r="I5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6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565" s="36"/>
      <c r="N565" s="40"/>
      <c r="O565" s="37"/>
    </row>
    <row r="566" spans="1:15" x14ac:dyDescent="0.25">
      <c r="A566" s="35">
        <f t="shared" si="21"/>
        <v>50</v>
      </c>
      <c r="B566" s="5">
        <v>43507</v>
      </c>
      <c r="C566" s="5" t="s">
        <v>419</v>
      </c>
      <c r="D566" s="57" t="s">
        <v>796</v>
      </c>
      <c r="E566" s="7" t="s">
        <v>797</v>
      </c>
      <c r="F566" s="33">
        <v>2</v>
      </c>
      <c r="G566" s="67">
        <v>-115</v>
      </c>
      <c r="H566" s="9" t="s">
        <v>6</v>
      </c>
      <c r="I5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6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66" s="36"/>
      <c r="N566" s="40"/>
      <c r="O566" s="37"/>
    </row>
    <row r="567" spans="1:15" x14ac:dyDescent="0.25">
      <c r="A567" s="35">
        <f t="shared" si="21"/>
        <v>50</v>
      </c>
      <c r="B567" s="5">
        <v>43507</v>
      </c>
      <c r="C567" s="5" t="s">
        <v>419</v>
      </c>
      <c r="D567" s="57" t="s">
        <v>796</v>
      </c>
      <c r="E567" s="7" t="s">
        <v>798</v>
      </c>
      <c r="F567" s="33">
        <v>2</v>
      </c>
      <c r="G567" s="67">
        <v>-110</v>
      </c>
      <c r="H567" s="9" t="s">
        <v>36</v>
      </c>
      <c r="I5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6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67" s="36"/>
      <c r="N567" s="40"/>
      <c r="O567" s="37"/>
    </row>
    <row r="568" spans="1:15" x14ac:dyDescent="0.25">
      <c r="A568" s="35">
        <f t="shared" si="21"/>
        <v>50</v>
      </c>
      <c r="B568" s="5">
        <v>43507</v>
      </c>
      <c r="C568" s="5" t="s">
        <v>419</v>
      </c>
      <c r="D568" s="57" t="s">
        <v>799</v>
      </c>
      <c r="E568" s="7" t="s">
        <v>474</v>
      </c>
      <c r="F568" s="33">
        <v>2</v>
      </c>
      <c r="G568" s="67">
        <v>-105</v>
      </c>
      <c r="H568" s="9" t="s">
        <v>6</v>
      </c>
      <c r="I5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6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68" s="36"/>
      <c r="N568" s="40"/>
      <c r="O568" s="37"/>
    </row>
    <row r="569" spans="1:15" x14ac:dyDescent="0.25">
      <c r="A569" s="35">
        <f t="shared" si="21"/>
        <v>50</v>
      </c>
      <c r="B569" s="5">
        <v>43507</v>
      </c>
      <c r="C569" s="5" t="s">
        <v>419</v>
      </c>
      <c r="D569" s="57" t="s">
        <v>799</v>
      </c>
      <c r="E569" s="7" t="s">
        <v>800</v>
      </c>
      <c r="F569" s="33">
        <v>2</v>
      </c>
      <c r="G569" s="67">
        <v>100</v>
      </c>
      <c r="H569" s="9" t="s">
        <v>6</v>
      </c>
      <c r="I5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6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569" s="36"/>
      <c r="N569" s="40"/>
      <c r="O569" s="37"/>
    </row>
    <row r="570" spans="1:15" x14ac:dyDescent="0.25">
      <c r="A570" s="35">
        <f t="shared" si="21"/>
        <v>50</v>
      </c>
      <c r="B570" s="5">
        <v>43507</v>
      </c>
      <c r="C570" s="5" t="s">
        <v>419</v>
      </c>
      <c r="D570" s="57" t="s">
        <v>799</v>
      </c>
      <c r="E570" s="7" t="s">
        <v>801</v>
      </c>
      <c r="F570" s="33">
        <v>2</v>
      </c>
      <c r="G570" s="67">
        <v>-110</v>
      </c>
      <c r="H570" s="9" t="s">
        <v>6</v>
      </c>
      <c r="I5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7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70" s="36"/>
      <c r="N570" s="40"/>
      <c r="O570" s="37"/>
    </row>
    <row r="571" spans="1:15" x14ac:dyDescent="0.25">
      <c r="A571" s="35">
        <f t="shared" si="21"/>
        <v>50</v>
      </c>
      <c r="B571" s="5">
        <v>43507</v>
      </c>
      <c r="C571" s="5" t="s">
        <v>419</v>
      </c>
      <c r="D571" s="57" t="s">
        <v>802</v>
      </c>
      <c r="E571" s="7" t="s">
        <v>803</v>
      </c>
      <c r="F571" s="33">
        <v>2</v>
      </c>
      <c r="G571" s="67">
        <v>-110</v>
      </c>
      <c r="H571" s="9" t="s">
        <v>36</v>
      </c>
      <c r="I5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7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71" s="36"/>
      <c r="N571" s="40"/>
      <c r="O571" s="37"/>
    </row>
    <row r="572" spans="1:15" x14ac:dyDescent="0.25">
      <c r="A572" s="35">
        <f t="shared" si="21"/>
        <v>50</v>
      </c>
      <c r="B572" s="5">
        <v>43507</v>
      </c>
      <c r="C572" s="5" t="s">
        <v>419</v>
      </c>
      <c r="D572" s="57" t="s">
        <v>804</v>
      </c>
      <c r="E572" s="7" t="s">
        <v>592</v>
      </c>
      <c r="F572" s="33">
        <v>2</v>
      </c>
      <c r="G572" s="67">
        <v>-115</v>
      </c>
      <c r="H572" s="9" t="s">
        <v>6</v>
      </c>
      <c r="I5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7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72" s="36"/>
      <c r="N572" s="40"/>
      <c r="O572" s="37"/>
    </row>
    <row r="573" spans="1:15" x14ac:dyDescent="0.25">
      <c r="A573" s="35">
        <f t="shared" si="21"/>
        <v>50</v>
      </c>
      <c r="B573" s="5">
        <v>43507</v>
      </c>
      <c r="C573" s="5" t="s">
        <v>419</v>
      </c>
      <c r="D573" s="57" t="s">
        <v>805</v>
      </c>
      <c r="E573" s="7" t="s">
        <v>806</v>
      </c>
      <c r="F573" s="33">
        <v>2</v>
      </c>
      <c r="G573" s="67">
        <v>-105</v>
      </c>
      <c r="H573" s="9" t="s">
        <v>36</v>
      </c>
      <c r="I5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7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73" s="36"/>
      <c r="N573" s="40"/>
      <c r="O573" s="37"/>
    </row>
    <row r="574" spans="1:15" x14ac:dyDescent="0.25">
      <c r="A574" s="35">
        <f t="shared" si="21"/>
        <v>50</v>
      </c>
      <c r="B574" s="5">
        <v>43507</v>
      </c>
      <c r="C574" s="5" t="s">
        <v>419</v>
      </c>
      <c r="D574" s="57" t="s">
        <v>805</v>
      </c>
      <c r="E574" s="7" t="s">
        <v>807</v>
      </c>
      <c r="F574" s="33">
        <v>2</v>
      </c>
      <c r="G574" s="67">
        <v>-105</v>
      </c>
      <c r="H574" s="9" t="s">
        <v>36</v>
      </c>
      <c r="I5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7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74" s="36"/>
      <c r="N574" s="40"/>
      <c r="O574" s="37"/>
    </row>
    <row r="575" spans="1:15" x14ac:dyDescent="0.25">
      <c r="A575" s="35">
        <f t="shared" si="21"/>
        <v>50</v>
      </c>
      <c r="B575" s="5">
        <v>43507</v>
      </c>
      <c r="C575" s="5" t="s">
        <v>419</v>
      </c>
      <c r="D575" s="57" t="s">
        <v>808</v>
      </c>
      <c r="E575" s="7" t="s">
        <v>809</v>
      </c>
      <c r="F575" s="33">
        <v>2</v>
      </c>
      <c r="G575" s="67">
        <v>-105</v>
      </c>
      <c r="H575" s="9" t="s">
        <v>6</v>
      </c>
      <c r="I5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7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75" s="36"/>
      <c r="N575" s="40"/>
      <c r="O575" s="37"/>
    </row>
    <row r="576" spans="1:15" x14ac:dyDescent="0.25">
      <c r="A576" s="35">
        <f t="shared" si="21"/>
        <v>50</v>
      </c>
      <c r="B576" s="5">
        <v>43507</v>
      </c>
      <c r="C576" s="5" t="s">
        <v>419</v>
      </c>
      <c r="D576" s="57" t="s">
        <v>808</v>
      </c>
      <c r="E576" s="7" t="s">
        <v>643</v>
      </c>
      <c r="F576" s="33">
        <v>2</v>
      </c>
      <c r="G576" s="67">
        <v>-105</v>
      </c>
      <c r="H576" s="9" t="s">
        <v>36</v>
      </c>
      <c r="I5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7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76" s="36"/>
      <c r="N576" s="40"/>
      <c r="O576" s="37"/>
    </row>
    <row r="577" spans="1:15" x14ac:dyDescent="0.25">
      <c r="A577" s="35">
        <f t="shared" si="21"/>
        <v>51</v>
      </c>
      <c r="B577" s="5">
        <v>43509</v>
      </c>
      <c r="C577" s="5" t="s">
        <v>134</v>
      </c>
      <c r="D577" s="57" t="s">
        <v>810</v>
      </c>
      <c r="E577" s="7" t="s">
        <v>271</v>
      </c>
      <c r="F577" s="33">
        <v>5</v>
      </c>
      <c r="G577" s="63">
        <v>-110</v>
      </c>
      <c r="H577" s="9" t="s">
        <v>6</v>
      </c>
      <c r="I5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7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77" s="36"/>
      <c r="N577" s="40"/>
      <c r="O577" s="37"/>
    </row>
    <row r="578" spans="1:15" x14ac:dyDescent="0.25">
      <c r="A578" s="35">
        <f t="shared" si="21"/>
        <v>51</v>
      </c>
      <c r="B578" s="5">
        <v>43509</v>
      </c>
      <c r="C578" s="5" t="s">
        <v>134</v>
      </c>
      <c r="D578" s="57" t="s">
        <v>811</v>
      </c>
      <c r="E578" s="7" t="s">
        <v>174</v>
      </c>
      <c r="F578" s="33">
        <v>5</v>
      </c>
      <c r="G578" s="63">
        <v>-115</v>
      </c>
      <c r="H578" s="9" t="s">
        <v>6</v>
      </c>
      <c r="I5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7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78" s="36"/>
      <c r="N578" s="40"/>
      <c r="O578" s="37"/>
    </row>
    <row r="579" spans="1:15" x14ac:dyDescent="0.25">
      <c r="A579" s="35">
        <f t="shared" si="21"/>
        <v>51</v>
      </c>
      <c r="B579" s="5">
        <v>43509</v>
      </c>
      <c r="C579" s="5" t="s">
        <v>134</v>
      </c>
      <c r="D579" s="57" t="s">
        <v>811</v>
      </c>
      <c r="E579" s="7" t="s">
        <v>812</v>
      </c>
      <c r="F579" s="33">
        <v>5</v>
      </c>
      <c r="G579" s="63">
        <v>-115</v>
      </c>
      <c r="H579" s="9" t="s">
        <v>36</v>
      </c>
      <c r="I5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57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79" s="36"/>
      <c r="N579" s="40"/>
      <c r="O579" s="37"/>
    </row>
    <row r="580" spans="1:15" x14ac:dyDescent="0.25">
      <c r="A580" s="35">
        <f t="shared" ref="A580:A643" si="22">IF(B580=B579,A579,A579+1)</f>
        <v>51</v>
      </c>
      <c r="B580" s="5">
        <v>43509</v>
      </c>
      <c r="C580" s="5" t="s">
        <v>134</v>
      </c>
      <c r="D580" s="57" t="s">
        <v>813</v>
      </c>
      <c r="E580" s="7" t="s">
        <v>119</v>
      </c>
      <c r="F580" s="33">
        <v>5</v>
      </c>
      <c r="G580" s="63">
        <v>-105</v>
      </c>
      <c r="H580" s="9" t="s">
        <v>36</v>
      </c>
      <c r="I5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58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80" s="36"/>
      <c r="N580" s="40"/>
      <c r="O580" s="37"/>
    </row>
    <row r="581" spans="1:15" x14ac:dyDescent="0.25">
      <c r="A581" s="35">
        <f t="shared" si="22"/>
        <v>51</v>
      </c>
      <c r="B581" s="5">
        <v>43509</v>
      </c>
      <c r="C581" s="5" t="s">
        <v>134</v>
      </c>
      <c r="D581" s="57" t="s">
        <v>813</v>
      </c>
      <c r="E581" s="7" t="s">
        <v>814</v>
      </c>
      <c r="F581" s="33">
        <v>5</v>
      </c>
      <c r="G581" s="63">
        <v>-110</v>
      </c>
      <c r="H581" s="9" t="s">
        <v>36</v>
      </c>
      <c r="I5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8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81" s="36"/>
      <c r="N581" s="40"/>
      <c r="O581" s="37"/>
    </row>
    <row r="582" spans="1:15" x14ac:dyDescent="0.25">
      <c r="A582" s="35">
        <f t="shared" si="22"/>
        <v>51</v>
      </c>
      <c r="B582" s="5">
        <v>43509</v>
      </c>
      <c r="C582" s="5" t="s">
        <v>134</v>
      </c>
      <c r="D582" s="57" t="s">
        <v>815</v>
      </c>
      <c r="E582" s="7" t="s">
        <v>112</v>
      </c>
      <c r="F582" s="33">
        <v>5</v>
      </c>
      <c r="G582" s="63">
        <v>-115</v>
      </c>
      <c r="H582" s="9" t="s">
        <v>6</v>
      </c>
      <c r="I5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82" s="36"/>
      <c r="N582" s="40"/>
      <c r="O582" s="37"/>
    </row>
    <row r="583" spans="1:15" x14ac:dyDescent="0.25">
      <c r="A583" s="35">
        <f t="shared" si="22"/>
        <v>51</v>
      </c>
      <c r="B583" s="5">
        <v>43509</v>
      </c>
      <c r="C583" s="5" t="s">
        <v>134</v>
      </c>
      <c r="D583" s="57" t="s">
        <v>816</v>
      </c>
      <c r="E583" s="7" t="s">
        <v>506</v>
      </c>
      <c r="F583" s="33">
        <v>5</v>
      </c>
      <c r="G583" s="63">
        <v>-115</v>
      </c>
      <c r="H583" s="9" t="s">
        <v>6</v>
      </c>
      <c r="I5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83" s="36"/>
      <c r="N583" s="40"/>
      <c r="O583" s="37"/>
    </row>
    <row r="584" spans="1:15" x14ac:dyDescent="0.25">
      <c r="A584" s="35">
        <f t="shared" si="22"/>
        <v>51</v>
      </c>
      <c r="B584" s="5">
        <v>43509</v>
      </c>
      <c r="C584" s="5" t="s">
        <v>134</v>
      </c>
      <c r="D584" s="57" t="s">
        <v>816</v>
      </c>
      <c r="E584" s="7" t="s">
        <v>817</v>
      </c>
      <c r="F584" s="33">
        <v>5</v>
      </c>
      <c r="G584" s="63">
        <v>-110</v>
      </c>
      <c r="H584" s="9" t="s">
        <v>6</v>
      </c>
      <c r="I5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84" s="36"/>
      <c r="N584" s="40"/>
      <c r="O584" s="37"/>
    </row>
    <row r="585" spans="1:15" x14ac:dyDescent="0.25">
      <c r="A585" s="35">
        <f t="shared" si="22"/>
        <v>51</v>
      </c>
      <c r="B585" s="5">
        <v>43509</v>
      </c>
      <c r="C585" s="5" t="s">
        <v>134</v>
      </c>
      <c r="D585" s="57" t="s">
        <v>818</v>
      </c>
      <c r="E585" s="7" t="s">
        <v>819</v>
      </c>
      <c r="F585" s="33">
        <v>5</v>
      </c>
      <c r="G585" s="63">
        <v>-110</v>
      </c>
      <c r="H585" s="9" t="s">
        <v>6</v>
      </c>
      <c r="I5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85" s="36"/>
      <c r="N585" s="40"/>
      <c r="O585" s="37"/>
    </row>
    <row r="586" spans="1:15" x14ac:dyDescent="0.25">
      <c r="A586" s="35">
        <f t="shared" si="22"/>
        <v>51</v>
      </c>
      <c r="B586" s="5">
        <v>43509</v>
      </c>
      <c r="C586" s="5" t="s">
        <v>134</v>
      </c>
      <c r="D586" s="57" t="s">
        <v>818</v>
      </c>
      <c r="E586" s="7" t="s">
        <v>820</v>
      </c>
      <c r="F586" s="33">
        <v>5</v>
      </c>
      <c r="G586" s="63">
        <v>120</v>
      </c>
      <c r="H586" s="9" t="s">
        <v>6</v>
      </c>
      <c r="I5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586" s="36"/>
      <c r="N586" s="40"/>
      <c r="O586" s="37"/>
    </row>
    <row r="587" spans="1:15" x14ac:dyDescent="0.25">
      <c r="A587" s="35">
        <f t="shared" si="22"/>
        <v>51</v>
      </c>
      <c r="B587" s="5">
        <v>43509</v>
      </c>
      <c r="C587" s="5" t="s">
        <v>134</v>
      </c>
      <c r="D587" s="57" t="s">
        <v>821</v>
      </c>
      <c r="E587" s="7" t="s">
        <v>336</v>
      </c>
      <c r="F587" s="33">
        <v>5</v>
      </c>
      <c r="G587" s="63">
        <v>-115</v>
      </c>
      <c r="H587" s="9" t="s">
        <v>6</v>
      </c>
      <c r="I5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87" s="36"/>
      <c r="N587" s="40"/>
      <c r="O587" s="37"/>
    </row>
    <row r="588" spans="1:15" x14ac:dyDescent="0.25">
      <c r="A588" s="35">
        <f t="shared" si="22"/>
        <v>51</v>
      </c>
      <c r="B588" s="5">
        <v>43509</v>
      </c>
      <c r="C588" s="5" t="s">
        <v>134</v>
      </c>
      <c r="D588" s="57" t="s">
        <v>821</v>
      </c>
      <c r="E588" s="7" t="s">
        <v>822</v>
      </c>
      <c r="F588" s="33">
        <v>5</v>
      </c>
      <c r="G588" s="63">
        <v>-110</v>
      </c>
      <c r="H588" s="9" t="s">
        <v>6</v>
      </c>
      <c r="I5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8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88" s="36"/>
      <c r="N588" s="40"/>
      <c r="O588" s="37"/>
    </row>
    <row r="589" spans="1:15" x14ac:dyDescent="0.25">
      <c r="A589" s="35">
        <f t="shared" si="22"/>
        <v>51</v>
      </c>
      <c r="B589" s="5">
        <v>43509</v>
      </c>
      <c r="C589" s="5" t="s">
        <v>134</v>
      </c>
      <c r="D589" s="57" t="s">
        <v>823</v>
      </c>
      <c r="E589" s="7" t="s">
        <v>130</v>
      </c>
      <c r="F589" s="33">
        <v>5</v>
      </c>
      <c r="G589" s="63">
        <v>-110</v>
      </c>
      <c r="H589" s="9" t="s">
        <v>36</v>
      </c>
      <c r="I5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58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89" s="36"/>
      <c r="N589" s="40"/>
      <c r="O589" s="37"/>
    </row>
    <row r="590" spans="1:15" x14ac:dyDescent="0.25">
      <c r="A590" s="35">
        <f t="shared" si="22"/>
        <v>51</v>
      </c>
      <c r="B590" s="5">
        <v>43509</v>
      </c>
      <c r="C590" s="5" t="s">
        <v>134</v>
      </c>
      <c r="D590" s="57" t="s">
        <v>823</v>
      </c>
      <c r="E590" s="7" t="s">
        <v>824</v>
      </c>
      <c r="F590" s="33">
        <v>5</v>
      </c>
      <c r="G590" s="63">
        <v>-105</v>
      </c>
      <c r="H590" s="9" t="s">
        <v>6</v>
      </c>
      <c r="I5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9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590" s="36"/>
      <c r="N590" s="40"/>
      <c r="O590" s="37"/>
    </row>
    <row r="591" spans="1:15" x14ac:dyDescent="0.25">
      <c r="A591" s="35">
        <f t="shared" si="22"/>
        <v>51</v>
      </c>
      <c r="B591" s="5">
        <v>43509</v>
      </c>
      <c r="C591" s="5" t="s">
        <v>134</v>
      </c>
      <c r="D591" s="57" t="s">
        <v>825</v>
      </c>
      <c r="E591" s="7" t="s">
        <v>336</v>
      </c>
      <c r="F591" s="33">
        <v>5</v>
      </c>
      <c r="G591" s="63">
        <v>-115</v>
      </c>
      <c r="H591" s="9" t="s">
        <v>6</v>
      </c>
      <c r="I5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9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91" s="36"/>
      <c r="N591" s="40"/>
      <c r="O591" s="37"/>
    </row>
    <row r="592" spans="1:15" x14ac:dyDescent="0.25">
      <c r="A592" s="35">
        <f t="shared" si="22"/>
        <v>51</v>
      </c>
      <c r="B592" s="5">
        <v>43509</v>
      </c>
      <c r="C592" s="5" t="s">
        <v>134</v>
      </c>
      <c r="D592" s="57" t="s">
        <v>826</v>
      </c>
      <c r="E592" s="7" t="s">
        <v>182</v>
      </c>
      <c r="F592" s="33">
        <v>5</v>
      </c>
      <c r="G592" s="63">
        <v>-110</v>
      </c>
      <c r="H592" s="9" t="s">
        <v>6</v>
      </c>
      <c r="I5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59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92" s="36"/>
      <c r="N592" s="40"/>
      <c r="O592" s="37"/>
    </row>
    <row r="593" spans="1:15" ht="75" x14ac:dyDescent="0.25">
      <c r="A593" s="35">
        <f t="shared" si="22"/>
        <v>51</v>
      </c>
      <c r="B593" s="5">
        <v>43509</v>
      </c>
      <c r="C593" s="5" t="s">
        <v>134</v>
      </c>
      <c r="D593" s="58" t="s">
        <v>827</v>
      </c>
      <c r="E593" s="46" t="s">
        <v>828</v>
      </c>
      <c r="F593" s="33">
        <v>4.28</v>
      </c>
      <c r="G593" s="63">
        <v>852</v>
      </c>
      <c r="H593" s="9" t="s">
        <v>6</v>
      </c>
      <c r="I5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-4.28</v>
      </c>
      <c r="J59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593" s="36"/>
      <c r="N593" s="40"/>
      <c r="O593" s="37"/>
    </row>
    <row r="594" spans="1:15" x14ac:dyDescent="0.25">
      <c r="A594" s="35">
        <f t="shared" si="22"/>
        <v>52</v>
      </c>
      <c r="B594" s="5">
        <v>43510</v>
      </c>
      <c r="C594" s="5" t="s">
        <v>419</v>
      </c>
      <c r="D594" s="57" t="s">
        <v>829</v>
      </c>
      <c r="E594" s="7" t="s">
        <v>830</v>
      </c>
      <c r="F594" s="33">
        <v>2</v>
      </c>
      <c r="G594" s="67">
        <v>-105</v>
      </c>
      <c r="H594" s="9" t="s">
        <v>36</v>
      </c>
      <c r="I5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59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594" s="36"/>
      <c r="N594" s="40"/>
      <c r="O594" s="37"/>
    </row>
    <row r="595" spans="1:15" x14ac:dyDescent="0.25">
      <c r="A595" s="35">
        <f t="shared" si="22"/>
        <v>52</v>
      </c>
      <c r="B595" s="5">
        <v>43510</v>
      </c>
      <c r="C595" s="5" t="s">
        <v>419</v>
      </c>
      <c r="D595" s="57" t="s">
        <v>831</v>
      </c>
      <c r="E595" s="7" t="s">
        <v>832</v>
      </c>
      <c r="F595" s="33">
        <v>2</v>
      </c>
      <c r="G595" s="67">
        <v>-110</v>
      </c>
      <c r="H595" s="9" t="s">
        <v>6</v>
      </c>
      <c r="I5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9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595" s="36"/>
      <c r="N595" s="40"/>
      <c r="O595" s="37"/>
    </row>
    <row r="596" spans="1:15" x14ac:dyDescent="0.25">
      <c r="A596" s="35">
        <f t="shared" si="22"/>
        <v>52</v>
      </c>
      <c r="B596" s="5">
        <v>43510</v>
      </c>
      <c r="C596" s="5" t="s">
        <v>419</v>
      </c>
      <c r="D596" s="57" t="s">
        <v>831</v>
      </c>
      <c r="E596" s="7" t="s">
        <v>833</v>
      </c>
      <c r="F596" s="33">
        <v>2</v>
      </c>
      <c r="G596" s="67">
        <v>-110</v>
      </c>
      <c r="H596" s="9" t="s">
        <v>6</v>
      </c>
      <c r="I5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9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96" s="36"/>
      <c r="N596" s="40"/>
      <c r="O596" s="37"/>
    </row>
    <row r="597" spans="1:15" x14ac:dyDescent="0.25">
      <c r="A597" s="35">
        <f t="shared" si="22"/>
        <v>52</v>
      </c>
      <c r="B597" s="5">
        <v>43510</v>
      </c>
      <c r="C597" s="5" t="s">
        <v>419</v>
      </c>
      <c r="D597" s="57" t="s">
        <v>831</v>
      </c>
      <c r="E597" s="7" t="s">
        <v>834</v>
      </c>
      <c r="F597" s="33">
        <v>2</v>
      </c>
      <c r="G597" s="67">
        <v>100</v>
      </c>
      <c r="H597" s="9" t="s">
        <v>6</v>
      </c>
      <c r="I5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59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597" s="36"/>
      <c r="N597" s="40"/>
      <c r="O597" s="37"/>
    </row>
    <row r="598" spans="1:15" x14ac:dyDescent="0.25">
      <c r="A598" s="35">
        <f t="shared" si="22"/>
        <v>52</v>
      </c>
      <c r="B598" s="5">
        <v>43510</v>
      </c>
      <c r="C598" s="5" t="s">
        <v>419</v>
      </c>
      <c r="D598" s="57" t="s">
        <v>835</v>
      </c>
      <c r="E598" s="7" t="s">
        <v>833</v>
      </c>
      <c r="F598" s="33">
        <v>2</v>
      </c>
      <c r="G598" s="67">
        <v>-115</v>
      </c>
      <c r="H598" s="9" t="s">
        <v>36</v>
      </c>
      <c r="I5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59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98" s="36"/>
      <c r="N598" s="40"/>
      <c r="O598" s="37"/>
    </row>
    <row r="599" spans="1:15" x14ac:dyDescent="0.25">
      <c r="A599" s="35">
        <f t="shared" si="22"/>
        <v>52</v>
      </c>
      <c r="B599" s="5">
        <v>43510</v>
      </c>
      <c r="C599" s="5" t="s">
        <v>419</v>
      </c>
      <c r="D599" s="57" t="s">
        <v>836</v>
      </c>
      <c r="E599" s="7" t="s">
        <v>837</v>
      </c>
      <c r="F599" s="33">
        <v>2</v>
      </c>
      <c r="G599" s="67">
        <v>-110</v>
      </c>
      <c r="H599" s="9" t="s">
        <v>36</v>
      </c>
      <c r="I5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59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599" s="36"/>
      <c r="N599" s="40"/>
      <c r="O599" s="37"/>
    </row>
    <row r="600" spans="1:15" x14ac:dyDescent="0.25">
      <c r="A600" s="35">
        <f t="shared" si="22"/>
        <v>52</v>
      </c>
      <c r="B600" s="5">
        <v>43510</v>
      </c>
      <c r="C600" s="5" t="s">
        <v>419</v>
      </c>
      <c r="D600" s="57" t="s">
        <v>838</v>
      </c>
      <c r="E600" s="7" t="s">
        <v>839</v>
      </c>
      <c r="F600" s="33">
        <v>2</v>
      </c>
      <c r="G600" s="67">
        <v>-110</v>
      </c>
      <c r="H600" s="9" t="s">
        <v>6</v>
      </c>
      <c r="I6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0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00" s="36"/>
      <c r="N600" s="40"/>
      <c r="O600" s="37"/>
    </row>
    <row r="601" spans="1:15" x14ac:dyDescent="0.25">
      <c r="A601" s="35">
        <f t="shared" si="22"/>
        <v>52</v>
      </c>
      <c r="B601" s="5">
        <v>43510</v>
      </c>
      <c r="C601" s="5" t="s">
        <v>419</v>
      </c>
      <c r="D601" s="57" t="s">
        <v>838</v>
      </c>
      <c r="E601" s="7" t="s">
        <v>840</v>
      </c>
      <c r="F601" s="33">
        <v>2</v>
      </c>
      <c r="G601" s="67">
        <v>-115</v>
      </c>
      <c r="H601" s="9" t="s">
        <v>36</v>
      </c>
      <c r="I6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0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01" s="36"/>
      <c r="N601" s="40"/>
      <c r="O601" s="37"/>
    </row>
    <row r="602" spans="1:15" x14ac:dyDescent="0.25">
      <c r="A602" s="35">
        <f t="shared" si="22"/>
        <v>52</v>
      </c>
      <c r="B602" s="5">
        <v>43510</v>
      </c>
      <c r="C602" s="5" t="s">
        <v>419</v>
      </c>
      <c r="D602" s="57" t="s">
        <v>841</v>
      </c>
      <c r="E602" s="7" t="s">
        <v>842</v>
      </c>
      <c r="F602" s="33">
        <v>2</v>
      </c>
      <c r="G602" s="67">
        <v>-105</v>
      </c>
      <c r="H602" s="9" t="s">
        <v>6</v>
      </c>
      <c r="I6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0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02" s="36"/>
      <c r="N602" s="40"/>
      <c r="O602" s="37"/>
    </row>
    <row r="603" spans="1:15" x14ac:dyDescent="0.25">
      <c r="A603" s="35">
        <f t="shared" si="22"/>
        <v>53</v>
      </c>
      <c r="B603" s="5">
        <v>43514</v>
      </c>
      <c r="C603" s="5" t="s">
        <v>419</v>
      </c>
      <c r="D603" s="57" t="s">
        <v>843</v>
      </c>
      <c r="E603" s="7" t="s">
        <v>478</v>
      </c>
      <c r="F603" s="33">
        <v>1</v>
      </c>
      <c r="G603" s="67">
        <v>-110</v>
      </c>
      <c r="H603" s="9" t="s">
        <v>36</v>
      </c>
      <c r="I6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60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03" s="36"/>
      <c r="N603" s="40"/>
      <c r="O603" s="37"/>
    </row>
    <row r="604" spans="1:15" x14ac:dyDescent="0.25">
      <c r="A604" s="35">
        <f t="shared" si="22"/>
        <v>53</v>
      </c>
      <c r="B604" s="5">
        <v>43514</v>
      </c>
      <c r="C604" s="5" t="s">
        <v>419</v>
      </c>
      <c r="D604" s="57" t="s">
        <v>844</v>
      </c>
      <c r="E604" s="7" t="s">
        <v>632</v>
      </c>
      <c r="F604" s="33">
        <v>1</v>
      </c>
      <c r="G604" s="67">
        <v>-110</v>
      </c>
      <c r="H604" s="9" t="s">
        <v>36</v>
      </c>
      <c r="I6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60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04" s="36"/>
      <c r="N604" s="40"/>
      <c r="O604" s="37"/>
    </row>
    <row r="605" spans="1:15" x14ac:dyDescent="0.25">
      <c r="A605" s="35">
        <f t="shared" si="22"/>
        <v>53</v>
      </c>
      <c r="B605" s="5">
        <v>43514</v>
      </c>
      <c r="C605" s="5" t="s">
        <v>419</v>
      </c>
      <c r="D605" s="57" t="s">
        <v>845</v>
      </c>
      <c r="E605" s="7" t="s">
        <v>846</v>
      </c>
      <c r="F605" s="33">
        <v>1</v>
      </c>
      <c r="G605" s="67">
        <v>-110</v>
      </c>
      <c r="H605" s="9" t="s">
        <v>36</v>
      </c>
      <c r="I6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60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05" s="36"/>
      <c r="N605" s="40"/>
      <c r="O605" s="37"/>
    </row>
    <row r="606" spans="1:15" x14ac:dyDescent="0.25">
      <c r="A606" s="35">
        <f t="shared" si="22"/>
        <v>53</v>
      </c>
      <c r="B606" s="5">
        <v>43514</v>
      </c>
      <c r="C606" s="5" t="s">
        <v>419</v>
      </c>
      <c r="D606" s="57" t="s">
        <v>847</v>
      </c>
      <c r="E606" s="7" t="s">
        <v>848</v>
      </c>
      <c r="F606" s="33">
        <v>1</v>
      </c>
      <c r="G606" s="67">
        <v>-115</v>
      </c>
      <c r="H606" s="9" t="s">
        <v>36</v>
      </c>
      <c r="I6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60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06" s="36"/>
      <c r="N606" s="40"/>
      <c r="O606" s="37"/>
    </row>
    <row r="607" spans="1:15" x14ac:dyDescent="0.25">
      <c r="A607" s="35">
        <f t="shared" si="22"/>
        <v>53</v>
      </c>
      <c r="B607" s="5">
        <v>43514</v>
      </c>
      <c r="C607" s="5" t="s">
        <v>419</v>
      </c>
      <c r="D607" s="57" t="s">
        <v>847</v>
      </c>
      <c r="E607" s="7" t="s">
        <v>849</v>
      </c>
      <c r="F607" s="33">
        <v>1</v>
      </c>
      <c r="G607" s="67">
        <v>-200</v>
      </c>
      <c r="H607" s="9" t="s">
        <v>36</v>
      </c>
      <c r="I6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</v>
      </c>
      <c r="J60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607" s="36"/>
      <c r="N607" s="40"/>
      <c r="O607" s="37"/>
    </row>
    <row r="608" spans="1:15" x14ac:dyDescent="0.25">
      <c r="A608" s="35">
        <f t="shared" si="22"/>
        <v>53</v>
      </c>
      <c r="B608" s="5">
        <v>43514</v>
      </c>
      <c r="C608" s="5" t="s">
        <v>419</v>
      </c>
      <c r="D608" s="57" t="s">
        <v>850</v>
      </c>
      <c r="E608" s="7" t="s">
        <v>851</v>
      </c>
      <c r="F608" s="33">
        <v>1</v>
      </c>
      <c r="G608" s="67">
        <v>-115</v>
      </c>
      <c r="H608" s="9" t="s">
        <v>6</v>
      </c>
      <c r="I6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60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08" s="36"/>
      <c r="N608" s="40"/>
      <c r="O608" s="37"/>
    </row>
    <row r="609" spans="1:15" x14ac:dyDescent="0.25">
      <c r="A609" s="35">
        <f t="shared" si="22"/>
        <v>53</v>
      </c>
      <c r="B609" s="5">
        <v>43514</v>
      </c>
      <c r="C609" s="5" t="s">
        <v>419</v>
      </c>
      <c r="D609" s="57" t="s">
        <v>850</v>
      </c>
      <c r="E609" s="7" t="s">
        <v>474</v>
      </c>
      <c r="F609" s="33">
        <v>1</v>
      </c>
      <c r="G609" s="67">
        <v>-105</v>
      </c>
      <c r="H609" s="9" t="s">
        <v>6</v>
      </c>
      <c r="I6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60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09" s="36"/>
      <c r="N609" s="40"/>
      <c r="O609" s="37"/>
    </row>
    <row r="610" spans="1:15" x14ac:dyDescent="0.25">
      <c r="A610" s="35">
        <f t="shared" si="22"/>
        <v>54</v>
      </c>
      <c r="B610" s="5">
        <v>43515</v>
      </c>
      <c r="C610" s="5" t="s">
        <v>419</v>
      </c>
      <c r="D610" s="57" t="s">
        <v>852</v>
      </c>
      <c r="E610" s="7" t="s">
        <v>853</v>
      </c>
      <c r="F610" s="33">
        <v>2</v>
      </c>
      <c r="G610" s="67">
        <v>-110</v>
      </c>
      <c r="H610" s="9" t="s">
        <v>36</v>
      </c>
      <c r="I6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1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10" s="36"/>
      <c r="N610" s="40"/>
      <c r="O610" s="37"/>
    </row>
    <row r="611" spans="1:15" x14ac:dyDescent="0.25">
      <c r="A611" s="35">
        <f t="shared" si="22"/>
        <v>54</v>
      </c>
      <c r="B611" s="5">
        <v>43515</v>
      </c>
      <c r="C611" s="5" t="s">
        <v>419</v>
      </c>
      <c r="D611" s="57" t="s">
        <v>852</v>
      </c>
      <c r="E611" s="7" t="s">
        <v>472</v>
      </c>
      <c r="F611" s="33">
        <v>2</v>
      </c>
      <c r="G611" s="67">
        <v>-110</v>
      </c>
      <c r="H611" s="9" t="s">
        <v>36</v>
      </c>
      <c r="I6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1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11" s="36"/>
      <c r="N611" s="40"/>
      <c r="O611" s="37"/>
    </row>
    <row r="612" spans="1:15" x14ac:dyDescent="0.25">
      <c r="A612" s="35">
        <f t="shared" si="22"/>
        <v>54</v>
      </c>
      <c r="B612" s="5">
        <v>43515</v>
      </c>
      <c r="C612" s="5" t="s">
        <v>419</v>
      </c>
      <c r="D612" s="57" t="s">
        <v>854</v>
      </c>
      <c r="E612" s="7" t="s">
        <v>772</v>
      </c>
      <c r="F612" s="33">
        <v>2</v>
      </c>
      <c r="G612" s="67">
        <v>-110</v>
      </c>
      <c r="H612" s="9" t="s">
        <v>36</v>
      </c>
      <c r="I6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1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12" s="36"/>
      <c r="N612" s="40"/>
      <c r="O612" s="37"/>
    </row>
    <row r="613" spans="1:15" x14ac:dyDescent="0.25">
      <c r="A613" s="35">
        <f t="shared" si="22"/>
        <v>54</v>
      </c>
      <c r="B613" s="5">
        <v>43515</v>
      </c>
      <c r="C613" s="5" t="s">
        <v>419</v>
      </c>
      <c r="D613" s="57" t="s">
        <v>855</v>
      </c>
      <c r="E613" s="7" t="s">
        <v>856</v>
      </c>
      <c r="F613" s="33">
        <v>2</v>
      </c>
      <c r="G613" s="67">
        <v>-115</v>
      </c>
      <c r="H613" s="9" t="s">
        <v>6</v>
      </c>
      <c r="I6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1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13" s="36"/>
      <c r="N613" s="40"/>
      <c r="O613" s="37"/>
    </row>
    <row r="614" spans="1:15" x14ac:dyDescent="0.25">
      <c r="A614" s="35">
        <f t="shared" si="22"/>
        <v>54</v>
      </c>
      <c r="B614" s="5">
        <v>43515</v>
      </c>
      <c r="C614" s="5" t="s">
        <v>419</v>
      </c>
      <c r="D614" s="57" t="s">
        <v>855</v>
      </c>
      <c r="E614" s="7" t="s">
        <v>807</v>
      </c>
      <c r="F614" s="33">
        <v>2</v>
      </c>
      <c r="G614" s="67">
        <v>-105</v>
      </c>
      <c r="H614" s="9" t="s">
        <v>6</v>
      </c>
      <c r="I6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1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14" s="36"/>
      <c r="N614" s="40"/>
      <c r="O614" s="37"/>
    </row>
    <row r="615" spans="1:15" x14ac:dyDescent="0.25">
      <c r="A615" s="35">
        <f t="shared" si="22"/>
        <v>54</v>
      </c>
      <c r="B615" s="5">
        <v>43515</v>
      </c>
      <c r="C615" s="5" t="s">
        <v>419</v>
      </c>
      <c r="D615" s="57" t="s">
        <v>857</v>
      </c>
      <c r="E615" s="7" t="s">
        <v>598</v>
      </c>
      <c r="F615" s="33">
        <v>2</v>
      </c>
      <c r="G615" s="67">
        <v>-105</v>
      </c>
      <c r="H615" s="9" t="s">
        <v>36</v>
      </c>
      <c r="I6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1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15" s="36"/>
      <c r="N615" s="40"/>
      <c r="O615" s="37"/>
    </row>
    <row r="616" spans="1:15" x14ac:dyDescent="0.25">
      <c r="A616" s="35">
        <f t="shared" si="22"/>
        <v>54</v>
      </c>
      <c r="B616" s="5">
        <v>43515</v>
      </c>
      <c r="C616" s="5" t="s">
        <v>419</v>
      </c>
      <c r="D616" s="57" t="s">
        <v>857</v>
      </c>
      <c r="E616" s="7" t="s">
        <v>858</v>
      </c>
      <c r="F616" s="33">
        <v>2</v>
      </c>
      <c r="G616" s="67">
        <v>-180</v>
      </c>
      <c r="H616" s="9" t="s">
        <v>36</v>
      </c>
      <c r="I6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1.1111111111111112</v>
      </c>
      <c r="J61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616" s="36"/>
      <c r="N616" s="40"/>
      <c r="O616" s="37"/>
    </row>
    <row r="617" spans="1:15" x14ac:dyDescent="0.25">
      <c r="A617" s="35">
        <f t="shared" si="22"/>
        <v>54</v>
      </c>
      <c r="B617" s="5">
        <v>43515</v>
      </c>
      <c r="C617" s="5" t="s">
        <v>419</v>
      </c>
      <c r="D617" s="57" t="s">
        <v>857</v>
      </c>
      <c r="E617" s="7" t="s">
        <v>859</v>
      </c>
      <c r="F617" s="33">
        <v>2</v>
      </c>
      <c r="G617" s="67">
        <v>-110</v>
      </c>
      <c r="H617" s="9" t="s">
        <v>36</v>
      </c>
      <c r="I6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1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17" s="36"/>
      <c r="N617" s="40"/>
      <c r="O617" s="37"/>
    </row>
    <row r="618" spans="1:15" x14ac:dyDescent="0.25">
      <c r="A618" s="35">
        <f t="shared" si="22"/>
        <v>54</v>
      </c>
      <c r="B618" s="5">
        <v>43515</v>
      </c>
      <c r="C618" s="5" t="s">
        <v>419</v>
      </c>
      <c r="D618" s="57" t="s">
        <v>860</v>
      </c>
      <c r="E618" s="7" t="s">
        <v>833</v>
      </c>
      <c r="F618" s="33">
        <v>2</v>
      </c>
      <c r="G618" s="67">
        <v>-110</v>
      </c>
      <c r="H618" s="9" t="s">
        <v>6</v>
      </c>
      <c r="I6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1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18" s="36"/>
      <c r="N618" s="40"/>
      <c r="O618" s="37"/>
    </row>
    <row r="619" spans="1:15" x14ac:dyDescent="0.25">
      <c r="A619" s="35">
        <f t="shared" si="22"/>
        <v>54</v>
      </c>
      <c r="B619" s="5">
        <v>43515</v>
      </c>
      <c r="C619" s="5" t="s">
        <v>419</v>
      </c>
      <c r="D619" s="57" t="s">
        <v>860</v>
      </c>
      <c r="E619" s="7" t="s">
        <v>862</v>
      </c>
      <c r="F619" s="33">
        <v>2</v>
      </c>
      <c r="G619" s="67">
        <v>-110</v>
      </c>
      <c r="H619" s="9" t="s">
        <v>6</v>
      </c>
      <c r="I6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1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19" s="36"/>
      <c r="N619" s="40"/>
      <c r="O619" s="37"/>
    </row>
    <row r="620" spans="1:15" x14ac:dyDescent="0.25">
      <c r="A620" s="35">
        <f t="shared" si="22"/>
        <v>54</v>
      </c>
      <c r="B620" s="5">
        <v>43515</v>
      </c>
      <c r="C620" s="5" t="s">
        <v>419</v>
      </c>
      <c r="D620" s="57" t="s">
        <v>861</v>
      </c>
      <c r="E620" s="7" t="s">
        <v>454</v>
      </c>
      <c r="F620" s="33">
        <v>2</v>
      </c>
      <c r="G620" s="67">
        <v>-110</v>
      </c>
      <c r="H620" s="9" t="s">
        <v>36</v>
      </c>
      <c r="I6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2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20" s="36"/>
      <c r="N620" s="40"/>
      <c r="O620" s="37"/>
    </row>
    <row r="621" spans="1:15" ht="75" x14ac:dyDescent="0.25">
      <c r="A621" s="35">
        <f t="shared" si="22"/>
        <v>54</v>
      </c>
      <c r="B621" s="5">
        <v>43515</v>
      </c>
      <c r="C621" s="5" t="s">
        <v>419</v>
      </c>
      <c r="D621" s="58" t="s">
        <v>864</v>
      </c>
      <c r="E621" s="46" t="s">
        <v>863</v>
      </c>
      <c r="F621" s="33">
        <v>1</v>
      </c>
      <c r="G621" s="67">
        <v>2493</v>
      </c>
      <c r="H621" s="9" t="s">
        <v>36</v>
      </c>
      <c r="I6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24.93</v>
      </c>
      <c r="J62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621" s="36"/>
      <c r="N621" s="40"/>
      <c r="O621" s="37"/>
    </row>
    <row r="622" spans="1:15" x14ac:dyDescent="0.25">
      <c r="A622" s="35">
        <f t="shared" si="22"/>
        <v>55</v>
      </c>
      <c r="B622" s="5">
        <v>43516</v>
      </c>
      <c r="C622" s="5" t="s">
        <v>419</v>
      </c>
      <c r="D622" s="57" t="s">
        <v>865</v>
      </c>
      <c r="E622" s="7" t="s">
        <v>807</v>
      </c>
      <c r="F622" s="33">
        <v>2</v>
      </c>
      <c r="G622" s="67">
        <v>-115</v>
      </c>
      <c r="H622" s="9" t="s">
        <v>36</v>
      </c>
      <c r="I6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2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2" s="36"/>
      <c r="N622" s="40"/>
      <c r="O622" s="37"/>
    </row>
    <row r="623" spans="1:15" x14ac:dyDescent="0.25">
      <c r="A623" s="35">
        <f t="shared" si="22"/>
        <v>55</v>
      </c>
      <c r="B623" s="5">
        <v>43516</v>
      </c>
      <c r="C623" s="5" t="s">
        <v>419</v>
      </c>
      <c r="D623" s="57" t="s">
        <v>865</v>
      </c>
      <c r="E623" s="7" t="s">
        <v>866</v>
      </c>
      <c r="F623" s="33">
        <v>2</v>
      </c>
      <c r="G623" s="67">
        <v>-105</v>
      </c>
      <c r="H623" s="9" t="s">
        <v>36</v>
      </c>
      <c r="I6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23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23" s="36"/>
      <c r="N623" s="40"/>
      <c r="O623" s="37"/>
    </row>
    <row r="624" spans="1:15" x14ac:dyDescent="0.25">
      <c r="A624" s="35">
        <f t="shared" si="22"/>
        <v>55</v>
      </c>
      <c r="B624" s="5">
        <v>43516</v>
      </c>
      <c r="C624" s="5" t="s">
        <v>419</v>
      </c>
      <c r="D624" s="57" t="s">
        <v>867</v>
      </c>
      <c r="E624" s="7" t="s">
        <v>622</v>
      </c>
      <c r="F624" s="33">
        <v>2</v>
      </c>
      <c r="G624" s="67">
        <v>-115</v>
      </c>
      <c r="H624" s="9" t="s">
        <v>6</v>
      </c>
      <c r="I6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24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4" s="36"/>
      <c r="N624" s="40"/>
      <c r="O624" s="37"/>
    </row>
    <row r="625" spans="1:15" x14ac:dyDescent="0.25">
      <c r="A625" s="35">
        <f t="shared" si="22"/>
        <v>55</v>
      </c>
      <c r="B625" s="5">
        <v>43516</v>
      </c>
      <c r="C625" s="5" t="s">
        <v>419</v>
      </c>
      <c r="D625" s="57" t="s">
        <v>868</v>
      </c>
      <c r="E625" s="7" t="s">
        <v>568</v>
      </c>
      <c r="F625" s="33">
        <v>2</v>
      </c>
      <c r="G625" s="67">
        <v>-110</v>
      </c>
      <c r="H625" s="9" t="s">
        <v>36</v>
      </c>
      <c r="I6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25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5" s="36"/>
      <c r="N625" s="40"/>
      <c r="O625" s="37"/>
    </row>
    <row r="626" spans="1:15" x14ac:dyDescent="0.25">
      <c r="A626" s="35">
        <f t="shared" si="22"/>
        <v>55</v>
      </c>
      <c r="B626" s="5">
        <v>43516</v>
      </c>
      <c r="C626" s="5" t="s">
        <v>419</v>
      </c>
      <c r="D626" s="57" t="s">
        <v>869</v>
      </c>
      <c r="E626" s="7" t="s">
        <v>646</v>
      </c>
      <c r="F626" s="33">
        <v>2</v>
      </c>
      <c r="G626" s="67">
        <v>-115</v>
      </c>
      <c r="H626" s="9" t="s">
        <v>6</v>
      </c>
      <c r="I6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26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6" s="36"/>
      <c r="N626" s="40"/>
      <c r="O626" s="37"/>
    </row>
    <row r="627" spans="1:15" x14ac:dyDescent="0.25">
      <c r="A627" s="35">
        <f t="shared" si="22"/>
        <v>55</v>
      </c>
      <c r="B627" s="5">
        <v>43516</v>
      </c>
      <c r="C627" s="5" t="s">
        <v>419</v>
      </c>
      <c r="D627" s="57" t="s">
        <v>870</v>
      </c>
      <c r="E627" s="7" t="s">
        <v>632</v>
      </c>
      <c r="F627" s="33">
        <v>2</v>
      </c>
      <c r="G627" s="67">
        <v>-110</v>
      </c>
      <c r="H627" s="9" t="s">
        <v>36</v>
      </c>
      <c r="I6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27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7" s="36"/>
      <c r="N627" s="40"/>
      <c r="O627" s="37"/>
    </row>
    <row r="628" spans="1:15" x14ac:dyDescent="0.25">
      <c r="A628" s="35">
        <f t="shared" si="22"/>
        <v>55</v>
      </c>
      <c r="B628" s="5">
        <v>43516</v>
      </c>
      <c r="C628" s="5" t="s">
        <v>419</v>
      </c>
      <c r="D628" s="57" t="s">
        <v>871</v>
      </c>
      <c r="E628" s="7" t="s">
        <v>872</v>
      </c>
      <c r="F628" s="33">
        <v>2</v>
      </c>
      <c r="G628" s="67">
        <v>-110</v>
      </c>
      <c r="H628" s="9" t="s">
        <v>6</v>
      </c>
      <c r="I6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28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28" s="36"/>
      <c r="N628" s="40"/>
      <c r="O628" s="37"/>
    </row>
    <row r="629" spans="1:15" x14ac:dyDescent="0.25">
      <c r="A629" s="35">
        <f t="shared" si="22"/>
        <v>55</v>
      </c>
      <c r="B629" s="5">
        <v>43516</v>
      </c>
      <c r="C629" s="5" t="s">
        <v>419</v>
      </c>
      <c r="D629" s="57" t="s">
        <v>871</v>
      </c>
      <c r="E629" s="7" t="s">
        <v>873</v>
      </c>
      <c r="F629" s="33">
        <v>2</v>
      </c>
      <c r="G629" s="67">
        <v>-115</v>
      </c>
      <c r="H629" s="9" t="s">
        <v>36</v>
      </c>
      <c r="I6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29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29" s="36"/>
      <c r="N629" s="40"/>
      <c r="O629" s="37"/>
    </row>
    <row r="630" spans="1:15" x14ac:dyDescent="0.25">
      <c r="A630" s="35">
        <f t="shared" si="22"/>
        <v>55</v>
      </c>
      <c r="B630" s="5">
        <v>43516</v>
      </c>
      <c r="C630" s="5" t="s">
        <v>419</v>
      </c>
      <c r="D630" s="57" t="s">
        <v>874</v>
      </c>
      <c r="E630" s="7" t="s">
        <v>686</v>
      </c>
      <c r="F630" s="33">
        <v>2</v>
      </c>
      <c r="G630" s="67">
        <v>-105</v>
      </c>
      <c r="H630" s="9" t="s">
        <v>36</v>
      </c>
      <c r="I6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30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30" s="36"/>
      <c r="N630" s="40"/>
      <c r="O630" s="37"/>
    </row>
    <row r="631" spans="1:15" x14ac:dyDescent="0.25">
      <c r="A631" s="35">
        <f t="shared" si="22"/>
        <v>55</v>
      </c>
      <c r="B631" s="5">
        <v>43516</v>
      </c>
      <c r="C631" s="5" t="s">
        <v>419</v>
      </c>
      <c r="D631" s="57" t="s">
        <v>874</v>
      </c>
      <c r="E631" s="7" t="s">
        <v>875</v>
      </c>
      <c r="F631" s="33">
        <v>2</v>
      </c>
      <c r="G631" s="67">
        <v>-110</v>
      </c>
      <c r="H631" s="9" t="s">
        <v>36</v>
      </c>
      <c r="I6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1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31" s="36"/>
      <c r="N631" s="40"/>
      <c r="O631" s="37"/>
    </row>
    <row r="632" spans="1:15" ht="90" x14ac:dyDescent="0.25">
      <c r="A632" s="35">
        <f t="shared" si="22"/>
        <v>55</v>
      </c>
      <c r="B632" s="5">
        <v>43516</v>
      </c>
      <c r="C632" s="5" t="s">
        <v>419</v>
      </c>
      <c r="D632" s="58" t="s">
        <v>876</v>
      </c>
      <c r="E632" s="46" t="s">
        <v>877</v>
      </c>
      <c r="F632" s="33">
        <v>2</v>
      </c>
      <c r="G632" s="67">
        <v>4756</v>
      </c>
      <c r="H632" s="9" t="s">
        <v>6</v>
      </c>
      <c r="I6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32" s="32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632" s="36"/>
      <c r="N632" s="40"/>
      <c r="O632" s="37"/>
    </row>
    <row r="633" spans="1:15" x14ac:dyDescent="0.25">
      <c r="A633" s="35">
        <f t="shared" si="22"/>
        <v>56</v>
      </c>
      <c r="B633" s="5">
        <v>43517</v>
      </c>
      <c r="C633" s="5" t="s">
        <v>134</v>
      </c>
      <c r="D633" s="57" t="s">
        <v>903</v>
      </c>
      <c r="E633" s="7" t="s">
        <v>909</v>
      </c>
      <c r="F633" s="33">
        <v>2</v>
      </c>
      <c r="G633" s="63">
        <v>-110</v>
      </c>
      <c r="H633" s="9" t="s">
        <v>36</v>
      </c>
      <c r="I6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33" s="36"/>
      <c r="N633" s="40"/>
      <c r="O633" s="37"/>
    </row>
    <row r="634" spans="1:15" x14ac:dyDescent="0.25">
      <c r="A634" s="35">
        <f t="shared" si="22"/>
        <v>56</v>
      </c>
      <c r="B634" s="5">
        <v>43517</v>
      </c>
      <c r="C634" s="5" t="s">
        <v>134</v>
      </c>
      <c r="D634" s="57" t="s">
        <v>904</v>
      </c>
      <c r="E634" s="7" t="s">
        <v>219</v>
      </c>
      <c r="F634" s="33">
        <v>2</v>
      </c>
      <c r="G634" s="63">
        <v>-115</v>
      </c>
      <c r="H634" s="9" t="s">
        <v>36</v>
      </c>
      <c r="I6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3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34" s="36"/>
      <c r="N634" s="40"/>
      <c r="O634" s="37"/>
    </row>
    <row r="635" spans="1:15" x14ac:dyDescent="0.25">
      <c r="A635" s="35">
        <f t="shared" si="22"/>
        <v>56</v>
      </c>
      <c r="B635" s="5">
        <v>43517</v>
      </c>
      <c r="C635" s="5" t="s">
        <v>134</v>
      </c>
      <c r="D635" s="57" t="s">
        <v>905</v>
      </c>
      <c r="E635" s="7" t="s">
        <v>506</v>
      </c>
      <c r="F635" s="33">
        <v>2</v>
      </c>
      <c r="G635" s="63">
        <v>-115</v>
      </c>
      <c r="H635" s="9" t="s">
        <v>36</v>
      </c>
      <c r="I6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3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35" s="36"/>
      <c r="N635" s="40"/>
      <c r="O635" s="37"/>
    </row>
    <row r="636" spans="1:15" x14ac:dyDescent="0.25">
      <c r="A636" s="35">
        <f t="shared" si="22"/>
        <v>56</v>
      </c>
      <c r="B636" s="5">
        <v>43517</v>
      </c>
      <c r="C636" s="5" t="s">
        <v>134</v>
      </c>
      <c r="D636" s="57" t="s">
        <v>905</v>
      </c>
      <c r="E636" s="7" t="s">
        <v>906</v>
      </c>
      <c r="F636" s="33">
        <v>2</v>
      </c>
      <c r="G636" s="63">
        <v>-110</v>
      </c>
      <c r="H636" s="9" t="s">
        <v>36</v>
      </c>
      <c r="I6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36" s="36"/>
      <c r="N636" s="40"/>
      <c r="O636" s="37"/>
    </row>
    <row r="637" spans="1:15" x14ac:dyDescent="0.25">
      <c r="A637" s="35">
        <f t="shared" si="22"/>
        <v>56</v>
      </c>
      <c r="B637" s="5">
        <v>43517</v>
      </c>
      <c r="C637" s="5" t="s">
        <v>134</v>
      </c>
      <c r="D637" s="57" t="s">
        <v>907</v>
      </c>
      <c r="E637" s="7" t="s">
        <v>911</v>
      </c>
      <c r="F637" s="33">
        <v>2</v>
      </c>
      <c r="G637" s="63">
        <v>-110</v>
      </c>
      <c r="H637" s="9" t="s">
        <v>36</v>
      </c>
      <c r="I6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37" s="36"/>
      <c r="N637" s="40"/>
      <c r="O637" s="37"/>
    </row>
    <row r="638" spans="1:15" x14ac:dyDescent="0.25">
      <c r="A638" s="35">
        <f t="shared" si="22"/>
        <v>56</v>
      </c>
      <c r="B638" s="5">
        <v>43517</v>
      </c>
      <c r="C638" s="5" t="s">
        <v>134</v>
      </c>
      <c r="D638" s="57" t="s">
        <v>907</v>
      </c>
      <c r="E638" s="7" t="s">
        <v>908</v>
      </c>
      <c r="F638" s="33">
        <v>2</v>
      </c>
      <c r="G638" s="63">
        <v>-110</v>
      </c>
      <c r="H638" s="9" t="s">
        <v>36</v>
      </c>
      <c r="I6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38" s="36"/>
      <c r="N638" s="40"/>
      <c r="O638" s="37"/>
    </row>
    <row r="639" spans="1:15" x14ac:dyDescent="0.25">
      <c r="A639" s="35">
        <f t="shared" si="22"/>
        <v>56</v>
      </c>
      <c r="B639" s="5">
        <v>43517</v>
      </c>
      <c r="C639" s="5" t="s">
        <v>134</v>
      </c>
      <c r="D639" s="57" t="s">
        <v>910</v>
      </c>
      <c r="E639" s="7" t="s">
        <v>336</v>
      </c>
      <c r="F639" s="33">
        <v>2</v>
      </c>
      <c r="G639" s="63">
        <v>-110</v>
      </c>
      <c r="H639" s="9" t="s">
        <v>36</v>
      </c>
      <c r="I6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3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39" s="36"/>
      <c r="N639" s="40"/>
      <c r="O639" s="37"/>
    </row>
    <row r="640" spans="1:15" x14ac:dyDescent="0.25">
      <c r="A640" s="35">
        <f t="shared" si="22"/>
        <v>56</v>
      </c>
      <c r="B640" s="5">
        <v>43517</v>
      </c>
      <c r="C640" s="5" t="s">
        <v>419</v>
      </c>
      <c r="D640" s="57" t="s">
        <v>883</v>
      </c>
      <c r="E640" s="7" t="s">
        <v>884</v>
      </c>
      <c r="F640" s="33">
        <v>2</v>
      </c>
      <c r="G640" s="67">
        <v>-115</v>
      </c>
      <c r="H640" s="9" t="s">
        <v>6</v>
      </c>
      <c r="I6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40" s="36"/>
      <c r="N640" s="40"/>
      <c r="O640" s="37"/>
    </row>
    <row r="641" spans="1:15" x14ac:dyDescent="0.25">
      <c r="A641" s="35">
        <f t="shared" si="22"/>
        <v>56</v>
      </c>
      <c r="B641" s="5">
        <v>43517</v>
      </c>
      <c r="C641" s="5" t="s">
        <v>419</v>
      </c>
      <c r="D641" s="57" t="s">
        <v>885</v>
      </c>
      <c r="E641" s="7" t="s">
        <v>886</v>
      </c>
      <c r="F641" s="33">
        <v>2</v>
      </c>
      <c r="G641" s="67">
        <v>-110</v>
      </c>
      <c r="H641" s="9" t="s">
        <v>36</v>
      </c>
      <c r="I6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41" s="36"/>
      <c r="N641" s="40"/>
      <c r="O641" s="37"/>
    </row>
    <row r="642" spans="1:15" x14ac:dyDescent="0.25">
      <c r="A642" s="35">
        <f t="shared" si="22"/>
        <v>56</v>
      </c>
      <c r="B642" s="5">
        <v>43517</v>
      </c>
      <c r="C642" s="5" t="s">
        <v>419</v>
      </c>
      <c r="D642" s="57" t="s">
        <v>885</v>
      </c>
      <c r="E642" s="7" t="s">
        <v>580</v>
      </c>
      <c r="F642" s="33">
        <v>2</v>
      </c>
      <c r="G642" s="67">
        <v>-105</v>
      </c>
      <c r="H642" s="9" t="s">
        <v>6</v>
      </c>
      <c r="I6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42" s="36"/>
      <c r="N642" s="40"/>
      <c r="O642" s="37"/>
    </row>
    <row r="643" spans="1:15" x14ac:dyDescent="0.25">
      <c r="A643" s="35">
        <f t="shared" si="22"/>
        <v>56</v>
      </c>
      <c r="B643" s="5">
        <v>43517</v>
      </c>
      <c r="C643" s="5" t="s">
        <v>419</v>
      </c>
      <c r="D643" s="57" t="s">
        <v>887</v>
      </c>
      <c r="E643" s="7" t="s">
        <v>833</v>
      </c>
      <c r="F643" s="33">
        <v>2</v>
      </c>
      <c r="G643" s="67">
        <v>-105</v>
      </c>
      <c r="H643" s="9" t="s">
        <v>6</v>
      </c>
      <c r="I6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43" s="36"/>
      <c r="N643" s="40"/>
      <c r="O643" s="37"/>
    </row>
    <row r="644" spans="1:15" x14ac:dyDescent="0.25">
      <c r="A644" s="35">
        <f t="shared" ref="A644:A707" si="23">IF(B644=B643,A643,A643+1)</f>
        <v>56</v>
      </c>
      <c r="B644" s="5">
        <v>43517</v>
      </c>
      <c r="C644" s="5" t="s">
        <v>419</v>
      </c>
      <c r="D644" s="57" t="s">
        <v>887</v>
      </c>
      <c r="E644" s="7" t="s">
        <v>888</v>
      </c>
      <c r="F644" s="33">
        <v>2</v>
      </c>
      <c r="G644" s="67">
        <v>-110</v>
      </c>
      <c r="H644" s="9" t="s">
        <v>36</v>
      </c>
      <c r="I6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44" s="36"/>
      <c r="N644" s="40"/>
      <c r="O644" s="37"/>
    </row>
    <row r="645" spans="1:15" x14ac:dyDescent="0.25">
      <c r="A645" s="35">
        <f t="shared" si="23"/>
        <v>56</v>
      </c>
      <c r="B645" s="5">
        <v>43517</v>
      </c>
      <c r="C645" s="5" t="s">
        <v>419</v>
      </c>
      <c r="D645" s="57" t="s">
        <v>889</v>
      </c>
      <c r="E645" s="7" t="s">
        <v>890</v>
      </c>
      <c r="F645" s="33">
        <v>2</v>
      </c>
      <c r="G645" s="67">
        <v>-110</v>
      </c>
      <c r="H645" s="9" t="s">
        <v>6</v>
      </c>
      <c r="I6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45" s="36"/>
      <c r="N645" s="40"/>
      <c r="O645" s="37"/>
    </row>
    <row r="646" spans="1:15" x14ac:dyDescent="0.25">
      <c r="A646" s="35">
        <f t="shared" si="23"/>
        <v>56</v>
      </c>
      <c r="B646" s="5">
        <v>43517</v>
      </c>
      <c r="C646" s="5" t="s">
        <v>419</v>
      </c>
      <c r="D646" s="57" t="s">
        <v>889</v>
      </c>
      <c r="E646" s="7" t="s">
        <v>598</v>
      </c>
      <c r="F646" s="33">
        <v>2</v>
      </c>
      <c r="G646" s="67">
        <v>-110</v>
      </c>
      <c r="H646" s="9" t="s">
        <v>6</v>
      </c>
      <c r="I6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46" s="36"/>
      <c r="N646" s="40"/>
      <c r="O646" s="37"/>
    </row>
    <row r="647" spans="1:15" x14ac:dyDescent="0.25">
      <c r="A647" s="35">
        <f t="shared" si="23"/>
        <v>56</v>
      </c>
      <c r="B647" s="5">
        <v>43517</v>
      </c>
      <c r="C647" s="5" t="s">
        <v>419</v>
      </c>
      <c r="D647" s="57" t="s">
        <v>891</v>
      </c>
      <c r="E647" s="7" t="s">
        <v>892</v>
      </c>
      <c r="F647" s="33">
        <v>2</v>
      </c>
      <c r="G647" s="67">
        <v>-110</v>
      </c>
      <c r="H647" s="9" t="s">
        <v>65</v>
      </c>
      <c r="I6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6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47" s="36"/>
      <c r="N647" s="40"/>
      <c r="O647" s="37"/>
    </row>
    <row r="648" spans="1:15" x14ac:dyDescent="0.25">
      <c r="A648" s="35">
        <f t="shared" si="23"/>
        <v>56</v>
      </c>
      <c r="B648" s="5">
        <v>43517</v>
      </c>
      <c r="C648" s="5" t="s">
        <v>419</v>
      </c>
      <c r="D648" s="57" t="s">
        <v>893</v>
      </c>
      <c r="E648" s="7" t="s">
        <v>894</v>
      </c>
      <c r="F648" s="33">
        <v>2</v>
      </c>
      <c r="G648" s="67">
        <v>-110</v>
      </c>
      <c r="H648" s="9" t="s">
        <v>65</v>
      </c>
      <c r="I6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6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48" s="36"/>
      <c r="N648" s="40"/>
      <c r="O648" s="37"/>
    </row>
    <row r="649" spans="1:15" x14ac:dyDescent="0.25">
      <c r="A649" s="35">
        <f t="shared" si="23"/>
        <v>56</v>
      </c>
      <c r="B649" s="5">
        <v>43517</v>
      </c>
      <c r="C649" s="5" t="s">
        <v>419</v>
      </c>
      <c r="D649" s="57" t="s">
        <v>895</v>
      </c>
      <c r="E649" s="7" t="s">
        <v>896</v>
      </c>
      <c r="F649" s="33">
        <v>2</v>
      </c>
      <c r="G649" s="67">
        <v>-110</v>
      </c>
      <c r="H649" s="9" t="s">
        <v>6</v>
      </c>
      <c r="I6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49" s="36"/>
      <c r="N649" s="40"/>
      <c r="O649" s="37"/>
    </row>
    <row r="650" spans="1:15" x14ac:dyDescent="0.25">
      <c r="A650" s="35">
        <f t="shared" si="23"/>
        <v>56</v>
      </c>
      <c r="B650" s="5">
        <v>43517</v>
      </c>
      <c r="C650" s="5" t="s">
        <v>419</v>
      </c>
      <c r="D650" s="57" t="s">
        <v>895</v>
      </c>
      <c r="E650" s="7" t="s">
        <v>632</v>
      </c>
      <c r="F650" s="33">
        <v>2</v>
      </c>
      <c r="G650" s="67">
        <v>-110</v>
      </c>
      <c r="H650" s="9" t="s">
        <v>36</v>
      </c>
      <c r="I6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50" s="36"/>
      <c r="N650" s="40"/>
      <c r="O650" s="37"/>
    </row>
    <row r="651" spans="1:15" x14ac:dyDescent="0.25">
      <c r="A651" s="35">
        <f t="shared" si="23"/>
        <v>56</v>
      </c>
      <c r="B651" s="5">
        <v>43517</v>
      </c>
      <c r="C651" s="5" t="s">
        <v>419</v>
      </c>
      <c r="D651" s="57" t="s">
        <v>897</v>
      </c>
      <c r="E651" s="7" t="s">
        <v>898</v>
      </c>
      <c r="F651" s="33">
        <v>2</v>
      </c>
      <c r="G651" s="67">
        <v>-110</v>
      </c>
      <c r="H651" s="9" t="s">
        <v>6</v>
      </c>
      <c r="I6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51" s="36"/>
      <c r="N651" s="40"/>
      <c r="O651" s="37"/>
    </row>
    <row r="652" spans="1:15" x14ac:dyDescent="0.25">
      <c r="A652" s="35">
        <f t="shared" si="23"/>
        <v>56</v>
      </c>
      <c r="B652" s="5">
        <v>43517</v>
      </c>
      <c r="C652" s="5" t="s">
        <v>419</v>
      </c>
      <c r="D652" s="57" t="s">
        <v>897</v>
      </c>
      <c r="E652" s="7" t="s">
        <v>837</v>
      </c>
      <c r="F652" s="33">
        <v>2</v>
      </c>
      <c r="G652" s="67">
        <v>-110</v>
      </c>
      <c r="H652" s="9" t="s">
        <v>36</v>
      </c>
      <c r="I6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52" s="36"/>
      <c r="N652" s="40"/>
      <c r="O652" s="37"/>
    </row>
    <row r="653" spans="1:15" x14ac:dyDescent="0.25">
      <c r="A653" s="35">
        <f t="shared" si="23"/>
        <v>56</v>
      </c>
      <c r="B653" s="5">
        <v>43517</v>
      </c>
      <c r="C653" s="5" t="s">
        <v>419</v>
      </c>
      <c r="D653" s="57" t="s">
        <v>899</v>
      </c>
      <c r="E653" s="7" t="s">
        <v>900</v>
      </c>
      <c r="F653" s="33">
        <v>2</v>
      </c>
      <c r="G653" s="67">
        <v>-105</v>
      </c>
      <c r="H653" s="9" t="s">
        <v>6</v>
      </c>
      <c r="I6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53" s="36"/>
      <c r="N653" s="40"/>
      <c r="O653" s="37"/>
    </row>
    <row r="654" spans="1:15" ht="135" x14ac:dyDescent="0.25">
      <c r="A654" s="35">
        <f t="shared" si="23"/>
        <v>56</v>
      </c>
      <c r="B654" s="5">
        <v>43517</v>
      </c>
      <c r="C654" s="5" t="s">
        <v>419</v>
      </c>
      <c r="D654" s="58" t="s">
        <v>901</v>
      </c>
      <c r="E654" s="46" t="s">
        <v>902</v>
      </c>
      <c r="F654" s="33">
        <v>2</v>
      </c>
      <c r="G654" s="67">
        <v>2493.5</v>
      </c>
      <c r="H654" s="9" t="s">
        <v>6</v>
      </c>
      <c r="I6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654" s="36"/>
      <c r="N654" s="40"/>
      <c r="O654" s="37"/>
    </row>
    <row r="655" spans="1:15" x14ac:dyDescent="0.25">
      <c r="A655" s="35">
        <f t="shared" si="23"/>
        <v>57</v>
      </c>
      <c r="B655" s="5">
        <v>43518</v>
      </c>
      <c r="C655" s="5" t="s">
        <v>134</v>
      </c>
      <c r="D655" s="57" t="s">
        <v>924</v>
      </c>
      <c r="E655" s="7" t="s">
        <v>925</v>
      </c>
      <c r="F655" s="33">
        <v>2</v>
      </c>
      <c r="G655" s="63">
        <v>-110</v>
      </c>
      <c r="H655" s="9" t="s">
        <v>36</v>
      </c>
      <c r="I6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55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55" s="36"/>
      <c r="N655" s="40"/>
      <c r="O655" s="37"/>
    </row>
    <row r="656" spans="1:15" x14ac:dyDescent="0.25">
      <c r="A656" s="35">
        <f t="shared" si="23"/>
        <v>57</v>
      </c>
      <c r="B656" s="5">
        <v>43518</v>
      </c>
      <c r="C656" s="5" t="s">
        <v>134</v>
      </c>
      <c r="D656" s="57" t="s">
        <v>926</v>
      </c>
      <c r="E656" s="7" t="s">
        <v>927</v>
      </c>
      <c r="F656" s="33">
        <v>2</v>
      </c>
      <c r="G656" s="63">
        <v>-110</v>
      </c>
      <c r="H656" s="9" t="s">
        <v>36</v>
      </c>
      <c r="I6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56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56" s="36"/>
      <c r="N656" s="40"/>
      <c r="O656" s="37"/>
    </row>
    <row r="657" spans="1:15" x14ac:dyDescent="0.25">
      <c r="A657" s="35">
        <f t="shared" si="23"/>
        <v>57</v>
      </c>
      <c r="B657" s="5">
        <v>43518</v>
      </c>
      <c r="C657" s="5" t="s">
        <v>134</v>
      </c>
      <c r="D657" s="57" t="s">
        <v>928</v>
      </c>
      <c r="E657" s="7" t="s">
        <v>225</v>
      </c>
      <c r="F657" s="33">
        <v>2</v>
      </c>
      <c r="G657" s="63">
        <v>-115</v>
      </c>
      <c r="H657" s="9" t="s">
        <v>6</v>
      </c>
      <c r="I6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57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57" s="36"/>
      <c r="N657" s="40"/>
      <c r="O657" s="37"/>
    </row>
    <row r="658" spans="1:15" x14ac:dyDescent="0.25">
      <c r="A658" s="35">
        <f t="shared" si="23"/>
        <v>57</v>
      </c>
      <c r="B658" s="5">
        <v>43518</v>
      </c>
      <c r="C658" s="5" t="s">
        <v>134</v>
      </c>
      <c r="D658" s="57" t="s">
        <v>929</v>
      </c>
      <c r="E658" s="7" t="s">
        <v>333</v>
      </c>
      <c r="F658" s="33">
        <v>2</v>
      </c>
      <c r="G658" s="63">
        <v>-110</v>
      </c>
      <c r="H658" s="9" t="s">
        <v>6</v>
      </c>
      <c r="I6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58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58" s="36"/>
      <c r="N658" s="40"/>
      <c r="O658" s="37"/>
    </row>
    <row r="659" spans="1:15" x14ac:dyDescent="0.25">
      <c r="A659" s="35">
        <f t="shared" si="23"/>
        <v>57</v>
      </c>
      <c r="B659" s="5">
        <v>43518</v>
      </c>
      <c r="C659" s="5" t="s">
        <v>134</v>
      </c>
      <c r="D659" s="57" t="s">
        <v>929</v>
      </c>
      <c r="E659" s="7" t="s">
        <v>930</v>
      </c>
      <c r="F659" s="33">
        <v>2</v>
      </c>
      <c r="G659" s="63">
        <v>-110</v>
      </c>
      <c r="H659" s="9" t="s">
        <v>36</v>
      </c>
      <c r="I6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59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59" s="36"/>
      <c r="N659" s="40"/>
      <c r="O659" s="37"/>
    </row>
    <row r="660" spans="1:15" x14ac:dyDescent="0.25">
      <c r="A660" s="35">
        <f t="shared" si="23"/>
        <v>57</v>
      </c>
      <c r="B660" s="5">
        <v>43518</v>
      </c>
      <c r="C660" s="5" t="s">
        <v>134</v>
      </c>
      <c r="D660" s="57" t="s">
        <v>931</v>
      </c>
      <c r="E660" s="7" t="s">
        <v>793</v>
      </c>
      <c r="F660" s="33">
        <v>2</v>
      </c>
      <c r="G660" s="63">
        <v>-105</v>
      </c>
      <c r="H660" s="9" t="s">
        <v>6</v>
      </c>
      <c r="I6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0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60" s="36"/>
      <c r="N660" s="40"/>
      <c r="O660" s="37"/>
    </row>
    <row r="661" spans="1:15" x14ac:dyDescent="0.25">
      <c r="A661" s="35">
        <f t="shared" si="23"/>
        <v>57</v>
      </c>
      <c r="B661" s="5">
        <v>43518</v>
      </c>
      <c r="C661" s="5" t="s">
        <v>134</v>
      </c>
      <c r="D661" s="57" t="s">
        <v>932</v>
      </c>
      <c r="E661" s="7" t="s">
        <v>819</v>
      </c>
      <c r="F661" s="33">
        <v>2</v>
      </c>
      <c r="G661" s="63">
        <v>-105</v>
      </c>
      <c r="H661" s="9" t="s">
        <v>6</v>
      </c>
      <c r="I6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1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61" s="36"/>
      <c r="N661" s="40"/>
      <c r="O661" s="37"/>
    </row>
    <row r="662" spans="1:15" x14ac:dyDescent="0.25">
      <c r="A662" s="35">
        <f t="shared" si="23"/>
        <v>57</v>
      </c>
      <c r="B662" s="5">
        <v>43518</v>
      </c>
      <c r="C662" s="5" t="s">
        <v>134</v>
      </c>
      <c r="D662" s="57" t="s">
        <v>933</v>
      </c>
      <c r="E662" s="7" t="s">
        <v>407</v>
      </c>
      <c r="F662" s="33">
        <v>2</v>
      </c>
      <c r="G662" s="63">
        <v>-105</v>
      </c>
      <c r="H662" s="9" t="s">
        <v>6</v>
      </c>
      <c r="I6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2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62" s="36"/>
      <c r="N662" s="40"/>
      <c r="O662" s="37"/>
    </row>
    <row r="663" spans="1:15" x14ac:dyDescent="0.25">
      <c r="A663" s="35">
        <f t="shared" si="23"/>
        <v>57</v>
      </c>
      <c r="B663" s="5">
        <v>43518</v>
      </c>
      <c r="C663" s="5" t="s">
        <v>134</v>
      </c>
      <c r="D663" s="57" t="s">
        <v>933</v>
      </c>
      <c r="E663" s="7" t="s">
        <v>934</v>
      </c>
      <c r="F663" s="33">
        <v>2</v>
      </c>
      <c r="G663" s="63">
        <v>-110</v>
      </c>
      <c r="H663" s="9" t="s">
        <v>36</v>
      </c>
      <c r="I6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63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63" s="36"/>
      <c r="N663" s="40"/>
      <c r="O663" s="37"/>
    </row>
    <row r="664" spans="1:15" ht="60" x14ac:dyDescent="0.25">
      <c r="A664" s="35">
        <f t="shared" si="23"/>
        <v>57</v>
      </c>
      <c r="B664" s="5">
        <v>43518</v>
      </c>
      <c r="C664" s="5" t="s">
        <v>134</v>
      </c>
      <c r="D664" s="58" t="s">
        <v>935</v>
      </c>
      <c r="E664" s="46" t="s">
        <v>936</v>
      </c>
      <c r="F664" s="33">
        <v>2</v>
      </c>
      <c r="G664" s="63">
        <v>1260.5</v>
      </c>
      <c r="H664" s="9" t="s">
        <v>6</v>
      </c>
      <c r="I6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4" s="43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664" s="36"/>
      <c r="N664" s="40"/>
      <c r="O664" s="37"/>
    </row>
    <row r="665" spans="1:15" x14ac:dyDescent="0.25">
      <c r="A665" s="35">
        <f t="shared" si="23"/>
        <v>57</v>
      </c>
      <c r="B665" s="5">
        <v>43518</v>
      </c>
      <c r="C665" s="5" t="s">
        <v>419</v>
      </c>
      <c r="D665" s="57" t="s">
        <v>912</v>
      </c>
      <c r="E665" s="7" t="s">
        <v>913</v>
      </c>
      <c r="F665" s="33">
        <v>2</v>
      </c>
      <c r="G665" s="67">
        <v>-105</v>
      </c>
      <c r="H665" s="9" t="s">
        <v>6</v>
      </c>
      <c r="I6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65" s="36"/>
      <c r="N665" s="40"/>
      <c r="O665" s="37"/>
    </row>
    <row r="666" spans="1:15" x14ac:dyDescent="0.25">
      <c r="A666" s="35">
        <f t="shared" si="23"/>
        <v>57</v>
      </c>
      <c r="B666" s="5">
        <v>43518</v>
      </c>
      <c r="C666" s="5" t="s">
        <v>419</v>
      </c>
      <c r="D666" s="57" t="s">
        <v>914</v>
      </c>
      <c r="E666" s="7" t="s">
        <v>472</v>
      </c>
      <c r="F666" s="33">
        <v>2</v>
      </c>
      <c r="G666" s="67">
        <v>-115</v>
      </c>
      <c r="H666" s="9" t="s">
        <v>36</v>
      </c>
      <c r="I6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66" s="36"/>
      <c r="N666" s="40"/>
      <c r="O666" s="37"/>
    </row>
    <row r="667" spans="1:15" x14ac:dyDescent="0.25">
      <c r="A667" s="35">
        <f t="shared" si="23"/>
        <v>57</v>
      </c>
      <c r="B667" s="5">
        <v>43518</v>
      </c>
      <c r="C667" s="5" t="s">
        <v>419</v>
      </c>
      <c r="D667" s="57" t="s">
        <v>915</v>
      </c>
      <c r="E667" s="7" t="s">
        <v>472</v>
      </c>
      <c r="F667" s="33">
        <v>2</v>
      </c>
      <c r="G667" s="67">
        <v>-105</v>
      </c>
      <c r="H667" s="9" t="s">
        <v>6</v>
      </c>
      <c r="I6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67" s="36"/>
      <c r="N667" s="40"/>
      <c r="O667" s="37"/>
    </row>
    <row r="668" spans="1:15" x14ac:dyDescent="0.25">
      <c r="A668" s="35">
        <f t="shared" si="23"/>
        <v>57</v>
      </c>
      <c r="B668" s="5">
        <v>43518</v>
      </c>
      <c r="C668" s="5" t="s">
        <v>419</v>
      </c>
      <c r="D668" s="57" t="s">
        <v>916</v>
      </c>
      <c r="E668" s="7" t="s">
        <v>678</v>
      </c>
      <c r="F668" s="33">
        <v>2</v>
      </c>
      <c r="G668" s="67">
        <v>-105</v>
      </c>
      <c r="H668" s="9" t="s">
        <v>6</v>
      </c>
      <c r="I6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68" s="36"/>
      <c r="N668" s="40"/>
      <c r="O668" s="37"/>
    </row>
    <row r="669" spans="1:15" x14ac:dyDescent="0.25">
      <c r="A669" s="35">
        <f t="shared" si="23"/>
        <v>57</v>
      </c>
      <c r="B669" s="5">
        <v>43518</v>
      </c>
      <c r="C669" s="5" t="s">
        <v>419</v>
      </c>
      <c r="D669" s="57" t="s">
        <v>917</v>
      </c>
      <c r="E669" s="7" t="s">
        <v>918</v>
      </c>
      <c r="F669" s="33">
        <v>2</v>
      </c>
      <c r="G669" s="67">
        <v>-115</v>
      </c>
      <c r="H669" s="9" t="s">
        <v>6</v>
      </c>
      <c r="I6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69" s="36"/>
      <c r="N669" s="40"/>
      <c r="O669" s="37"/>
    </row>
    <row r="670" spans="1:15" x14ac:dyDescent="0.25">
      <c r="A670" s="35">
        <f t="shared" si="23"/>
        <v>57</v>
      </c>
      <c r="B670" s="5">
        <v>43518</v>
      </c>
      <c r="C670" s="5" t="s">
        <v>419</v>
      </c>
      <c r="D670" s="57" t="s">
        <v>917</v>
      </c>
      <c r="E670" s="7" t="s">
        <v>522</v>
      </c>
      <c r="F670" s="33">
        <v>2</v>
      </c>
      <c r="G670" s="67">
        <v>-105</v>
      </c>
      <c r="H670" s="9" t="s">
        <v>6</v>
      </c>
      <c r="I6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70" s="36"/>
      <c r="N670" s="40"/>
      <c r="O670" s="37"/>
    </row>
    <row r="671" spans="1:15" x14ac:dyDescent="0.25">
      <c r="A671" s="35">
        <f t="shared" si="23"/>
        <v>57</v>
      </c>
      <c r="B671" s="5">
        <v>43518</v>
      </c>
      <c r="C671" s="5" t="s">
        <v>419</v>
      </c>
      <c r="D671" s="57" t="s">
        <v>919</v>
      </c>
      <c r="E671" s="7" t="s">
        <v>920</v>
      </c>
      <c r="F671" s="33">
        <v>2</v>
      </c>
      <c r="G671" s="67">
        <v>-110</v>
      </c>
      <c r="H671" s="9" t="s">
        <v>36</v>
      </c>
      <c r="I6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71" s="36"/>
      <c r="N671" s="40"/>
      <c r="O671" s="37"/>
    </row>
    <row r="672" spans="1:15" x14ac:dyDescent="0.25">
      <c r="A672" s="35">
        <f t="shared" si="23"/>
        <v>57</v>
      </c>
      <c r="B672" s="5">
        <v>43518</v>
      </c>
      <c r="C672" s="5" t="s">
        <v>419</v>
      </c>
      <c r="D672" s="57" t="s">
        <v>919</v>
      </c>
      <c r="E672" s="7" t="s">
        <v>921</v>
      </c>
      <c r="F672" s="33">
        <v>2</v>
      </c>
      <c r="G672" s="67">
        <v>-110</v>
      </c>
      <c r="H672" s="9" t="s">
        <v>36</v>
      </c>
      <c r="I6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72" s="36"/>
      <c r="N672" s="40"/>
      <c r="O672" s="37"/>
    </row>
    <row r="673" spans="1:15" x14ac:dyDescent="0.25">
      <c r="A673" s="35">
        <f t="shared" si="23"/>
        <v>57</v>
      </c>
      <c r="B673" s="5">
        <v>43518</v>
      </c>
      <c r="C673" s="5" t="s">
        <v>419</v>
      </c>
      <c r="D673" s="57" t="s">
        <v>922</v>
      </c>
      <c r="E673" s="7" t="s">
        <v>923</v>
      </c>
      <c r="F673" s="33">
        <v>2</v>
      </c>
      <c r="G673" s="67">
        <v>-110</v>
      </c>
      <c r="H673" s="9" t="s">
        <v>36</v>
      </c>
      <c r="I6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73" s="36"/>
      <c r="N673" s="40"/>
      <c r="O673" s="37"/>
    </row>
    <row r="674" spans="1:15" x14ac:dyDescent="0.25">
      <c r="A674" s="35">
        <f t="shared" si="23"/>
        <v>57</v>
      </c>
      <c r="B674" s="5">
        <v>43518</v>
      </c>
      <c r="C674" s="5" t="s">
        <v>419</v>
      </c>
      <c r="D674" s="57" t="s">
        <v>922</v>
      </c>
      <c r="E674" s="7" t="s">
        <v>683</v>
      </c>
      <c r="F674" s="33">
        <v>2</v>
      </c>
      <c r="G674" s="67">
        <v>-115</v>
      </c>
      <c r="H674" s="9" t="s">
        <v>6</v>
      </c>
      <c r="I6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74" s="36"/>
      <c r="N674" s="40"/>
      <c r="O674" s="37"/>
    </row>
    <row r="675" spans="1:15" x14ac:dyDescent="0.25">
      <c r="A675" s="35">
        <f t="shared" si="23"/>
        <v>58</v>
      </c>
      <c r="B675" s="5">
        <v>43522</v>
      </c>
      <c r="C675" s="5" t="s">
        <v>134</v>
      </c>
      <c r="D675" s="57" t="s">
        <v>950</v>
      </c>
      <c r="E675" s="7" t="s">
        <v>376</v>
      </c>
      <c r="F675" s="33">
        <v>2</v>
      </c>
      <c r="G675" s="63">
        <v>-110</v>
      </c>
      <c r="H675" s="9" t="s">
        <v>36</v>
      </c>
      <c r="I6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75" s="36"/>
      <c r="N675" s="40"/>
      <c r="O675" s="37"/>
    </row>
    <row r="676" spans="1:15" x14ac:dyDescent="0.25">
      <c r="A676" s="35">
        <f t="shared" si="23"/>
        <v>58</v>
      </c>
      <c r="B676" s="5">
        <v>43522</v>
      </c>
      <c r="C676" s="5" t="s">
        <v>134</v>
      </c>
      <c r="D676" s="57" t="s">
        <v>950</v>
      </c>
      <c r="E676" s="7" t="s">
        <v>951</v>
      </c>
      <c r="F676" s="33">
        <v>2</v>
      </c>
      <c r="G676" s="63">
        <v>-110</v>
      </c>
      <c r="H676" s="9" t="s">
        <v>36</v>
      </c>
      <c r="I6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76" s="36"/>
      <c r="N676" s="40"/>
      <c r="O676" s="37"/>
    </row>
    <row r="677" spans="1:15" x14ac:dyDescent="0.25">
      <c r="A677" s="35">
        <f t="shared" si="23"/>
        <v>58</v>
      </c>
      <c r="B677" s="5">
        <v>43522</v>
      </c>
      <c r="C677" s="5" t="s">
        <v>134</v>
      </c>
      <c r="D677" s="57" t="s">
        <v>952</v>
      </c>
      <c r="E677" s="7" t="s">
        <v>225</v>
      </c>
      <c r="F677" s="33">
        <v>2</v>
      </c>
      <c r="G677" s="63">
        <v>-115</v>
      </c>
      <c r="H677" s="9" t="s">
        <v>36</v>
      </c>
      <c r="I6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77" s="36"/>
      <c r="N677" s="40"/>
      <c r="O677" s="37"/>
    </row>
    <row r="678" spans="1:15" x14ac:dyDescent="0.25">
      <c r="A678" s="35">
        <f t="shared" si="23"/>
        <v>58</v>
      </c>
      <c r="B678" s="5">
        <v>43522</v>
      </c>
      <c r="C678" s="5" t="s">
        <v>134</v>
      </c>
      <c r="D678" s="57" t="s">
        <v>953</v>
      </c>
      <c r="E678" s="7" t="s">
        <v>954</v>
      </c>
      <c r="F678" s="33">
        <v>2</v>
      </c>
      <c r="G678" s="63">
        <v>-115</v>
      </c>
      <c r="H678" s="9" t="s">
        <v>36</v>
      </c>
      <c r="I6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6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78" s="36"/>
      <c r="N678" s="40"/>
      <c r="O678" s="37"/>
    </row>
    <row r="679" spans="1:15" x14ac:dyDescent="0.25">
      <c r="A679" s="35">
        <f t="shared" si="23"/>
        <v>58</v>
      </c>
      <c r="B679" s="5">
        <v>43522</v>
      </c>
      <c r="C679" s="5" t="s">
        <v>134</v>
      </c>
      <c r="D679" s="57" t="s">
        <v>953</v>
      </c>
      <c r="E679" s="7" t="s">
        <v>955</v>
      </c>
      <c r="F679" s="33">
        <v>2</v>
      </c>
      <c r="G679" s="63">
        <v>-110</v>
      </c>
      <c r="H679" s="9" t="s">
        <v>36</v>
      </c>
      <c r="I6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79" s="36"/>
      <c r="N679" s="40"/>
      <c r="O679" s="37"/>
    </row>
    <row r="680" spans="1:15" x14ac:dyDescent="0.25">
      <c r="A680" s="35">
        <f t="shared" si="23"/>
        <v>58</v>
      </c>
      <c r="B680" s="5">
        <v>43522</v>
      </c>
      <c r="C680" s="5" t="s">
        <v>419</v>
      </c>
      <c r="D680" s="57" t="s">
        <v>941</v>
      </c>
      <c r="E680" s="7" t="s">
        <v>942</v>
      </c>
      <c r="F680" s="33">
        <v>2</v>
      </c>
      <c r="G680" s="67">
        <v>-105</v>
      </c>
      <c r="H680" s="9" t="s">
        <v>6</v>
      </c>
      <c r="I6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80" s="36"/>
      <c r="N680" s="40"/>
      <c r="O680" s="37"/>
    </row>
    <row r="681" spans="1:15" x14ac:dyDescent="0.25">
      <c r="A681" s="35">
        <f t="shared" si="23"/>
        <v>58</v>
      </c>
      <c r="B681" s="5">
        <v>43522</v>
      </c>
      <c r="C681" s="5" t="s">
        <v>419</v>
      </c>
      <c r="D681" s="57" t="s">
        <v>941</v>
      </c>
      <c r="E681" s="7" t="s">
        <v>470</v>
      </c>
      <c r="F681" s="33">
        <v>2</v>
      </c>
      <c r="G681" s="67">
        <v>-105</v>
      </c>
      <c r="H681" s="9" t="s">
        <v>6</v>
      </c>
      <c r="I6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81" s="36"/>
      <c r="N681" s="40"/>
      <c r="O681" s="37"/>
    </row>
    <row r="682" spans="1:15" x14ac:dyDescent="0.25">
      <c r="A682" s="35">
        <f t="shared" si="23"/>
        <v>58</v>
      </c>
      <c r="B682" s="5">
        <v>43522</v>
      </c>
      <c r="C682" s="5" t="s">
        <v>419</v>
      </c>
      <c r="D682" s="57" t="s">
        <v>943</v>
      </c>
      <c r="E682" s="7" t="s">
        <v>944</v>
      </c>
      <c r="F682" s="33">
        <v>2</v>
      </c>
      <c r="G682" s="67">
        <v>-115</v>
      </c>
      <c r="H682" s="9" t="s">
        <v>6</v>
      </c>
      <c r="I6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82" s="36"/>
      <c r="N682" s="40"/>
      <c r="O682" s="37"/>
    </row>
    <row r="683" spans="1:15" x14ac:dyDescent="0.25">
      <c r="A683" s="35">
        <f t="shared" si="23"/>
        <v>58</v>
      </c>
      <c r="B683" s="5">
        <v>43522</v>
      </c>
      <c r="C683" s="5" t="s">
        <v>419</v>
      </c>
      <c r="D683" s="57" t="s">
        <v>945</v>
      </c>
      <c r="E683" s="7" t="s">
        <v>445</v>
      </c>
      <c r="F683" s="33">
        <v>2</v>
      </c>
      <c r="G683" s="67">
        <v>-110</v>
      </c>
      <c r="H683" s="9" t="s">
        <v>6</v>
      </c>
      <c r="I6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83" s="36"/>
      <c r="N683" s="40"/>
      <c r="O683" s="37"/>
    </row>
    <row r="684" spans="1:15" x14ac:dyDescent="0.25">
      <c r="A684" s="35">
        <f t="shared" si="23"/>
        <v>58</v>
      </c>
      <c r="B684" s="5">
        <v>43522</v>
      </c>
      <c r="C684" s="5" t="s">
        <v>419</v>
      </c>
      <c r="D684" s="57" t="s">
        <v>946</v>
      </c>
      <c r="E684" s="7" t="s">
        <v>439</v>
      </c>
      <c r="F684" s="33">
        <v>2</v>
      </c>
      <c r="G684" s="67">
        <v>-105</v>
      </c>
      <c r="H684" s="9" t="s">
        <v>36</v>
      </c>
      <c r="I6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84" s="36"/>
      <c r="N684" s="40"/>
      <c r="O684" s="37"/>
    </row>
    <row r="685" spans="1:15" x14ac:dyDescent="0.25">
      <c r="A685" s="35">
        <f t="shared" si="23"/>
        <v>58</v>
      </c>
      <c r="B685" s="5">
        <v>43522</v>
      </c>
      <c r="C685" s="5" t="s">
        <v>419</v>
      </c>
      <c r="D685" s="57" t="s">
        <v>947</v>
      </c>
      <c r="E685" s="7" t="s">
        <v>948</v>
      </c>
      <c r="F685" s="33">
        <v>2</v>
      </c>
      <c r="G685" s="67">
        <v>-110</v>
      </c>
      <c r="H685" s="9" t="s">
        <v>6</v>
      </c>
      <c r="I6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85" s="36"/>
      <c r="N685" s="40"/>
      <c r="O685" s="37"/>
    </row>
    <row r="686" spans="1:15" x14ac:dyDescent="0.25">
      <c r="A686" s="35">
        <f t="shared" si="23"/>
        <v>58</v>
      </c>
      <c r="B686" s="5">
        <v>43522</v>
      </c>
      <c r="C686" s="5" t="s">
        <v>419</v>
      </c>
      <c r="D686" s="57" t="s">
        <v>947</v>
      </c>
      <c r="E686" s="7" t="s">
        <v>949</v>
      </c>
      <c r="F686" s="33">
        <v>2</v>
      </c>
      <c r="G686" s="67">
        <v>-115</v>
      </c>
      <c r="H686" s="9" t="s">
        <v>6</v>
      </c>
      <c r="I6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686" s="36"/>
      <c r="N686" s="40"/>
      <c r="O686" s="37"/>
    </row>
    <row r="687" spans="1:15" x14ac:dyDescent="0.25">
      <c r="A687" s="35">
        <f t="shared" si="23"/>
        <v>59</v>
      </c>
      <c r="B687" s="5">
        <v>43523</v>
      </c>
      <c r="C687" s="5" t="s">
        <v>134</v>
      </c>
      <c r="D687" s="57" t="s">
        <v>956</v>
      </c>
      <c r="E687" s="7" t="s">
        <v>216</v>
      </c>
      <c r="F687" s="33">
        <v>2</v>
      </c>
      <c r="G687" s="63">
        <v>-115</v>
      </c>
      <c r="H687" s="9" t="s">
        <v>6</v>
      </c>
      <c r="I6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87" s="36"/>
      <c r="N687" s="40"/>
      <c r="O687" s="37"/>
    </row>
    <row r="688" spans="1:15" x14ac:dyDescent="0.25">
      <c r="A688" s="35">
        <f t="shared" si="23"/>
        <v>59</v>
      </c>
      <c r="B688" s="5">
        <v>43523</v>
      </c>
      <c r="C688" s="5" t="s">
        <v>134</v>
      </c>
      <c r="D688" s="57" t="s">
        <v>956</v>
      </c>
      <c r="E688" s="7" t="s">
        <v>957</v>
      </c>
      <c r="F688" s="33">
        <v>2</v>
      </c>
      <c r="G688" s="63">
        <v>-115</v>
      </c>
      <c r="H688" s="9" t="s">
        <v>65</v>
      </c>
      <c r="I6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6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88" s="36"/>
      <c r="N688" s="40"/>
      <c r="O688" s="37"/>
    </row>
    <row r="689" spans="1:15" x14ac:dyDescent="0.25">
      <c r="A689" s="35">
        <f t="shared" si="23"/>
        <v>59</v>
      </c>
      <c r="B689" s="5">
        <v>43523</v>
      </c>
      <c r="C689" s="5" t="s">
        <v>134</v>
      </c>
      <c r="D689" s="57" t="s">
        <v>958</v>
      </c>
      <c r="E689" s="7" t="s">
        <v>112</v>
      </c>
      <c r="F689" s="33">
        <v>2</v>
      </c>
      <c r="G689" s="63">
        <v>-105</v>
      </c>
      <c r="H689" s="9" t="s">
        <v>6</v>
      </c>
      <c r="I6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89" s="36"/>
      <c r="N689" s="40"/>
      <c r="O689" s="37"/>
    </row>
    <row r="690" spans="1:15" x14ac:dyDescent="0.25">
      <c r="A690" s="35">
        <f t="shared" si="23"/>
        <v>59</v>
      </c>
      <c r="B690" s="5">
        <v>43523</v>
      </c>
      <c r="C690" s="5" t="s">
        <v>134</v>
      </c>
      <c r="D690" s="57" t="s">
        <v>958</v>
      </c>
      <c r="E690" s="7" t="s">
        <v>959</v>
      </c>
      <c r="F690" s="33">
        <v>2</v>
      </c>
      <c r="G690" s="63">
        <v>-110</v>
      </c>
      <c r="H690" s="9" t="s">
        <v>36</v>
      </c>
      <c r="I6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90" s="36"/>
      <c r="N690" s="40"/>
      <c r="O690" s="37"/>
    </row>
    <row r="691" spans="1:15" x14ac:dyDescent="0.25">
      <c r="A691" s="35">
        <f t="shared" si="23"/>
        <v>59</v>
      </c>
      <c r="B691" s="5">
        <v>43523</v>
      </c>
      <c r="C691" s="5" t="s">
        <v>134</v>
      </c>
      <c r="D691" s="57" t="s">
        <v>960</v>
      </c>
      <c r="E691" s="7" t="s">
        <v>961</v>
      </c>
      <c r="F691" s="33">
        <v>2</v>
      </c>
      <c r="G691" s="63">
        <v>-115</v>
      </c>
      <c r="H691" s="9" t="s">
        <v>6</v>
      </c>
      <c r="I6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1" s="36"/>
      <c r="N691" s="40"/>
      <c r="O691" s="37"/>
    </row>
    <row r="692" spans="1:15" x14ac:dyDescent="0.25">
      <c r="A692" s="35">
        <f t="shared" si="23"/>
        <v>59</v>
      </c>
      <c r="B692" s="5">
        <v>43523</v>
      </c>
      <c r="C692" s="5" t="s">
        <v>134</v>
      </c>
      <c r="D692" s="57" t="s">
        <v>962</v>
      </c>
      <c r="E692" s="7" t="s">
        <v>407</v>
      </c>
      <c r="F692" s="33">
        <v>2</v>
      </c>
      <c r="G692" s="63">
        <v>-105</v>
      </c>
      <c r="H692" s="9" t="s">
        <v>36</v>
      </c>
      <c r="I6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2" s="36"/>
      <c r="N692" s="40"/>
      <c r="O692" s="37"/>
    </row>
    <row r="693" spans="1:15" x14ac:dyDescent="0.25">
      <c r="A693" s="35">
        <f t="shared" si="23"/>
        <v>59</v>
      </c>
      <c r="B693" s="5">
        <v>43523</v>
      </c>
      <c r="C693" s="5" t="s">
        <v>134</v>
      </c>
      <c r="D693" s="57" t="s">
        <v>963</v>
      </c>
      <c r="E693" s="7" t="s">
        <v>954</v>
      </c>
      <c r="F693" s="33">
        <v>2</v>
      </c>
      <c r="G693" s="63">
        <v>-115</v>
      </c>
      <c r="H693" s="9" t="s">
        <v>6</v>
      </c>
      <c r="I6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3" s="36"/>
      <c r="N693" s="40"/>
      <c r="O693" s="37"/>
    </row>
    <row r="694" spans="1:15" x14ac:dyDescent="0.25">
      <c r="A694" s="35">
        <f t="shared" si="23"/>
        <v>59</v>
      </c>
      <c r="B694" s="5">
        <v>43523</v>
      </c>
      <c r="C694" s="5" t="s">
        <v>134</v>
      </c>
      <c r="D694" s="57" t="s">
        <v>963</v>
      </c>
      <c r="E694" s="7" t="s">
        <v>964</v>
      </c>
      <c r="F694" s="33">
        <v>2</v>
      </c>
      <c r="G694" s="63">
        <v>-110</v>
      </c>
      <c r="H694" s="9" t="s">
        <v>6</v>
      </c>
      <c r="I6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94" s="36"/>
      <c r="N694" s="40"/>
      <c r="O694" s="37"/>
    </row>
    <row r="695" spans="1:15" x14ac:dyDescent="0.25">
      <c r="A695" s="35">
        <f t="shared" si="23"/>
        <v>59</v>
      </c>
      <c r="B695" s="5">
        <v>43523</v>
      </c>
      <c r="C695" s="5" t="s">
        <v>134</v>
      </c>
      <c r="D695" s="57" t="s">
        <v>965</v>
      </c>
      <c r="E695" s="7" t="s">
        <v>421</v>
      </c>
      <c r="F695" s="33">
        <v>2</v>
      </c>
      <c r="G695" s="63">
        <v>-105</v>
      </c>
      <c r="H695" s="9" t="s">
        <v>36</v>
      </c>
      <c r="I6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5" s="36"/>
      <c r="N695" s="40"/>
      <c r="O695" s="37"/>
    </row>
    <row r="696" spans="1:15" x14ac:dyDescent="0.25">
      <c r="A696" s="35">
        <f t="shared" si="23"/>
        <v>59</v>
      </c>
      <c r="B696" s="5">
        <v>43523</v>
      </c>
      <c r="C696" s="5" t="s">
        <v>134</v>
      </c>
      <c r="D696" s="57" t="s">
        <v>965</v>
      </c>
      <c r="E696" s="7" t="s">
        <v>966</v>
      </c>
      <c r="F696" s="33">
        <v>2</v>
      </c>
      <c r="G696" s="63">
        <v>-110</v>
      </c>
      <c r="H696" s="9" t="s">
        <v>6</v>
      </c>
      <c r="I6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6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96" s="36"/>
      <c r="N696" s="40"/>
      <c r="O696" s="37"/>
    </row>
    <row r="697" spans="1:15" x14ac:dyDescent="0.25">
      <c r="A697" s="35">
        <f t="shared" si="23"/>
        <v>59</v>
      </c>
      <c r="B697" s="5">
        <v>43523</v>
      </c>
      <c r="C697" s="5" t="s">
        <v>134</v>
      </c>
      <c r="D697" s="57" t="s">
        <v>967</v>
      </c>
      <c r="E697" s="7" t="s">
        <v>175</v>
      </c>
      <c r="F697" s="33">
        <v>2</v>
      </c>
      <c r="G697" s="63">
        <v>-110</v>
      </c>
      <c r="H697" s="9" t="s">
        <v>36</v>
      </c>
      <c r="I6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697" s="36"/>
      <c r="N697" s="40"/>
      <c r="O697" s="37"/>
    </row>
    <row r="698" spans="1:15" x14ac:dyDescent="0.25">
      <c r="A698" s="35">
        <f t="shared" si="23"/>
        <v>59</v>
      </c>
      <c r="B698" s="5">
        <v>43523</v>
      </c>
      <c r="C698" s="5" t="s">
        <v>134</v>
      </c>
      <c r="D698" s="57" t="s">
        <v>968</v>
      </c>
      <c r="E698" s="7" t="s">
        <v>969</v>
      </c>
      <c r="F698" s="33">
        <v>2</v>
      </c>
      <c r="G698" s="63">
        <v>-110</v>
      </c>
      <c r="H698" s="9" t="s">
        <v>36</v>
      </c>
      <c r="I6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6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698" s="36"/>
      <c r="N698" s="40"/>
      <c r="O698" s="37"/>
    </row>
    <row r="699" spans="1:15" x14ac:dyDescent="0.25">
      <c r="A699" s="35">
        <f t="shared" si="23"/>
        <v>59</v>
      </c>
      <c r="B699" s="5">
        <v>43523</v>
      </c>
      <c r="C699" s="5" t="s">
        <v>134</v>
      </c>
      <c r="D699" s="57" t="s">
        <v>970</v>
      </c>
      <c r="E699" s="7" t="s">
        <v>225</v>
      </c>
      <c r="F699" s="33">
        <v>2</v>
      </c>
      <c r="G699" s="63">
        <v>-105</v>
      </c>
      <c r="H699" s="9" t="s">
        <v>36</v>
      </c>
      <c r="I6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6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699" s="36"/>
      <c r="N699" s="40"/>
      <c r="O699" s="37"/>
    </row>
    <row r="700" spans="1:15" x14ac:dyDescent="0.25">
      <c r="A700" s="35">
        <f t="shared" si="23"/>
        <v>59</v>
      </c>
      <c r="B700" s="5">
        <v>43523</v>
      </c>
      <c r="C700" s="5" t="s">
        <v>134</v>
      </c>
      <c r="D700" s="57" t="s">
        <v>970</v>
      </c>
      <c r="E700" s="7" t="s">
        <v>244</v>
      </c>
      <c r="F700" s="33">
        <v>2</v>
      </c>
      <c r="G700" s="63">
        <v>-110</v>
      </c>
      <c r="H700" s="9" t="s">
        <v>6</v>
      </c>
      <c r="I7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00" s="36"/>
      <c r="N700" s="40"/>
      <c r="O700" s="37"/>
    </row>
    <row r="701" spans="1:15" x14ac:dyDescent="0.25">
      <c r="A701" s="35">
        <f t="shared" si="23"/>
        <v>59</v>
      </c>
      <c r="B701" s="5">
        <v>43523</v>
      </c>
      <c r="C701" s="5" t="s">
        <v>134</v>
      </c>
      <c r="D701" s="57" t="s">
        <v>971</v>
      </c>
      <c r="E701" s="7" t="s">
        <v>457</v>
      </c>
      <c r="F701" s="33">
        <v>2</v>
      </c>
      <c r="G701" s="63">
        <v>-110</v>
      </c>
      <c r="H701" s="9" t="s">
        <v>6</v>
      </c>
      <c r="I7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01" s="36"/>
      <c r="N701" s="40"/>
      <c r="O701" s="37"/>
    </row>
    <row r="702" spans="1:15" x14ac:dyDescent="0.25">
      <c r="A702" s="35">
        <f t="shared" si="23"/>
        <v>59</v>
      </c>
      <c r="B702" s="5">
        <v>43523</v>
      </c>
      <c r="C702" s="5" t="s">
        <v>134</v>
      </c>
      <c r="D702" s="57" t="s">
        <v>181</v>
      </c>
      <c r="E702" s="7" t="s">
        <v>364</v>
      </c>
      <c r="F702" s="33">
        <v>2</v>
      </c>
      <c r="G702" s="63">
        <v>-105</v>
      </c>
      <c r="H702" s="9" t="s">
        <v>6</v>
      </c>
      <c r="I7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02" s="36"/>
      <c r="N702" s="40"/>
      <c r="O702" s="37"/>
    </row>
    <row r="703" spans="1:15" x14ac:dyDescent="0.25">
      <c r="A703" s="35">
        <f t="shared" si="23"/>
        <v>60</v>
      </c>
      <c r="B703" s="5">
        <v>43524</v>
      </c>
      <c r="C703" s="5" t="s">
        <v>134</v>
      </c>
      <c r="D703" s="57" t="s">
        <v>972</v>
      </c>
      <c r="E703" s="7" t="s">
        <v>276</v>
      </c>
      <c r="F703" s="33">
        <v>2</v>
      </c>
      <c r="G703" s="72">
        <v>-115</v>
      </c>
      <c r="H703" s="9" t="s">
        <v>6</v>
      </c>
      <c r="I7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03" s="36"/>
      <c r="N703" s="40"/>
      <c r="O703" s="37"/>
    </row>
    <row r="704" spans="1:15" x14ac:dyDescent="0.25">
      <c r="A704" s="35">
        <f t="shared" si="23"/>
        <v>60</v>
      </c>
      <c r="B704" s="5">
        <v>43524</v>
      </c>
      <c r="C704" s="5" t="s">
        <v>134</v>
      </c>
      <c r="D704" s="57" t="s">
        <v>972</v>
      </c>
      <c r="E704" s="7" t="s">
        <v>973</v>
      </c>
      <c r="F704" s="33">
        <v>2</v>
      </c>
      <c r="G704" s="72">
        <v>-105</v>
      </c>
      <c r="H704" s="9" t="s">
        <v>36</v>
      </c>
      <c r="I7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7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04" s="36"/>
      <c r="N704" s="40"/>
      <c r="O704" s="37"/>
    </row>
    <row r="705" spans="1:15" x14ac:dyDescent="0.25">
      <c r="A705" s="35">
        <f t="shared" si="23"/>
        <v>60</v>
      </c>
      <c r="B705" s="5">
        <v>43524</v>
      </c>
      <c r="C705" s="5" t="s">
        <v>134</v>
      </c>
      <c r="D705" s="57" t="s">
        <v>974</v>
      </c>
      <c r="E705" s="7" t="s">
        <v>975</v>
      </c>
      <c r="F705" s="33">
        <v>2</v>
      </c>
      <c r="G705" s="72">
        <v>-110</v>
      </c>
      <c r="H705" s="9" t="s">
        <v>6</v>
      </c>
      <c r="I7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05" s="36"/>
      <c r="N705" s="40"/>
      <c r="O705" s="37"/>
    </row>
    <row r="706" spans="1:15" x14ac:dyDescent="0.25">
      <c r="A706" s="35">
        <f t="shared" si="23"/>
        <v>60</v>
      </c>
      <c r="B706" s="5">
        <v>43524</v>
      </c>
      <c r="C706" s="5" t="s">
        <v>134</v>
      </c>
      <c r="D706" s="57" t="s">
        <v>976</v>
      </c>
      <c r="E706" s="7" t="s">
        <v>271</v>
      </c>
      <c r="F706" s="33">
        <v>2</v>
      </c>
      <c r="G706" s="72">
        <v>-115</v>
      </c>
      <c r="H706" s="9" t="s">
        <v>6</v>
      </c>
      <c r="I7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06" s="36"/>
      <c r="N706" s="40"/>
      <c r="O706" s="37"/>
    </row>
    <row r="707" spans="1:15" x14ac:dyDescent="0.25">
      <c r="A707" s="35">
        <f t="shared" si="23"/>
        <v>60</v>
      </c>
      <c r="B707" s="5">
        <v>43524</v>
      </c>
      <c r="C707" s="5" t="s">
        <v>134</v>
      </c>
      <c r="D707" s="57" t="s">
        <v>976</v>
      </c>
      <c r="E707" s="7" t="s">
        <v>977</v>
      </c>
      <c r="F707" s="33">
        <v>2</v>
      </c>
      <c r="G707" s="72">
        <v>-115</v>
      </c>
      <c r="H707" s="9" t="s">
        <v>36</v>
      </c>
      <c r="I7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7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07" s="36"/>
      <c r="N707" s="40"/>
      <c r="O707" s="37"/>
    </row>
    <row r="708" spans="1:15" x14ac:dyDescent="0.25">
      <c r="A708" s="35">
        <f t="shared" ref="A708:A771" si="24">IF(B708=B707,A707,A707+1)</f>
        <v>60</v>
      </c>
      <c r="B708" s="5">
        <v>43524</v>
      </c>
      <c r="C708" s="5" t="s">
        <v>134</v>
      </c>
      <c r="D708" s="57" t="s">
        <v>978</v>
      </c>
      <c r="E708" s="7" t="s">
        <v>109</v>
      </c>
      <c r="F708" s="33">
        <v>2</v>
      </c>
      <c r="G708" s="72">
        <v>-110</v>
      </c>
      <c r="H708" s="9" t="s">
        <v>36</v>
      </c>
      <c r="I7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7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08" s="36"/>
      <c r="N708" s="40"/>
      <c r="O708" s="37"/>
    </row>
    <row r="709" spans="1:15" x14ac:dyDescent="0.25">
      <c r="A709" s="35">
        <f t="shared" si="24"/>
        <v>60</v>
      </c>
      <c r="B709" s="5">
        <v>43524</v>
      </c>
      <c r="C709" s="5" t="s">
        <v>134</v>
      </c>
      <c r="D709" s="57" t="s">
        <v>978</v>
      </c>
      <c r="E709" s="7" t="s">
        <v>979</v>
      </c>
      <c r="F709" s="33">
        <v>2</v>
      </c>
      <c r="G709" s="72">
        <v>-110</v>
      </c>
      <c r="H709" s="9" t="s">
        <v>36</v>
      </c>
      <c r="I7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7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09" s="36"/>
      <c r="N709" s="40"/>
      <c r="O709" s="37"/>
    </row>
    <row r="710" spans="1:15" x14ac:dyDescent="0.25">
      <c r="A710" s="35">
        <f t="shared" si="24"/>
        <v>60</v>
      </c>
      <c r="B710" s="5">
        <v>43524</v>
      </c>
      <c r="C710" s="5" t="s">
        <v>134</v>
      </c>
      <c r="D710" s="57" t="s">
        <v>980</v>
      </c>
      <c r="E710" s="7" t="s">
        <v>954</v>
      </c>
      <c r="F710" s="33">
        <v>2</v>
      </c>
      <c r="G710" s="72">
        <v>-105</v>
      </c>
      <c r="H710" s="9" t="s">
        <v>36</v>
      </c>
      <c r="I7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7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10" s="36"/>
      <c r="N710" s="40"/>
      <c r="O710" s="37"/>
    </row>
    <row r="711" spans="1:15" x14ac:dyDescent="0.25">
      <c r="A711" s="35">
        <f t="shared" si="24"/>
        <v>60</v>
      </c>
      <c r="B711" s="5">
        <v>43524</v>
      </c>
      <c r="C711" s="5" t="s">
        <v>419</v>
      </c>
      <c r="D711" s="57" t="s">
        <v>981</v>
      </c>
      <c r="E711" s="7" t="s">
        <v>622</v>
      </c>
      <c r="F711" s="33">
        <v>2</v>
      </c>
      <c r="G711" s="67">
        <v>-110</v>
      </c>
      <c r="H711" s="9" t="s">
        <v>36</v>
      </c>
      <c r="I7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7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11" s="36"/>
      <c r="N711" s="40"/>
      <c r="O711" s="37"/>
    </row>
    <row r="712" spans="1:15" x14ac:dyDescent="0.25">
      <c r="A712" s="35">
        <f t="shared" si="24"/>
        <v>60</v>
      </c>
      <c r="B712" s="5">
        <v>43524</v>
      </c>
      <c r="C712" s="5" t="s">
        <v>419</v>
      </c>
      <c r="D712" s="57" t="s">
        <v>982</v>
      </c>
      <c r="E712" s="7" t="s">
        <v>983</v>
      </c>
      <c r="F712" s="33">
        <v>2</v>
      </c>
      <c r="G712" s="67">
        <v>-105</v>
      </c>
      <c r="H712" s="9" t="s">
        <v>36</v>
      </c>
      <c r="I7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7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12" s="36"/>
      <c r="N712" s="40"/>
      <c r="O712" s="37"/>
    </row>
    <row r="713" spans="1:15" x14ac:dyDescent="0.25">
      <c r="A713" s="35">
        <f t="shared" si="24"/>
        <v>60</v>
      </c>
      <c r="B713" s="5">
        <v>43524</v>
      </c>
      <c r="C713" s="5" t="s">
        <v>419</v>
      </c>
      <c r="D713" s="57" t="s">
        <v>984</v>
      </c>
      <c r="E713" s="7" t="s">
        <v>985</v>
      </c>
      <c r="F713" s="33">
        <v>2</v>
      </c>
      <c r="G713" s="67">
        <v>-115</v>
      </c>
      <c r="H713" s="9" t="s">
        <v>6</v>
      </c>
      <c r="I7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13" s="36"/>
      <c r="N713" s="40"/>
      <c r="O713" s="37"/>
    </row>
    <row r="714" spans="1:15" x14ac:dyDescent="0.25">
      <c r="A714" s="35">
        <f t="shared" si="24"/>
        <v>60</v>
      </c>
      <c r="B714" s="5">
        <v>43524</v>
      </c>
      <c r="C714" s="5" t="s">
        <v>419</v>
      </c>
      <c r="D714" s="57" t="s">
        <v>986</v>
      </c>
      <c r="E714" s="7" t="s">
        <v>987</v>
      </c>
      <c r="F714" s="33">
        <v>2</v>
      </c>
      <c r="G714" s="67">
        <v>-110</v>
      </c>
      <c r="H714" s="9" t="s">
        <v>6</v>
      </c>
      <c r="I7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14" s="36"/>
      <c r="N714" s="40"/>
      <c r="O714" s="37"/>
    </row>
    <row r="715" spans="1:15" x14ac:dyDescent="0.25">
      <c r="A715" s="35">
        <f t="shared" si="24"/>
        <v>60</v>
      </c>
      <c r="B715" s="5">
        <v>43524</v>
      </c>
      <c r="C715" s="5" t="s">
        <v>419</v>
      </c>
      <c r="D715" s="57" t="s">
        <v>988</v>
      </c>
      <c r="E715" s="7" t="s">
        <v>989</v>
      </c>
      <c r="F715" s="33">
        <v>2</v>
      </c>
      <c r="G715" s="67">
        <v>-115</v>
      </c>
      <c r="H715" s="9" t="s">
        <v>36</v>
      </c>
      <c r="I7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7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15" s="36"/>
      <c r="N715" s="40"/>
      <c r="O715" s="37"/>
    </row>
    <row r="716" spans="1:15" x14ac:dyDescent="0.25">
      <c r="A716" s="35">
        <f t="shared" si="24"/>
        <v>60</v>
      </c>
      <c r="B716" s="5">
        <v>43524</v>
      </c>
      <c r="C716" s="5" t="s">
        <v>419</v>
      </c>
      <c r="D716" s="57" t="s">
        <v>988</v>
      </c>
      <c r="E716" s="7" t="s">
        <v>568</v>
      </c>
      <c r="F716" s="33">
        <v>2</v>
      </c>
      <c r="G716" s="67">
        <v>-110</v>
      </c>
      <c r="H716" s="9" t="s">
        <v>36</v>
      </c>
      <c r="I7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1.8181818181818181</v>
      </c>
      <c r="J7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16" s="36"/>
      <c r="N716" s="40"/>
      <c r="O716" s="37"/>
    </row>
    <row r="717" spans="1:15" x14ac:dyDescent="0.25">
      <c r="A717" s="35">
        <f t="shared" si="24"/>
        <v>60</v>
      </c>
      <c r="B717" s="5">
        <v>43524</v>
      </c>
      <c r="C717" s="5" t="s">
        <v>419</v>
      </c>
      <c r="D717" s="57" t="s">
        <v>990</v>
      </c>
      <c r="E717" s="7" t="s">
        <v>991</v>
      </c>
      <c r="F717" s="33">
        <v>2</v>
      </c>
      <c r="G717" s="67">
        <v>-115</v>
      </c>
      <c r="H717" s="9" t="s">
        <v>36</v>
      </c>
      <c r="I7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1.7391304347826086</v>
      </c>
      <c r="J7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17" s="36"/>
      <c r="N717" s="40"/>
      <c r="O717" s="37"/>
    </row>
    <row r="718" spans="1:15" x14ac:dyDescent="0.25">
      <c r="A718" s="35">
        <f t="shared" si="24"/>
        <v>60</v>
      </c>
      <c r="B718" s="5">
        <v>43524</v>
      </c>
      <c r="C718" s="5" t="s">
        <v>419</v>
      </c>
      <c r="D718" s="57" t="s">
        <v>990</v>
      </c>
      <c r="E718" s="7" t="s">
        <v>474</v>
      </c>
      <c r="F718" s="33">
        <v>2</v>
      </c>
      <c r="G718" s="67">
        <v>-110</v>
      </c>
      <c r="H718" s="9" t="s">
        <v>6</v>
      </c>
      <c r="I7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18" s="36"/>
      <c r="N718" s="40"/>
      <c r="O718" s="37"/>
    </row>
    <row r="719" spans="1:15" x14ac:dyDescent="0.25">
      <c r="A719" s="35">
        <f t="shared" si="24"/>
        <v>60</v>
      </c>
      <c r="B719" s="5">
        <v>43524</v>
      </c>
      <c r="C719" s="5" t="s">
        <v>419</v>
      </c>
      <c r="D719" s="57" t="s">
        <v>992</v>
      </c>
      <c r="E719" s="7" t="s">
        <v>993</v>
      </c>
      <c r="F719" s="33">
        <v>2</v>
      </c>
      <c r="G719" s="67">
        <v>-115</v>
      </c>
      <c r="H719" s="9" t="s">
        <v>6</v>
      </c>
      <c r="I7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19" s="36"/>
      <c r="N719" s="40"/>
      <c r="O719" s="37"/>
    </row>
    <row r="720" spans="1:15" x14ac:dyDescent="0.25">
      <c r="A720" s="35">
        <f t="shared" si="24"/>
        <v>60</v>
      </c>
      <c r="B720" s="5">
        <v>43524</v>
      </c>
      <c r="C720" s="5" t="s">
        <v>419</v>
      </c>
      <c r="D720" s="57" t="s">
        <v>994</v>
      </c>
      <c r="E720" s="7" t="s">
        <v>995</v>
      </c>
      <c r="F720" s="33">
        <v>2</v>
      </c>
      <c r="G720" s="67">
        <v>-110</v>
      </c>
      <c r="H720" s="9" t="s">
        <v>6</v>
      </c>
      <c r="I7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20" s="36"/>
      <c r="N720" s="40"/>
      <c r="O720" s="37"/>
    </row>
    <row r="721" spans="1:15" x14ac:dyDescent="0.25">
      <c r="A721" s="35">
        <f t="shared" si="24"/>
        <v>60</v>
      </c>
      <c r="B721" s="5">
        <v>43524</v>
      </c>
      <c r="C721" s="5" t="s">
        <v>419</v>
      </c>
      <c r="D721" s="57" t="s">
        <v>996</v>
      </c>
      <c r="E721" s="7" t="s">
        <v>997</v>
      </c>
      <c r="F721" s="33">
        <v>2</v>
      </c>
      <c r="G721" s="67">
        <v>-110</v>
      </c>
      <c r="H721" s="9" t="s">
        <v>6</v>
      </c>
      <c r="I7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21" s="36"/>
      <c r="N721" s="40"/>
      <c r="O721" s="37"/>
    </row>
    <row r="722" spans="1:15" x14ac:dyDescent="0.25">
      <c r="A722" s="35">
        <f t="shared" si="24"/>
        <v>61</v>
      </c>
      <c r="B722" s="5">
        <v>43528</v>
      </c>
      <c r="C722" s="5" t="s">
        <v>134</v>
      </c>
      <c r="D722" s="57" t="s">
        <v>998</v>
      </c>
      <c r="E722" s="7" t="s">
        <v>640</v>
      </c>
      <c r="F722" s="33">
        <v>5</v>
      </c>
      <c r="G722" s="63">
        <v>-115</v>
      </c>
      <c r="H722" s="9" t="s">
        <v>6</v>
      </c>
      <c r="I7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22" s="36"/>
      <c r="N722" s="40"/>
      <c r="O722" s="37"/>
    </row>
    <row r="723" spans="1:15" x14ac:dyDescent="0.25">
      <c r="A723" s="35">
        <f t="shared" si="24"/>
        <v>61</v>
      </c>
      <c r="B723" s="5">
        <v>43528</v>
      </c>
      <c r="C723" s="5" t="s">
        <v>134</v>
      </c>
      <c r="D723" s="57" t="s">
        <v>999</v>
      </c>
      <c r="E723" s="7" t="s">
        <v>225</v>
      </c>
      <c r="F723" s="33">
        <v>5</v>
      </c>
      <c r="G723" s="63">
        <v>-105</v>
      </c>
      <c r="H723" s="9" t="s">
        <v>36</v>
      </c>
      <c r="I7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23" s="36"/>
      <c r="N723" s="40"/>
      <c r="O723" s="37"/>
    </row>
    <row r="724" spans="1:15" x14ac:dyDescent="0.25">
      <c r="A724" s="35">
        <f t="shared" si="24"/>
        <v>61</v>
      </c>
      <c r="B724" s="5">
        <v>43528</v>
      </c>
      <c r="C724" s="5" t="s">
        <v>134</v>
      </c>
      <c r="D724" s="57" t="s">
        <v>1000</v>
      </c>
      <c r="E724" s="7" t="s">
        <v>166</v>
      </c>
      <c r="F724" s="33">
        <v>5</v>
      </c>
      <c r="G724" s="63">
        <v>-110</v>
      </c>
      <c r="H724" s="9" t="s">
        <v>36</v>
      </c>
      <c r="I7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24" s="36"/>
      <c r="N724" s="40"/>
      <c r="O724" s="37"/>
    </row>
    <row r="725" spans="1:15" x14ac:dyDescent="0.25">
      <c r="A725" s="35">
        <f t="shared" si="24"/>
        <v>61</v>
      </c>
      <c r="B725" s="5">
        <v>43528</v>
      </c>
      <c r="C725" s="5" t="s">
        <v>134</v>
      </c>
      <c r="D725" s="57" t="s">
        <v>1001</v>
      </c>
      <c r="E725" s="7" t="s">
        <v>336</v>
      </c>
      <c r="F725" s="33">
        <v>5</v>
      </c>
      <c r="G725" s="63">
        <v>-110</v>
      </c>
      <c r="H725" s="9" t="s">
        <v>36</v>
      </c>
      <c r="I7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25" s="36"/>
      <c r="N725" s="40"/>
      <c r="O725" s="37"/>
    </row>
    <row r="726" spans="1:15" x14ac:dyDescent="0.25">
      <c r="A726" s="35">
        <f t="shared" si="24"/>
        <v>61</v>
      </c>
      <c r="B726" s="5">
        <v>43528</v>
      </c>
      <c r="C726" s="5" t="s">
        <v>134</v>
      </c>
      <c r="D726" s="57" t="s">
        <v>1001</v>
      </c>
      <c r="E726" s="7" t="s">
        <v>1002</v>
      </c>
      <c r="F726" s="33">
        <v>5</v>
      </c>
      <c r="G726" s="63">
        <v>-110</v>
      </c>
      <c r="H726" s="9" t="s">
        <v>36</v>
      </c>
      <c r="I7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26" s="36"/>
      <c r="N726" s="40"/>
      <c r="O726" s="37"/>
    </row>
    <row r="727" spans="1:15" x14ac:dyDescent="0.25">
      <c r="A727" s="35">
        <f t="shared" si="24"/>
        <v>61</v>
      </c>
      <c r="B727" s="5">
        <v>43528</v>
      </c>
      <c r="C727" s="5" t="s">
        <v>134</v>
      </c>
      <c r="D727" s="57" t="s">
        <v>1003</v>
      </c>
      <c r="E727" s="7" t="s">
        <v>961</v>
      </c>
      <c r="F727" s="33">
        <v>5</v>
      </c>
      <c r="G727" s="63">
        <v>-110</v>
      </c>
      <c r="H727" s="9" t="s">
        <v>36</v>
      </c>
      <c r="I7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27" s="36"/>
      <c r="N727" s="40"/>
      <c r="O727" s="37"/>
    </row>
    <row r="728" spans="1:15" x14ac:dyDescent="0.25">
      <c r="A728" s="35">
        <f t="shared" si="24"/>
        <v>62</v>
      </c>
      <c r="B728" s="5">
        <v>43529</v>
      </c>
      <c r="C728" s="5" t="s">
        <v>134</v>
      </c>
      <c r="D728" s="57" t="s">
        <v>1004</v>
      </c>
      <c r="E728" s="7" t="s">
        <v>927</v>
      </c>
      <c r="F728" s="33">
        <v>5</v>
      </c>
      <c r="G728" s="63">
        <v>-110</v>
      </c>
      <c r="H728" s="9" t="s">
        <v>36</v>
      </c>
      <c r="I7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28" s="36"/>
      <c r="N728" s="40"/>
      <c r="O728" s="37"/>
    </row>
    <row r="729" spans="1:15" x14ac:dyDescent="0.25">
      <c r="A729" s="35">
        <f t="shared" si="24"/>
        <v>62</v>
      </c>
      <c r="B729" s="5">
        <v>43529</v>
      </c>
      <c r="C729" s="5" t="s">
        <v>134</v>
      </c>
      <c r="D729" s="57" t="s">
        <v>1005</v>
      </c>
      <c r="E729" s="7" t="s">
        <v>112</v>
      </c>
      <c r="F729" s="33">
        <v>5</v>
      </c>
      <c r="G729" s="63">
        <v>-105</v>
      </c>
      <c r="H729" s="9" t="s">
        <v>36</v>
      </c>
      <c r="I7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29" s="36"/>
      <c r="N729" s="40"/>
      <c r="O729" s="37"/>
    </row>
    <row r="730" spans="1:15" x14ac:dyDescent="0.25">
      <c r="A730" s="35">
        <f t="shared" si="24"/>
        <v>62</v>
      </c>
      <c r="B730" s="5">
        <v>43529</v>
      </c>
      <c r="C730" s="5" t="s">
        <v>134</v>
      </c>
      <c r="D730" s="57" t="s">
        <v>1005</v>
      </c>
      <c r="E730" s="7" t="s">
        <v>1006</v>
      </c>
      <c r="F730" s="33">
        <v>5</v>
      </c>
      <c r="G730" s="63">
        <v>-110</v>
      </c>
      <c r="H730" s="9" t="s">
        <v>36</v>
      </c>
      <c r="I7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30" s="36"/>
      <c r="N730" s="40"/>
      <c r="O730" s="37"/>
    </row>
    <row r="731" spans="1:15" x14ac:dyDescent="0.25">
      <c r="A731" s="35">
        <f t="shared" si="24"/>
        <v>62</v>
      </c>
      <c r="B731" s="5">
        <v>43529</v>
      </c>
      <c r="C731" s="5" t="s">
        <v>134</v>
      </c>
      <c r="D731" s="57" t="s">
        <v>1007</v>
      </c>
      <c r="E731" s="7" t="s">
        <v>216</v>
      </c>
      <c r="F731" s="33">
        <v>5</v>
      </c>
      <c r="G731" s="63">
        <v>-110</v>
      </c>
      <c r="H731" s="9" t="s">
        <v>36</v>
      </c>
      <c r="I7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31" s="36"/>
      <c r="N731" s="40"/>
      <c r="O731" s="37"/>
    </row>
    <row r="732" spans="1:15" x14ac:dyDescent="0.25">
      <c r="A732" s="35">
        <f t="shared" si="24"/>
        <v>62</v>
      </c>
      <c r="B732" s="5">
        <v>43529</v>
      </c>
      <c r="C732" s="5" t="s">
        <v>134</v>
      </c>
      <c r="D732" s="57" t="s">
        <v>1007</v>
      </c>
      <c r="E732" s="7" t="s">
        <v>1008</v>
      </c>
      <c r="F732" s="33">
        <v>5</v>
      </c>
      <c r="G732" s="63">
        <v>-105</v>
      </c>
      <c r="H732" s="9" t="s">
        <v>6</v>
      </c>
      <c r="I7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32" s="36"/>
      <c r="N732" s="40"/>
      <c r="O732" s="37"/>
    </row>
    <row r="733" spans="1:15" x14ac:dyDescent="0.25">
      <c r="A733" s="35">
        <f t="shared" si="24"/>
        <v>62</v>
      </c>
      <c r="B733" s="5">
        <v>43529</v>
      </c>
      <c r="C733" s="5" t="s">
        <v>134</v>
      </c>
      <c r="D733" s="57" t="s">
        <v>1009</v>
      </c>
      <c r="E733" s="7" t="s">
        <v>961</v>
      </c>
      <c r="F733" s="33">
        <v>5</v>
      </c>
      <c r="G733" s="63">
        <v>-105</v>
      </c>
      <c r="H733" s="9" t="s">
        <v>6</v>
      </c>
      <c r="I7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33" s="36"/>
      <c r="N733" s="40"/>
      <c r="O733" s="37"/>
    </row>
    <row r="734" spans="1:15" x14ac:dyDescent="0.25">
      <c r="A734" s="35">
        <f t="shared" si="24"/>
        <v>62</v>
      </c>
      <c r="B734" s="5">
        <v>43529</v>
      </c>
      <c r="C734" s="5" t="s">
        <v>134</v>
      </c>
      <c r="D734" s="57" t="s">
        <v>1009</v>
      </c>
      <c r="E734" s="7" t="s">
        <v>1010</v>
      </c>
      <c r="F734" s="33">
        <v>5</v>
      </c>
      <c r="G734" s="63">
        <v>-110</v>
      </c>
      <c r="H734" s="9" t="s">
        <v>6</v>
      </c>
      <c r="I7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34" s="36"/>
      <c r="N734" s="40"/>
      <c r="O734" s="37"/>
    </row>
    <row r="735" spans="1:15" x14ac:dyDescent="0.25">
      <c r="A735" s="35">
        <f t="shared" si="24"/>
        <v>62</v>
      </c>
      <c r="B735" s="5">
        <v>43529</v>
      </c>
      <c r="C735" s="5" t="s">
        <v>134</v>
      </c>
      <c r="D735" s="57" t="s">
        <v>1011</v>
      </c>
      <c r="E735" s="7" t="s">
        <v>728</v>
      </c>
      <c r="F735" s="33">
        <v>5</v>
      </c>
      <c r="G735" s="63">
        <v>-110</v>
      </c>
      <c r="H735" s="9" t="s">
        <v>6</v>
      </c>
      <c r="I7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35" s="36"/>
      <c r="N735" s="40"/>
      <c r="O735" s="37"/>
    </row>
    <row r="736" spans="1:15" x14ac:dyDescent="0.25">
      <c r="A736" s="35">
        <f t="shared" si="24"/>
        <v>62</v>
      </c>
      <c r="B736" s="5">
        <v>43529</v>
      </c>
      <c r="C736" s="5" t="s">
        <v>134</v>
      </c>
      <c r="D736" s="57" t="s">
        <v>1011</v>
      </c>
      <c r="E736" s="7" t="s">
        <v>1012</v>
      </c>
      <c r="F736" s="33">
        <v>5</v>
      </c>
      <c r="G736" s="63">
        <v>-115</v>
      </c>
      <c r="H736" s="9" t="s">
        <v>36</v>
      </c>
      <c r="I7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36" s="36"/>
      <c r="N736" s="40"/>
      <c r="O736" s="37"/>
    </row>
    <row r="737" spans="1:15" x14ac:dyDescent="0.25">
      <c r="A737" s="35">
        <f t="shared" si="24"/>
        <v>62</v>
      </c>
      <c r="B737" s="5">
        <v>43529</v>
      </c>
      <c r="C737" s="5" t="s">
        <v>134</v>
      </c>
      <c r="D737" s="57" t="s">
        <v>1013</v>
      </c>
      <c r="E737" s="7" t="s">
        <v>166</v>
      </c>
      <c r="F737" s="33">
        <v>5</v>
      </c>
      <c r="G737" s="63">
        <v>-115</v>
      </c>
      <c r="H737" s="9" t="s">
        <v>36</v>
      </c>
      <c r="I7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37" s="36"/>
      <c r="N737" s="40"/>
      <c r="O737" s="37"/>
    </row>
    <row r="738" spans="1:15" x14ac:dyDescent="0.25">
      <c r="A738" s="35">
        <f t="shared" si="24"/>
        <v>62</v>
      </c>
      <c r="B738" s="5">
        <v>43529</v>
      </c>
      <c r="C738" s="5" t="s">
        <v>134</v>
      </c>
      <c r="D738" s="57" t="s">
        <v>1013</v>
      </c>
      <c r="E738" s="7" t="s">
        <v>1014</v>
      </c>
      <c r="F738" s="33">
        <v>5</v>
      </c>
      <c r="G738" s="63">
        <v>-115</v>
      </c>
      <c r="H738" s="9" t="s">
        <v>36</v>
      </c>
      <c r="I7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38" s="36"/>
      <c r="N738" s="40"/>
      <c r="O738" s="37"/>
    </row>
    <row r="739" spans="1:15" x14ac:dyDescent="0.25">
      <c r="A739" s="35">
        <f t="shared" si="24"/>
        <v>62</v>
      </c>
      <c r="B739" s="5">
        <v>43529</v>
      </c>
      <c r="C739" s="5" t="s">
        <v>419</v>
      </c>
      <c r="D739" s="57" t="s">
        <v>1015</v>
      </c>
      <c r="E739" s="7" t="s">
        <v>1016</v>
      </c>
      <c r="F739" s="33">
        <v>1</v>
      </c>
      <c r="G739" s="67">
        <v>-110</v>
      </c>
      <c r="H739" s="9" t="s">
        <v>6</v>
      </c>
      <c r="I7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39" s="36"/>
      <c r="N739" s="40"/>
      <c r="O739" s="37"/>
    </row>
    <row r="740" spans="1:15" x14ac:dyDescent="0.25">
      <c r="A740" s="35">
        <f t="shared" si="24"/>
        <v>62</v>
      </c>
      <c r="B740" s="5">
        <v>43529</v>
      </c>
      <c r="C740" s="5" t="s">
        <v>419</v>
      </c>
      <c r="D740" s="57" t="s">
        <v>1017</v>
      </c>
      <c r="E740" s="7" t="s">
        <v>772</v>
      </c>
      <c r="F740" s="33">
        <v>1</v>
      </c>
      <c r="G740" s="67">
        <v>-115</v>
      </c>
      <c r="H740" s="9" t="s">
        <v>36</v>
      </c>
      <c r="I7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7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40" s="36"/>
      <c r="N740" s="40"/>
      <c r="O740" s="37"/>
    </row>
    <row r="741" spans="1:15" x14ac:dyDescent="0.25">
      <c r="A741" s="35">
        <f t="shared" si="24"/>
        <v>62</v>
      </c>
      <c r="B741" s="5">
        <v>43529</v>
      </c>
      <c r="C741" s="5" t="s">
        <v>419</v>
      </c>
      <c r="D741" s="57" t="s">
        <v>1018</v>
      </c>
      <c r="E741" s="7" t="s">
        <v>441</v>
      </c>
      <c r="F741" s="33">
        <v>1</v>
      </c>
      <c r="G741" s="67">
        <v>-110</v>
      </c>
      <c r="H741" s="9" t="s">
        <v>6</v>
      </c>
      <c r="I7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41" s="36"/>
      <c r="N741" s="40"/>
      <c r="O741" s="37"/>
    </row>
    <row r="742" spans="1:15" x14ac:dyDescent="0.25">
      <c r="A742" s="35">
        <f t="shared" si="24"/>
        <v>62</v>
      </c>
      <c r="B742" s="5">
        <v>43529</v>
      </c>
      <c r="C742" s="5" t="s">
        <v>419</v>
      </c>
      <c r="D742" s="57" t="s">
        <v>1019</v>
      </c>
      <c r="E742" s="7" t="s">
        <v>1020</v>
      </c>
      <c r="F742" s="33">
        <v>1</v>
      </c>
      <c r="G742" s="67">
        <v>-110</v>
      </c>
      <c r="H742" s="9" t="s">
        <v>6</v>
      </c>
      <c r="I7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42" s="36"/>
      <c r="N742" s="40"/>
      <c r="O742" s="37"/>
    </row>
    <row r="743" spans="1:15" x14ac:dyDescent="0.25">
      <c r="A743" s="35">
        <f t="shared" si="24"/>
        <v>62</v>
      </c>
      <c r="B743" s="5">
        <v>43529</v>
      </c>
      <c r="C743" s="5" t="s">
        <v>419</v>
      </c>
      <c r="D743" s="57" t="s">
        <v>1021</v>
      </c>
      <c r="E743" s="7" t="s">
        <v>1022</v>
      </c>
      <c r="F743" s="33">
        <v>1</v>
      </c>
      <c r="G743" s="67">
        <v>-110</v>
      </c>
      <c r="H743" s="9" t="s">
        <v>36</v>
      </c>
      <c r="I7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7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43" s="36"/>
      <c r="N743" s="40"/>
      <c r="O743" s="37"/>
    </row>
    <row r="744" spans="1:15" x14ac:dyDescent="0.25">
      <c r="A744" s="35">
        <f t="shared" si="24"/>
        <v>62</v>
      </c>
      <c r="B744" s="5">
        <v>43529</v>
      </c>
      <c r="C744" s="5" t="s">
        <v>419</v>
      </c>
      <c r="D744" s="57" t="s">
        <v>1021</v>
      </c>
      <c r="E744" s="7" t="s">
        <v>470</v>
      </c>
      <c r="F744" s="33">
        <v>1</v>
      </c>
      <c r="G744" s="67">
        <v>-105</v>
      </c>
      <c r="H744" s="9" t="s">
        <v>36</v>
      </c>
      <c r="I7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7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44" s="36"/>
      <c r="N744" s="40"/>
      <c r="O744" s="37"/>
    </row>
    <row r="745" spans="1:15" x14ac:dyDescent="0.25">
      <c r="A745" s="35">
        <f t="shared" si="24"/>
        <v>62</v>
      </c>
      <c r="B745" s="5">
        <v>43529</v>
      </c>
      <c r="C745" s="5" t="s">
        <v>419</v>
      </c>
      <c r="D745" s="57" t="s">
        <v>1023</v>
      </c>
      <c r="E745" s="7" t="s">
        <v>1024</v>
      </c>
      <c r="F745" s="33">
        <v>1</v>
      </c>
      <c r="G745" s="67">
        <v>-115</v>
      </c>
      <c r="H745" s="9" t="s">
        <v>6</v>
      </c>
      <c r="I7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45" s="36"/>
      <c r="N745" s="40"/>
      <c r="O745" s="37"/>
    </row>
    <row r="746" spans="1:15" x14ac:dyDescent="0.25">
      <c r="A746" s="35">
        <f t="shared" si="24"/>
        <v>62</v>
      </c>
      <c r="B746" s="5">
        <v>43529</v>
      </c>
      <c r="C746" s="5" t="s">
        <v>419</v>
      </c>
      <c r="D746" s="57" t="s">
        <v>1025</v>
      </c>
      <c r="E746" s="7" t="s">
        <v>1026</v>
      </c>
      <c r="F746" s="33">
        <v>1</v>
      </c>
      <c r="G746" s="67">
        <v>-110</v>
      </c>
      <c r="H746" s="9" t="s">
        <v>6</v>
      </c>
      <c r="I7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46" s="36"/>
      <c r="N746" s="40"/>
      <c r="O746" s="37"/>
    </row>
    <row r="747" spans="1:15" x14ac:dyDescent="0.25">
      <c r="A747" s="35">
        <f t="shared" si="24"/>
        <v>63</v>
      </c>
      <c r="B747" s="5">
        <v>43530</v>
      </c>
      <c r="C747" s="5" t="s">
        <v>134</v>
      </c>
      <c r="D747" s="57" t="s">
        <v>1027</v>
      </c>
      <c r="E747" s="7" t="s">
        <v>506</v>
      </c>
      <c r="F747" s="33">
        <v>5</v>
      </c>
      <c r="G747" s="63">
        <v>-110</v>
      </c>
      <c r="H747" s="9" t="s">
        <v>6</v>
      </c>
      <c r="I7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47" s="36"/>
      <c r="N747" s="40"/>
      <c r="O747" s="37"/>
    </row>
    <row r="748" spans="1:15" x14ac:dyDescent="0.25">
      <c r="A748" s="35">
        <f t="shared" si="24"/>
        <v>63</v>
      </c>
      <c r="B748" s="5">
        <v>43530</v>
      </c>
      <c r="C748" s="5" t="s">
        <v>134</v>
      </c>
      <c r="D748" s="57" t="s">
        <v>1027</v>
      </c>
      <c r="E748" s="7" t="s">
        <v>1028</v>
      </c>
      <c r="F748" s="33">
        <v>5</v>
      </c>
      <c r="G748" s="63">
        <v>-110</v>
      </c>
      <c r="H748" s="9" t="s">
        <v>6</v>
      </c>
      <c r="I7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48" s="36"/>
      <c r="N748" s="40"/>
      <c r="O748" s="37"/>
    </row>
    <row r="749" spans="1:15" x14ac:dyDescent="0.25">
      <c r="A749" s="35">
        <f t="shared" si="24"/>
        <v>63</v>
      </c>
      <c r="B749" s="5">
        <v>43530</v>
      </c>
      <c r="C749" s="5" t="s">
        <v>134</v>
      </c>
      <c r="D749" s="57" t="s">
        <v>1029</v>
      </c>
      <c r="E749" s="7" t="s">
        <v>1030</v>
      </c>
      <c r="F749" s="33">
        <v>5</v>
      </c>
      <c r="G749" s="63">
        <v>-110</v>
      </c>
      <c r="H749" s="9" t="s">
        <v>36</v>
      </c>
      <c r="I7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49" s="36"/>
      <c r="N749" s="40"/>
      <c r="O749" s="37"/>
    </row>
    <row r="750" spans="1:15" x14ac:dyDescent="0.25">
      <c r="A750" s="35">
        <f t="shared" si="24"/>
        <v>63</v>
      </c>
      <c r="B750" s="5">
        <v>43530</v>
      </c>
      <c r="C750" s="5" t="s">
        <v>134</v>
      </c>
      <c r="D750" s="57" t="s">
        <v>1031</v>
      </c>
      <c r="E750" s="7" t="s">
        <v>264</v>
      </c>
      <c r="F750" s="33">
        <v>5</v>
      </c>
      <c r="G750" s="63">
        <v>-115</v>
      </c>
      <c r="H750" s="9" t="s">
        <v>6</v>
      </c>
      <c r="I7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0" s="36"/>
      <c r="N750" s="40"/>
      <c r="O750" s="37"/>
    </row>
    <row r="751" spans="1:15" x14ac:dyDescent="0.25">
      <c r="A751" s="35">
        <f t="shared" si="24"/>
        <v>63</v>
      </c>
      <c r="B751" s="5">
        <v>43530</v>
      </c>
      <c r="C751" s="5" t="s">
        <v>134</v>
      </c>
      <c r="D751" s="57" t="s">
        <v>1031</v>
      </c>
      <c r="E751" s="7" t="s">
        <v>1032</v>
      </c>
      <c r="F751" s="33">
        <v>5</v>
      </c>
      <c r="G751" s="63">
        <v>-110</v>
      </c>
      <c r="H751" s="9" t="s">
        <v>36</v>
      </c>
      <c r="I7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51" s="36"/>
      <c r="N751" s="40"/>
      <c r="O751" s="37"/>
    </row>
    <row r="752" spans="1:15" x14ac:dyDescent="0.25">
      <c r="A752" s="35">
        <f t="shared" si="24"/>
        <v>63</v>
      </c>
      <c r="B752" s="5">
        <v>43530</v>
      </c>
      <c r="C752" s="5" t="s">
        <v>134</v>
      </c>
      <c r="D752" s="57" t="s">
        <v>1033</v>
      </c>
      <c r="E752" s="7" t="s">
        <v>216</v>
      </c>
      <c r="F752" s="33">
        <v>5</v>
      </c>
      <c r="G752" s="63">
        <v>-105</v>
      </c>
      <c r="H752" s="9" t="s">
        <v>36</v>
      </c>
      <c r="I7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2" s="36"/>
      <c r="N752" s="40"/>
      <c r="O752" s="37"/>
    </row>
    <row r="753" spans="1:15" x14ac:dyDescent="0.25">
      <c r="A753" s="35">
        <f t="shared" si="24"/>
        <v>63</v>
      </c>
      <c r="B753" s="5">
        <v>43530</v>
      </c>
      <c r="C753" s="5" t="s">
        <v>134</v>
      </c>
      <c r="D753" s="57" t="s">
        <v>1034</v>
      </c>
      <c r="E753" s="7" t="s">
        <v>166</v>
      </c>
      <c r="F753" s="33">
        <v>5</v>
      </c>
      <c r="G753" s="63">
        <v>-105</v>
      </c>
      <c r="H753" s="9" t="s">
        <v>36</v>
      </c>
      <c r="I7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3" s="36"/>
      <c r="N753" s="40"/>
      <c r="O753" s="37"/>
    </row>
    <row r="754" spans="1:15" x14ac:dyDescent="0.25">
      <c r="A754" s="35">
        <f t="shared" si="24"/>
        <v>63</v>
      </c>
      <c r="B754" s="5">
        <v>43530</v>
      </c>
      <c r="C754" s="5" t="s">
        <v>134</v>
      </c>
      <c r="D754" s="57" t="s">
        <v>1035</v>
      </c>
      <c r="E754" s="7" t="s">
        <v>109</v>
      </c>
      <c r="F754" s="33">
        <v>5</v>
      </c>
      <c r="G754" s="63">
        <v>-115</v>
      </c>
      <c r="H754" s="9" t="s">
        <v>36</v>
      </c>
      <c r="I7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4" s="36"/>
      <c r="N754" s="40"/>
      <c r="O754" s="37"/>
    </row>
    <row r="755" spans="1:15" x14ac:dyDescent="0.25">
      <c r="A755" s="35">
        <f t="shared" si="24"/>
        <v>63</v>
      </c>
      <c r="B755" s="5">
        <v>43530</v>
      </c>
      <c r="C755" s="5" t="s">
        <v>134</v>
      </c>
      <c r="D755" s="57" t="s">
        <v>1035</v>
      </c>
      <c r="E755" s="7" t="s">
        <v>1036</v>
      </c>
      <c r="F755" s="33">
        <v>5</v>
      </c>
      <c r="G755" s="63">
        <v>-105</v>
      </c>
      <c r="H755" s="9" t="s">
        <v>6</v>
      </c>
      <c r="I7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55" s="36"/>
      <c r="N755" s="40"/>
      <c r="O755" s="37"/>
    </row>
    <row r="756" spans="1:15" x14ac:dyDescent="0.25">
      <c r="A756" s="35">
        <f t="shared" si="24"/>
        <v>63</v>
      </c>
      <c r="B756" s="5">
        <v>43530</v>
      </c>
      <c r="C756" s="5" t="s">
        <v>134</v>
      </c>
      <c r="D756" s="57" t="s">
        <v>1037</v>
      </c>
      <c r="E756" s="7" t="s">
        <v>216</v>
      </c>
      <c r="F756" s="33">
        <v>5</v>
      </c>
      <c r="G756" s="63">
        <v>-105</v>
      </c>
      <c r="H756" s="9" t="s">
        <v>36</v>
      </c>
      <c r="I7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6" s="36"/>
      <c r="N756" s="40"/>
      <c r="O756" s="37"/>
    </row>
    <row r="757" spans="1:15" x14ac:dyDescent="0.25">
      <c r="A757" s="35">
        <f t="shared" si="24"/>
        <v>63</v>
      </c>
      <c r="B757" s="5">
        <v>43530</v>
      </c>
      <c r="C757" s="5" t="s">
        <v>134</v>
      </c>
      <c r="D757" s="57" t="s">
        <v>1037</v>
      </c>
      <c r="E757" s="7" t="s">
        <v>1038</v>
      </c>
      <c r="F757" s="33">
        <v>5</v>
      </c>
      <c r="G757" s="63">
        <v>-110</v>
      </c>
      <c r="H757" s="9" t="s">
        <v>65</v>
      </c>
      <c r="I7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7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57" s="36"/>
      <c r="N757" s="40"/>
      <c r="O757" s="37"/>
    </row>
    <row r="758" spans="1:15" x14ac:dyDescent="0.25">
      <c r="A758" s="35">
        <f t="shared" si="24"/>
        <v>63</v>
      </c>
      <c r="B758" s="5">
        <v>43530</v>
      </c>
      <c r="C758" s="5" t="s">
        <v>134</v>
      </c>
      <c r="D758" s="57" t="s">
        <v>1039</v>
      </c>
      <c r="E758" s="7" t="s">
        <v>219</v>
      </c>
      <c r="F758" s="33">
        <v>5</v>
      </c>
      <c r="G758" s="63">
        <v>-105</v>
      </c>
      <c r="H758" s="9" t="s">
        <v>36</v>
      </c>
      <c r="I7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58" s="36"/>
      <c r="N758" s="40"/>
      <c r="O758" s="37"/>
    </row>
    <row r="759" spans="1:15" x14ac:dyDescent="0.25">
      <c r="A759" s="35">
        <f t="shared" si="24"/>
        <v>63</v>
      </c>
      <c r="B759" s="5">
        <v>43530</v>
      </c>
      <c r="C759" s="5" t="s">
        <v>134</v>
      </c>
      <c r="D759" s="57" t="s">
        <v>1039</v>
      </c>
      <c r="E759" s="7" t="s">
        <v>220</v>
      </c>
      <c r="F759" s="33">
        <v>5</v>
      </c>
      <c r="G759" s="63">
        <v>-110</v>
      </c>
      <c r="H759" s="9" t="s">
        <v>6</v>
      </c>
      <c r="I7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59" s="36"/>
      <c r="N759" s="40"/>
      <c r="O759" s="37"/>
    </row>
    <row r="760" spans="1:15" ht="60" x14ac:dyDescent="0.25">
      <c r="A760" s="35">
        <f t="shared" si="24"/>
        <v>63</v>
      </c>
      <c r="B760" s="5">
        <v>43530</v>
      </c>
      <c r="C760" s="5" t="s">
        <v>134</v>
      </c>
      <c r="D760" s="58" t="s">
        <v>1040</v>
      </c>
      <c r="E760" s="46" t="s">
        <v>1041</v>
      </c>
      <c r="F760" s="33">
        <v>2</v>
      </c>
      <c r="G760" s="63">
        <v>1321</v>
      </c>
      <c r="H760" s="9" t="s">
        <v>6</v>
      </c>
      <c r="I7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760" s="36"/>
      <c r="N760" s="40"/>
      <c r="O760" s="37"/>
    </row>
    <row r="761" spans="1:15" x14ac:dyDescent="0.25">
      <c r="A761" s="35">
        <f t="shared" si="24"/>
        <v>63</v>
      </c>
      <c r="B761" s="5">
        <v>43530</v>
      </c>
      <c r="C761" s="5" t="s">
        <v>419</v>
      </c>
      <c r="D761" s="57" t="s">
        <v>1042</v>
      </c>
      <c r="E761" s="7" t="s">
        <v>1043</v>
      </c>
      <c r="F761" s="33">
        <v>1</v>
      </c>
      <c r="G761" s="67">
        <v>-110</v>
      </c>
      <c r="H761" s="9" t="s">
        <v>36</v>
      </c>
      <c r="I7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7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61" s="36"/>
      <c r="N761" s="40"/>
      <c r="O761" s="37"/>
    </row>
    <row r="762" spans="1:15" x14ac:dyDescent="0.25">
      <c r="A762" s="35">
        <f t="shared" si="24"/>
        <v>63</v>
      </c>
      <c r="B762" s="5">
        <v>43530</v>
      </c>
      <c r="C762" s="5" t="s">
        <v>419</v>
      </c>
      <c r="D762" s="57" t="s">
        <v>1044</v>
      </c>
      <c r="E762" s="7" t="s">
        <v>1045</v>
      </c>
      <c r="F762" s="33">
        <v>1</v>
      </c>
      <c r="G762" s="67">
        <v>-105</v>
      </c>
      <c r="H762" s="9" t="s">
        <v>6</v>
      </c>
      <c r="I7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62" s="36"/>
      <c r="N762" s="40"/>
      <c r="O762" s="37"/>
    </row>
    <row r="763" spans="1:15" x14ac:dyDescent="0.25">
      <c r="A763" s="35">
        <f t="shared" si="24"/>
        <v>63</v>
      </c>
      <c r="B763" s="5">
        <v>43530</v>
      </c>
      <c r="C763" s="5" t="s">
        <v>419</v>
      </c>
      <c r="D763" s="57" t="s">
        <v>1044</v>
      </c>
      <c r="E763" s="7" t="s">
        <v>470</v>
      </c>
      <c r="F763" s="33">
        <v>1</v>
      </c>
      <c r="G763" s="67">
        <v>-105</v>
      </c>
      <c r="H763" s="9" t="s">
        <v>36</v>
      </c>
      <c r="I7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7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63" s="36"/>
      <c r="N763" s="40"/>
      <c r="O763" s="37"/>
    </row>
    <row r="764" spans="1:15" x14ac:dyDescent="0.25">
      <c r="A764" s="35">
        <f t="shared" si="24"/>
        <v>63</v>
      </c>
      <c r="B764" s="5">
        <v>43530</v>
      </c>
      <c r="C764" s="5" t="s">
        <v>419</v>
      </c>
      <c r="D764" s="57" t="s">
        <v>1046</v>
      </c>
      <c r="E764" s="7" t="s">
        <v>1047</v>
      </c>
      <c r="F764" s="33">
        <v>1</v>
      </c>
      <c r="G764" s="67">
        <v>-105</v>
      </c>
      <c r="H764" s="9" t="s">
        <v>36</v>
      </c>
      <c r="I7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7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64" s="36"/>
      <c r="N764" s="40"/>
      <c r="O764" s="37"/>
    </row>
    <row r="765" spans="1:15" x14ac:dyDescent="0.25">
      <c r="A765" s="35">
        <f t="shared" si="24"/>
        <v>63</v>
      </c>
      <c r="B765" s="5">
        <v>43530</v>
      </c>
      <c r="C765" s="5" t="s">
        <v>419</v>
      </c>
      <c r="D765" s="57" t="s">
        <v>1046</v>
      </c>
      <c r="E765" s="7" t="s">
        <v>772</v>
      </c>
      <c r="F765" s="33">
        <v>1</v>
      </c>
      <c r="G765" s="67">
        <v>-115</v>
      </c>
      <c r="H765" s="9" t="s">
        <v>6</v>
      </c>
      <c r="I7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65" s="36"/>
      <c r="N765" s="40"/>
      <c r="O765" s="37"/>
    </row>
    <row r="766" spans="1:15" x14ac:dyDescent="0.25">
      <c r="A766" s="35">
        <f t="shared" si="24"/>
        <v>63</v>
      </c>
      <c r="B766" s="5">
        <v>43530</v>
      </c>
      <c r="C766" s="5" t="s">
        <v>419</v>
      </c>
      <c r="D766" s="57" t="s">
        <v>1048</v>
      </c>
      <c r="E766" s="7" t="s">
        <v>1049</v>
      </c>
      <c r="F766" s="33">
        <v>1</v>
      </c>
      <c r="G766" s="67">
        <v>-115</v>
      </c>
      <c r="H766" s="9" t="s">
        <v>36</v>
      </c>
      <c r="I7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7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66" s="36"/>
      <c r="N766" s="40"/>
      <c r="O766" s="37"/>
    </row>
    <row r="767" spans="1:15" x14ac:dyDescent="0.25">
      <c r="A767" s="35">
        <f t="shared" si="24"/>
        <v>63</v>
      </c>
      <c r="B767" s="5">
        <v>43530</v>
      </c>
      <c r="C767" s="5" t="s">
        <v>419</v>
      </c>
      <c r="D767" s="57" t="s">
        <v>1048</v>
      </c>
      <c r="E767" s="7" t="s">
        <v>1050</v>
      </c>
      <c r="F767" s="33">
        <v>1</v>
      </c>
      <c r="G767" s="67">
        <v>-110</v>
      </c>
      <c r="H767" s="9" t="s">
        <v>6</v>
      </c>
      <c r="I7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67" s="36"/>
      <c r="N767" s="40"/>
      <c r="O767" s="37"/>
    </row>
    <row r="768" spans="1:15" x14ac:dyDescent="0.25">
      <c r="A768" s="35">
        <f t="shared" si="24"/>
        <v>63</v>
      </c>
      <c r="B768" s="5">
        <v>43530</v>
      </c>
      <c r="C768" s="5" t="s">
        <v>419</v>
      </c>
      <c r="D768" s="57" t="s">
        <v>1051</v>
      </c>
      <c r="E768" s="7" t="s">
        <v>1052</v>
      </c>
      <c r="F768" s="33">
        <v>1</v>
      </c>
      <c r="G768" s="67">
        <v>-110</v>
      </c>
      <c r="H768" s="9" t="s">
        <v>6</v>
      </c>
      <c r="I7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68" s="36"/>
      <c r="N768" s="40"/>
      <c r="O768" s="37"/>
    </row>
    <row r="769" spans="1:15" x14ac:dyDescent="0.25">
      <c r="A769" s="35">
        <f t="shared" si="24"/>
        <v>63</v>
      </c>
      <c r="B769" s="5">
        <v>43530</v>
      </c>
      <c r="C769" s="5" t="s">
        <v>419</v>
      </c>
      <c r="D769" s="57" t="s">
        <v>1051</v>
      </c>
      <c r="E769" s="7" t="s">
        <v>493</v>
      </c>
      <c r="F769" s="33">
        <v>1</v>
      </c>
      <c r="G769" s="67">
        <v>-110</v>
      </c>
      <c r="H769" s="9" t="s">
        <v>6</v>
      </c>
      <c r="I7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69" s="36"/>
      <c r="N769" s="40"/>
      <c r="O769" s="37"/>
    </row>
    <row r="770" spans="1:15" x14ac:dyDescent="0.25">
      <c r="A770" s="35">
        <f t="shared" si="24"/>
        <v>63</v>
      </c>
      <c r="B770" s="5">
        <v>43530</v>
      </c>
      <c r="C770" s="5" t="s">
        <v>419</v>
      </c>
      <c r="D770" s="57" t="s">
        <v>1053</v>
      </c>
      <c r="E770" s="7" t="s">
        <v>1054</v>
      </c>
      <c r="F770" s="33">
        <v>1</v>
      </c>
      <c r="G770" s="67">
        <v>-110</v>
      </c>
      <c r="H770" s="9" t="s">
        <v>6</v>
      </c>
      <c r="I7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70" s="36"/>
      <c r="N770" s="40"/>
      <c r="O770" s="37"/>
    </row>
    <row r="771" spans="1:15" x14ac:dyDescent="0.25">
      <c r="A771" s="35">
        <f t="shared" si="24"/>
        <v>63</v>
      </c>
      <c r="B771" s="5">
        <v>43530</v>
      </c>
      <c r="C771" s="5" t="s">
        <v>419</v>
      </c>
      <c r="D771" s="57" t="s">
        <v>1053</v>
      </c>
      <c r="E771" s="7" t="s">
        <v>682</v>
      </c>
      <c r="F771" s="33">
        <v>1</v>
      </c>
      <c r="G771" s="67">
        <v>-250</v>
      </c>
      <c r="H771" s="9" t="s">
        <v>6</v>
      </c>
      <c r="I7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771" s="36"/>
      <c r="N771" s="40"/>
      <c r="O771" s="37"/>
    </row>
    <row r="772" spans="1:15" x14ac:dyDescent="0.25">
      <c r="A772" s="35">
        <f t="shared" ref="A772:A835" si="25">IF(B772=B771,A771,A771+1)</f>
        <v>63</v>
      </c>
      <c r="B772" s="5">
        <v>43530</v>
      </c>
      <c r="C772" s="5" t="s">
        <v>419</v>
      </c>
      <c r="D772" s="57" t="s">
        <v>1053</v>
      </c>
      <c r="E772" s="7" t="s">
        <v>1055</v>
      </c>
      <c r="F772" s="33">
        <v>1</v>
      </c>
      <c r="G772" s="67">
        <v>-110</v>
      </c>
      <c r="H772" s="9" t="s">
        <v>6</v>
      </c>
      <c r="I7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72" s="36"/>
      <c r="N772" s="40"/>
      <c r="O772" s="37"/>
    </row>
    <row r="773" spans="1:15" x14ac:dyDescent="0.25">
      <c r="A773" s="35">
        <f t="shared" si="25"/>
        <v>63</v>
      </c>
      <c r="B773" s="5">
        <v>43530</v>
      </c>
      <c r="C773" s="5" t="s">
        <v>419</v>
      </c>
      <c r="D773" s="57" t="s">
        <v>1056</v>
      </c>
      <c r="E773" s="7" t="s">
        <v>1057</v>
      </c>
      <c r="F773" s="33">
        <v>1</v>
      </c>
      <c r="G773" s="67">
        <v>-115</v>
      </c>
      <c r="H773" s="9" t="s">
        <v>36</v>
      </c>
      <c r="I7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7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73" s="36"/>
      <c r="N773" s="40"/>
      <c r="O773" s="37"/>
    </row>
    <row r="774" spans="1:15" x14ac:dyDescent="0.25">
      <c r="A774" s="35">
        <f t="shared" si="25"/>
        <v>63</v>
      </c>
      <c r="B774" s="5">
        <v>43530</v>
      </c>
      <c r="C774" s="5" t="s">
        <v>419</v>
      </c>
      <c r="D774" s="57" t="s">
        <v>1056</v>
      </c>
      <c r="E774" s="7" t="s">
        <v>698</v>
      </c>
      <c r="F774" s="33">
        <v>1</v>
      </c>
      <c r="G774" s="67">
        <v>-110</v>
      </c>
      <c r="H774" s="9" t="s">
        <v>6</v>
      </c>
      <c r="I7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74" s="36"/>
      <c r="N774" s="40"/>
      <c r="O774" s="37"/>
    </row>
    <row r="775" spans="1:15" x14ac:dyDescent="0.25">
      <c r="A775" s="35">
        <f t="shared" si="25"/>
        <v>63</v>
      </c>
      <c r="B775" s="5">
        <v>43530</v>
      </c>
      <c r="C775" s="5" t="s">
        <v>419</v>
      </c>
      <c r="D775" s="57" t="s">
        <v>1058</v>
      </c>
      <c r="E775" s="7" t="s">
        <v>753</v>
      </c>
      <c r="F775" s="33">
        <v>1</v>
      </c>
      <c r="G775" s="67">
        <v>-115</v>
      </c>
      <c r="H775" s="9" t="s">
        <v>6</v>
      </c>
      <c r="I7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7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75" s="36"/>
      <c r="N775" s="40"/>
      <c r="O775" s="37"/>
    </row>
    <row r="776" spans="1:15" x14ac:dyDescent="0.25">
      <c r="A776" s="35">
        <f t="shared" si="25"/>
        <v>63</v>
      </c>
      <c r="B776" s="5">
        <v>43530</v>
      </c>
      <c r="C776" s="5" t="s">
        <v>419</v>
      </c>
      <c r="D776" s="57" t="s">
        <v>1059</v>
      </c>
      <c r="E776" s="7" t="s">
        <v>1060</v>
      </c>
      <c r="F776" s="33">
        <v>1</v>
      </c>
      <c r="G776" s="67">
        <v>-110</v>
      </c>
      <c r="H776" s="9" t="s">
        <v>36</v>
      </c>
      <c r="I7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0.90909090909090906</v>
      </c>
      <c r="J7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76" s="36"/>
      <c r="N776" s="40"/>
      <c r="O776" s="37"/>
    </row>
    <row r="777" spans="1:15" x14ac:dyDescent="0.25">
      <c r="A777" s="35">
        <f t="shared" si="25"/>
        <v>63</v>
      </c>
      <c r="B777" s="5">
        <v>43530</v>
      </c>
      <c r="C777" s="5" t="s">
        <v>419</v>
      </c>
      <c r="D777" s="57" t="s">
        <v>1059</v>
      </c>
      <c r="E777" s="7" t="s">
        <v>1061</v>
      </c>
      <c r="F777" s="33">
        <v>1</v>
      </c>
      <c r="G777" s="67">
        <v>-300</v>
      </c>
      <c r="H777" s="9" t="s">
        <v>36</v>
      </c>
      <c r="I7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0.33333333333333337</v>
      </c>
      <c r="J7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777" s="36"/>
      <c r="N777" s="40"/>
      <c r="O777" s="37"/>
    </row>
    <row r="778" spans="1:15" ht="90" x14ac:dyDescent="0.25">
      <c r="A778" s="35">
        <f t="shared" si="25"/>
        <v>63</v>
      </c>
      <c r="B778" s="5">
        <v>43530</v>
      </c>
      <c r="C778" s="5" t="s">
        <v>419</v>
      </c>
      <c r="D778" s="58" t="s">
        <v>1063</v>
      </c>
      <c r="E778" s="46" t="s">
        <v>1062</v>
      </c>
      <c r="F778" s="33">
        <v>2</v>
      </c>
      <c r="G778" s="67">
        <v>1804</v>
      </c>
      <c r="H778" s="9" t="s">
        <v>6</v>
      </c>
      <c r="I7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7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778" s="36"/>
      <c r="N778" s="40"/>
      <c r="O778" s="37"/>
    </row>
    <row r="779" spans="1:15" x14ac:dyDescent="0.25">
      <c r="A779" s="35">
        <f t="shared" si="25"/>
        <v>64</v>
      </c>
      <c r="B779" s="5">
        <v>43536</v>
      </c>
      <c r="C779" s="5" t="s">
        <v>134</v>
      </c>
      <c r="D779" s="57" t="s">
        <v>1064</v>
      </c>
      <c r="E779" s="7" t="s">
        <v>1065</v>
      </c>
      <c r="F779" s="33">
        <v>10</v>
      </c>
      <c r="G779" s="63">
        <v>-110</v>
      </c>
      <c r="H779" s="9" t="s">
        <v>36</v>
      </c>
      <c r="I7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7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79" s="36"/>
      <c r="N779" s="40"/>
      <c r="O779" s="37"/>
    </row>
    <row r="780" spans="1:15" x14ac:dyDescent="0.25">
      <c r="A780" s="35">
        <f t="shared" si="25"/>
        <v>64</v>
      </c>
      <c r="B780" s="5">
        <v>43536</v>
      </c>
      <c r="C780" s="5" t="s">
        <v>134</v>
      </c>
      <c r="D780" s="57" t="s">
        <v>1066</v>
      </c>
      <c r="E780" s="7" t="s">
        <v>130</v>
      </c>
      <c r="F780" s="33">
        <v>10</v>
      </c>
      <c r="G780" s="63">
        <v>-115</v>
      </c>
      <c r="H780" s="9" t="s">
        <v>6</v>
      </c>
      <c r="I7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80" s="36"/>
      <c r="N780" s="40"/>
      <c r="O780" s="37"/>
    </row>
    <row r="781" spans="1:15" x14ac:dyDescent="0.25">
      <c r="A781" s="35">
        <f t="shared" si="25"/>
        <v>64</v>
      </c>
      <c r="B781" s="5">
        <v>43536</v>
      </c>
      <c r="C781" s="5" t="s">
        <v>134</v>
      </c>
      <c r="D781" s="57" t="s">
        <v>1067</v>
      </c>
      <c r="E781" s="7" t="s">
        <v>127</v>
      </c>
      <c r="F781" s="33">
        <v>10</v>
      </c>
      <c r="G781" s="63">
        <v>-110</v>
      </c>
      <c r="H781" s="9" t="s">
        <v>6</v>
      </c>
      <c r="I7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81" s="36"/>
      <c r="N781" s="40"/>
      <c r="O781" s="37"/>
    </row>
    <row r="782" spans="1:15" x14ac:dyDescent="0.25">
      <c r="A782" s="35">
        <f t="shared" si="25"/>
        <v>64</v>
      </c>
      <c r="B782" s="5">
        <v>43536</v>
      </c>
      <c r="C782" s="5" t="s">
        <v>134</v>
      </c>
      <c r="D782" s="57" t="s">
        <v>1067</v>
      </c>
      <c r="E782" s="7" t="s">
        <v>1068</v>
      </c>
      <c r="F782" s="33">
        <v>10</v>
      </c>
      <c r="G782" s="63">
        <v>-115</v>
      </c>
      <c r="H782" s="9" t="s">
        <v>6</v>
      </c>
      <c r="I7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82" s="36"/>
      <c r="N782" s="40"/>
      <c r="O782" s="37"/>
    </row>
    <row r="783" spans="1:15" x14ac:dyDescent="0.25">
      <c r="A783" s="35">
        <f t="shared" si="25"/>
        <v>64</v>
      </c>
      <c r="B783" s="5">
        <v>43536</v>
      </c>
      <c r="C783" s="5" t="s">
        <v>134</v>
      </c>
      <c r="D783" s="57" t="s">
        <v>386</v>
      </c>
      <c r="E783" s="7" t="s">
        <v>1069</v>
      </c>
      <c r="F783" s="33">
        <v>10</v>
      </c>
      <c r="G783" s="63">
        <v>-105</v>
      </c>
      <c r="H783" s="9" t="s">
        <v>6</v>
      </c>
      <c r="I7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83" s="36"/>
      <c r="N783" s="40"/>
      <c r="O783" s="37"/>
    </row>
    <row r="784" spans="1:15" x14ac:dyDescent="0.25">
      <c r="A784" s="35">
        <f t="shared" si="25"/>
        <v>64</v>
      </c>
      <c r="B784" s="5">
        <v>43536</v>
      </c>
      <c r="C784" s="5" t="s">
        <v>134</v>
      </c>
      <c r="D784" s="57" t="s">
        <v>1070</v>
      </c>
      <c r="E784" s="7" t="s">
        <v>219</v>
      </c>
      <c r="F784" s="33">
        <v>10</v>
      </c>
      <c r="G784" s="63">
        <v>-115</v>
      </c>
      <c r="H784" s="9" t="s">
        <v>6</v>
      </c>
      <c r="I7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7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84" s="36"/>
      <c r="N784" s="40"/>
      <c r="O784" s="37"/>
    </row>
    <row r="785" spans="1:15" x14ac:dyDescent="0.25">
      <c r="A785" s="35">
        <f t="shared" si="25"/>
        <v>64</v>
      </c>
      <c r="B785" s="5">
        <v>43536</v>
      </c>
      <c r="C785" s="5" t="s">
        <v>134</v>
      </c>
      <c r="D785" s="57" t="s">
        <v>1070</v>
      </c>
      <c r="E785" s="7" t="s">
        <v>1071</v>
      </c>
      <c r="F785" s="33">
        <v>10</v>
      </c>
      <c r="G785" s="63">
        <v>-110</v>
      </c>
      <c r="H785" s="9" t="s">
        <v>36</v>
      </c>
      <c r="I7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7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85" s="36"/>
      <c r="N785" s="40"/>
      <c r="O785" s="37"/>
    </row>
    <row r="786" spans="1:15" x14ac:dyDescent="0.25">
      <c r="A786" s="35">
        <f t="shared" si="25"/>
        <v>64</v>
      </c>
      <c r="B786" s="5">
        <v>43536</v>
      </c>
      <c r="C786" s="5" t="s">
        <v>134</v>
      </c>
      <c r="D786" s="57" t="s">
        <v>121</v>
      </c>
      <c r="E786" s="7" t="s">
        <v>506</v>
      </c>
      <c r="F786" s="33">
        <v>10</v>
      </c>
      <c r="G786" s="63">
        <v>-115</v>
      </c>
      <c r="H786" s="9" t="s">
        <v>36</v>
      </c>
      <c r="I7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7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86" s="36"/>
      <c r="N786" s="40"/>
      <c r="O786" s="37"/>
    </row>
    <row r="787" spans="1:15" ht="75" x14ac:dyDescent="0.25">
      <c r="A787" s="35">
        <f t="shared" si="25"/>
        <v>64</v>
      </c>
      <c r="B787" s="5">
        <v>43536</v>
      </c>
      <c r="C787" s="5" t="s">
        <v>134</v>
      </c>
      <c r="D787" s="58" t="s">
        <v>1072</v>
      </c>
      <c r="E787" s="46" t="s">
        <v>1073</v>
      </c>
      <c r="F787" s="33">
        <v>2.08</v>
      </c>
      <c r="G787" s="63">
        <v>2387</v>
      </c>
      <c r="H787" s="9" t="s">
        <v>6</v>
      </c>
      <c r="I7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-2.08</v>
      </c>
      <c r="J7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787" s="36"/>
      <c r="N787" s="40"/>
      <c r="O787" s="37"/>
    </row>
    <row r="788" spans="1:15" x14ac:dyDescent="0.25">
      <c r="A788" s="35">
        <f t="shared" si="25"/>
        <v>65</v>
      </c>
      <c r="B788" s="5">
        <v>43537</v>
      </c>
      <c r="C788" s="5" t="s">
        <v>134</v>
      </c>
      <c r="D788" s="57" t="s">
        <v>1074</v>
      </c>
      <c r="E788" s="7" t="s">
        <v>225</v>
      </c>
      <c r="F788" s="33">
        <v>5</v>
      </c>
      <c r="G788" s="63">
        <v>-115</v>
      </c>
      <c r="H788" s="9" t="s">
        <v>36</v>
      </c>
      <c r="I7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7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88" s="36"/>
      <c r="N788" s="40"/>
      <c r="O788" s="37"/>
    </row>
    <row r="789" spans="1:15" x14ac:dyDescent="0.25">
      <c r="A789" s="35">
        <f t="shared" si="25"/>
        <v>65</v>
      </c>
      <c r="B789" s="5">
        <v>43537</v>
      </c>
      <c r="C789" s="5" t="s">
        <v>134</v>
      </c>
      <c r="D789" s="57" t="s">
        <v>1074</v>
      </c>
      <c r="E789" s="7" t="s">
        <v>1075</v>
      </c>
      <c r="F789" s="33">
        <v>5</v>
      </c>
      <c r="G789" s="63">
        <v>-110</v>
      </c>
      <c r="H789" s="9" t="s">
        <v>6</v>
      </c>
      <c r="I7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89" s="36"/>
      <c r="N789" s="40"/>
      <c r="O789" s="37"/>
    </row>
    <row r="790" spans="1:15" x14ac:dyDescent="0.25">
      <c r="A790" s="35">
        <f t="shared" si="25"/>
        <v>65</v>
      </c>
      <c r="B790" s="5">
        <v>43537</v>
      </c>
      <c r="C790" s="5" t="s">
        <v>134</v>
      </c>
      <c r="D790" s="57" t="s">
        <v>1076</v>
      </c>
      <c r="E790" s="7" t="s">
        <v>333</v>
      </c>
      <c r="F790" s="33">
        <v>5</v>
      </c>
      <c r="G790" s="63">
        <v>-105</v>
      </c>
      <c r="H790" s="9" t="s">
        <v>36</v>
      </c>
      <c r="I7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7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90" s="36"/>
      <c r="N790" s="40"/>
      <c r="O790" s="37"/>
    </row>
    <row r="791" spans="1:15" x14ac:dyDescent="0.25">
      <c r="A791" s="35">
        <f t="shared" si="25"/>
        <v>65</v>
      </c>
      <c r="B791" s="5">
        <v>43537</v>
      </c>
      <c r="C791" s="5" t="s">
        <v>134</v>
      </c>
      <c r="D791" s="57" t="s">
        <v>1076</v>
      </c>
      <c r="E791" s="7" t="s">
        <v>1077</v>
      </c>
      <c r="F791" s="33">
        <v>5</v>
      </c>
      <c r="G791" s="63">
        <v>-105</v>
      </c>
      <c r="H791" s="9" t="s">
        <v>6</v>
      </c>
      <c r="I7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91" s="36"/>
      <c r="N791" s="40"/>
      <c r="O791" s="37"/>
    </row>
    <row r="792" spans="1:15" x14ac:dyDescent="0.25">
      <c r="A792" s="35">
        <f t="shared" si="25"/>
        <v>65</v>
      </c>
      <c r="B792" s="5">
        <v>43537</v>
      </c>
      <c r="C792" s="5" t="s">
        <v>134</v>
      </c>
      <c r="D792" s="57" t="s">
        <v>1078</v>
      </c>
      <c r="E792" s="7" t="s">
        <v>130</v>
      </c>
      <c r="F792" s="33">
        <v>5</v>
      </c>
      <c r="G792" s="63">
        <v>-115</v>
      </c>
      <c r="H792" s="9" t="s">
        <v>6</v>
      </c>
      <c r="I7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92" s="36"/>
      <c r="N792" s="40"/>
      <c r="O792" s="37"/>
    </row>
    <row r="793" spans="1:15" x14ac:dyDescent="0.25">
      <c r="A793" s="35">
        <f t="shared" si="25"/>
        <v>65</v>
      </c>
      <c r="B793" s="5">
        <v>43537</v>
      </c>
      <c r="C793" s="5" t="s">
        <v>134</v>
      </c>
      <c r="D793" s="57" t="s">
        <v>1078</v>
      </c>
      <c r="E793" s="7" t="s">
        <v>1079</v>
      </c>
      <c r="F793" s="33">
        <v>5</v>
      </c>
      <c r="G793" s="63">
        <v>-110</v>
      </c>
      <c r="H793" s="9" t="s">
        <v>36</v>
      </c>
      <c r="I7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793" s="36"/>
      <c r="N793" s="40"/>
      <c r="O793" s="37"/>
    </row>
    <row r="794" spans="1:15" x14ac:dyDescent="0.25">
      <c r="A794" s="35">
        <f t="shared" si="25"/>
        <v>65</v>
      </c>
      <c r="B794" s="5">
        <v>43537</v>
      </c>
      <c r="C794" s="5" t="s">
        <v>134</v>
      </c>
      <c r="D794" s="57" t="s">
        <v>1080</v>
      </c>
      <c r="E794" s="7" t="s">
        <v>166</v>
      </c>
      <c r="F794" s="33">
        <v>5</v>
      </c>
      <c r="G794" s="63">
        <v>-110</v>
      </c>
      <c r="H794" s="9" t="s">
        <v>36</v>
      </c>
      <c r="I7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794" s="36"/>
      <c r="N794" s="40"/>
      <c r="O794" s="37"/>
    </row>
    <row r="795" spans="1:15" x14ac:dyDescent="0.25">
      <c r="A795" s="35">
        <f t="shared" si="25"/>
        <v>65</v>
      </c>
      <c r="B795" s="5">
        <v>43537</v>
      </c>
      <c r="C795" s="5" t="s">
        <v>134</v>
      </c>
      <c r="D795" s="57" t="s">
        <v>1080</v>
      </c>
      <c r="E795" s="7" t="s">
        <v>1081</v>
      </c>
      <c r="F795" s="33">
        <v>5</v>
      </c>
      <c r="G795" s="63">
        <v>-110</v>
      </c>
      <c r="H795" s="9" t="s">
        <v>36</v>
      </c>
      <c r="I7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7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95" s="36"/>
      <c r="N795" s="40"/>
      <c r="O795" s="37"/>
    </row>
    <row r="796" spans="1:15" x14ac:dyDescent="0.25">
      <c r="A796" s="35">
        <f t="shared" si="25"/>
        <v>65</v>
      </c>
      <c r="B796" s="5">
        <v>43537</v>
      </c>
      <c r="C796" s="5" t="s">
        <v>134</v>
      </c>
      <c r="D796" s="57" t="s">
        <v>1082</v>
      </c>
      <c r="E796" s="7" t="s">
        <v>1083</v>
      </c>
      <c r="F796" s="33">
        <v>5</v>
      </c>
      <c r="G796" s="63">
        <v>-110</v>
      </c>
      <c r="H796" s="9" t="s">
        <v>6</v>
      </c>
      <c r="I7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7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796" s="36"/>
      <c r="N796" s="40"/>
      <c r="O796" s="37"/>
    </row>
    <row r="797" spans="1:15" ht="75" x14ac:dyDescent="0.25">
      <c r="A797" s="35">
        <f t="shared" si="25"/>
        <v>65</v>
      </c>
      <c r="B797" s="5">
        <v>43537</v>
      </c>
      <c r="C797" s="5" t="s">
        <v>134</v>
      </c>
      <c r="D797" s="58" t="s">
        <v>1084</v>
      </c>
      <c r="E797" s="46" t="s">
        <v>1085</v>
      </c>
      <c r="F797" s="33">
        <v>1.88</v>
      </c>
      <c r="G797" s="63">
        <v>1601</v>
      </c>
      <c r="H797" s="9" t="s">
        <v>6</v>
      </c>
      <c r="I7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-1.88</v>
      </c>
      <c r="J7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797" s="36"/>
      <c r="N797" s="40"/>
      <c r="O797" s="37"/>
    </row>
    <row r="798" spans="1:15" x14ac:dyDescent="0.25">
      <c r="A798" s="35">
        <f t="shared" si="25"/>
        <v>66</v>
      </c>
      <c r="B798" s="5">
        <v>43538</v>
      </c>
      <c r="C798" s="5" t="s">
        <v>134</v>
      </c>
      <c r="D798" s="57" t="s">
        <v>1086</v>
      </c>
      <c r="E798" s="7" t="s">
        <v>119</v>
      </c>
      <c r="F798" s="33">
        <v>5</v>
      </c>
      <c r="G798" s="63">
        <v>-115</v>
      </c>
      <c r="H798" s="9" t="s">
        <v>65</v>
      </c>
      <c r="I7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7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798" s="36"/>
      <c r="N798" s="40"/>
      <c r="O798" s="37"/>
    </row>
    <row r="799" spans="1:15" x14ac:dyDescent="0.25">
      <c r="A799" s="35">
        <f t="shared" si="25"/>
        <v>66</v>
      </c>
      <c r="B799" s="5">
        <v>43538</v>
      </c>
      <c r="C799" s="5" t="s">
        <v>134</v>
      </c>
      <c r="D799" s="57" t="s">
        <v>1086</v>
      </c>
      <c r="E799" s="7" t="s">
        <v>1087</v>
      </c>
      <c r="F799" s="33">
        <v>5</v>
      </c>
      <c r="G799" s="63">
        <v>-350</v>
      </c>
      <c r="H799" s="9" t="s">
        <v>36</v>
      </c>
      <c r="I7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1.4285714285714286</v>
      </c>
      <c r="J7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799" s="36"/>
      <c r="N799" s="40"/>
      <c r="O799" s="37"/>
    </row>
    <row r="800" spans="1:15" x14ac:dyDescent="0.25">
      <c r="A800" s="35">
        <f t="shared" si="25"/>
        <v>66</v>
      </c>
      <c r="B800" s="5">
        <v>43538</v>
      </c>
      <c r="C800" s="5" t="s">
        <v>134</v>
      </c>
      <c r="D800" s="57" t="s">
        <v>1088</v>
      </c>
      <c r="E800" s="7" t="s">
        <v>1089</v>
      </c>
      <c r="F800" s="33">
        <v>5</v>
      </c>
      <c r="G800" s="63">
        <v>-105</v>
      </c>
      <c r="H800" s="9" t="s">
        <v>36</v>
      </c>
      <c r="I8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4.7619047619047619</v>
      </c>
      <c r="J8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00" s="36"/>
      <c r="N800" s="40"/>
      <c r="O800" s="37"/>
    </row>
    <row r="801" spans="1:15" x14ac:dyDescent="0.25">
      <c r="A801" s="35">
        <f t="shared" si="25"/>
        <v>66</v>
      </c>
      <c r="B801" s="5">
        <v>43538</v>
      </c>
      <c r="C801" s="5" t="s">
        <v>134</v>
      </c>
      <c r="D801" s="57" t="s">
        <v>1090</v>
      </c>
      <c r="E801" s="7" t="s">
        <v>216</v>
      </c>
      <c r="F801" s="33">
        <v>5</v>
      </c>
      <c r="G801" s="63">
        <v>-115</v>
      </c>
      <c r="H801" s="9" t="s">
        <v>6</v>
      </c>
      <c r="I80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01" s="36"/>
      <c r="N801" s="40"/>
      <c r="O801" s="37"/>
    </row>
    <row r="802" spans="1:15" x14ac:dyDescent="0.25">
      <c r="A802" s="35">
        <f t="shared" si="25"/>
        <v>66</v>
      </c>
      <c r="B802" s="5">
        <v>43538</v>
      </c>
      <c r="C802" s="5" t="s">
        <v>134</v>
      </c>
      <c r="D802" s="57" t="s">
        <v>1090</v>
      </c>
      <c r="E802" s="7" t="s">
        <v>1091</v>
      </c>
      <c r="F802" s="33">
        <v>5</v>
      </c>
      <c r="G802" s="63">
        <v>-320</v>
      </c>
      <c r="H802" s="9" t="s">
        <v>36</v>
      </c>
      <c r="I80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1.5625</v>
      </c>
      <c r="J8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802" s="36"/>
      <c r="N802" s="40"/>
      <c r="O802" s="37"/>
    </row>
    <row r="803" spans="1:15" x14ac:dyDescent="0.25">
      <c r="A803" s="35">
        <f t="shared" si="25"/>
        <v>66</v>
      </c>
      <c r="B803" s="5">
        <v>43538</v>
      </c>
      <c r="C803" s="5" t="s">
        <v>134</v>
      </c>
      <c r="D803" s="57" t="s">
        <v>1092</v>
      </c>
      <c r="E803" s="7" t="s">
        <v>333</v>
      </c>
      <c r="F803" s="33">
        <v>5</v>
      </c>
      <c r="G803" s="63">
        <v>-115</v>
      </c>
      <c r="H803" s="9" t="s">
        <v>36</v>
      </c>
      <c r="I80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8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03" s="36"/>
      <c r="N803" s="40"/>
      <c r="O803" s="37"/>
    </row>
    <row r="804" spans="1:15" x14ac:dyDescent="0.25">
      <c r="A804" s="35">
        <f t="shared" si="25"/>
        <v>66</v>
      </c>
      <c r="B804" s="5">
        <v>43538</v>
      </c>
      <c r="C804" s="5" t="s">
        <v>134</v>
      </c>
      <c r="D804" s="57" t="s">
        <v>1092</v>
      </c>
      <c r="E804" s="7" t="s">
        <v>192</v>
      </c>
      <c r="F804" s="33">
        <v>5</v>
      </c>
      <c r="G804" s="63">
        <v>-470</v>
      </c>
      <c r="H804" s="9" t="s">
        <v>36</v>
      </c>
      <c r="I80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1.0638297872340425</v>
      </c>
      <c r="J8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804" s="36"/>
      <c r="N804" s="40"/>
      <c r="O804" s="37"/>
    </row>
    <row r="805" spans="1:15" x14ac:dyDescent="0.25">
      <c r="A805" s="35">
        <f t="shared" si="25"/>
        <v>66</v>
      </c>
      <c r="B805" s="5">
        <v>43538</v>
      </c>
      <c r="C805" s="5" t="s">
        <v>134</v>
      </c>
      <c r="D805" s="57" t="s">
        <v>1093</v>
      </c>
      <c r="E805" s="7" t="s">
        <v>276</v>
      </c>
      <c r="F805" s="33">
        <v>5</v>
      </c>
      <c r="G805" s="63">
        <v>-110</v>
      </c>
      <c r="H805" s="9" t="s">
        <v>36</v>
      </c>
      <c r="I80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05" s="36"/>
      <c r="N805" s="40"/>
      <c r="O805" s="37"/>
    </row>
    <row r="806" spans="1:15" x14ac:dyDescent="0.25">
      <c r="A806" s="35">
        <f t="shared" si="25"/>
        <v>66</v>
      </c>
      <c r="B806" s="5">
        <v>43538</v>
      </c>
      <c r="C806" s="5" t="s">
        <v>134</v>
      </c>
      <c r="D806" s="57" t="s">
        <v>1093</v>
      </c>
      <c r="E806" s="7" t="s">
        <v>1094</v>
      </c>
      <c r="F806" s="33">
        <v>5</v>
      </c>
      <c r="G806" s="63">
        <v>-110</v>
      </c>
      <c r="H806" s="9" t="s">
        <v>36</v>
      </c>
      <c r="I80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06" s="36"/>
      <c r="N806" s="40"/>
      <c r="O806" s="37"/>
    </row>
    <row r="807" spans="1:15" x14ac:dyDescent="0.25">
      <c r="A807" s="35">
        <f t="shared" si="25"/>
        <v>66</v>
      </c>
      <c r="B807" s="5">
        <v>43538</v>
      </c>
      <c r="C807" s="5" t="s">
        <v>134</v>
      </c>
      <c r="D807" s="57" t="s">
        <v>1093</v>
      </c>
      <c r="E807" s="7" t="s">
        <v>722</v>
      </c>
      <c r="F807" s="33">
        <v>5</v>
      </c>
      <c r="G807" s="63">
        <v>-350</v>
      </c>
      <c r="H807" s="9" t="s">
        <v>36</v>
      </c>
      <c r="I80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1.4285714285714286</v>
      </c>
      <c r="J8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807" s="36"/>
      <c r="N807" s="40"/>
      <c r="O807" s="37"/>
    </row>
    <row r="808" spans="1:15" x14ac:dyDescent="0.25">
      <c r="A808" s="35">
        <f t="shared" si="25"/>
        <v>66</v>
      </c>
      <c r="B808" s="5">
        <v>43538</v>
      </c>
      <c r="C808" s="5" t="s">
        <v>134</v>
      </c>
      <c r="D808" s="57" t="s">
        <v>129</v>
      </c>
      <c r="E808" s="7" t="s">
        <v>271</v>
      </c>
      <c r="F808" s="33">
        <v>5</v>
      </c>
      <c r="G808" s="63">
        <v>-115</v>
      </c>
      <c r="H808" s="9" t="s">
        <v>36</v>
      </c>
      <c r="I80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8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08" s="36"/>
      <c r="N808" s="40"/>
      <c r="O808" s="37"/>
    </row>
    <row r="809" spans="1:15" x14ac:dyDescent="0.25">
      <c r="A809" s="35">
        <f t="shared" si="25"/>
        <v>66</v>
      </c>
      <c r="B809" s="5">
        <v>43538</v>
      </c>
      <c r="C809" s="5" t="s">
        <v>134</v>
      </c>
      <c r="D809" s="57" t="s">
        <v>129</v>
      </c>
      <c r="E809" s="7" t="s">
        <v>187</v>
      </c>
      <c r="F809" s="33">
        <v>5</v>
      </c>
      <c r="G809" s="63">
        <v>-800</v>
      </c>
      <c r="H809" s="9" t="s">
        <v>36</v>
      </c>
      <c r="I80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0.625</v>
      </c>
      <c r="J8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809" s="36"/>
      <c r="N809" s="40"/>
      <c r="O809" s="37"/>
    </row>
    <row r="810" spans="1:15" x14ac:dyDescent="0.25">
      <c r="A810" s="35">
        <f t="shared" si="25"/>
        <v>67</v>
      </c>
      <c r="B810" s="5">
        <v>43539</v>
      </c>
      <c r="C810" s="5" t="s">
        <v>134</v>
      </c>
      <c r="D810" s="57" t="s">
        <v>1095</v>
      </c>
      <c r="E810" s="7" t="s">
        <v>333</v>
      </c>
      <c r="F810" s="33">
        <v>5</v>
      </c>
      <c r="G810" s="63">
        <v>-110</v>
      </c>
      <c r="H810" s="9" t="s">
        <v>36</v>
      </c>
      <c r="I81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10" s="36"/>
      <c r="N810" s="40"/>
      <c r="O810" s="37"/>
    </row>
    <row r="811" spans="1:15" x14ac:dyDescent="0.25">
      <c r="A811" s="35">
        <f t="shared" si="25"/>
        <v>67</v>
      </c>
      <c r="B811" s="5">
        <v>43539</v>
      </c>
      <c r="C811" s="5" t="s">
        <v>134</v>
      </c>
      <c r="D811" s="57" t="s">
        <v>1096</v>
      </c>
      <c r="E811" s="7" t="s">
        <v>1097</v>
      </c>
      <c r="F811" s="33">
        <v>5</v>
      </c>
      <c r="G811" s="63">
        <v>-110</v>
      </c>
      <c r="H811" s="9" t="s">
        <v>6</v>
      </c>
      <c r="I81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11" s="36"/>
      <c r="N811" s="40"/>
      <c r="O811" s="37"/>
    </row>
    <row r="812" spans="1:15" x14ac:dyDescent="0.25">
      <c r="A812" s="35">
        <f t="shared" si="25"/>
        <v>67</v>
      </c>
      <c r="B812" s="5">
        <v>43539</v>
      </c>
      <c r="C812" s="5" t="s">
        <v>134</v>
      </c>
      <c r="D812" s="57" t="s">
        <v>193</v>
      </c>
      <c r="E812" s="7" t="s">
        <v>455</v>
      </c>
      <c r="F812" s="33">
        <v>5</v>
      </c>
      <c r="G812" s="63">
        <v>-115</v>
      </c>
      <c r="H812" s="9" t="s">
        <v>36</v>
      </c>
      <c r="I81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8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12" s="36"/>
      <c r="N812" s="40"/>
      <c r="O812" s="37"/>
    </row>
    <row r="813" spans="1:15" x14ac:dyDescent="0.25">
      <c r="A813" s="35">
        <f t="shared" si="25"/>
        <v>67</v>
      </c>
      <c r="B813" s="5">
        <v>43539</v>
      </c>
      <c r="C813" s="5" t="s">
        <v>134</v>
      </c>
      <c r="D813" s="57" t="s">
        <v>193</v>
      </c>
      <c r="E813" s="7" t="s">
        <v>1098</v>
      </c>
      <c r="F813" s="33">
        <v>5</v>
      </c>
      <c r="G813" s="63">
        <v>-105</v>
      </c>
      <c r="H813" s="9" t="s">
        <v>6</v>
      </c>
      <c r="I81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13" s="36"/>
      <c r="N813" s="40"/>
      <c r="O813" s="37"/>
    </row>
    <row r="814" spans="1:15" x14ac:dyDescent="0.25">
      <c r="A814" s="35">
        <f t="shared" si="25"/>
        <v>67</v>
      </c>
      <c r="B814" s="5">
        <v>43539</v>
      </c>
      <c r="C814" s="5" t="s">
        <v>134</v>
      </c>
      <c r="D814" s="57" t="s">
        <v>1099</v>
      </c>
      <c r="E814" s="7" t="s">
        <v>457</v>
      </c>
      <c r="F814" s="33">
        <v>5</v>
      </c>
      <c r="G814" s="63">
        <v>-115</v>
      </c>
      <c r="H814" s="9" t="s">
        <v>36</v>
      </c>
      <c r="I81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4.3478260869565215</v>
      </c>
      <c r="J8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14" s="36"/>
      <c r="N814" s="40"/>
      <c r="O814" s="37"/>
    </row>
    <row r="815" spans="1:15" x14ac:dyDescent="0.25">
      <c r="A815" s="35">
        <f t="shared" si="25"/>
        <v>67</v>
      </c>
      <c r="B815" s="5">
        <v>43539</v>
      </c>
      <c r="C815" s="5" t="s">
        <v>134</v>
      </c>
      <c r="D815" s="57" t="s">
        <v>1099</v>
      </c>
      <c r="E815" s="7" t="s">
        <v>1100</v>
      </c>
      <c r="F815" s="33">
        <v>5</v>
      </c>
      <c r="G815" s="63">
        <v>-105</v>
      </c>
      <c r="H815" s="9" t="s">
        <v>6</v>
      </c>
      <c r="I81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15" s="36"/>
      <c r="N815" s="40"/>
      <c r="O815" s="37"/>
    </row>
    <row r="816" spans="1:15" x14ac:dyDescent="0.25">
      <c r="A816" s="35">
        <f t="shared" si="25"/>
        <v>67</v>
      </c>
      <c r="B816" s="5">
        <v>43539</v>
      </c>
      <c r="C816" s="5" t="s">
        <v>134</v>
      </c>
      <c r="D816" s="57" t="s">
        <v>1101</v>
      </c>
      <c r="E816" s="7" t="s">
        <v>222</v>
      </c>
      <c r="F816" s="33">
        <v>5</v>
      </c>
      <c r="G816" s="63">
        <v>-105</v>
      </c>
      <c r="H816" s="9" t="s">
        <v>6</v>
      </c>
      <c r="I81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16" s="36"/>
      <c r="N816" s="40"/>
      <c r="O816" s="37"/>
    </row>
    <row r="817" spans="1:15" x14ac:dyDescent="0.25">
      <c r="A817" s="35">
        <f t="shared" si="25"/>
        <v>67</v>
      </c>
      <c r="B817" s="5">
        <v>43539</v>
      </c>
      <c r="C817" s="5" t="s">
        <v>134</v>
      </c>
      <c r="D817" s="57" t="s">
        <v>1101</v>
      </c>
      <c r="E817" s="7" t="s">
        <v>1102</v>
      </c>
      <c r="F817" s="33">
        <v>5</v>
      </c>
      <c r="G817" s="63">
        <v>-110</v>
      </c>
      <c r="H817" s="9" t="s">
        <v>6</v>
      </c>
      <c r="I81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17" s="36"/>
      <c r="N817" s="40"/>
      <c r="O817" s="37"/>
    </row>
    <row r="818" spans="1:15" x14ac:dyDescent="0.25">
      <c r="A818" s="35">
        <f t="shared" si="25"/>
        <v>67</v>
      </c>
      <c r="B818" s="5">
        <v>43539</v>
      </c>
      <c r="C818" s="5" t="s">
        <v>134</v>
      </c>
      <c r="D818" s="57" t="s">
        <v>1101</v>
      </c>
      <c r="E818" s="7" t="s">
        <v>197</v>
      </c>
      <c r="F818" s="33">
        <v>5</v>
      </c>
      <c r="G818" s="63">
        <v>-1600</v>
      </c>
      <c r="H818" s="9" t="s">
        <v>36</v>
      </c>
      <c r="I81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0.3125</v>
      </c>
      <c r="J8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818" s="36"/>
      <c r="N818" s="40"/>
      <c r="O818" s="37"/>
    </row>
    <row r="819" spans="1:15" x14ac:dyDescent="0.25">
      <c r="A819" s="35">
        <f t="shared" si="25"/>
        <v>67</v>
      </c>
      <c r="B819" s="5">
        <v>43539</v>
      </c>
      <c r="C819" s="5" t="s">
        <v>134</v>
      </c>
      <c r="D819" s="57" t="s">
        <v>1103</v>
      </c>
      <c r="E819" s="7" t="s">
        <v>219</v>
      </c>
      <c r="F819" s="33">
        <v>5</v>
      </c>
      <c r="G819" s="63">
        <v>-115</v>
      </c>
      <c r="H819" s="9" t="s">
        <v>6</v>
      </c>
      <c r="I81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8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19" s="36"/>
      <c r="N819" s="40"/>
      <c r="O819" s="37"/>
    </row>
    <row r="820" spans="1:15" x14ac:dyDescent="0.25">
      <c r="A820" s="35">
        <f t="shared" si="25"/>
        <v>67</v>
      </c>
      <c r="B820" s="5">
        <v>43539</v>
      </c>
      <c r="C820" s="5" t="s">
        <v>134</v>
      </c>
      <c r="D820" s="57" t="s">
        <v>1103</v>
      </c>
      <c r="E820" s="7" t="s">
        <v>1104</v>
      </c>
      <c r="F820" s="33">
        <v>5</v>
      </c>
      <c r="G820" s="63">
        <v>-110</v>
      </c>
      <c r="H820" s="9" t="s">
        <v>36</v>
      </c>
      <c r="I82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4.5454545454545459</v>
      </c>
      <c r="J8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20" s="36"/>
      <c r="N820" s="40"/>
      <c r="O820" s="37"/>
    </row>
    <row r="821" spans="1:15" x14ac:dyDescent="0.25">
      <c r="A821" s="35">
        <f t="shared" si="25"/>
        <v>68</v>
      </c>
      <c r="B821" s="5">
        <v>43547</v>
      </c>
      <c r="C821" s="5" t="s">
        <v>419</v>
      </c>
      <c r="D821" s="57" t="s">
        <v>1105</v>
      </c>
      <c r="E821" s="7" t="s">
        <v>408</v>
      </c>
      <c r="F821" s="33">
        <v>11.5</v>
      </c>
      <c r="G821" s="67">
        <v>-115</v>
      </c>
      <c r="H821" s="9" t="s">
        <v>36</v>
      </c>
      <c r="I82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21" s="36"/>
      <c r="N821" s="40"/>
      <c r="O821" s="37"/>
    </row>
    <row r="822" spans="1:15" x14ac:dyDescent="0.25">
      <c r="A822" s="35">
        <f t="shared" si="25"/>
        <v>68</v>
      </c>
      <c r="B822" s="5">
        <v>43547</v>
      </c>
      <c r="C822" s="5" t="s">
        <v>419</v>
      </c>
      <c r="D822" s="57" t="s">
        <v>1106</v>
      </c>
      <c r="E822" s="7" t="s">
        <v>1107</v>
      </c>
      <c r="F822" s="33">
        <v>10</v>
      </c>
      <c r="G822" s="67">
        <v>200</v>
      </c>
      <c r="H822" s="9" t="s">
        <v>6</v>
      </c>
      <c r="I82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822" s="36"/>
      <c r="N822" s="40"/>
      <c r="O822" s="37"/>
    </row>
    <row r="823" spans="1:15" x14ac:dyDescent="0.25">
      <c r="A823" s="35">
        <f t="shared" si="25"/>
        <v>68</v>
      </c>
      <c r="B823" s="5">
        <v>43547</v>
      </c>
      <c r="C823" s="5" t="s">
        <v>419</v>
      </c>
      <c r="D823" s="57" t="s">
        <v>1108</v>
      </c>
      <c r="E823" s="7" t="s">
        <v>1109</v>
      </c>
      <c r="F823" s="33">
        <v>11</v>
      </c>
      <c r="G823" s="67">
        <v>-110</v>
      </c>
      <c r="H823" s="9" t="s">
        <v>36</v>
      </c>
      <c r="I82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23" s="36"/>
      <c r="N823" s="40"/>
      <c r="O823" s="37"/>
    </row>
    <row r="824" spans="1:15" x14ac:dyDescent="0.25">
      <c r="A824" s="35">
        <f t="shared" si="25"/>
        <v>68</v>
      </c>
      <c r="B824" s="5">
        <v>43547</v>
      </c>
      <c r="C824" s="5" t="s">
        <v>419</v>
      </c>
      <c r="D824" s="57" t="s">
        <v>1110</v>
      </c>
      <c r="E824" s="7" t="s">
        <v>1111</v>
      </c>
      <c r="F824" s="33">
        <v>10.5</v>
      </c>
      <c r="G824" s="67">
        <v>-105</v>
      </c>
      <c r="H824" s="9" t="s">
        <v>36</v>
      </c>
      <c r="I82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24" s="36"/>
      <c r="N824" s="40"/>
      <c r="O824" s="37"/>
    </row>
    <row r="825" spans="1:15" x14ac:dyDescent="0.25">
      <c r="A825" s="35">
        <f t="shared" si="25"/>
        <v>68</v>
      </c>
      <c r="B825" s="5">
        <v>43547</v>
      </c>
      <c r="C825" s="5" t="s">
        <v>419</v>
      </c>
      <c r="D825" s="57" t="s">
        <v>1112</v>
      </c>
      <c r="E825" s="7" t="s">
        <v>1113</v>
      </c>
      <c r="F825" s="33">
        <v>11.5</v>
      </c>
      <c r="G825" s="67">
        <v>-105</v>
      </c>
      <c r="H825" s="9" t="s">
        <v>36</v>
      </c>
      <c r="I82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10.952380952380953</v>
      </c>
      <c r="J8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25" s="36"/>
      <c r="N825" s="40"/>
      <c r="O825" s="37"/>
    </row>
    <row r="826" spans="1:15" x14ac:dyDescent="0.25">
      <c r="A826" s="35">
        <f t="shared" si="25"/>
        <v>68</v>
      </c>
      <c r="B826" s="5">
        <v>43547</v>
      </c>
      <c r="C826" s="5" t="s">
        <v>419</v>
      </c>
      <c r="D826" s="57" t="s">
        <v>1114</v>
      </c>
      <c r="E826" s="7" t="s">
        <v>1115</v>
      </c>
      <c r="F826" s="33">
        <v>10.5</v>
      </c>
      <c r="G826" s="67">
        <v>-115</v>
      </c>
      <c r="H826" s="9" t="s">
        <v>6</v>
      </c>
      <c r="I82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-10.5</v>
      </c>
      <c r="J8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26" s="36"/>
      <c r="N826" s="40"/>
      <c r="O826" s="37"/>
    </row>
    <row r="827" spans="1:15" x14ac:dyDescent="0.25">
      <c r="A827" s="35">
        <f t="shared" si="25"/>
        <v>69</v>
      </c>
      <c r="B827" s="5">
        <v>43548</v>
      </c>
      <c r="C827" s="5" t="s">
        <v>419</v>
      </c>
      <c r="D827" s="57" t="s">
        <v>1116</v>
      </c>
      <c r="E827" s="7" t="s">
        <v>1117</v>
      </c>
      <c r="F827" s="33">
        <v>11</v>
      </c>
      <c r="G827" s="67">
        <v>-110</v>
      </c>
      <c r="H827" s="9" t="s">
        <v>36</v>
      </c>
      <c r="I82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27" s="36"/>
      <c r="N827" s="40"/>
      <c r="O827" s="37"/>
    </row>
    <row r="828" spans="1:15" x14ac:dyDescent="0.25">
      <c r="A828" s="35">
        <f t="shared" si="25"/>
        <v>69</v>
      </c>
      <c r="B828" s="5">
        <v>43548</v>
      </c>
      <c r="C828" s="5" t="s">
        <v>419</v>
      </c>
      <c r="D828" s="57" t="s">
        <v>1118</v>
      </c>
      <c r="E828" s="7" t="s">
        <v>1119</v>
      </c>
      <c r="F828" s="33">
        <v>11</v>
      </c>
      <c r="G828" s="67">
        <v>-110</v>
      </c>
      <c r="H828" s="9" t="s">
        <v>6</v>
      </c>
      <c r="I82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8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28" s="36"/>
      <c r="N828" s="40"/>
      <c r="O828" s="37"/>
    </row>
    <row r="829" spans="1:15" x14ac:dyDescent="0.25">
      <c r="A829" s="35">
        <f t="shared" si="25"/>
        <v>69</v>
      </c>
      <c r="B829" s="5">
        <v>43548</v>
      </c>
      <c r="C829" s="5" t="s">
        <v>419</v>
      </c>
      <c r="D829" s="57" t="s">
        <v>1120</v>
      </c>
      <c r="E829" s="7" t="s">
        <v>1121</v>
      </c>
      <c r="F829" s="33">
        <v>11.5</v>
      </c>
      <c r="G829" s="67">
        <v>-115</v>
      </c>
      <c r="H829" s="9" t="s">
        <v>36</v>
      </c>
      <c r="I82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29" s="36"/>
      <c r="N829" s="40"/>
      <c r="O829" s="37"/>
    </row>
    <row r="830" spans="1:15" x14ac:dyDescent="0.25">
      <c r="A830" s="35">
        <f t="shared" si="25"/>
        <v>69</v>
      </c>
      <c r="B830" s="5">
        <v>43548</v>
      </c>
      <c r="C830" s="5" t="s">
        <v>419</v>
      </c>
      <c r="D830" s="57" t="s">
        <v>1122</v>
      </c>
      <c r="E830" s="7" t="s">
        <v>1123</v>
      </c>
      <c r="F830" s="33">
        <v>11.5</v>
      </c>
      <c r="G830" s="67">
        <v>-115</v>
      </c>
      <c r="H830" s="9" t="s">
        <v>36</v>
      </c>
      <c r="I83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30" s="36"/>
      <c r="N830" s="40"/>
      <c r="O830" s="37"/>
    </row>
    <row r="831" spans="1:15" x14ac:dyDescent="0.25">
      <c r="A831" s="35">
        <f t="shared" si="25"/>
        <v>69</v>
      </c>
      <c r="B831" s="5">
        <v>43548</v>
      </c>
      <c r="C831" s="5" t="s">
        <v>419</v>
      </c>
      <c r="D831" s="57" t="s">
        <v>1124</v>
      </c>
      <c r="E831" s="7" t="s">
        <v>1125</v>
      </c>
      <c r="F831" s="33">
        <v>10.5</v>
      </c>
      <c r="G831" s="67">
        <v>-105</v>
      </c>
      <c r="H831" s="9" t="s">
        <v>6</v>
      </c>
      <c r="I83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-10.5</v>
      </c>
      <c r="J8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31" s="36"/>
      <c r="N831" s="40"/>
      <c r="O831" s="37"/>
    </row>
    <row r="832" spans="1:15" x14ac:dyDescent="0.25">
      <c r="A832" s="35">
        <f t="shared" si="25"/>
        <v>69</v>
      </c>
      <c r="B832" s="5">
        <v>43548</v>
      </c>
      <c r="C832" s="5" t="s">
        <v>419</v>
      </c>
      <c r="D832" s="57" t="s">
        <v>1126</v>
      </c>
      <c r="E832" s="7" t="s">
        <v>1127</v>
      </c>
      <c r="F832" s="33">
        <v>11</v>
      </c>
      <c r="G832" s="67">
        <v>-110</v>
      </c>
      <c r="H832" s="9" t="s">
        <v>6</v>
      </c>
      <c r="I83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8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32" s="36"/>
      <c r="N832" s="40"/>
      <c r="O832" s="37"/>
    </row>
    <row r="833" spans="1:15" x14ac:dyDescent="0.25">
      <c r="A833" s="35">
        <f t="shared" si="25"/>
        <v>69</v>
      </c>
      <c r="B833" s="5">
        <v>43548</v>
      </c>
      <c r="C833" s="5" t="s">
        <v>419</v>
      </c>
      <c r="D833" s="57" t="s">
        <v>1128</v>
      </c>
      <c r="E833" s="7" t="s">
        <v>1129</v>
      </c>
      <c r="F833" s="33">
        <v>11.5</v>
      </c>
      <c r="G833" s="67">
        <v>-115</v>
      </c>
      <c r="H833" s="9" t="s">
        <v>6</v>
      </c>
      <c r="I83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-11.5</v>
      </c>
      <c r="J8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33" s="36"/>
      <c r="N833" s="40"/>
      <c r="O833" s="37"/>
    </row>
    <row r="834" spans="1:15" x14ac:dyDescent="0.25">
      <c r="A834" s="35">
        <f t="shared" si="25"/>
        <v>69</v>
      </c>
      <c r="B834" s="5">
        <v>43548</v>
      </c>
      <c r="C834" s="5" t="s">
        <v>419</v>
      </c>
      <c r="D834" s="57" t="s">
        <v>1128</v>
      </c>
      <c r="E834" s="7" t="s">
        <v>1130</v>
      </c>
      <c r="F834" s="33">
        <v>11</v>
      </c>
      <c r="G834" s="67">
        <v>-110</v>
      </c>
      <c r="H834" s="9" t="s">
        <v>65</v>
      </c>
      <c r="I83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8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34" s="36"/>
      <c r="N834" s="40"/>
      <c r="O834" s="37"/>
    </row>
    <row r="835" spans="1:15" x14ac:dyDescent="0.25">
      <c r="A835" s="35">
        <f t="shared" si="25"/>
        <v>70</v>
      </c>
      <c r="B835" s="5">
        <v>43549</v>
      </c>
      <c r="C835" s="5" t="s">
        <v>134</v>
      </c>
      <c r="D835" s="57" t="s">
        <v>1132</v>
      </c>
      <c r="E835" s="7" t="s">
        <v>353</v>
      </c>
      <c r="F835" s="33">
        <v>5.5</v>
      </c>
      <c r="G835" s="63">
        <v>-110</v>
      </c>
      <c r="H835" s="9" t="s">
        <v>6</v>
      </c>
      <c r="I83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35" s="36"/>
      <c r="N835" s="40"/>
      <c r="O835" s="37"/>
    </row>
    <row r="836" spans="1:15" x14ac:dyDescent="0.25">
      <c r="A836" s="35">
        <f t="shared" ref="A836:A899" si="26">IF(B836=B835,A835,A835+1)</f>
        <v>70</v>
      </c>
      <c r="B836" s="5">
        <v>43549</v>
      </c>
      <c r="C836" s="5" t="s">
        <v>134</v>
      </c>
      <c r="D836" s="57" t="s">
        <v>1133</v>
      </c>
      <c r="E836" s="7" t="s">
        <v>222</v>
      </c>
      <c r="F836" s="33">
        <v>5.75</v>
      </c>
      <c r="G836" s="63">
        <v>-115</v>
      </c>
      <c r="H836" s="9" t="s">
        <v>36</v>
      </c>
      <c r="I83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36" s="36"/>
      <c r="N836" s="40"/>
      <c r="O836" s="37"/>
    </row>
    <row r="837" spans="1:15" x14ac:dyDescent="0.25">
      <c r="A837" s="35">
        <f t="shared" si="26"/>
        <v>70</v>
      </c>
      <c r="B837" s="5">
        <v>43549</v>
      </c>
      <c r="C837" s="5" t="s">
        <v>134</v>
      </c>
      <c r="D837" s="57" t="s">
        <v>1133</v>
      </c>
      <c r="E837" s="7" t="s">
        <v>1134</v>
      </c>
      <c r="F837" s="33">
        <v>5.5</v>
      </c>
      <c r="G837" s="63">
        <v>-110</v>
      </c>
      <c r="H837" s="9" t="s">
        <v>36</v>
      </c>
      <c r="I83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37" s="36"/>
      <c r="N837" s="40"/>
      <c r="O837" s="37"/>
    </row>
    <row r="838" spans="1:15" x14ac:dyDescent="0.25">
      <c r="A838" s="35">
        <f t="shared" si="26"/>
        <v>70</v>
      </c>
      <c r="B838" s="5">
        <v>43549</v>
      </c>
      <c r="C838" s="5" t="s">
        <v>134</v>
      </c>
      <c r="D838" s="57" t="s">
        <v>721</v>
      </c>
      <c r="E838" s="7" t="s">
        <v>222</v>
      </c>
      <c r="F838" s="33">
        <v>5.75</v>
      </c>
      <c r="G838" s="63">
        <v>-115</v>
      </c>
      <c r="H838" s="9" t="s">
        <v>36</v>
      </c>
      <c r="I83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38" s="36"/>
      <c r="N838" s="40"/>
      <c r="O838" s="37"/>
    </row>
    <row r="839" spans="1:15" x14ac:dyDescent="0.25">
      <c r="A839" s="35">
        <f t="shared" si="26"/>
        <v>70</v>
      </c>
      <c r="B839" s="5">
        <v>43549</v>
      </c>
      <c r="C839" s="5" t="s">
        <v>134</v>
      </c>
      <c r="D839" s="57" t="s">
        <v>721</v>
      </c>
      <c r="E839" s="7" t="s">
        <v>1135</v>
      </c>
      <c r="F839" s="33">
        <v>5.5</v>
      </c>
      <c r="G839" s="63">
        <v>-110</v>
      </c>
      <c r="H839" s="9" t="s">
        <v>6</v>
      </c>
      <c r="I83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39" s="36"/>
      <c r="N839" s="40"/>
      <c r="O839" s="37"/>
    </row>
    <row r="840" spans="1:15" x14ac:dyDescent="0.25">
      <c r="A840" s="35">
        <f t="shared" si="26"/>
        <v>70</v>
      </c>
      <c r="B840" s="5">
        <v>43549</v>
      </c>
      <c r="C840" s="5" t="s">
        <v>134</v>
      </c>
      <c r="D840" s="57" t="s">
        <v>1136</v>
      </c>
      <c r="E840" s="7" t="s">
        <v>1137</v>
      </c>
      <c r="F840" s="33">
        <v>5.5</v>
      </c>
      <c r="G840" s="63">
        <v>-110</v>
      </c>
      <c r="H840" s="9" t="s">
        <v>36</v>
      </c>
      <c r="I84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40" s="36"/>
      <c r="N840" s="40"/>
      <c r="O840" s="37"/>
    </row>
    <row r="841" spans="1:15" x14ac:dyDescent="0.25">
      <c r="A841" s="35">
        <f t="shared" si="26"/>
        <v>70</v>
      </c>
      <c r="B841" s="5">
        <v>43549</v>
      </c>
      <c r="C841" s="5" t="s">
        <v>134</v>
      </c>
      <c r="D841" s="57" t="s">
        <v>1136</v>
      </c>
      <c r="E841" s="7" t="s">
        <v>112</v>
      </c>
      <c r="F841" s="33">
        <v>5.75</v>
      </c>
      <c r="G841" s="63">
        <v>-115</v>
      </c>
      <c r="H841" s="9" t="s">
        <v>6</v>
      </c>
      <c r="I84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-5.75</v>
      </c>
      <c r="J8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41" s="36"/>
      <c r="N841" s="40"/>
      <c r="O841" s="37"/>
    </row>
    <row r="842" spans="1:15" x14ac:dyDescent="0.25">
      <c r="A842" s="35">
        <f t="shared" si="26"/>
        <v>71</v>
      </c>
      <c r="B842" s="5">
        <v>43550</v>
      </c>
      <c r="C842" s="5" t="s">
        <v>134</v>
      </c>
      <c r="D842" s="57" t="s">
        <v>1138</v>
      </c>
      <c r="E842" s="7" t="s">
        <v>222</v>
      </c>
      <c r="F842" s="33">
        <v>5.25</v>
      </c>
      <c r="G842" s="63">
        <v>-105</v>
      </c>
      <c r="H842" s="9" t="s">
        <v>36</v>
      </c>
      <c r="I84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42" s="36"/>
      <c r="N842" s="40"/>
      <c r="O842" s="37"/>
    </row>
    <row r="843" spans="1:15" x14ac:dyDescent="0.25">
      <c r="A843" s="35">
        <f t="shared" si="26"/>
        <v>71</v>
      </c>
      <c r="B843" s="5">
        <v>43550</v>
      </c>
      <c r="C843" s="5" t="s">
        <v>134</v>
      </c>
      <c r="D843" s="57" t="s">
        <v>1139</v>
      </c>
      <c r="E843" s="7" t="s">
        <v>1140</v>
      </c>
      <c r="F843" s="33">
        <v>5.5</v>
      </c>
      <c r="G843" s="63">
        <v>-110</v>
      </c>
      <c r="H843" s="9" t="s">
        <v>36</v>
      </c>
      <c r="I84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43" s="36"/>
      <c r="N843" s="40"/>
      <c r="O843" s="37"/>
    </row>
    <row r="844" spans="1:15" x14ac:dyDescent="0.25">
      <c r="A844" s="35">
        <f t="shared" si="26"/>
        <v>71</v>
      </c>
      <c r="B844" s="5">
        <v>43550</v>
      </c>
      <c r="C844" s="5" t="s">
        <v>134</v>
      </c>
      <c r="D844" s="57" t="s">
        <v>1141</v>
      </c>
      <c r="E844" s="7" t="s">
        <v>1142</v>
      </c>
      <c r="F844" s="33">
        <v>5.5</v>
      </c>
      <c r="G844" s="63">
        <v>-110</v>
      </c>
      <c r="H844" s="9" t="s">
        <v>6</v>
      </c>
      <c r="I84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44" s="36"/>
      <c r="N844" s="40"/>
      <c r="O844" s="37"/>
    </row>
    <row r="845" spans="1:15" x14ac:dyDescent="0.25">
      <c r="A845" s="35">
        <f t="shared" si="26"/>
        <v>71</v>
      </c>
      <c r="B845" s="5">
        <v>43550</v>
      </c>
      <c r="C845" s="5" t="s">
        <v>134</v>
      </c>
      <c r="D845" s="57" t="s">
        <v>1141</v>
      </c>
      <c r="E845" s="7" t="s">
        <v>1143</v>
      </c>
      <c r="F845" s="33">
        <v>5.25</v>
      </c>
      <c r="G845" s="63">
        <v>-105</v>
      </c>
      <c r="H845" s="9" t="s">
        <v>6</v>
      </c>
      <c r="I84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-5.25</v>
      </c>
      <c r="J8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45" s="36"/>
      <c r="N845" s="40"/>
      <c r="O845" s="37"/>
    </row>
    <row r="846" spans="1:15" x14ac:dyDescent="0.25">
      <c r="A846" s="35">
        <f t="shared" si="26"/>
        <v>71</v>
      </c>
      <c r="B846" s="5">
        <v>43550</v>
      </c>
      <c r="C846" s="5" t="s">
        <v>134</v>
      </c>
      <c r="D846" s="57" t="s">
        <v>1144</v>
      </c>
      <c r="E846" s="7" t="s">
        <v>228</v>
      </c>
      <c r="F846" s="33">
        <v>5.5</v>
      </c>
      <c r="G846" s="63">
        <v>-110</v>
      </c>
      <c r="H846" s="9" t="s">
        <v>6</v>
      </c>
      <c r="I84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46" s="36"/>
      <c r="N846" s="40"/>
      <c r="O846" s="37"/>
    </row>
    <row r="847" spans="1:15" x14ac:dyDescent="0.25">
      <c r="A847" s="35">
        <f t="shared" si="26"/>
        <v>71</v>
      </c>
      <c r="B847" s="5">
        <v>43550</v>
      </c>
      <c r="C847" s="5" t="s">
        <v>134</v>
      </c>
      <c r="D847" s="57" t="s">
        <v>1145</v>
      </c>
      <c r="E847" s="7" t="s">
        <v>336</v>
      </c>
      <c r="F847" s="33">
        <v>5.5</v>
      </c>
      <c r="G847" s="63">
        <v>-110</v>
      </c>
      <c r="H847" s="9" t="s">
        <v>6</v>
      </c>
      <c r="I84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47" s="36"/>
      <c r="N847" s="40"/>
      <c r="O847" s="37"/>
    </row>
    <row r="848" spans="1:15" x14ac:dyDescent="0.25">
      <c r="A848" s="35">
        <f t="shared" si="26"/>
        <v>71</v>
      </c>
      <c r="B848" s="5">
        <v>43550</v>
      </c>
      <c r="C848" s="5" t="s">
        <v>134</v>
      </c>
      <c r="D848" s="57" t="s">
        <v>1146</v>
      </c>
      <c r="E848" s="7" t="s">
        <v>407</v>
      </c>
      <c r="F848" s="33">
        <v>5.5</v>
      </c>
      <c r="G848" s="63">
        <v>-110</v>
      </c>
      <c r="H848" s="9" t="s">
        <v>6</v>
      </c>
      <c r="I84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48" s="36"/>
      <c r="N848" s="40"/>
      <c r="O848" s="37"/>
    </row>
    <row r="849" spans="1:15" x14ac:dyDescent="0.25">
      <c r="A849" s="35">
        <f t="shared" si="26"/>
        <v>71</v>
      </c>
      <c r="B849" s="5">
        <v>43550</v>
      </c>
      <c r="C849" s="5" t="s">
        <v>134</v>
      </c>
      <c r="D849" s="57" t="s">
        <v>1146</v>
      </c>
      <c r="E849" s="7" t="s">
        <v>1147</v>
      </c>
      <c r="F849" s="33">
        <v>5.5</v>
      </c>
      <c r="G849" s="63">
        <v>-110</v>
      </c>
      <c r="H849" s="9" t="s">
        <v>6</v>
      </c>
      <c r="I84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49" s="36"/>
      <c r="N849" s="40"/>
      <c r="O849" s="37"/>
    </row>
    <row r="850" spans="1:15" x14ac:dyDescent="0.25">
      <c r="A850" s="35">
        <f t="shared" si="26"/>
        <v>71</v>
      </c>
      <c r="B850" s="5">
        <v>43550</v>
      </c>
      <c r="C850" s="5" t="s">
        <v>134</v>
      </c>
      <c r="D850" s="57" t="s">
        <v>1148</v>
      </c>
      <c r="E850" s="7" t="s">
        <v>127</v>
      </c>
      <c r="F850" s="33">
        <v>5.25</v>
      </c>
      <c r="G850" s="63">
        <v>-105</v>
      </c>
      <c r="H850" s="9" t="s">
        <v>36</v>
      </c>
      <c r="I85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50" s="36"/>
      <c r="N850" s="40"/>
      <c r="O850" s="37"/>
    </row>
    <row r="851" spans="1:15" x14ac:dyDescent="0.25">
      <c r="A851" s="35">
        <f t="shared" si="26"/>
        <v>71</v>
      </c>
      <c r="B851" s="5">
        <v>43550</v>
      </c>
      <c r="C851" s="5" t="s">
        <v>134</v>
      </c>
      <c r="D851" s="57" t="s">
        <v>1148</v>
      </c>
      <c r="E851" s="7" t="s">
        <v>1149</v>
      </c>
      <c r="F851" s="33">
        <v>5.5</v>
      </c>
      <c r="G851" s="63">
        <v>-110</v>
      </c>
      <c r="H851" s="9" t="s">
        <v>36</v>
      </c>
      <c r="I85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8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51" s="36"/>
      <c r="N851" s="40"/>
      <c r="O851" s="37"/>
    </row>
    <row r="852" spans="1:15" x14ac:dyDescent="0.25">
      <c r="A852" s="35">
        <f t="shared" si="26"/>
        <v>72</v>
      </c>
      <c r="B852" s="5">
        <v>43551</v>
      </c>
      <c r="C852" s="5" t="s">
        <v>134</v>
      </c>
      <c r="D852" s="57" t="s">
        <v>1151</v>
      </c>
      <c r="E852" s="7" t="s">
        <v>1152</v>
      </c>
      <c r="F852" s="33">
        <v>4</v>
      </c>
      <c r="G852" s="63">
        <v>-110</v>
      </c>
      <c r="H852" s="9" t="s">
        <v>6</v>
      </c>
      <c r="I85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52" s="36"/>
      <c r="N852" s="40"/>
      <c r="O852" s="37"/>
    </row>
    <row r="853" spans="1:15" x14ac:dyDescent="0.25">
      <c r="A853" s="35">
        <f t="shared" si="26"/>
        <v>72</v>
      </c>
      <c r="B853" s="5">
        <v>43551</v>
      </c>
      <c r="C853" s="5" t="s">
        <v>134</v>
      </c>
      <c r="D853" s="57" t="s">
        <v>1153</v>
      </c>
      <c r="E853" s="7" t="s">
        <v>1154</v>
      </c>
      <c r="F853" s="33">
        <v>4</v>
      </c>
      <c r="G853" s="63">
        <v>-110</v>
      </c>
      <c r="H853" s="9" t="s">
        <v>6</v>
      </c>
      <c r="I85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53" s="36"/>
      <c r="N853" s="40"/>
      <c r="O853" s="37"/>
    </row>
    <row r="854" spans="1:15" x14ac:dyDescent="0.25">
      <c r="A854" s="35">
        <f t="shared" si="26"/>
        <v>72</v>
      </c>
      <c r="B854" s="5">
        <v>43551</v>
      </c>
      <c r="C854" s="5" t="s">
        <v>134</v>
      </c>
      <c r="D854" s="57" t="s">
        <v>1153</v>
      </c>
      <c r="E854" s="7" t="s">
        <v>304</v>
      </c>
      <c r="F854" s="33">
        <v>4</v>
      </c>
      <c r="G854" s="63">
        <v>-110</v>
      </c>
      <c r="H854" s="9" t="s">
        <v>6</v>
      </c>
      <c r="I85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54" s="36"/>
      <c r="N854" s="40"/>
      <c r="O854" s="37"/>
    </row>
    <row r="855" spans="1:15" x14ac:dyDescent="0.25">
      <c r="A855" s="35">
        <f t="shared" si="26"/>
        <v>72</v>
      </c>
      <c r="B855" s="5">
        <v>43551</v>
      </c>
      <c r="C855" s="5" t="s">
        <v>134</v>
      </c>
      <c r="D855" s="57" t="s">
        <v>1155</v>
      </c>
      <c r="E855" s="7" t="s">
        <v>257</v>
      </c>
      <c r="F855" s="33">
        <v>4</v>
      </c>
      <c r="G855" s="63">
        <v>-115</v>
      </c>
      <c r="H855" s="9" t="s">
        <v>36</v>
      </c>
      <c r="I85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3.4782608695652173</v>
      </c>
      <c r="J8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55" s="36"/>
      <c r="N855" s="40"/>
      <c r="O855" s="37"/>
    </row>
    <row r="856" spans="1:15" x14ac:dyDescent="0.25">
      <c r="A856" s="35">
        <f t="shared" si="26"/>
        <v>72</v>
      </c>
      <c r="B856" s="5">
        <v>43551</v>
      </c>
      <c r="C856" s="5" t="s">
        <v>134</v>
      </c>
      <c r="D856" s="57" t="s">
        <v>1155</v>
      </c>
      <c r="E856" s="7" t="s">
        <v>1104</v>
      </c>
      <c r="F856" s="33">
        <v>4</v>
      </c>
      <c r="G856" s="63">
        <v>-115</v>
      </c>
      <c r="H856" s="9" t="s">
        <v>6</v>
      </c>
      <c r="I85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56" s="36"/>
      <c r="N856" s="40"/>
      <c r="O856" s="37"/>
    </row>
    <row r="857" spans="1:15" x14ac:dyDescent="0.25">
      <c r="A857" s="35">
        <f t="shared" si="26"/>
        <v>73</v>
      </c>
      <c r="B857" s="5">
        <v>43552</v>
      </c>
      <c r="C857" s="5" t="s">
        <v>134</v>
      </c>
      <c r="D857" s="57" t="s">
        <v>378</v>
      </c>
      <c r="E857" s="7" t="s">
        <v>641</v>
      </c>
      <c r="F857" s="33">
        <v>4</v>
      </c>
      <c r="G857" s="63">
        <v>-115</v>
      </c>
      <c r="H857" s="9" t="s">
        <v>36</v>
      </c>
      <c r="I85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3.4782608695652173</v>
      </c>
      <c r="J8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57" s="36"/>
      <c r="N857" s="40"/>
      <c r="O857" s="37"/>
    </row>
    <row r="858" spans="1:15" x14ac:dyDescent="0.25">
      <c r="A858" s="35">
        <f t="shared" si="26"/>
        <v>73</v>
      </c>
      <c r="B858" s="5">
        <v>43552</v>
      </c>
      <c r="C858" s="5" t="s">
        <v>134</v>
      </c>
      <c r="D858" s="57" t="s">
        <v>378</v>
      </c>
      <c r="E858" s="7" t="s">
        <v>380</v>
      </c>
      <c r="F858" s="33">
        <v>4</v>
      </c>
      <c r="G858" s="63">
        <v>-110</v>
      </c>
      <c r="H858" s="9" t="s">
        <v>6</v>
      </c>
      <c r="I85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58" s="36"/>
      <c r="N858" s="40"/>
      <c r="O858" s="37"/>
    </row>
    <row r="859" spans="1:15" x14ac:dyDescent="0.25">
      <c r="A859" s="35">
        <f t="shared" si="26"/>
        <v>73</v>
      </c>
      <c r="B859" s="5">
        <v>43552</v>
      </c>
      <c r="C859" s="5" t="s">
        <v>134</v>
      </c>
      <c r="D859" s="57" t="s">
        <v>1156</v>
      </c>
      <c r="E859" s="7" t="s">
        <v>140</v>
      </c>
      <c r="F859" s="33">
        <v>4</v>
      </c>
      <c r="G859" s="63">
        <v>-105</v>
      </c>
      <c r="H859" s="9" t="s">
        <v>6</v>
      </c>
      <c r="I85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59" s="36"/>
      <c r="N859" s="40"/>
      <c r="O859" s="37"/>
    </row>
    <row r="860" spans="1:15" x14ac:dyDescent="0.25">
      <c r="A860" s="35">
        <f t="shared" si="26"/>
        <v>73</v>
      </c>
      <c r="B860" s="5">
        <v>43552</v>
      </c>
      <c r="C860" s="5" t="s">
        <v>134</v>
      </c>
      <c r="D860" s="57" t="s">
        <v>1157</v>
      </c>
      <c r="E860" s="7" t="s">
        <v>1154</v>
      </c>
      <c r="F860" s="33">
        <v>4</v>
      </c>
      <c r="G860" s="63">
        <v>-110</v>
      </c>
      <c r="H860" s="9" t="s">
        <v>6</v>
      </c>
      <c r="I86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60" s="36"/>
      <c r="N860" s="40"/>
      <c r="O860" s="37"/>
    </row>
    <row r="861" spans="1:15" x14ac:dyDescent="0.25">
      <c r="A861" s="35">
        <f t="shared" si="26"/>
        <v>73</v>
      </c>
      <c r="B861" s="5">
        <v>43552</v>
      </c>
      <c r="C861" s="5" t="s">
        <v>134</v>
      </c>
      <c r="D861" s="57" t="s">
        <v>1158</v>
      </c>
      <c r="E861" s="7" t="s">
        <v>333</v>
      </c>
      <c r="F861" s="33">
        <v>4</v>
      </c>
      <c r="G861" s="63">
        <v>-105</v>
      </c>
      <c r="H861" s="9" t="s">
        <v>6</v>
      </c>
      <c r="I86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</v>
      </c>
      <c r="J8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61" s="36"/>
      <c r="N861" s="40"/>
      <c r="O861" s="37"/>
    </row>
    <row r="862" spans="1:15" x14ac:dyDescent="0.25">
      <c r="A862" s="35">
        <f t="shared" si="26"/>
        <v>73</v>
      </c>
      <c r="B862" s="5">
        <v>43552</v>
      </c>
      <c r="C862" s="5" t="s">
        <v>419</v>
      </c>
      <c r="D862" s="59" t="s">
        <v>1159</v>
      </c>
      <c r="E862" s="55" t="s">
        <v>1160</v>
      </c>
      <c r="F862" s="33">
        <v>11</v>
      </c>
      <c r="G862" s="67">
        <v>-110</v>
      </c>
      <c r="H862" s="9" t="s">
        <v>36</v>
      </c>
      <c r="I86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62" s="36"/>
      <c r="N862" s="40"/>
      <c r="O862" s="37"/>
    </row>
    <row r="863" spans="1:15" x14ac:dyDescent="0.25">
      <c r="A863" s="35">
        <f t="shared" si="26"/>
        <v>73</v>
      </c>
      <c r="B863" s="5">
        <v>43552</v>
      </c>
      <c r="C863" s="5" t="s">
        <v>419</v>
      </c>
      <c r="D863" s="57" t="s">
        <v>1161</v>
      </c>
      <c r="E863" s="7" t="s">
        <v>1162</v>
      </c>
      <c r="F863" s="33">
        <v>5.5</v>
      </c>
      <c r="G863" s="67">
        <v>-110</v>
      </c>
      <c r="H863" s="9" t="s">
        <v>6</v>
      </c>
      <c r="I86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63" s="36"/>
      <c r="N863" s="40"/>
      <c r="O863" s="37"/>
    </row>
    <row r="864" spans="1:15" x14ac:dyDescent="0.25">
      <c r="A864" s="35">
        <f t="shared" si="26"/>
        <v>74</v>
      </c>
      <c r="B864" s="5">
        <v>43553</v>
      </c>
      <c r="C864" s="5" t="s">
        <v>419</v>
      </c>
      <c r="D864" s="57" t="s">
        <v>1163</v>
      </c>
      <c r="E864" s="7" t="s">
        <v>1164</v>
      </c>
      <c r="F864" s="33">
        <v>21</v>
      </c>
      <c r="G864" s="67">
        <v>-105</v>
      </c>
      <c r="H864" s="9" t="s">
        <v>36</v>
      </c>
      <c r="I86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8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64" s="36"/>
      <c r="N864" s="40"/>
      <c r="O864" s="37"/>
    </row>
    <row r="865" spans="1:15" x14ac:dyDescent="0.25">
      <c r="A865" s="35">
        <f t="shared" si="26"/>
        <v>74</v>
      </c>
      <c r="B865" s="5">
        <v>43553</v>
      </c>
      <c r="C865" s="5" t="s">
        <v>419</v>
      </c>
      <c r="D865" s="57" t="s">
        <v>1165</v>
      </c>
      <c r="E865" s="7" t="s">
        <v>1220</v>
      </c>
      <c r="F865" s="33">
        <v>5.75</v>
      </c>
      <c r="G865" s="67">
        <v>-115</v>
      </c>
      <c r="H865" s="9" t="s">
        <v>6</v>
      </c>
      <c r="I86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-5.75</v>
      </c>
      <c r="J8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65" s="36"/>
      <c r="N865" s="40"/>
      <c r="O865" s="37"/>
    </row>
    <row r="866" spans="1:15" x14ac:dyDescent="0.25">
      <c r="A866" s="35">
        <f t="shared" si="26"/>
        <v>74</v>
      </c>
      <c r="B866" s="5">
        <v>43553</v>
      </c>
      <c r="C866" s="5" t="s">
        <v>419</v>
      </c>
      <c r="D866" s="57" t="s">
        <v>1166</v>
      </c>
      <c r="E866" s="7" t="s">
        <v>1167</v>
      </c>
      <c r="F866" s="33">
        <v>11</v>
      </c>
      <c r="G866" s="67">
        <v>-110</v>
      </c>
      <c r="H866" s="9" t="s">
        <v>6</v>
      </c>
      <c r="I86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8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66" s="36"/>
      <c r="N866" s="40"/>
      <c r="O866" s="37"/>
    </row>
    <row r="867" spans="1:15" x14ac:dyDescent="0.25">
      <c r="A867" s="35">
        <f t="shared" si="26"/>
        <v>75</v>
      </c>
      <c r="B867" s="5">
        <v>43554</v>
      </c>
      <c r="C867" s="5" t="s">
        <v>419</v>
      </c>
      <c r="D867" s="57" t="s">
        <v>1168</v>
      </c>
      <c r="E867" s="7" t="s">
        <v>1169</v>
      </c>
      <c r="F867" s="33">
        <v>10.5</v>
      </c>
      <c r="G867" s="67">
        <v>-105</v>
      </c>
      <c r="H867" s="9" t="s">
        <v>36</v>
      </c>
      <c r="I86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67" s="36"/>
      <c r="N867" s="40"/>
      <c r="O867" s="37"/>
    </row>
    <row r="868" spans="1:15" x14ac:dyDescent="0.25">
      <c r="A868" s="35">
        <f t="shared" si="26"/>
        <v>75</v>
      </c>
      <c r="B868" s="5">
        <v>43554</v>
      </c>
      <c r="C868" s="5" t="s">
        <v>419</v>
      </c>
      <c r="D868" s="57" t="s">
        <v>1170</v>
      </c>
      <c r="E868" s="7" t="s">
        <v>1171</v>
      </c>
      <c r="F868" s="33">
        <v>11</v>
      </c>
      <c r="G868" s="67">
        <v>-110</v>
      </c>
      <c r="H868" s="9" t="s">
        <v>36</v>
      </c>
      <c r="I86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68" s="36"/>
      <c r="N868" s="40"/>
      <c r="O868" s="37"/>
    </row>
    <row r="869" spans="1:15" x14ac:dyDescent="0.25">
      <c r="A869" s="35">
        <f t="shared" si="26"/>
        <v>76</v>
      </c>
      <c r="B869" s="5">
        <v>43555</v>
      </c>
      <c r="C869" s="5" t="s">
        <v>419</v>
      </c>
      <c r="D869" s="57" t="s">
        <v>1172</v>
      </c>
      <c r="E869" s="7" t="s">
        <v>1173</v>
      </c>
      <c r="F869" s="33">
        <v>11</v>
      </c>
      <c r="G869" s="67">
        <v>-110</v>
      </c>
      <c r="H869" s="9" t="s">
        <v>36</v>
      </c>
      <c r="I86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69" s="36"/>
      <c r="N869" s="40"/>
      <c r="O869" s="37"/>
    </row>
    <row r="870" spans="1:15" ht="30" x14ac:dyDescent="0.25">
      <c r="A870" s="35">
        <f t="shared" si="26"/>
        <v>76</v>
      </c>
      <c r="B870" s="5">
        <v>43555</v>
      </c>
      <c r="C870" s="5" t="s">
        <v>419</v>
      </c>
      <c r="D870" s="58" t="s">
        <v>1174</v>
      </c>
      <c r="E870" s="46" t="s">
        <v>1175</v>
      </c>
      <c r="F870" s="33">
        <v>7.56</v>
      </c>
      <c r="G870" s="67">
        <v>264.39999999999998</v>
      </c>
      <c r="H870" s="9" t="s">
        <v>36</v>
      </c>
      <c r="I87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19.988639999999997</v>
      </c>
      <c r="J8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K870" s="36"/>
      <c r="N870" s="40"/>
      <c r="O870" s="37"/>
    </row>
    <row r="871" spans="1:15" x14ac:dyDescent="0.25">
      <c r="A871" s="35">
        <f t="shared" si="26"/>
        <v>76</v>
      </c>
      <c r="B871" s="5">
        <v>43555</v>
      </c>
      <c r="C871" s="5" t="s">
        <v>419</v>
      </c>
      <c r="D871" s="57" t="s">
        <v>1176</v>
      </c>
      <c r="E871" s="7" t="s">
        <v>693</v>
      </c>
      <c r="F871" s="33">
        <v>10.5</v>
      </c>
      <c r="G871" s="67">
        <v>-105</v>
      </c>
      <c r="H871" s="9" t="s">
        <v>36</v>
      </c>
      <c r="I87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71" s="36"/>
      <c r="N871" s="40"/>
      <c r="O871" s="37"/>
    </row>
    <row r="872" spans="1:15" x14ac:dyDescent="0.25">
      <c r="A872" s="35">
        <f t="shared" si="26"/>
        <v>76</v>
      </c>
      <c r="B872" s="5">
        <v>43555</v>
      </c>
      <c r="C872" s="5" t="s">
        <v>419</v>
      </c>
      <c r="D872" s="57" t="s">
        <v>1176</v>
      </c>
      <c r="E872" s="7" t="s">
        <v>1177</v>
      </c>
      <c r="F872" s="33">
        <v>11</v>
      </c>
      <c r="G872" s="67">
        <v>-110</v>
      </c>
      <c r="H872" s="9" t="s">
        <v>6</v>
      </c>
      <c r="I87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8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72" s="36"/>
      <c r="N872" s="40"/>
      <c r="O872" s="37"/>
    </row>
    <row r="873" spans="1:15" x14ac:dyDescent="0.25">
      <c r="A873" s="35">
        <f t="shared" si="26"/>
        <v>77</v>
      </c>
      <c r="B873" s="5">
        <v>43557</v>
      </c>
      <c r="C873" s="5" t="s">
        <v>134</v>
      </c>
      <c r="D873" s="57" t="s">
        <v>406</v>
      </c>
      <c r="E873" s="7" t="s">
        <v>1183</v>
      </c>
      <c r="F873" s="33">
        <v>5.5</v>
      </c>
      <c r="G873" s="63">
        <v>-110</v>
      </c>
      <c r="H873" s="9" t="s">
        <v>6</v>
      </c>
      <c r="I87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8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73"/>
      <c r="N873" s="40"/>
      <c r="O873" s="37"/>
    </row>
    <row r="874" spans="1:15" x14ac:dyDescent="0.25">
      <c r="A874" s="35">
        <f t="shared" si="26"/>
        <v>77</v>
      </c>
      <c r="B874" s="5">
        <v>43557</v>
      </c>
      <c r="C874" s="5" t="s">
        <v>134</v>
      </c>
      <c r="D874" s="57" t="s">
        <v>724</v>
      </c>
      <c r="E874" s="7" t="s">
        <v>225</v>
      </c>
      <c r="F874" s="33">
        <v>11.5</v>
      </c>
      <c r="G874" s="63">
        <v>-115</v>
      </c>
      <c r="H874" s="9" t="s">
        <v>6</v>
      </c>
      <c r="I87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-11.5</v>
      </c>
      <c r="J8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74"/>
      <c r="N874" s="40"/>
      <c r="O874" s="37"/>
    </row>
    <row r="875" spans="1:15" x14ac:dyDescent="0.25">
      <c r="A875" s="35">
        <f t="shared" si="26"/>
        <v>77</v>
      </c>
      <c r="B875" s="5">
        <v>43557</v>
      </c>
      <c r="C875" s="5" t="s">
        <v>134</v>
      </c>
      <c r="D875" s="57" t="s">
        <v>1184</v>
      </c>
      <c r="E875" s="7" t="s">
        <v>174</v>
      </c>
      <c r="F875" s="33">
        <v>5.25</v>
      </c>
      <c r="G875" s="63">
        <v>-105</v>
      </c>
      <c r="H875" s="9" t="s">
        <v>6</v>
      </c>
      <c r="I87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-5.25</v>
      </c>
      <c r="J8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75"/>
      <c r="N875" s="40"/>
      <c r="O875" s="37"/>
    </row>
    <row r="876" spans="1:15" x14ac:dyDescent="0.25">
      <c r="A876" s="35">
        <f t="shared" si="26"/>
        <v>77</v>
      </c>
      <c r="B876" s="5">
        <v>43557</v>
      </c>
      <c r="C876" s="5" t="s">
        <v>134</v>
      </c>
      <c r="D876" s="57" t="s">
        <v>1184</v>
      </c>
      <c r="E876" s="7" t="s">
        <v>1185</v>
      </c>
      <c r="F876" s="33">
        <v>10.5</v>
      </c>
      <c r="G876" s="63">
        <v>-105</v>
      </c>
      <c r="H876" s="9" t="s">
        <v>6</v>
      </c>
      <c r="I87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-10.5</v>
      </c>
      <c r="J8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76"/>
      <c r="N876" s="40"/>
      <c r="O876" s="37"/>
    </row>
    <row r="877" spans="1:15" x14ac:dyDescent="0.25">
      <c r="A877" s="35">
        <f t="shared" si="26"/>
        <v>78</v>
      </c>
      <c r="B877" s="5">
        <v>43558</v>
      </c>
      <c r="C877" s="5" t="s">
        <v>134</v>
      </c>
      <c r="D877" s="57" t="s">
        <v>1188</v>
      </c>
      <c r="E877" s="7" t="s">
        <v>1189</v>
      </c>
      <c r="F877" s="33">
        <v>1.1000000000000001</v>
      </c>
      <c r="G877" s="63">
        <v>-110</v>
      </c>
      <c r="H877" s="9" t="s">
        <v>36</v>
      </c>
      <c r="I87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8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77"/>
      <c r="N877" s="40"/>
      <c r="O877" s="37"/>
    </row>
    <row r="878" spans="1:15" x14ac:dyDescent="0.25">
      <c r="A878" s="35">
        <f t="shared" si="26"/>
        <v>78</v>
      </c>
      <c r="B878" s="5">
        <v>43558</v>
      </c>
      <c r="C878" s="5" t="s">
        <v>134</v>
      </c>
      <c r="D878" s="57" t="s">
        <v>1190</v>
      </c>
      <c r="E878" s="7" t="s">
        <v>641</v>
      </c>
      <c r="F878" s="33">
        <v>1.05</v>
      </c>
      <c r="G878" s="63">
        <v>-105</v>
      </c>
      <c r="H878" s="9" t="s">
        <v>6</v>
      </c>
      <c r="I87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-1.05</v>
      </c>
      <c r="J8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78"/>
      <c r="N878" s="40"/>
      <c r="O878" s="37"/>
    </row>
    <row r="879" spans="1:15" x14ac:dyDescent="0.25">
      <c r="A879" s="35">
        <f t="shared" si="26"/>
        <v>78</v>
      </c>
      <c r="B879" s="5">
        <v>43558</v>
      </c>
      <c r="C879" s="5" t="s">
        <v>134</v>
      </c>
      <c r="D879" s="57" t="s">
        <v>1191</v>
      </c>
      <c r="E879" s="7" t="s">
        <v>1192</v>
      </c>
      <c r="F879" s="33">
        <v>1.1000000000000001</v>
      </c>
      <c r="G879" s="63">
        <v>-110</v>
      </c>
      <c r="H879" s="9" t="s">
        <v>6</v>
      </c>
      <c r="I87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8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79"/>
      <c r="N879" s="40"/>
      <c r="O879" s="37"/>
    </row>
    <row r="880" spans="1:15" x14ac:dyDescent="0.25">
      <c r="A880" s="35">
        <f t="shared" si="26"/>
        <v>78</v>
      </c>
      <c r="B880" s="5">
        <v>43558</v>
      </c>
      <c r="C880" s="5" t="s">
        <v>134</v>
      </c>
      <c r="D880" s="57" t="s">
        <v>1193</v>
      </c>
      <c r="E880" s="7" t="s">
        <v>1006</v>
      </c>
      <c r="F880" s="33">
        <v>1.1000000000000001</v>
      </c>
      <c r="G880" s="63">
        <v>-110</v>
      </c>
      <c r="H880" s="9" t="s">
        <v>6</v>
      </c>
      <c r="I88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8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80"/>
      <c r="N880" s="40"/>
      <c r="O880" s="37"/>
    </row>
    <row r="881" spans="1:15" x14ac:dyDescent="0.25">
      <c r="A881" s="35">
        <f t="shared" si="26"/>
        <v>78</v>
      </c>
      <c r="B881" s="5">
        <v>43558</v>
      </c>
      <c r="C881" s="5" t="s">
        <v>134</v>
      </c>
      <c r="D881" s="57" t="s">
        <v>1193</v>
      </c>
      <c r="E881" s="7" t="s">
        <v>954</v>
      </c>
      <c r="F881" s="33">
        <v>1.1000000000000001</v>
      </c>
      <c r="G881" s="63">
        <v>-110</v>
      </c>
      <c r="H881" s="9" t="s">
        <v>6</v>
      </c>
      <c r="I88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8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81"/>
      <c r="N881" s="40"/>
      <c r="O881" s="37"/>
    </row>
    <row r="882" spans="1:15" x14ac:dyDescent="0.25">
      <c r="A882" s="35">
        <f t="shared" si="26"/>
        <v>78</v>
      </c>
      <c r="B882" s="5">
        <v>43558</v>
      </c>
      <c r="C882" s="5" t="s">
        <v>134</v>
      </c>
      <c r="D882" s="57" t="s">
        <v>1194</v>
      </c>
      <c r="E882" s="7" t="s">
        <v>1195</v>
      </c>
      <c r="F882" s="33">
        <v>1.1000000000000001</v>
      </c>
      <c r="G882" s="63">
        <v>-110</v>
      </c>
      <c r="H882" s="9" t="s">
        <v>6</v>
      </c>
      <c r="I88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8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82"/>
      <c r="N882" s="40"/>
      <c r="O882" s="37"/>
    </row>
    <row r="883" spans="1:15" x14ac:dyDescent="0.25">
      <c r="A883" s="35">
        <f t="shared" si="26"/>
        <v>78</v>
      </c>
      <c r="B883" s="5">
        <v>43558</v>
      </c>
      <c r="C883" s="5" t="s">
        <v>134</v>
      </c>
      <c r="D883" s="57" t="s">
        <v>1194</v>
      </c>
      <c r="E883" s="7" t="s">
        <v>264</v>
      </c>
      <c r="F883" s="33">
        <v>1.05</v>
      </c>
      <c r="G883" s="63">
        <v>-105</v>
      </c>
      <c r="H883" s="9" t="s">
        <v>36</v>
      </c>
      <c r="I88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8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83"/>
      <c r="N883" s="40"/>
      <c r="O883" s="37"/>
    </row>
    <row r="884" spans="1:15" x14ac:dyDescent="0.25">
      <c r="A884" s="35">
        <f t="shared" si="26"/>
        <v>79</v>
      </c>
      <c r="B884" s="5">
        <v>43559</v>
      </c>
      <c r="C884" s="5" t="s">
        <v>134</v>
      </c>
      <c r="D884" s="57" t="s">
        <v>1082</v>
      </c>
      <c r="E884" s="7" t="s">
        <v>1196</v>
      </c>
      <c r="F884" s="33">
        <v>1.1000000000000001</v>
      </c>
      <c r="G884" s="63">
        <v>-110</v>
      </c>
      <c r="H884" s="9" t="s">
        <v>6</v>
      </c>
      <c r="I88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8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84"/>
      <c r="N884" s="40"/>
      <c r="O884" s="37"/>
    </row>
    <row r="885" spans="1:15" x14ac:dyDescent="0.25">
      <c r="A885" s="35">
        <f t="shared" si="26"/>
        <v>79</v>
      </c>
      <c r="B885" s="5">
        <v>43559</v>
      </c>
      <c r="C885" s="5" t="s">
        <v>134</v>
      </c>
      <c r="D885" s="57" t="s">
        <v>1197</v>
      </c>
      <c r="E885" s="7" t="s">
        <v>1198</v>
      </c>
      <c r="F885" s="33">
        <v>1.1000000000000001</v>
      </c>
      <c r="G885" s="63">
        <v>-110</v>
      </c>
      <c r="H885" s="9" t="s">
        <v>36</v>
      </c>
      <c r="I88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8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85"/>
      <c r="N885" s="40"/>
      <c r="O885" s="37"/>
    </row>
    <row r="886" spans="1:15" x14ac:dyDescent="0.25">
      <c r="A886" s="35">
        <f t="shared" si="26"/>
        <v>80</v>
      </c>
      <c r="B886" s="5">
        <v>43561</v>
      </c>
      <c r="C886" s="5" t="s">
        <v>419</v>
      </c>
      <c r="D886" s="57" t="s">
        <v>1203</v>
      </c>
      <c r="E886" s="6" t="s">
        <v>1204</v>
      </c>
      <c r="F886" s="33">
        <v>21.29</v>
      </c>
      <c r="G886" s="63">
        <v>-110</v>
      </c>
      <c r="H886" s="9" t="s">
        <v>6</v>
      </c>
      <c r="I88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-21.29</v>
      </c>
      <c r="J8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86" s="36"/>
      <c r="N886" s="40"/>
      <c r="O886" s="37"/>
    </row>
    <row r="887" spans="1:15" x14ac:dyDescent="0.25">
      <c r="A887" s="35">
        <f t="shared" si="26"/>
        <v>80</v>
      </c>
      <c r="B887" s="5">
        <v>43561</v>
      </c>
      <c r="C887" s="5" t="s">
        <v>419</v>
      </c>
      <c r="D887" s="57" t="s">
        <v>1203</v>
      </c>
      <c r="E887" s="7" t="s">
        <v>1205</v>
      </c>
      <c r="F887" s="33">
        <v>22</v>
      </c>
      <c r="G887" s="63">
        <v>-110</v>
      </c>
      <c r="H887" s="9" t="s">
        <v>36</v>
      </c>
      <c r="I88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8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87" s="36"/>
      <c r="N887" s="40"/>
      <c r="O887" s="37"/>
    </row>
    <row r="888" spans="1:15" x14ac:dyDescent="0.25">
      <c r="A888" s="35">
        <f t="shared" si="26"/>
        <v>80</v>
      </c>
      <c r="B888" s="5">
        <v>43561</v>
      </c>
      <c r="C888" s="5" t="s">
        <v>419</v>
      </c>
      <c r="D888" s="57" t="s">
        <v>1206</v>
      </c>
      <c r="E888" s="7" t="s">
        <v>1207</v>
      </c>
      <c r="F888" s="33">
        <v>22</v>
      </c>
      <c r="G888" s="63">
        <v>-110</v>
      </c>
      <c r="H888" s="9" t="s">
        <v>36</v>
      </c>
      <c r="I88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8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88" s="36"/>
      <c r="N888" s="40"/>
      <c r="O888" s="37"/>
    </row>
    <row r="889" spans="1:15" x14ac:dyDescent="0.25">
      <c r="A889" s="35">
        <f t="shared" si="26"/>
        <v>80</v>
      </c>
      <c r="B889" s="5">
        <v>43561</v>
      </c>
      <c r="C889" s="5" t="s">
        <v>419</v>
      </c>
      <c r="D889" s="57" t="s">
        <v>1206</v>
      </c>
      <c r="E889" s="7" t="s">
        <v>676</v>
      </c>
      <c r="F889" s="33">
        <v>10.5</v>
      </c>
      <c r="G889" s="63">
        <v>-105</v>
      </c>
      <c r="H889" s="9" t="s">
        <v>36</v>
      </c>
      <c r="I88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889" s="36"/>
      <c r="N889" s="40"/>
      <c r="O889" s="37"/>
    </row>
    <row r="890" spans="1:15" x14ac:dyDescent="0.25">
      <c r="A890" s="35">
        <f t="shared" si="26"/>
        <v>81</v>
      </c>
      <c r="B890" s="5">
        <v>43563</v>
      </c>
      <c r="C890" s="5" t="s">
        <v>419</v>
      </c>
      <c r="D890" s="57" t="s">
        <v>1208</v>
      </c>
      <c r="E890" s="7" t="s">
        <v>1209</v>
      </c>
      <c r="F890" s="33">
        <v>22</v>
      </c>
      <c r="G890" s="63">
        <v>-110</v>
      </c>
      <c r="H890" s="9" t="s">
        <v>36</v>
      </c>
      <c r="I89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8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K890" s="36"/>
      <c r="N890" s="40"/>
      <c r="O890" s="37"/>
    </row>
    <row r="891" spans="1:15" x14ac:dyDescent="0.25">
      <c r="A891" s="35">
        <f t="shared" si="26"/>
        <v>81</v>
      </c>
      <c r="B891" s="5">
        <v>43563</v>
      </c>
      <c r="C891" s="5" t="s">
        <v>419</v>
      </c>
      <c r="D891" s="57" t="s">
        <v>1208</v>
      </c>
      <c r="E891" s="7" t="s">
        <v>478</v>
      </c>
      <c r="F891" s="33">
        <v>23</v>
      </c>
      <c r="G891" s="63">
        <v>-115</v>
      </c>
      <c r="H891" s="9" t="s">
        <v>36</v>
      </c>
      <c r="I891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8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91" s="36"/>
      <c r="N891" s="40"/>
      <c r="O891" s="37"/>
    </row>
    <row r="892" spans="1:15" x14ac:dyDescent="0.25">
      <c r="A892" s="35">
        <f t="shared" si="26"/>
        <v>82</v>
      </c>
      <c r="B892" s="5">
        <v>43567</v>
      </c>
      <c r="C892" s="5" t="s">
        <v>1210</v>
      </c>
      <c r="D892" s="57" t="s">
        <v>1211</v>
      </c>
      <c r="E892" s="7" t="s">
        <v>1212</v>
      </c>
      <c r="F892" s="33">
        <v>20</v>
      </c>
      <c r="G892" s="63">
        <v>105</v>
      </c>
      <c r="H892" s="9" t="s">
        <v>6</v>
      </c>
      <c r="I892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8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92" s="36"/>
      <c r="N892" s="40"/>
      <c r="O892" s="37"/>
    </row>
    <row r="893" spans="1:15" x14ac:dyDescent="0.25">
      <c r="A893" s="35">
        <f t="shared" si="26"/>
        <v>82</v>
      </c>
      <c r="B893" s="5">
        <v>43567</v>
      </c>
      <c r="C893" s="5" t="s">
        <v>1210</v>
      </c>
      <c r="D893" s="57" t="s">
        <v>1211</v>
      </c>
      <c r="E893" s="7" t="s">
        <v>1213</v>
      </c>
      <c r="F893" s="33">
        <v>10</v>
      </c>
      <c r="G893" s="63">
        <v>295</v>
      </c>
      <c r="H893" s="9" t="s">
        <v>6</v>
      </c>
      <c r="I893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8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893" s="36"/>
      <c r="N893" s="40"/>
      <c r="O893" s="37"/>
    </row>
    <row r="894" spans="1:15" x14ac:dyDescent="0.25">
      <c r="A894" s="35">
        <f t="shared" si="26"/>
        <v>82</v>
      </c>
      <c r="B894" s="5">
        <v>43567</v>
      </c>
      <c r="C894" s="5" t="s">
        <v>1210</v>
      </c>
      <c r="D894" s="57" t="s">
        <v>1211</v>
      </c>
      <c r="E894" s="7" t="s">
        <v>1219</v>
      </c>
      <c r="F894" s="33">
        <v>8.5</v>
      </c>
      <c r="G894" s="63">
        <v>120</v>
      </c>
      <c r="H894" s="9" t="s">
        <v>65</v>
      </c>
      <c r="I894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8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94" s="36"/>
      <c r="N894" s="40"/>
      <c r="O894" s="37"/>
    </row>
    <row r="895" spans="1:15" x14ac:dyDescent="0.25">
      <c r="A895" s="35">
        <f t="shared" si="26"/>
        <v>83</v>
      </c>
      <c r="B895" s="5">
        <v>43570</v>
      </c>
      <c r="C895" s="5" t="s">
        <v>134</v>
      </c>
      <c r="D895" s="57" t="s">
        <v>1214</v>
      </c>
      <c r="E895" s="7" t="s">
        <v>1215</v>
      </c>
      <c r="F895" s="33">
        <v>11</v>
      </c>
      <c r="G895" s="63">
        <v>-110</v>
      </c>
      <c r="H895" s="9" t="s">
        <v>36</v>
      </c>
      <c r="I895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95" s="36"/>
      <c r="N895" s="40"/>
      <c r="O895" s="37"/>
    </row>
    <row r="896" spans="1:15" x14ac:dyDescent="0.25">
      <c r="A896" s="35">
        <f t="shared" si="26"/>
        <v>83</v>
      </c>
      <c r="B896" s="5">
        <v>43570</v>
      </c>
      <c r="C896" s="5" t="s">
        <v>134</v>
      </c>
      <c r="D896" s="57" t="s">
        <v>1216</v>
      </c>
      <c r="E896" s="7" t="s">
        <v>1217</v>
      </c>
      <c r="F896" s="33">
        <v>11</v>
      </c>
      <c r="G896" s="63">
        <v>-110</v>
      </c>
      <c r="H896" s="9" t="s">
        <v>36</v>
      </c>
      <c r="I896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K896" s="36"/>
      <c r="N896" s="40"/>
      <c r="O896" s="37"/>
    </row>
    <row r="897" spans="1:15" x14ac:dyDescent="0.25">
      <c r="A897" s="35">
        <f t="shared" si="26"/>
        <v>83</v>
      </c>
      <c r="B897" s="5">
        <v>43570</v>
      </c>
      <c r="C897" s="5" t="s">
        <v>134</v>
      </c>
      <c r="D897" s="57" t="s">
        <v>1216</v>
      </c>
      <c r="E897" s="7" t="s">
        <v>1218</v>
      </c>
      <c r="F897" s="33">
        <v>11.5</v>
      </c>
      <c r="G897" s="63">
        <v>-115</v>
      </c>
      <c r="H897" s="9" t="s">
        <v>36</v>
      </c>
      <c r="I897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8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K897" s="36"/>
      <c r="N897" s="40"/>
      <c r="O897" s="37"/>
    </row>
    <row r="898" spans="1:15" x14ac:dyDescent="0.25">
      <c r="A898" s="35">
        <f t="shared" si="26"/>
        <v>84</v>
      </c>
      <c r="B898" s="5">
        <v>43571</v>
      </c>
      <c r="C898" s="5" t="s">
        <v>134</v>
      </c>
      <c r="D898" s="57" t="s">
        <v>1225</v>
      </c>
      <c r="E898" s="7" t="s">
        <v>1226</v>
      </c>
      <c r="F898" s="33">
        <v>20</v>
      </c>
      <c r="G898" s="63">
        <v>-110</v>
      </c>
      <c r="H898" s="9" t="s">
        <v>36</v>
      </c>
      <c r="I898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8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898" s="40"/>
      <c r="N898" s="37"/>
    </row>
    <row r="899" spans="1:15" x14ac:dyDescent="0.25">
      <c r="A899" s="35">
        <f t="shared" si="26"/>
        <v>84</v>
      </c>
      <c r="B899" s="5">
        <v>43571</v>
      </c>
      <c r="C899" s="5" t="s">
        <v>134</v>
      </c>
      <c r="D899" s="57" t="s">
        <v>266</v>
      </c>
      <c r="E899" s="7" t="s">
        <v>1227</v>
      </c>
      <c r="F899" s="33">
        <v>22</v>
      </c>
      <c r="G899" s="63">
        <v>-110</v>
      </c>
      <c r="H899" s="9" t="s">
        <v>6</v>
      </c>
      <c r="I899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-22</v>
      </c>
      <c r="J8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899" s="40"/>
      <c r="N899" s="37"/>
    </row>
    <row r="900" spans="1:15" x14ac:dyDescent="0.25">
      <c r="A900" s="35">
        <f t="shared" ref="A900:A963" si="27">IF(B900=B899,A899,A899+1)</f>
        <v>84</v>
      </c>
      <c r="B900" s="5">
        <v>43571</v>
      </c>
      <c r="C900" s="5" t="s">
        <v>134</v>
      </c>
      <c r="D900" s="57" t="s">
        <v>266</v>
      </c>
      <c r="E900" s="7" t="s">
        <v>202</v>
      </c>
      <c r="F900" s="33">
        <v>23</v>
      </c>
      <c r="G900" s="63">
        <v>-115</v>
      </c>
      <c r="H900" s="9" t="s">
        <v>6</v>
      </c>
      <c r="I900" s="8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-23</v>
      </c>
      <c r="J9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L900" s="40"/>
      <c r="N900" s="37"/>
    </row>
    <row r="901" spans="1:15" x14ac:dyDescent="0.25">
      <c r="A901" s="35">
        <f t="shared" si="27"/>
        <v>85</v>
      </c>
      <c r="B901" s="5">
        <v>43573</v>
      </c>
      <c r="C901" s="5" t="s">
        <v>134</v>
      </c>
      <c r="D901" s="57" t="s">
        <v>1228</v>
      </c>
      <c r="E901" s="7" t="s">
        <v>1229</v>
      </c>
      <c r="F901" s="33">
        <v>11</v>
      </c>
      <c r="G901" s="73">
        <v>-110</v>
      </c>
      <c r="H901" s="9" t="s">
        <v>6</v>
      </c>
      <c r="I9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9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01" s="40"/>
      <c r="N901" s="37"/>
    </row>
    <row r="902" spans="1:15" x14ac:dyDescent="0.25">
      <c r="A902" s="35">
        <f t="shared" si="27"/>
        <v>85</v>
      </c>
      <c r="B902" s="5">
        <v>43573</v>
      </c>
      <c r="C902" s="5" t="s">
        <v>134</v>
      </c>
      <c r="D902" s="57" t="s">
        <v>430</v>
      </c>
      <c r="E902" s="7" t="s">
        <v>1230</v>
      </c>
      <c r="F902" s="33">
        <v>11</v>
      </c>
      <c r="G902" s="73">
        <v>-110</v>
      </c>
      <c r="H902" s="9" t="s">
        <v>6</v>
      </c>
      <c r="I9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-11</v>
      </c>
      <c r="J9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02" s="40"/>
      <c r="N902" s="37"/>
    </row>
    <row r="903" spans="1:15" x14ac:dyDescent="0.25">
      <c r="A903" s="35">
        <f t="shared" si="27"/>
        <v>85</v>
      </c>
      <c r="B903" s="5">
        <v>43573</v>
      </c>
      <c r="C903" s="5" t="s">
        <v>134</v>
      </c>
      <c r="D903" s="57" t="s">
        <v>430</v>
      </c>
      <c r="E903" s="7" t="s">
        <v>1231</v>
      </c>
      <c r="F903" s="33">
        <v>11.5</v>
      </c>
      <c r="G903" s="73">
        <v>-115</v>
      </c>
      <c r="H903" s="9" t="s">
        <v>36</v>
      </c>
      <c r="I9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9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L903" s="40"/>
      <c r="N903" s="37"/>
    </row>
    <row r="904" spans="1:15" x14ac:dyDescent="0.25">
      <c r="A904" s="35">
        <f t="shared" si="27"/>
        <v>86</v>
      </c>
      <c r="B904" s="5">
        <v>43574</v>
      </c>
      <c r="C904" s="5" t="s">
        <v>134</v>
      </c>
      <c r="D904" s="57" t="s">
        <v>1234</v>
      </c>
      <c r="E904" s="7" t="s">
        <v>1235</v>
      </c>
      <c r="F904" s="33">
        <v>5.5</v>
      </c>
      <c r="G904" s="63">
        <v>-110</v>
      </c>
      <c r="H904" s="9" t="s">
        <v>6</v>
      </c>
      <c r="I9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9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04" s="40"/>
      <c r="N904" s="37"/>
    </row>
    <row r="905" spans="1:15" x14ac:dyDescent="0.25">
      <c r="A905" s="35">
        <f t="shared" si="27"/>
        <v>86</v>
      </c>
      <c r="B905" s="5">
        <v>43574</v>
      </c>
      <c r="C905" s="5" t="s">
        <v>134</v>
      </c>
      <c r="D905" s="57" t="s">
        <v>1234</v>
      </c>
      <c r="E905" s="7" t="s">
        <v>1240</v>
      </c>
      <c r="F905" s="33">
        <v>5.75</v>
      </c>
      <c r="G905" s="63">
        <v>-115</v>
      </c>
      <c r="H905" s="9" t="s">
        <v>36</v>
      </c>
      <c r="I9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</v>
      </c>
      <c r="J9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L905" s="40"/>
      <c r="N905" s="37"/>
    </row>
    <row r="906" spans="1:15" x14ac:dyDescent="0.25">
      <c r="A906" s="35">
        <f t="shared" si="27"/>
        <v>86</v>
      </c>
      <c r="B906" s="5">
        <v>43574</v>
      </c>
      <c r="C906" s="5" t="s">
        <v>134</v>
      </c>
      <c r="D906" s="57" t="s">
        <v>1236</v>
      </c>
      <c r="E906" s="7" t="s">
        <v>1237</v>
      </c>
      <c r="F906" s="33">
        <v>5.5</v>
      </c>
      <c r="G906" s="63">
        <v>-110</v>
      </c>
      <c r="H906" s="9" t="s">
        <v>6</v>
      </c>
      <c r="I9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-5.5</v>
      </c>
      <c r="J9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06" s="40"/>
      <c r="N906" s="37"/>
    </row>
    <row r="907" spans="1:15" x14ac:dyDescent="0.25">
      <c r="A907" s="35">
        <f t="shared" si="27"/>
        <v>86</v>
      </c>
      <c r="B907" s="5">
        <v>43574</v>
      </c>
      <c r="C907" s="5" t="s">
        <v>134</v>
      </c>
      <c r="D907" s="57" t="s">
        <v>1238</v>
      </c>
      <c r="E907" s="7" t="s">
        <v>1239</v>
      </c>
      <c r="F907" s="33">
        <v>5.75</v>
      </c>
      <c r="G907" s="63">
        <v>-115</v>
      </c>
      <c r="H907" s="9" t="s">
        <v>6</v>
      </c>
      <c r="I9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-5.75</v>
      </c>
      <c r="J9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  <c r="L907" s="40"/>
      <c r="N907" s="37"/>
    </row>
    <row r="908" spans="1:15" x14ac:dyDescent="0.25">
      <c r="A908" s="35">
        <f t="shared" si="27"/>
        <v>87</v>
      </c>
      <c r="B908" s="5">
        <v>43581</v>
      </c>
      <c r="C908" s="5" t="s">
        <v>1186</v>
      </c>
      <c r="D908" s="57" t="s">
        <v>1241</v>
      </c>
      <c r="E908" s="7" t="s">
        <v>1242</v>
      </c>
      <c r="F908" s="33">
        <v>1</v>
      </c>
      <c r="G908" s="63">
        <v>-172</v>
      </c>
      <c r="H908" s="9" t="s">
        <v>36</v>
      </c>
      <c r="I9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0.58139534883720934</v>
      </c>
      <c r="J9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08" s="40"/>
      <c r="N908" s="37"/>
    </row>
    <row r="909" spans="1:15" x14ac:dyDescent="0.25">
      <c r="A909" s="35">
        <f t="shared" si="27"/>
        <v>87</v>
      </c>
      <c r="B909" s="5">
        <v>43581</v>
      </c>
      <c r="C909" s="5" t="s">
        <v>1186</v>
      </c>
      <c r="D909" s="57" t="s">
        <v>1243</v>
      </c>
      <c r="E909" s="7" t="s">
        <v>1244</v>
      </c>
      <c r="F909" s="33">
        <v>1</v>
      </c>
      <c r="G909" s="63">
        <v>-172</v>
      </c>
      <c r="H909" s="9" t="s">
        <v>6</v>
      </c>
      <c r="I9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09" s="40"/>
      <c r="N909" s="37"/>
    </row>
    <row r="910" spans="1:15" x14ac:dyDescent="0.25">
      <c r="A910" s="35">
        <f t="shared" si="27"/>
        <v>87</v>
      </c>
      <c r="B910" s="5">
        <v>43581</v>
      </c>
      <c r="C910" s="5" t="s">
        <v>1186</v>
      </c>
      <c r="D910" s="57" t="s">
        <v>1245</v>
      </c>
      <c r="E910" s="7" t="s">
        <v>1246</v>
      </c>
      <c r="F910" s="33">
        <v>1</v>
      </c>
      <c r="G910" s="63">
        <v>-124</v>
      </c>
      <c r="H910" s="9" t="s">
        <v>6</v>
      </c>
      <c r="I9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10" s="40"/>
      <c r="N910" s="37"/>
    </row>
    <row r="911" spans="1:15" x14ac:dyDescent="0.25">
      <c r="A911" s="35">
        <f t="shared" si="27"/>
        <v>87</v>
      </c>
      <c r="B911" s="5">
        <v>43581</v>
      </c>
      <c r="C911" s="5" t="s">
        <v>1186</v>
      </c>
      <c r="D911" s="57" t="s">
        <v>1247</v>
      </c>
      <c r="E911" s="7" t="s">
        <v>1248</v>
      </c>
      <c r="F911" s="33">
        <v>1</v>
      </c>
      <c r="G911" s="63">
        <v>-152</v>
      </c>
      <c r="H911" s="9" t="s">
        <v>6</v>
      </c>
      <c r="I9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11" s="40"/>
      <c r="N911" s="37"/>
    </row>
    <row r="912" spans="1:15" x14ac:dyDescent="0.25">
      <c r="A912" s="35">
        <f t="shared" si="27"/>
        <v>87</v>
      </c>
      <c r="B912" s="5">
        <v>43581</v>
      </c>
      <c r="C912" s="5" t="s">
        <v>1186</v>
      </c>
      <c r="D912" s="57" t="s">
        <v>1249</v>
      </c>
      <c r="E912" s="7" t="s">
        <v>1250</v>
      </c>
      <c r="F912" s="33">
        <v>1</v>
      </c>
      <c r="G912" s="63">
        <v>-157</v>
      </c>
      <c r="H912" s="9" t="s">
        <v>36</v>
      </c>
      <c r="I9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0.63694267515923575</v>
      </c>
      <c r="J9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12" s="40"/>
      <c r="N912" s="37"/>
    </row>
    <row r="913" spans="1:14" x14ac:dyDescent="0.25">
      <c r="A913" s="35">
        <f t="shared" si="27"/>
        <v>87</v>
      </c>
      <c r="B913" s="5">
        <v>43581</v>
      </c>
      <c r="C913" s="5" t="s">
        <v>1186</v>
      </c>
      <c r="D913" s="57" t="s">
        <v>1251</v>
      </c>
      <c r="E913" s="7" t="s">
        <v>1252</v>
      </c>
      <c r="F913" s="33">
        <v>1</v>
      </c>
      <c r="G913" s="63">
        <v>-130</v>
      </c>
      <c r="H913" s="9" t="s">
        <v>36</v>
      </c>
      <c r="I9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0.76923076923076927</v>
      </c>
      <c r="J9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13" s="40"/>
      <c r="N913" s="37"/>
    </row>
    <row r="914" spans="1:14" x14ac:dyDescent="0.25">
      <c r="A914" s="35">
        <f t="shared" si="27"/>
        <v>87</v>
      </c>
      <c r="B914" s="5">
        <v>43581</v>
      </c>
      <c r="C914" s="5" t="s">
        <v>1186</v>
      </c>
      <c r="D914" s="57" t="s">
        <v>1253</v>
      </c>
      <c r="E914" s="7" t="s">
        <v>1254</v>
      </c>
      <c r="F914" s="33">
        <v>1</v>
      </c>
      <c r="G914" s="63">
        <v>-115</v>
      </c>
      <c r="H914" s="9" t="s">
        <v>65</v>
      </c>
      <c r="I9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14" s="40"/>
      <c r="N914" s="37"/>
    </row>
    <row r="915" spans="1:14" x14ac:dyDescent="0.25">
      <c r="A915" s="35">
        <f t="shared" si="27"/>
        <v>87</v>
      </c>
      <c r="B915" s="5">
        <v>43581</v>
      </c>
      <c r="C915" s="5" t="s">
        <v>1186</v>
      </c>
      <c r="D915" s="57" t="s">
        <v>1255</v>
      </c>
      <c r="E915" s="7" t="s">
        <v>1256</v>
      </c>
      <c r="F915" s="33">
        <v>1</v>
      </c>
      <c r="G915" s="63">
        <v>105</v>
      </c>
      <c r="H915" s="9" t="s">
        <v>36</v>
      </c>
      <c r="I9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1.05</v>
      </c>
      <c r="J9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15" s="40"/>
      <c r="N915" s="37"/>
    </row>
    <row r="916" spans="1:14" x14ac:dyDescent="0.25">
      <c r="A916" s="35">
        <f t="shared" si="27"/>
        <v>87</v>
      </c>
      <c r="B916" s="5">
        <v>43581</v>
      </c>
      <c r="C916" s="5" t="s">
        <v>1186</v>
      </c>
      <c r="D916" s="57" t="s">
        <v>1257</v>
      </c>
      <c r="E916" s="7" t="s">
        <v>1258</v>
      </c>
      <c r="F916" s="33">
        <v>1</v>
      </c>
      <c r="G916" s="63">
        <v>-125</v>
      </c>
      <c r="H916" s="9" t="s">
        <v>6</v>
      </c>
      <c r="I9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16" s="40"/>
      <c r="N916" s="37"/>
    </row>
    <row r="917" spans="1:14" x14ac:dyDescent="0.25">
      <c r="A917" s="35">
        <f t="shared" si="27"/>
        <v>87</v>
      </c>
      <c r="B917" s="5">
        <v>43581</v>
      </c>
      <c r="C917" s="5" t="s">
        <v>1186</v>
      </c>
      <c r="D917" s="57" t="s">
        <v>1249</v>
      </c>
      <c r="E917" s="7" t="s">
        <v>1258</v>
      </c>
      <c r="F917" s="33">
        <v>1</v>
      </c>
      <c r="G917" s="63">
        <v>-115</v>
      </c>
      <c r="H917" s="9" t="s">
        <v>65</v>
      </c>
      <c r="I9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17" s="40"/>
      <c r="N917" s="37"/>
    </row>
    <row r="918" spans="1:14" x14ac:dyDescent="0.25">
      <c r="A918" s="35">
        <f t="shared" si="27"/>
        <v>88</v>
      </c>
      <c r="B918" s="5">
        <v>43584</v>
      </c>
      <c r="C918" s="5" t="s">
        <v>1186</v>
      </c>
      <c r="D918" s="57" t="s">
        <v>1259</v>
      </c>
      <c r="E918" s="7" t="s">
        <v>1260</v>
      </c>
      <c r="F918" s="33">
        <v>1</v>
      </c>
      <c r="G918" s="63" t="s">
        <v>1261</v>
      </c>
      <c r="H918" s="9" t="s">
        <v>6</v>
      </c>
      <c r="I9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18" s="40"/>
      <c r="N918" s="37"/>
    </row>
    <row r="919" spans="1:14" x14ac:dyDescent="0.25">
      <c r="A919" s="35">
        <f t="shared" si="27"/>
        <v>88</v>
      </c>
      <c r="B919" s="5">
        <v>43584</v>
      </c>
      <c r="C919" s="5" t="s">
        <v>1186</v>
      </c>
      <c r="D919" s="57" t="s">
        <v>1262</v>
      </c>
      <c r="E919" s="7" t="s">
        <v>1263</v>
      </c>
      <c r="F919" s="33">
        <v>1</v>
      </c>
      <c r="G919" s="63">
        <v>-155</v>
      </c>
      <c r="H919" s="9" t="s">
        <v>6</v>
      </c>
      <c r="I9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19" s="40"/>
      <c r="N919" s="37"/>
    </row>
    <row r="920" spans="1:14" x14ac:dyDescent="0.25">
      <c r="A920" s="35">
        <f t="shared" si="27"/>
        <v>88</v>
      </c>
      <c r="B920" s="5">
        <v>43584</v>
      </c>
      <c r="C920" s="5" t="s">
        <v>1186</v>
      </c>
      <c r="D920" s="57" t="s">
        <v>1264</v>
      </c>
      <c r="E920" s="7" t="s">
        <v>1244</v>
      </c>
      <c r="F920" s="33">
        <v>1</v>
      </c>
      <c r="G920" s="63" t="s">
        <v>1265</v>
      </c>
      <c r="H920" s="9" t="s">
        <v>36</v>
      </c>
      <c r="I9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1.2</v>
      </c>
      <c r="J9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0" s="40"/>
      <c r="N920" s="37"/>
    </row>
    <row r="921" spans="1:14" x14ac:dyDescent="0.25">
      <c r="A921" s="35">
        <f t="shared" si="27"/>
        <v>88</v>
      </c>
      <c r="B921" s="5">
        <v>43584</v>
      </c>
      <c r="C921" s="5" t="s">
        <v>1186</v>
      </c>
      <c r="D921" s="57" t="s">
        <v>1266</v>
      </c>
      <c r="E921" s="7" t="s">
        <v>1187</v>
      </c>
      <c r="F921" s="33">
        <v>1</v>
      </c>
      <c r="G921" s="63" t="s">
        <v>1267</v>
      </c>
      <c r="H921" s="9" t="s">
        <v>36</v>
      </c>
      <c r="I9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1.65</v>
      </c>
      <c r="J9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1" s="40"/>
      <c r="N921" s="37"/>
    </row>
    <row r="922" spans="1:14" x14ac:dyDescent="0.25">
      <c r="A922" s="35">
        <f t="shared" si="27"/>
        <v>88</v>
      </c>
      <c r="B922" s="5">
        <v>43584</v>
      </c>
      <c r="C922" s="5" t="s">
        <v>1186</v>
      </c>
      <c r="D922" s="57" t="s">
        <v>1268</v>
      </c>
      <c r="E922" s="7" t="s">
        <v>1269</v>
      </c>
      <c r="F922" s="33">
        <v>1</v>
      </c>
      <c r="G922" s="63" t="s">
        <v>1270</v>
      </c>
      <c r="H922" s="9" t="s">
        <v>36</v>
      </c>
      <c r="I9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1.1499999999999999</v>
      </c>
      <c r="J9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2" s="40"/>
      <c r="N922" s="37"/>
    </row>
    <row r="923" spans="1:14" x14ac:dyDescent="0.25">
      <c r="A923" s="35">
        <f t="shared" si="27"/>
        <v>88</v>
      </c>
      <c r="B923" s="5">
        <v>43584</v>
      </c>
      <c r="C923" s="5" t="s">
        <v>1186</v>
      </c>
      <c r="D923" s="57" t="s">
        <v>1271</v>
      </c>
      <c r="E923" s="7" t="s">
        <v>1272</v>
      </c>
      <c r="F923" s="33">
        <v>1</v>
      </c>
      <c r="G923" s="63" t="s">
        <v>1273</v>
      </c>
      <c r="H923" s="9" t="s">
        <v>6</v>
      </c>
      <c r="I9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3" s="40"/>
      <c r="N923" s="37"/>
    </row>
    <row r="924" spans="1:14" x14ac:dyDescent="0.25">
      <c r="A924" s="35">
        <f t="shared" si="27"/>
        <v>88</v>
      </c>
      <c r="B924" s="5">
        <v>43584</v>
      </c>
      <c r="C924" s="5" t="s">
        <v>1186</v>
      </c>
      <c r="D924" s="57" t="s">
        <v>1259</v>
      </c>
      <c r="E924" s="7" t="s">
        <v>1274</v>
      </c>
      <c r="F924" s="33">
        <v>1</v>
      </c>
      <c r="G924" s="63">
        <v>100</v>
      </c>
      <c r="H924" s="9" t="s">
        <v>36</v>
      </c>
      <c r="I9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24" s="40"/>
      <c r="N924" s="37"/>
    </row>
    <row r="925" spans="1:14" x14ac:dyDescent="0.25">
      <c r="A925" s="35">
        <f t="shared" si="27"/>
        <v>88</v>
      </c>
      <c r="B925" s="5">
        <v>43584</v>
      </c>
      <c r="C925" s="5" t="s">
        <v>1186</v>
      </c>
      <c r="D925" s="57" t="s">
        <v>1275</v>
      </c>
      <c r="E925" s="7" t="s">
        <v>1276</v>
      </c>
      <c r="F925" s="33">
        <v>1</v>
      </c>
      <c r="G925" s="63">
        <v>-105</v>
      </c>
      <c r="H925" s="9" t="s">
        <v>36</v>
      </c>
      <c r="I9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9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25" s="40"/>
      <c r="N925" s="37"/>
    </row>
    <row r="926" spans="1:14" x14ac:dyDescent="0.25">
      <c r="A926" s="35">
        <f t="shared" si="27"/>
        <v>88</v>
      </c>
      <c r="B926" s="5">
        <v>43584</v>
      </c>
      <c r="C926" s="5" t="s">
        <v>1186</v>
      </c>
      <c r="D926" s="57" t="s">
        <v>1264</v>
      </c>
      <c r="E926" s="7" t="s">
        <v>1277</v>
      </c>
      <c r="F926" s="33">
        <v>1</v>
      </c>
      <c r="G926" s="63">
        <v>100</v>
      </c>
      <c r="H926" s="9" t="s">
        <v>36</v>
      </c>
      <c r="I9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26" s="40"/>
      <c r="N926" s="37"/>
    </row>
    <row r="927" spans="1:14" x14ac:dyDescent="0.25">
      <c r="A927" s="35">
        <f t="shared" si="27"/>
        <v>89</v>
      </c>
      <c r="B927" s="5">
        <v>43586</v>
      </c>
      <c r="C927" s="5" t="s">
        <v>1186</v>
      </c>
      <c r="D927" s="57" t="s">
        <v>1275</v>
      </c>
      <c r="E927" s="7" t="s">
        <v>1278</v>
      </c>
      <c r="F927" s="33">
        <v>1</v>
      </c>
      <c r="G927" s="63" t="s">
        <v>1267</v>
      </c>
      <c r="H927" s="9" t="s">
        <v>36</v>
      </c>
      <c r="I9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1.65</v>
      </c>
      <c r="J9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7" s="40"/>
      <c r="N927" s="37"/>
    </row>
    <row r="928" spans="1:14" x14ac:dyDescent="0.25">
      <c r="A928" s="35">
        <f t="shared" si="27"/>
        <v>89</v>
      </c>
      <c r="B928" s="5">
        <v>43586</v>
      </c>
      <c r="C928" s="5" t="s">
        <v>1186</v>
      </c>
      <c r="D928" s="57" t="s">
        <v>1259</v>
      </c>
      <c r="E928" s="7" t="s">
        <v>1248</v>
      </c>
      <c r="F928" s="33">
        <v>1</v>
      </c>
      <c r="G928" s="63" t="s">
        <v>1279</v>
      </c>
      <c r="H928" s="9" t="s">
        <v>36</v>
      </c>
      <c r="I9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1.3</v>
      </c>
      <c r="J9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8" s="40"/>
      <c r="N928" s="37"/>
    </row>
    <row r="929" spans="1:14" x14ac:dyDescent="0.25">
      <c r="A929" s="35">
        <f t="shared" si="27"/>
        <v>89</v>
      </c>
      <c r="B929" s="5">
        <v>43586</v>
      </c>
      <c r="C929" s="5" t="s">
        <v>1186</v>
      </c>
      <c r="D929" s="57" t="s">
        <v>1280</v>
      </c>
      <c r="E929" s="7" t="s">
        <v>1281</v>
      </c>
      <c r="F929" s="33">
        <v>1</v>
      </c>
      <c r="G929" s="63" t="s">
        <v>1270</v>
      </c>
      <c r="H929" s="9" t="s">
        <v>36</v>
      </c>
      <c r="I9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1.1499999999999999</v>
      </c>
      <c r="J9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29" s="40"/>
      <c r="N929" s="37"/>
    </row>
    <row r="930" spans="1:14" x14ac:dyDescent="0.25">
      <c r="A930" s="35">
        <f t="shared" si="27"/>
        <v>89</v>
      </c>
      <c r="B930" s="5">
        <v>43586</v>
      </c>
      <c r="C930" s="5" t="s">
        <v>1186</v>
      </c>
      <c r="D930" s="57" t="s">
        <v>1264</v>
      </c>
      <c r="E930" s="7" t="s">
        <v>1244</v>
      </c>
      <c r="F930" s="33">
        <v>1</v>
      </c>
      <c r="G930" s="63">
        <v>-156</v>
      </c>
      <c r="H930" s="9" t="s">
        <v>36</v>
      </c>
      <c r="I9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0.64102564102564097</v>
      </c>
      <c r="J9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30" s="40"/>
      <c r="N930" s="37"/>
    </row>
    <row r="931" spans="1:14" x14ac:dyDescent="0.25">
      <c r="A931" s="35">
        <f t="shared" si="27"/>
        <v>89</v>
      </c>
      <c r="B931" s="5">
        <v>43586</v>
      </c>
      <c r="C931" s="5" t="s">
        <v>1186</v>
      </c>
      <c r="D931" s="57" t="s">
        <v>1282</v>
      </c>
      <c r="E931" s="7" t="s">
        <v>1246</v>
      </c>
      <c r="F931" s="33">
        <v>1</v>
      </c>
      <c r="G931" s="63">
        <v>-142</v>
      </c>
      <c r="H931" s="9" t="s">
        <v>6</v>
      </c>
      <c r="I9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31" s="40"/>
      <c r="N931" s="37"/>
    </row>
    <row r="932" spans="1:14" x14ac:dyDescent="0.25">
      <c r="A932" s="35">
        <f t="shared" si="27"/>
        <v>89</v>
      </c>
      <c r="B932" s="5">
        <v>43586</v>
      </c>
      <c r="C932" s="5" t="s">
        <v>1186</v>
      </c>
      <c r="D932" s="57" t="s">
        <v>1271</v>
      </c>
      <c r="E932" s="7" t="s">
        <v>1272</v>
      </c>
      <c r="F932" s="33">
        <v>1</v>
      </c>
      <c r="G932" s="63">
        <v>-149</v>
      </c>
      <c r="H932" s="9" t="s">
        <v>6</v>
      </c>
      <c r="I9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32" s="40"/>
      <c r="N932" s="37"/>
    </row>
    <row r="933" spans="1:14" x14ac:dyDescent="0.25">
      <c r="A933" s="35">
        <f t="shared" si="27"/>
        <v>89</v>
      </c>
      <c r="B933" s="5">
        <v>43586</v>
      </c>
      <c r="C933" s="5" t="s">
        <v>1186</v>
      </c>
      <c r="D933" s="57" t="s">
        <v>1283</v>
      </c>
      <c r="E933" s="7" t="s">
        <v>1276</v>
      </c>
      <c r="F933" s="33">
        <v>1</v>
      </c>
      <c r="G933" s="63">
        <v>-115</v>
      </c>
      <c r="H933" s="31" t="s">
        <v>6</v>
      </c>
      <c r="I9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3" s="40"/>
      <c r="N933" s="37"/>
    </row>
    <row r="934" spans="1:14" x14ac:dyDescent="0.25">
      <c r="A934" s="35">
        <f t="shared" si="27"/>
        <v>89</v>
      </c>
      <c r="B934" s="5">
        <v>43586</v>
      </c>
      <c r="C934" s="5" t="s">
        <v>1186</v>
      </c>
      <c r="D934" s="57" t="s">
        <v>1284</v>
      </c>
      <c r="E934" s="7" t="s">
        <v>1258</v>
      </c>
      <c r="F934" s="33">
        <v>1</v>
      </c>
      <c r="G934" s="63">
        <v>-105</v>
      </c>
      <c r="H934" s="31" t="s">
        <v>65</v>
      </c>
      <c r="I9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4" s="40"/>
      <c r="N934" s="37"/>
    </row>
    <row r="935" spans="1:14" x14ac:dyDescent="0.25">
      <c r="A935" s="35">
        <f t="shared" si="27"/>
        <v>89</v>
      </c>
      <c r="B935" s="5">
        <v>43586</v>
      </c>
      <c r="C935" s="5" t="s">
        <v>1186</v>
      </c>
      <c r="D935" s="57" t="s">
        <v>1285</v>
      </c>
      <c r="E935" s="7" t="s">
        <v>1274</v>
      </c>
      <c r="F935" s="33">
        <v>1</v>
      </c>
      <c r="G935" s="63">
        <v>-120</v>
      </c>
      <c r="H935" s="31" t="s">
        <v>36</v>
      </c>
      <c r="I9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0.83333333333333337</v>
      </c>
      <c r="J9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5" s="40"/>
      <c r="N935" s="37"/>
    </row>
    <row r="936" spans="1:14" x14ac:dyDescent="0.25">
      <c r="A936" s="35">
        <f t="shared" si="27"/>
        <v>89</v>
      </c>
      <c r="B936" s="5">
        <v>43586</v>
      </c>
      <c r="C936" s="5" t="s">
        <v>1186</v>
      </c>
      <c r="D936" s="57" t="s">
        <v>1275</v>
      </c>
      <c r="E936" s="7" t="s">
        <v>1286</v>
      </c>
      <c r="F936" s="33">
        <v>1</v>
      </c>
      <c r="G936" s="63">
        <v>-115</v>
      </c>
      <c r="H936" s="31" t="s">
        <v>6</v>
      </c>
      <c r="I9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6" s="40"/>
      <c r="N936" s="37"/>
    </row>
    <row r="937" spans="1:14" x14ac:dyDescent="0.25">
      <c r="A937" s="35">
        <f t="shared" si="27"/>
        <v>89</v>
      </c>
      <c r="B937" s="5">
        <v>43586</v>
      </c>
      <c r="C937" s="5" t="s">
        <v>1186</v>
      </c>
      <c r="D937" s="57" t="s">
        <v>1287</v>
      </c>
      <c r="E937" s="7" t="s">
        <v>1276</v>
      </c>
      <c r="F937" s="33">
        <v>1</v>
      </c>
      <c r="G937" s="63">
        <v>-105</v>
      </c>
      <c r="H937" s="31" t="s">
        <v>36</v>
      </c>
      <c r="I9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9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7" s="40"/>
      <c r="N937" s="37"/>
    </row>
    <row r="938" spans="1:14" x14ac:dyDescent="0.25">
      <c r="A938" s="35">
        <f t="shared" si="27"/>
        <v>89</v>
      </c>
      <c r="B938" s="5">
        <v>43586</v>
      </c>
      <c r="C938" s="5" t="s">
        <v>1186</v>
      </c>
      <c r="D938" s="57" t="s">
        <v>1259</v>
      </c>
      <c r="E938" s="7" t="s">
        <v>1276</v>
      </c>
      <c r="F938" s="33">
        <v>1</v>
      </c>
      <c r="G938" s="63">
        <v>-105</v>
      </c>
      <c r="H938" s="31" t="s">
        <v>6</v>
      </c>
      <c r="I9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38" s="40"/>
      <c r="N938" s="37"/>
    </row>
    <row r="939" spans="1:14" x14ac:dyDescent="0.25">
      <c r="A939" s="35">
        <f t="shared" si="27"/>
        <v>89</v>
      </c>
      <c r="B939" s="5">
        <v>43586</v>
      </c>
      <c r="C939" s="5" t="s">
        <v>1186</v>
      </c>
      <c r="D939" s="57" t="s">
        <v>1264</v>
      </c>
      <c r="E939" s="7" t="s">
        <v>1277</v>
      </c>
      <c r="F939" s="33">
        <v>1</v>
      </c>
      <c r="G939" s="63">
        <v>100</v>
      </c>
      <c r="H939" s="31" t="s">
        <v>36</v>
      </c>
      <c r="I9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39" s="40"/>
      <c r="N939" s="37"/>
    </row>
    <row r="940" spans="1:14" x14ac:dyDescent="0.25">
      <c r="A940" s="35">
        <f t="shared" si="27"/>
        <v>89</v>
      </c>
      <c r="B940" s="5">
        <v>43586</v>
      </c>
      <c r="C940" s="5" t="s">
        <v>1186</v>
      </c>
      <c r="D940" s="57" t="s">
        <v>1282</v>
      </c>
      <c r="E940" s="7" t="s">
        <v>1258</v>
      </c>
      <c r="F940" s="33">
        <v>1</v>
      </c>
      <c r="G940" s="63">
        <v>-105</v>
      </c>
      <c r="H940" s="31" t="s">
        <v>6</v>
      </c>
      <c r="I9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40" s="40"/>
      <c r="N940" s="37"/>
    </row>
    <row r="941" spans="1:14" x14ac:dyDescent="0.25">
      <c r="A941" s="35">
        <f t="shared" si="27"/>
        <v>89</v>
      </c>
      <c r="B941" s="5">
        <v>43586</v>
      </c>
      <c r="C941" s="5" t="s">
        <v>1186</v>
      </c>
      <c r="D941" s="57" t="s">
        <v>1288</v>
      </c>
      <c r="E941" s="7" t="s">
        <v>1289</v>
      </c>
      <c r="F941" s="33">
        <v>1</v>
      </c>
      <c r="G941" s="63">
        <v>-110</v>
      </c>
      <c r="H941" s="31" t="s">
        <v>65</v>
      </c>
      <c r="I9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41" s="40"/>
      <c r="N941" s="37"/>
    </row>
    <row r="942" spans="1:14" x14ac:dyDescent="0.25">
      <c r="A942" s="35">
        <f t="shared" si="27"/>
        <v>90</v>
      </c>
      <c r="B942" s="5">
        <v>43587</v>
      </c>
      <c r="C942" s="5" t="s">
        <v>1186</v>
      </c>
      <c r="D942" s="57" t="s">
        <v>1268</v>
      </c>
      <c r="E942" s="7" t="s">
        <v>1269</v>
      </c>
      <c r="F942" s="33">
        <v>2</v>
      </c>
      <c r="G942" s="63">
        <v>-172</v>
      </c>
      <c r="H942" s="9" t="s">
        <v>36</v>
      </c>
      <c r="I9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1.1627906976744187</v>
      </c>
      <c r="J9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42" s="40"/>
      <c r="N942" s="37"/>
    </row>
    <row r="943" spans="1:14" x14ac:dyDescent="0.25">
      <c r="A943" s="35">
        <f t="shared" si="27"/>
        <v>90</v>
      </c>
      <c r="B943" s="5">
        <v>43587</v>
      </c>
      <c r="C943" s="5" t="s">
        <v>1186</v>
      </c>
      <c r="D943" s="57" t="s">
        <v>1268</v>
      </c>
      <c r="E943" s="7" t="s">
        <v>1276</v>
      </c>
      <c r="F943" s="33">
        <v>2</v>
      </c>
      <c r="G943" s="63">
        <v>-115</v>
      </c>
      <c r="H943" s="9" t="s">
        <v>6</v>
      </c>
      <c r="I9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43" s="40"/>
      <c r="N943" s="37"/>
    </row>
    <row r="944" spans="1:14" x14ac:dyDescent="0.25">
      <c r="A944" s="35">
        <f t="shared" si="27"/>
        <v>90</v>
      </c>
      <c r="B944" s="5">
        <v>43587</v>
      </c>
      <c r="C944" s="5" t="s">
        <v>1186</v>
      </c>
      <c r="D944" s="57" t="s">
        <v>1259</v>
      </c>
      <c r="E944" s="7" t="s">
        <v>1258</v>
      </c>
      <c r="F944" s="33">
        <v>2</v>
      </c>
      <c r="G944" s="63">
        <v>-105</v>
      </c>
      <c r="H944" s="9" t="s">
        <v>6</v>
      </c>
      <c r="I9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44" s="40"/>
      <c r="N944" s="37"/>
    </row>
    <row r="945" spans="1:14" x14ac:dyDescent="0.25">
      <c r="A945" s="35">
        <f t="shared" si="27"/>
        <v>90</v>
      </c>
      <c r="B945" s="5">
        <v>43587</v>
      </c>
      <c r="C945" s="5" t="s">
        <v>1186</v>
      </c>
      <c r="D945" s="57" t="s">
        <v>1288</v>
      </c>
      <c r="E945" s="7" t="s">
        <v>1277</v>
      </c>
      <c r="F945" s="33">
        <v>2</v>
      </c>
      <c r="G945" s="63">
        <v>-120</v>
      </c>
      <c r="H945" s="9" t="s">
        <v>36</v>
      </c>
      <c r="I9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1.6666666666666667</v>
      </c>
      <c r="J9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45" s="40"/>
      <c r="N945" s="37"/>
    </row>
    <row r="946" spans="1:14" ht="60" x14ac:dyDescent="0.25">
      <c r="A946" s="35">
        <f t="shared" si="27"/>
        <v>90</v>
      </c>
      <c r="B946" s="5">
        <v>43587</v>
      </c>
      <c r="C946" s="5" t="s">
        <v>1186</v>
      </c>
      <c r="D946" s="58" t="s">
        <v>1290</v>
      </c>
      <c r="E946" s="46" t="s">
        <v>1291</v>
      </c>
      <c r="F946" s="33">
        <v>0.5</v>
      </c>
      <c r="G946" s="63">
        <v>958</v>
      </c>
      <c r="H946" s="9" t="s">
        <v>6</v>
      </c>
      <c r="I9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-0.5</v>
      </c>
      <c r="J9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  <c r="L946" s="40"/>
      <c r="N946" s="37"/>
    </row>
    <row r="947" spans="1:14" x14ac:dyDescent="0.25">
      <c r="A947" s="35">
        <f t="shared" si="27"/>
        <v>91</v>
      </c>
      <c r="B947" s="5">
        <v>43592</v>
      </c>
      <c r="C947" s="5" t="s">
        <v>1186</v>
      </c>
      <c r="D947" s="58" t="s">
        <v>1292</v>
      </c>
      <c r="E947" s="46" t="s">
        <v>1293</v>
      </c>
      <c r="F947" s="33">
        <v>1</v>
      </c>
      <c r="G947" s="63">
        <v>-145</v>
      </c>
      <c r="H947" s="9" t="s">
        <v>6</v>
      </c>
      <c r="I9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47" s="40"/>
      <c r="N947" s="37"/>
    </row>
    <row r="948" spans="1:14" x14ac:dyDescent="0.25">
      <c r="A948" s="35">
        <f t="shared" si="27"/>
        <v>91</v>
      </c>
      <c r="B948" s="5">
        <v>43592</v>
      </c>
      <c r="C948" s="5" t="s">
        <v>1186</v>
      </c>
      <c r="D948" s="57" t="s">
        <v>1294</v>
      </c>
      <c r="E948" s="7" t="s">
        <v>1295</v>
      </c>
      <c r="F948" s="33">
        <v>1</v>
      </c>
      <c r="G948" s="63" t="s">
        <v>1296</v>
      </c>
      <c r="H948" s="9" t="s">
        <v>6</v>
      </c>
      <c r="I9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48" s="40"/>
      <c r="N948" s="37"/>
    </row>
    <row r="949" spans="1:14" x14ac:dyDescent="0.25">
      <c r="A949" s="35">
        <f t="shared" si="27"/>
        <v>91</v>
      </c>
      <c r="B949" s="5">
        <v>43592</v>
      </c>
      <c r="C949" s="5" t="s">
        <v>1186</v>
      </c>
      <c r="D949" s="57" t="s">
        <v>1297</v>
      </c>
      <c r="E949" s="7" t="s">
        <v>1298</v>
      </c>
      <c r="F949" s="33">
        <v>1</v>
      </c>
      <c r="G949" s="63">
        <v>-135</v>
      </c>
      <c r="H949" s="9" t="s">
        <v>36</v>
      </c>
      <c r="I9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0.74074074074074081</v>
      </c>
      <c r="J9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49" s="40"/>
      <c r="N949" s="37"/>
    </row>
    <row r="950" spans="1:14" x14ac:dyDescent="0.25">
      <c r="A950" s="35">
        <f t="shared" si="27"/>
        <v>91</v>
      </c>
      <c r="B950" s="5">
        <v>43592</v>
      </c>
      <c r="C950" s="5" t="s">
        <v>1186</v>
      </c>
      <c r="D950" s="57" t="s">
        <v>1299</v>
      </c>
      <c r="E950" s="7" t="s">
        <v>1300</v>
      </c>
      <c r="F950" s="33">
        <v>1</v>
      </c>
      <c r="G950" s="63" t="s">
        <v>1261</v>
      </c>
      <c r="H950" s="9" t="s">
        <v>6</v>
      </c>
      <c r="I9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50" s="40"/>
      <c r="N950" s="37"/>
    </row>
    <row r="951" spans="1:14" x14ac:dyDescent="0.25">
      <c r="A951" s="35">
        <f t="shared" si="27"/>
        <v>91</v>
      </c>
      <c r="B951" s="5">
        <v>43592</v>
      </c>
      <c r="C951" s="5" t="s">
        <v>1186</v>
      </c>
      <c r="D951" s="57" t="s">
        <v>1301</v>
      </c>
      <c r="E951" s="7" t="s">
        <v>1260</v>
      </c>
      <c r="F951" s="33">
        <v>1</v>
      </c>
      <c r="G951" s="63">
        <v>-120</v>
      </c>
      <c r="H951" s="9" t="s">
        <v>6</v>
      </c>
      <c r="I9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51" s="40"/>
      <c r="N951" s="37"/>
    </row>
    <row r="952" spans="1:14" x14ac:dyDescent="0.25">
      <c r="A952" s="35">
        <f t="shared" si="27"/>
        <v>91</v>
      </c>
      <c r="B952" s="5">
        <v>43592</v>
      </c>
      <c r="C952" s="5" t="s">
        <v>1186</v>
      </c>
      <c r="D952" s="57" t="s">
        <v>1302</v>
      </c>
      <c r="E952" s="7" t="s">
        <v>1303</v>
      </c>
      <c r="F952" s="33">
        <v>1</v>
      </c>
      <c r="G952" s="63">
        <v>-166</v>
      </c>
      <c r="H952" s="9" t="s">
        <v>36</v>
      </c>
      <c r="I9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0.60240963855421692</v>
      </c>
      <c r="J9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52" s="40"/>
      <c r="N952" s="37"/>
    </row>
    <row r="953" spans="1:14" x14ac:dyDescent="0.25">
      <c r="A953" s="35">
        <f t="shared" si="27"/>
        <v>91</v>
      </c>
      <c r="B953" s="5">
        <v>43592</v>
      </c>
      <c r="C953" s="5" t="s">
        <v>1186</v>
      </c>
      <c r="D953" s="57" t="s">
        <v>1304</v>
      </c>
      <c r="E953" s="7" t="s">
        <v>1278</v>
      </c>
      <c r="F953" s="33">
        <v>1</v>
      </c>
      <c r="G953" s="63">
        <v>-102</v>
      </c>
      <c r="H953" s="9" t="s">
        <v>6</v>
      </c>
      <c r="I9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53" s="40"/>
      <c r="N953" s="37"/>
    </row>
    <row r="954" spans="1:14" x14ac:dyDescent="0.25">
      <c r="A954" s="35">
        <f t="shared" si="27"/>
        <v>91</v>
      </c>
      <c r="B954" s="5">
        <v>43592</v>
      </c>
      <c r="C954" s="5" t="s">
        <v>1186</v>
      </c>
      <c r="D954" s="57" t="s">
        <v>1305</v>
      </c>
      <c r="E954" s="7" t="s">
        <v>1306</v>
      </c>
      <c r="F954" s="33">
        <v>1</v>
      </c>
      <c r="G954" s="63" t="s">
        <v>1307</v>
      </c>
      <c r="H954" s="9" t="s">
        <v>6</v>
      </c>
      <c r="I9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54" s="40"/>
      <c r="N954" s="37"/>
    </row>
    <row r="955" spans="1:14" x14ac:dyDescent="0.25">
      <c r="A955" s="35">
        <f t="shared" si="27"/>
        <v>91</v>
      </c>
      <c r="B955" s="5">
        <v>43592</v>
      </c>
      <c r="C955" s="5" t="s">
        <v>1186</v>
      </c>
      <c r="D955" s="57" t="s">
        <v>1294</v>
      </c>
      <c r="E955" s="7" t="s">
        <v>1274</v>
      </c>
      <c r="F955" s="33">
        <v>1</v>
      </c>
      <c r="G955" s="63">
        <v>-105</v>
      </c>
      <c r="H955" s="9" t="s">
        <v>36</v>
      </c>
      <c r="I9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9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55" s="40"/>
      <c r="N955" s="37"/>
    </row>
    <row r="956" spans="1:14" x14ac:dyDescent="0.25">
      <c r="A956" s="35">
        <f t="shared" si="27"/>
        <v>91</v>
      </c>
      <c r="B956" s="5">
        <v>43592</v>
      </c>
      <c r="C956" s="5" t="s">
        <v>1186</v>
      </c>
      <c r="D956" s="57" t="s">
        <v>1297</v>
      </c>
      <c r="E956" s="7" t="s">
        <v>1289</v>
      </c>
      <c r="F956" s="33">
        <v>1</v>
      </c>
      <c r="G956" s="63">
        <v>105</v>
      </c>
      <c r="H956" s="9" t="s">
        <v>36</v>
      </c>
      <c r="I9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1.05</v>
      </c>
      <c r="J9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56" s="40"/>
      <c r="N956" s="37"/>
    </row>
    <row r="957" spans="1:14" x14ac:dyDescent="0.25">
      <c r="A957" s="35">
        <f t="shared" si="27"/>
        <v>91</v>
      </c>
      <c r="B957" s="5">
        <v>43592</v>
      </c>
      <c r="C957" s="5" t="s">
        <v>1186</v>
      </c>
      <c r="D957" s="57" t="s">
        <v>1299</v>
      </c>
      <c r="E957" s="7" t="s">
        <v>1289</v>
      </c>
      <c r="F957" s="33">
        <v>1</v>
      </c>
      <c r="G957" s="63">
        <v>-105</v>
      </c>
      <c r="H957" s="9" t="s">
        <v>6</v>
      </c>
      <c r="I9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57" s="40"/>
      <c r="N957" s="37"/>
    </row>
    <row r="958" spans="1:14" x14ac:dyDescent="0.25">
      <c r="A958" s="35">
        <f t="shared" si="27"/>
        <v>91</v>
      </c>
      <c r="B958" s="5">
        <v>43592</v>
      </c>
      <c r="C958" s="5" t="s">
        <v>1186</v>
      </c>
      <c r="D958" s="57" t="s">
        <v>1301</v>
      </c>
      <c r="E958" s="7" t="s">
        <v>1276</v>
      </c>
      <c r="F958" s="33">
        <v>1</v>
      </c>
      <c r="G958" s="63">
        <v>-115</v>
      </c>
      <c r="H958" s="9" t="s">
        <v>6</v>
      </c>
      <c r="I9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58" s="40"/>
      <c r="N958" s="37"/>
    </row>
    <row r="959" spans="1:14" x14ac:dyDescent="0.25">
      <c r="A959" s="35">
        <f t="shared" si="27"/>
        <v>91</v>
      </c>
      <c r="B959" s="5">
        <v>43592</v>
      </c>
      <c r="C959" s="5" t="s">
        <v>1186</v>
      </c>
      <c r="D959" s="57" t="s">
        <v>1308</v>
      </c>
      <c r="E959" s="7" t="s">
        <v>1274</v>
      </c>
      <c r="F959" s="33">
        <v>1</v>
      </c>
      <c r="G959" s="63">
        <v>-120</v>
      </c>
      <c r="H959" s="9" t="s">
        <v>36</v>
      </c>
      <c r="I9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0.83333333333333337</v>
      </c>
      <c r="J9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59" s="40"/>
      <c r="N959" s="37"/>
    </row>
    <row r="960" spans="1:14" x14ac:dyDescent="0.25">
      <c r="A960" s="35">
        <f t="shared" si="27"/>
        <v>91</v>
      </c>
      <c r="B960" s="5">
        <v>43592</v>
      </c>
      <c r="C960" s="5" t="s">
        <v>1186</v>
      </c>
      <c r="D960" s="57" t="s">
        <v>1309</v>
      </c>
      <c r="E960" s="7" t="s">
        <v>1258</v>
      </c>
      <c r="F960" s="33">
        <v>1</v>
      </c>
      <c r="G960" s="63">
        <v>-120</v>
      </c>
      <c r="H960" s="9" t="s">
        <v>36</v>
      </c>
      <c r="I9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0.83333333333333337</v>
      </c>
      <c r="J9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60" s="40"/>
      <c r="N960" s="37"/>
    </row>
    <row r="961" spans="1:14" x14ac:dyDescent="0.25">
      <c r="A961" s="35">
        <f t="shared" si="27"/>
        <v>91</v>
      </c>
      <c r="B961" s="5">
        <v>43592</v>
      </c>
      <c r="C961" s="5" t="s">
        <v>1186</v>
      </c>
      <c r="D961" s="57" t="s">
        <v>1310</v>
      </c>
      <c r="E961" s="7" t="s">
        <v>1311</v>
      </c>
      <c r="F961" s="33">
        <v>1</v>
      </c>
      <c r="G961" s="63">
        <v>-115</v>
      </c>
      <c r="H961" s="9" t="s">
        <v>6</v>
      </c>
      <c r="I9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61" s="40"/>
      <c r="N961" s="37"/>
    </row>
    <row r="962" spans="1:14" x14ac:dyDescent="0.25">
      <c r="A962" s="35">
        <f t="shared" si="27"/>
        <v>91</v>
      </c>
      <c r="B962" s="5">
        <v>43592</v>
      </c>
      <c r="C962" s="5" t="s">
        <v>1186</v>
      </c>
      <c r="D962" s="57" t="s">
        <v>1305</v>
      </c>
      <c r="E962" s="7" t="s">
        <v>1256</v>
      </c>
      <c r="F962" s="33">
        <v>1</v>
      </c>
      <c r="G962" s="63">
        <v>100</v>
      </c>
      <c r="H962" s="9" t="s">
        <v>36</v>
      </c>
      <c r="I9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62" s="40"/>
      <c r="N962" s="37"/>
    </row>
    <row r="963" spans="1:14" x14ac:dyDescent="0.25">
      <c r="A963" s="35">
        <f t="shared" si="27"/>
        <v>92</v>
      </c>
      <c r="B963" s="5">
        <v>43593</v>
      </c>
      <c r="C963" s="5" t="s">
        <v>1186</v>
      </c>
      <c r="D963" s="57" t="s">
        <v>1308</v>
      </c>
      <c r="E963" s="7" t="s">
        <v>1242</v>
      </c>
      <c r="F963" s="33">
        <v>1</v>
      </c>
      <c r="G963" s="63" t="s">
        <v>1312</v>
      </c>
      <c r="H963" s="9" t="s">
        <v>36</v>
      </c>
      <c r="I9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1.36</v>
      </c>
      <c r="J9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63" s="40"/>
      <c r="N963" s="37"/>
    </row>
    <row r="964" spans="1:14" x14ac:dyDescent="0.25">
      <c r="A964" s="35">
        <f t="shared" ref="A964:A1027" si="28">IF(B964=B963,A963,A963+1)</f>
        <v>92</v>
      </c>
      <c r="B964" s="5">
        <v>43593</v>
      </c>
      <c r="C964" s="5" t="s">
        <v>1186</v>
      </c>
      <c r="D964" s="57" t="s">
        <v>1292</v>
      </c>
      <c r="E964" s="7" t="s">
        <v>1293</v>
      </c>
      <c r="F964" s="33">
        <v>1</v>
      </c>
      <c r="G964" s="63">
        <v>-200</v>
      </c>
      <c r="H964" s="9" t="s">
        <v>36</v>
      </c>
      <c r="I9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</v>
      </c>
      <c r="J9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4" s="40"/>
      <c r="N964" s="37"/>
    </row>
    <row r="965" spans="1:14" x14ac:dyDescent="0.25">
      <c r="A965" s="35">
        <f t="shared" si="28"/>
        <v>92</v>
      </c>
      <c r="B965" s="5">
        <v>43593</v>
      </c>
      <c r="C965" s="5" t="s">
        <v>1186</v>
      </c>
      <c r="D965" s="57" t="s">
        <v>1313</v>
      </c>
      <c r="E965" s="7" t="s">
        <v>1314</v>
      </c>
      <c r="F965" s="33">
        <v>1</v>
      </c>
      <c r="G965" s="63">
        <v>-300</v>
      </c>
      <c r="H965" s="9" t="s">
        <v>36</v>
      </c>
      <c r="I9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0.33333333333333337</v>
      </c>
      <c r="J9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5" s="40"/>
      <c r="N965" s="37"/>
    </row>
    <row r="966" spans="1:14" x14ac:dyDescent="0.25">
      <c r="A966" s="35">
        <f t="shared" si="28"/>
        <v>92</v>
      </c>
      <c r="B966" s="5">
        <v>43593</v>
      </c>
      <c r="C966" s="5" t="s">
        <v>1186</v>
      </c>
      <c r="D966" s="57" t="s">
        <v>1297</v>
      </c>
      <c r="E966" s="7" t="s">
        <v>1298</v>
      </c>
      <c r="F966" s="33">
        <v>1</v>
      </c>
      <c r="G966" s="63">
        <v>-115</v>
      </c>
      <c r="H966" s="9" t="s">
        <v>36</v>
      </c>
      <c r="I9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9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6" s="40"/>
      <c r="N966" s="37"/>
    </row>
    <row r="967" spans="1:14" x14ac:dyDescent="0.25">
      <c r="A967" s="35">
        <f t="shared" si="28"/>
        <v>92</v>
      </c>
      <c r="B967" s="5">
        <v>43593</v>
      </c>
      <c r="C967" s="5" t="s">
        <v>1186</v>
      </c>
      <c r="D967" s="57" t="s">
        <v>1302</v>
      </c>
      <c r="E967" s="7" t="s">
        <v>1303</v>
      </c>
      <c r="F967" s="33">
        <v>1</v>
      </c>
      <c r="G967" s="63">
        <v>-260</v>
      </c>
      <c r="H967" s="9" t="s">
        <v>36</v>
      </c>
      <c r="I9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0.38461538461538464</v>
      </c>
      <c r="J9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7" s="40"/>
      <c r="N967" s="37"/>
    </row>
    <row r="968" spans="1:14" x14ac:dyDescent="0.25">
      <c r="A968" s="35">
        <f t="shared" si="28"/>
        <v>92</v>
      </c>
      <c r="B968" s="5">
        <v>43593</v>
      </c>
      <c r="C968" s="5" t="s">
        <v>1186</v>
      </c>
      <c r="D968" s="57" t="s">
        <v>1304</v>
      </c>
      <c r="E968" s="7" t="s">
        <v>1278</v>
      </c>
      <c r="F968" s="33">
        <v>1</v>
      </c>
      <c r="G968" s="63">
        <v>-102</v>
      </c>
      <c r="H968" s="9" t="s">
        <v>6</v>
      </c>
      <c r="I9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8" s="40"/>
      <c r="N968" s="37"/>
    </row>
    <row r="969" spans="1:14" x14ac:dyDescent="0.25">
      <c r="A969" s="35">
        <f t="shared" si="28"/>
        <v>92</v>
      </c>
      <c r="B969" s="5">
        <v>43593</v>
      </c>
      <c r="C969" s="5" t="s">
        <v>1186</v>
      </c>
      <c r="D969" s="57" t="s">
        <v>1315</v>
      </c>
      <c r="E969" s="7" t="s">
        <v>1272</v>
      </c>
      <c r="F969" s="33">
        <v>1</v>
      </c>
      <c r="G969" s="63">
        <v>-190</v>
      </c>
      <c r="H969" s="9" t="s">
        <v>36</v>
      </c>
      <c r="I9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0.52631578947368418</v>
      </c>
      <c r="J9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69" s="40"/>
      <c r="N969" s="37"/>
    </row>
    <row r="970" spans="1:14" x14ac:dyDescent="0.25">
      <c r="A970" s="35">
        <f t="shared" si="28"/>
        <v>92</v>
      </c>
      <c r="B970" s="5">
        <v>43593</v>
      </c>
      <c r="C970" s="5" t="s">
        <v>1186</v>
      </c>
      <c r="D970" s="57" t="s">
        <v>1301</v>
      </c>
      <c r="E970" s="7" t="s">
        <v>1258</v>
      </c>
      <c r="F970" s="33">
        <v>1</v>
      </c>
      <c r="G970" s="63">
        <v>100</v>
      </c>
      <c r="H970" s="9" t="s">
        <v>36</v>
      </c>
      <c r="I9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70" s="40"/>
      <c r="N970" s="37"/>
    </row>
    <row r="971" spans="1:14" x14ac:dyDescent="0.25">
      <c r="A971" s="35">
        <f t="shared" si="28"/>
        <v>92</v>
      </c>
      <c r="B971" s="5">
        <v>43593</v>
      </c>
      <c r="C971" s="5" t="s">
        <v>1186</v>
      </c>
      <c r="D971" s="57" t="s">
        <v>1299</v>
      </c>
      <c r="E971" s="7" t="s">
        <v>1254</v>
      </c>
      <c r="F971" s="33">
        <v>1</v>
      </c>
      <c r="G971" s="63">
        <v>-115</v>
      </c>
      <c r="H971" s="9" t="s">
        <v>6</v>
      </c>
      <c r="I9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71" s="40"/>
      <c r="N971" s="37"/>
    </row>
    <row r="972" spans="1:14" x14ac:dyDescent="0.25">
      <c r="A972" s="35">
        <f t="shared" si="28"/>
        <v>92</v>
      </c>
      <c r="B972" s="5">
        <v>43593</v>
      </c>
      <c r="C972" s="5" t="s">
        <v>1186</v>
      </c>
      <c r="D972" s="57" t="s">
        <v>1313</v>
      </c>
      <c r="E972" s="7" t="s">
        <v>1274</v>
      </c>
      <c r="F972" s="33">
        <v>1</v>
      </c>
      <c r="G972" s="63">
        <v>-105</v>
      </c>
      <c r="H972" s="9" t="s">
        <v>6</v>
      </c>
      <c r="I9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72" s="40"/>
      <c r="N972" s="37"/>
    </row>
    <row r="973" spans="1:14" x14ac:dyDescent="0.25">
      <c r="A973" s="35">
        <f t="shared" si="28"/>
        <v>92</v>
      </c>
      <c r="B973" s="5">
        <v>43593</v>
      </c>
      <c r="C973" s="5" t="s">
        <v>1186</v>
      </c>
      <c r="D973" s="57" t="s">
        <v>1297</v>
      </c>
      <c r="E973" s="7" t="s">
        <v>1277</v>
      </c>
      <c r="F973" s="33">
        <v>1</v>
      </c>
      <c r="G973" s="63">
        <v>-115</v>
      </c>
      <c r="H973" s="9" t="s">
        <v>6</v>
      </c>
      <c r="I9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73" s="40"/>
      <c r="N973" s="37"/>
    </row>
    <row r="974" spans="1:14" x14ac:dyDescent="0.25">
      <c r="A974" s="35">
        <f t="shared" si="28"/>
        <v>92</v>
      </c>
      <c r="B974" s="5">
        <v>43593</v>
      </c>
      <c r="C974" s="5" t="s">
        <v>1186</v>
      </c>
      <c r="D974" s="57" t="s">
        <v>1309</v>
      </c>
      <c r="E974" s="7" t="s">
        <v>1258</v>
      </c>
      <c r="F974" s="33">
        <v>1</v>
      </c>
      <c r="G974" s="63">
        <v>-115</v>
      </c>
      <c r="H974" s="9" t="s">
        <v>65</v>
      </c>
      <c r="I9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74" s="40"/>
      <c r="N974" s="37"/>
    </row>
    <row r="975" spans="1:14" x14ac:dyDescent="0.25">
      <c r="A975" s="35">
        <f t="shared" si="28"/>
        <v>92</v>
      </c>
      <c r="B975" s="5">
        <v>43593</v>
      </c>
      <c r="C975" s="5" t="s">
        <v>1186</v>
      </c>
      <c r="D975" s="57" t="s">
        <v>1310</v>
      </c>
      <c r="E975" s="7" t="s">
        <v>1316</v>
      </c>
      <c r="F975" s="33">
        <v>1</v>
      </c>
      <c r="G975" s="63">
        <v>-115</v>
      </c>
      <c r="H975" s="9" t="s">
        <v>65</v>
      </c>
      <c r="I9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9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75" s="40"/>
      <c r="N975" s="37"/>
    </row>
    <row r="976" spans="1:14" x14ac:dyDescent="0.25">
      <c r="A976" s="35">
        <f t="shared" si="28"/>
        <v>92</v>
      </c>
      <c r="B976" s="5">
        <v>43593</v>
      </c>
      <c r="C976" s="5" t="s">
        <v>1186</v>
      </c>
      <c r="D976" s="57" t="s">
        <v>1315</v>
      </c>
      <c r="E976" s="7" t="s">
        <v>1276</v>
      </c>
      <c r="F976" s="33">
        <v>1</v>
      </c>
      <c r="G976" s="63">
        <v>-105</v>
      </c>
      <c r="H976" s="9" t="s">
        <v>36</v>
      </c>
      <c r="I9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9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76" s="40"/>
      <c r="N976" s="37"/>
    </row>
    <row r="977" spans="1:14" x14ac:dyDescent="0.25">
      <c r="A977" s="35">
        <f t="shared" si="28"/>
        <v>93</v>
      </c>
      <c r="B977" s="5">
        <v>43594</v>
      </c>
      <c r="C977" s="5" t="s">
        <v>1186</v>
      </c>
      <c r="D977" s="57" t="s">
        <v>1302</v>
      </c>
      <c r="E977" s="7" t="s">
        <v>1303</v>
      </c>
      <c r="F977" s="33">
        <v>2</v>
      </c>
      <c r="G977" s="63">
        <v>-210</v>
      </c>
      <c r="H977" s="9" t="s">
        <v>36</v>
      </c>
      <c r="I9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9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77" s="40"/>
      <c r="N977" s="37"/>
    </row>
    <row r="978" spans="1:14" x14ac:dyDescent="0.25">
      <c r="A978" s="35">
        <f t="shared" si="28"/>
        <v>93</v>
      </c>
      <c r="B978" s="5">
        <v>43594</v>
      </c>
      <c r="C978" s="5" t="s">
        <v>1186</v>
      </c>
      <c r="D978" s="57" t="s">
        <v>1317</v>
      </c>
      <c r="E978" s="7" t="s">
        <v>1318</v>
      </c>
      <c r="F978" s="33">
        <v>2</v>
      </c>
      <c r="G978" s="64" t="s">
        <v>1331</v>
      </c>
      <c r="H978" s="9" t="s">
        <v>6</v>
      </c>
      <c r="I9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78" s="40"/>
      <c r="N978" s="37"/>
    </row>
    <row r="979" spans="1:14" x14ac:dyDescent="0.25">
      <c r="A979" s="35">
        <f t="shared" si="28"/>
        <v>93</v>
      </c>
      <c r="B979" s="5">
        <v>43594</v>
      </c>
      <c r="C979" s="5" t="s">
        <v>1186</v>
      </c>
      <c r="D979" s="57" t="s">
        <v>1319</v>
      </c>
      <c r="E979" s="7" t="s">
        <v>1244</v>
      </c>
      <c r="F979" s="33">
        <v>2</v>
      </c>
      <c r="G979" s="63">
        <v>-110</v>
      </c>
      <c r="H979" s="9" t="s">
        <v>6</v>
      </c>
      <c r="I9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79" s="40"/>
      <c r="N979" s="37"/>
    </row>
    <row r="980" spans="1:14" x14ac:dyDescent="0.25">
      <c r="A980" s="35">
        <f t="shared" si="28"/>
        <v>93</v>
      </c>
      <c r="B980" s="5">
        <v>43594</v>
      </c>
      <c r="C980" s="5" t="s">
        <v>1186</v>
      </c>
      <c r="D980" s="57" t="s">
        <v>1320</v>
      </c>
      <c r="E980" s="7" t="s">
        <v>1272</v>
      </c>
      <c r="F980" s="33">
        <v>2</v>
      </c>
      <c r="G980" s="63">
        <v>-147</v>
      </c>
      <c r="H980" s="9" t="s">
        <v>6</v>
      </c>
      <c r="I9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80" s="40"/>
      <c r="N980" s="37"/>
    </row>
    <row r="981" spans="1:14" x14ac:dyDescent="0.25">
      <c r="A981" s="35">
        <f t="shared" si="28"/>
        <v>93</v>
      </c>
      <c r="B981" s="5">
        <v>43594</v>
      </c>
      <c r="C981" s="5" t="s">
        <v>1186</v>
      </c>
      <c r="D981" s="57" t="s">
        <v>1302</v>
      </c>
      <c r="E981" s="7" t="s">
        <v>1316</v>
      </c>
      <c r="F981" s="33">
        <v>2</v>
      </c>
      <c r="G981" s="63">
        <v>-120</v>
      </c>
      <c r="H981" s="9" t="s">
        <v>36</v>
      </c>
      <c r="I9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1.6666666666666667</v>
      </c>
      <c r="J9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81" s="40"/>
      <c r="N981" s="37"/>
    </row>
    <row r="982" spans="1:14" x14ac:dyDescent="0.25">
      <c r="A982" s="35">
        <f t="shared" si="28"/>
        <v>93</v>
      </c>
      <c r="B982" s="5">
        <v>43594</v>
      </c>
      <c r="C982" s="5" t="s">
        <v>1186</v>
      </c>
      <c r="D982" s="57" t="s">
        <v>1304</v>
      </c>
      <c r="E982" s="7" t="s">
        <v>1289</v>
      </c>
      <c r="F982" s="33">
        <v>2</v>
      </c>
      <c r="G982" s="63">
        <v>-105</v>
      </c>
      <c r="H982" s="9" t="s">
        <v>36</v>
      </c>
      <c r="I9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1.9047619047619049</v>
      </c>
      <c r="J9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82" s="40"/>
      <c r="N982" s="37"/>
    </row>
    <row r="983" spans="1:14" x14ac:dyDescent="0.25">
      <c r="A983" s="35">
        <f t="shared" si="28"/>
        <v>93</v>
      </c>
      <c r="B983" s="5">
        <v>43594</v>
      </c>
      <c r="C983" s="5" t="s">
        <v>1186</v>
      </c>
      <c r="D983" s="57" t="s">
        <v>1321</v>
      </c>
      <c r="E983" s="7" t="s">
        <v>1322</v>
      </c>
      <c r="F983" s="33">
        <v>2</v>
      </c>
      <c r="G983" s="63">
        <v>-105</v>
      </c>
      <c r="H983" s="9" t="s">
        <v>6</v>
      </c>
      <c r="I9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83" s="40"/>
      <c r="N983" s="37"/>
    </row>
    <row r="984" spans="1:14" x14ac:dyDescent="0.25">
      <c r="A984" s="35">
        <f t="shared" si="28"/>
        <v>93</v>
      </c>
      <c r="B984" s="5">
        <v>43594</v>
      </c>
      <c r="C984" s="5" t="s">
        <v>1186</v>
      </c>
      <c r="D984" s="57" t="s">
        <v>1320</v>
      </c>
      <c r="E984" s="7" t="s">
        <v>1254</v>
      </c>
      <c r="F984" s="33">
        <v>2</v>
      </c>
      <c r="G984" s="63">
        <v>-120</v>
      </c>
      <c r="H984" s="9" t="s">
        <v>6</v>
      </c>
      <c r="I9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9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84" s="40"/>
      <c r="N984" s="37"/>
    </row>
    <row r="985" spans="1:14" x14ac:dyDescent="0.25">
      <c r="A985" s="35">
        <f t="shared" si="28"/>
        <v>94</v>
      </c>
      <c r="B985" s="5">
        <v>43595</v>
      </c>
      <c r="C985" s="5" t="s">
        <v>1186</v>
      </c>
      <c r="D985" s="57" t="s">
        <v>1323</v>
      </c>
      <c r="E985" s="7" t="s">
        <v>1250</v>
      </c>
      <c r="F985" s="33">
        <v>1</v>
      </c>
      <c r="G985" s="63" t="s">
        <v>1267</v>
      </c>
      <c r="H985" s="9" t="s">
        <v>6</v>
      </c>
      <c r="I9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985" s="40"/>
      <c r="N985" s="37"/>
    </row>
    <row r="986" spans="1:14" x14ac:dyDescent="0.25">
      <c r="A986" s="35">
        <f t="shared" si="28"/>
        <v>94</v>
      </c>
      <c r="B986" s="5">
        <v>43595</v>
      </c>
      <c r="C986" s="5" t="s">
        <v>1186</v>
      </c>
      <c r="D986" s="57" t="s">
        <v>1324</v>
      </c>
      <c r="E986" s="7" t="s">
        <v>1298</v>
      </c>
      <c r="F986" s="33">
        <v>1</v>
      </c>
      <c r="G986" s="63">
        <v>-230</v>
      </c>
      <c r="H986" s="9" t="s">
        <v>36</v>
      </c>
      <c r="I9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0.43478260869565216</v>
      </c>
      <c r="J9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86" s="40"/>
      <c r="N986" s="37"/>
    </row>
    <row r="987" spans="1:14" x14ac:dyDescent="0.25">
      <c r="A987" s="35">
        <f t="shared" si="28"/>
        <v>94</v>
      </c>
      <c r="B987" s="5">
        <v>43595</v>
      </c>
      <c r="C987" s="5" t="s">
        <v>1186</v>
      </c>
      <c r="D987" s="57" t="s">
        <v>1325</v>
      </c>
      <c r="E987" s="7" t="s">
        <v>1242</v>
      </c>
      <c r="F987" s="33">
        <v>1</v>
      </c>
      <c r="G987" s="63">
        <v>-145</v>
      </c>
      <c r="H987" s="9" t="s">
        <v>6</v>
      </c>
      <c r="I9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87" s="40"/>
      <c r="N987" s="37"/>
    </row>
    <row r="988" spans="1:14" x14ac:dyDescent="0.25">
      <c r="A988" s="35">
        <f t="shared" si="28"/>
        <v>94</v>
      </c>
      <c r="B988" s="5">
        <v>43595</v>
      </c>
      <c r="C988" s="5" t="s">
        <v>1186</v>
      </c>
      <c r="D988" s="57" t="s">
        <v>1326</v>
      </c>
      <c r="E988" s="7" t="s">
        <v>1263</v>
      </c>
      <c r="F988" s="33">
        <v>1</v>
      </c>
      <c r="G988" s="63">
        <v>-160</v>
      </c>
      <c r="H988" s="9" t="s">
        <v>36</v>
      </c>
      <c r="I9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0.625</v>
      </c>
      <c r="J9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88" s="40"/>
      <c r="N988" s="37"/>
    </row>
    <row r="989" spans="1:14" x14ac:dyDescent="0.25">
      <c r="A989" s="35">
        <f t="shared" si="28"/>
        <v>94</v>
      </c>
      <c r="B989" s="5">
        <v>43595</v>
      </c>
      <c r="C989" s="5" t="s">
        <v>1186</v>
      </c>
      <c r="D989" s="57" t="s">
        <v>1327</v>
      </c>
      <c r="E989" s="7" t="s">
        <v>1278</v>
      </c>
      <c r="F989" s="33">
        <v>1</v>
      </c>
      <c r="G989" s="63">
        <v>-140</v>
      </c>
      <c r="H989" s="9" t="s">
        <v>36</v>
      </c>
      <c r="I9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0.7142857142857143</v>
      </c>
      <c r="J9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89" s="40"/>
      <c r="N989" s="37"/>
    </row>
    <row r="990" spans="1:14" x14ac:dyDescent="0.25">
      <c r="A990" s="35">
        <f t="shared" si="28"/>
        <v>94</v>
      </c>
      <c r="B990" s="5">
        <v>43595</v>
      </c>
      <c r="C990" s="5" t="s">
        <v>1186</v>
      </c>
      <c r="D990" s="57" t="s">
        <v>1328</v>
      </c>
      <c r="E990" s="7" t="s">
        <v>1276</v>
      </c>
      <c r="F990" s="33">
        <v>1</v>
      </c>
      <c r="G990" s="63">
        <v>-105</v>
      </c>
      <c r="H990" s="9" t="s">
        <v>6</v>
      </c>
      <c r="I9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90" s="40"/>
      <c r="N990" s="37"/>
    </row>
    <row r="991" spans="1:14" x14ac:dyDescent="0.25">
      <c r="A991" s="35">
        <f t="shared" si="28"/>
        <v>94</v>
      </c>
      <c r="B991" s="5">
        <v>43595</v>
      </c>
      <c r="C991" s="5" t="s">
        <v>1186</v>
      </c>
      <c r="D991" s="57" t="s">
        <v>1329</v>
      </c>
      <c r="E991" s="7" t="s">
        <v>1274</v>
      </c>
      <c r="F991" s="33">
        <v>1</v>
      </c>
      <c r="G991" s="63">
        <v>-105</v>
      </c>
      <c r="H991" s="9" t="s">
        <v>6</v>
      </c>
      <c r="I9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91" s="40"/>
      <c r="N991" s="37"/>
    </row>
    <row r="992" spans="1:14" x14ac:dyDescent="0.25">
      <c r="A992" s="35">
        <f t="shared" si="28"/>
        <v>94</v>
      </c>
      <c r="B992" s="5">
        <v>43595</v>
      </c>
      <c r="C992" s="5" t="s">
        <v>1186</v>
      </c>
      <c r="D992" s="57" t="s">
        <v>1330</v>
      </c>
      <c r="E992" s="7" t="s">
        <v>1316</v>
      </c>
      <c r="F992" s="33">
        <v>1</v>
      </c>
      <c r="G992" s="63">
        <v>-115</v>
      </c>
      <c r="H992" s="9" t="s">
        <v>6</v>
      </c>
      <c r="I9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92" s="40"/>
      <c r="N992" s="37"/>
    </row>
    <row r="993" spans="1:14" x14ac:dyDescent="0.25">
      <c r="A993" s="35">
        <f t="shared" si="28"/>
        <v>94</v>
      </c>
      <c r="B993" s="5">
        <v>43595</v>
      </c>
      <c r="C993" s="5" t="s">
        <v>1186</v>
      </c>
      <c r="D993" s="57" t="s">
        <v>1319</v>
      </c>
      <c r="E993" s="7" t="s">
        <v>1274</v>
      </c>
      <c r="F993" s="33">
        <v>1</v>
      </c>
      <c r="G993" s="63">
        <v>100</v>
      </c>
      <c r="H993" s="9" t="s">
        <v>6</v>
      </c>
      <c r="I9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93" s="40"/>
      <c r="N993" s="37"/>
    </row>
    <row r="994" spans="1:14" x14ac:dyDescent="0.25">
      <c r="A994" s="35">
        <f t="shared" si="28"/>
        <v>94</v>
      </c>
      <c r="B994" s="5">
        <v>43595</v>
      </c>
      <c r="C994" s="5" t="s">
        <v>1186</v>
      </c>
      <c r="D994" s="57" t="s">
        <v>1320</v>
      </c>
      <c r="E994" s="7" t="s">
        <v>1276</v>
      </c>
      <c r="F994" s="33">
        <v>1</v>
      </c>
      <c r="G994" s="63">
        <v>-120</v>
      </c>
      <c r="H994" s="9" t="s">
        <v>6</v>
      </c>
      <c r="I9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94" s="40"/>
      <c r="N994" s="37"/>
    </row>
    <row r="995" spans="1:14" x14ac:dyDescent="0.25">
      <c r="A995" s="35">
        <f t="shared" si="28"/>
        <v>95</v>
      </c>
      <c r="B995" s="5">
        <v>43598</v>
      </c>
      <c r="C995" s="5" t="s">
        <v>1186</v>
      </c>
      <c r="D995" s="57" t="s">
        <v>1332</v>
      </c>
      <c r="E995" s="7" t="s">
        <v>1274</v>
      </c>
      <c r="F995" s="33">
        <v>1</v>
      </c>
      <c r="G995" s="63">
        <v>100</v>
      </c>
      <c r="H995" s="9" t="s">
        <v>36</v>
      </c>
      <c r="I9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9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995" s="40"/>
      <c r="N995" s="37"/>
    </row>
    <row r="996" spans="1:14" x14ac:dyDescent="0.25">
      <c r="A996" s="35">
        <f t="shared" si="28"/>
        <v>95</v>
      </c>
      <c r="B996" s="5">
        <v>43598</v>
      </c>
      <c r="C996" s="5" t="s">
        <v>1186</v>
      </c>
      <c r="D996" s="57" t="s">
        <v>1333</v>
      </c>
      <c r="E996" s="7" t="s">
        <v>1246</v>
      </c>
      <c r="F996" s="33">
        <v>1</v>
      </c>
      <c r="G996" s="63">
        <v>-157</v>
      </c>
      <c r="H996" s="9" t="s">
        <v>36</v>
      </c>
      <c r="I9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0.63694267515923575</v>
      </c>
      <c r="J9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96" s="40"/>
      <c r="N996" s="37"/>
    </row>
    <row r="997" spans="1:14" x14ac:dyDescent="0.25">
      <c r="A997" s="35">
        <f t="shared" si="28"/>
        <v>95</v>
      </c>
      <c r="B997" s="5">
        <v>43598</v>
      </c>
      <c r="C997" s="5" t="s">
        <v>1186</v>
      </c>
      <c r="D997" s="57" t="s">
        <v>1333</v>
      </c>
      <c r="E997" s="7" t="s">
        <v>1289</v>
      </c>
      <c r="F997" s="33">
        <v>1</v>
      </c>
      <c r="G997" s="63">
        <v>-105</v>
      </c>
      <c r="H997" s="9" t="s">
        <v>6</v>
      </c>
      <c r="I9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997" s="40"/>
      <c r="N997" s="37"/>
    </row>
    <row r="998" spans="1:14" x14ac:dyDescent="0.25">
      <c r="A998" s="35">
        <f t="shared" si="28"/>
        <v>95</v>
      </c>
      <c r="B998" s="5">
        <v>43598</v>
      </c>
      <c r="C998" s="5" t="s">
        <v>1186</v>
      </c>
      <c r="D998" s="57" t="s">
        <v>1334</v>
      </c>
      <c r="E998" s="7" t="s">
        <v>1298</v>
      </c>
      <c r="F998" s="33">
        <v>1</v>
      </c>
      <c r="G998" s="63">
        <v>-139</v>
      </c>
      <c r="H998" s="9" t="s">
        <v>6</v>
      </c>
      <c r="I9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98" s="40"/>
      <c r="N998" s="37"/>
    </row>
    <row r="999" spans="1:14" x14ac:dyDescent="0.25">
      <c r="A999" s="35">
        <f t="shared" si="28"/>
        <v>95</v>
      </c>
      <c r="B999" s="5">
        <v>43598</v>
      </c>
      <c r="C999" s="5" t="s">
        <v>1186</v>
      </c>
      <c r="D999" s="57" t="s">
        <v>1335</v>
      </c>
      <c r="E999" s="7" t="s">
        <v>1293</v>
      </c>
      <c r="F999" s="33">
        <v>1</v>
      </c>
      <c r="G999" s="63">
        <v>-155</v>
      </c>
      <c r="H999" s="9" t="s">
        <v>6</v>
      </c>
      <c r="I9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9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999" s="40"/>
      <c r="N999" s="37"/>
    </row>
    <row r="1000" spans="1:14" x14ac:dyDescent="0.25">
      <c r="A1000" s="35">
        <f t="shared" si="28"/>
        <v>95</v>
      </c>
      <c r="B1000" s="5">
        <v>43598</v>
      </c>
      <c r="C1000" s="5" t="s">
        <v>1186</v>
      </c>
      <c r="D1000" s="57" t="s">
        <v>1336</v>
      </c>
      <c r="E1000" s="7" t="s">
        <v>1258</v>
      </c>
      <c r="F1000" s="33">
        <v>1</v>
      </c>
      <c r="G1000" s="63">
        <v>-105</v>
      </c>
      <c r="H1000" s="9" t="s">
        <v>36</v>
      </c>
      <c r="I10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0.95238095238095244</v>
      </c>
      <c r="J10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00" s="40"/>
      <c r="N1000" s="37"/>
    </row>
    <row r="1001" spans="1:14" x14ac:dyDescent="0.25">
      <c r="A1001" s="35">
        <f t="shared" si="28"/>
        <v>95</v>
      </c>
      <c r="B1001" s="5">
        <v>43598</v>
      </c>
      <c r="C1001" s="5" t="s">
        <v>1186</v>
      </c>
      <c r="D1001" s="57" t="s">
        <v>1336</v>
      </c>
      <c r="E1001" s="7" t="s">
        <v>1300</v>
      </c>
      <c r="F1001" s="33">
        <v>1</v>
      </c>
      <c r="G1001" s="63">
        <v>-170</v>
      </c>
      <c r="H1001" s="9" t="s">
        <v>36</v>
      </c>
      <c r="I10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0.58823529411764708</v>
      </c>
      <c r="J10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1" s="40"/>
      <c r="N1001" s="37"/>
    </row>
    <row r="1002" spans="1:14" x14ac:dyDescent="0.25">
      <c r="A1002" s="35">
        <f t="shared" si="28"/>
        <v>95</v>
      </c>
      <c r="B1002" s="5">
        <v>43598</v>
      </c>
      <c r="C1002" s="5" t="s">
        <v>1186</v>
      </c>
      <c r="D1002" s="57" t="s">
        <v>1337</v>
      </c>
      <c r="E1002" s="7" t="s">
        <v>1250</v>
      </c>
      <c r="F1002" s="33">
        <v>1</v>
      </c>
      <c r="G1002" s="63">
        <v>-122</v>
      </c>
      <c r="H1002" s="9" t="s">
        <v>36</v>
      </c>
      <c r="I10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0.81967213114754101</v>
      </c>
      <c r="J10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2" s="40"/>
      <c r="N1002" s="37"/>
    </row>
    <row r="1003" spans="1:14" x14ac:dyDescent="0.25">
      <c r="A1003" s="35">
        <f t="shared" si="28"/>
        <v>96</v>
      </c>
      <c r="B1003" s="5">
        <v>43599</v>
      </c>
      <c r="C1003" s="5" t="s">
        <v>1186</v>
      </c>
      <c r="D1003" s="57" t="s">
        <v>1335</v>
      </c>
      <c r="E1003" s="7" t="s">
        <v>1293</v>
      </c>
      <c r="F1003" s="33">
        <v>1</v>
      </c>
      <c r="G1003" s="63">
        <v>-180</v>
      </c>
      <c r="H1003" s="9" t="s">
        <v>36</v>
      </c>
      <c r="I10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0.55555555555555558</v>
      </c>
      <c r="J10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3" s="40"/>
      <c r="N1003" s="37"/>
    </row>
    <row r="1004" spans="1:14" x14ac:dyDescent="0.25">
      <c r="A1004" s="35">
        <f t="shared" si="28"/>
        <v>96</v>
      </c>
      <c r="B1004" s="5">
        <v>43599</v>
      </c>
      <c r="C1004" s="5" t="s">
        <v>1186</v>
      </c>
      <c r="D1004" s="57" t="s">
        <v>1338</v>
      </c>
      <c r="E1004" s="7" t="s">
        <v>1303</v>
      </c>
      <c r="F1004" s="33">
        <v>1</v>
      </c>
      <c r="G1004" s="63">
        <v>-130</v>
      </c>
      <c r="H1004" s="9" t="s">
        <v>36</v>
      </c>
      <c r="I10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0.76923076923076927</v>
      </c>
      <c r="J10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4" s="40"/>
      <c r="N1004" s="37"/>
    </row>
    <row r="1005" spans="1:14" x14ac:dyDescent="0.25">
      <c r="A1005" s="35">
        <f t="shared" si="28"/>
        <v>96</v>
      </c>
      <c r="B1005" s="5">
        <v>43599</v>
      </c>
      <c r="C1005" s="5" t="s">
        <v>1186</v>
      </c>
      <c r="D1005" s="57" t="s">
        <v>1332</v>
      </c>
      <c r="E1005" s="7" t="s">
        <v>1242</v>
      </c>
      <c r="F1005" s="33">
        <v>1</v>
      </c>
      <c r="G1005" s="63" t="s">
        <v>1273</v>
      </c>
      <c r="H1005" s="9" t="s">
        <v>6</v>
      </c>
      <c r="I10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05" s="40"/>
      <c r="N1005" s="37"/>
    </row>
    <row r="1006" spans="1:14" x14ac:dyDescent="0.25">
      <c r="A1006" s="35">
        <f t="shared" si="28"/>
        <v>96</v>
      </c>
      <c r="B1006" s="5">
        <v>43599</v>
      </c>
      <c r="C1006" s="5" t="s">
        <v>1186</v>
      </c>
      <c r="D1006" s="57" t="s">
        <v>1339</v>
      </c>
      <c r="E1006" s="7" t="s">
        <v>1274</v>
      </c>
      <c r="F1006" s="33">
        <v>1</v>
      </c>
      <c r="G1006" s="63">
        <v>-105</v>
      </c>
      <c r="H1006" s="9" t="s">
        <v>6</v>
      </c>
      <c r="I10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06" s="40"/>
      <c r="N1006" s="37"/>
    </row>
    <row r="1007" spans="1:14" x14ac:dyDescent="0.25">
      <c r="A1007" s="35">
        <f t="shared" si="28"/>
        <v>96</v>
      </c>
      <c r="B1007" s="5">
        <v>43599</v>
      </c>
      <c r="C1007" s="5" t="s">
        <v>1186</v>
      </c>
      <c r="D1007" s="57" t="s">
        <v>1340</v>
      </c>
      <c r="E1007" s="7" t="s">
        <v>1276</v>
      </c>
      <c r="F1007" s="33">
        <v>1</v>
      </c>
      <c r="G1007" s="63">
        <v>-115</v>
      </c>
      <c r="H1007" s="9" t="s">
        <v>36</v>
      </c>
      <c r="I10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10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07" s="40"/>
      <c r="N1007" s="37"/>
    </row>
    <row r="1008" spans="1:14" x14ac:dyDescent="0.25">
      <c r="A1008" s="35">
        <f t="shared" si="28"/>
        <v>96</v>
      </c>
      <c r="B1008" s="5">
        <v>43599</v>
      </c>
      <c r="C1008" s="5" t="s">
        <v>1186</v>
      </c>
      <c r="D1008" s="57" t="s">
        <v>1333</v>
      </c>
      <c r="E1008" s="7" t="s">
        <v>1246</v>
      </c>
      <c r="F1008" s="33">
        <v>1</v>
      </c>
      <c r="G1008" s="63">
        <v>-196</v>
      </c>
      <c r="H1008" s="9" t="s">
        <v>36</v>
      </c>
      <c r="I10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0.51020408163265307</v>
      </c>
      <c r="J10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8" s="40"/>
      <c r="N1008" s="37"/>
    </row>
    <row r="1009" spans="1:14" x14ac:dyDescent="0.25">
      <c r="A1009" s="35">
        <f t="shared" si="28"/>
        <v>96</v>
      </c>
      <c r="B1009" s="5">
        <v>43599</v>
      </c>
      <c r="C1009" s="5" t="s">
        <v>1186</v>
      </c>
      <c r="D1009" s="57" t="s">
        <v>1341</v>
      </c>
      <c r="E1009" s="7" t="s">
        <v>1269</v>
      </c>
      <c r="F1009" s="33">
        <v>1</v>
      </c>
      <c r="G1009" s="63">
        <v>-134</v>
      </c>
      <c r="H1009" s="9" t="s">
        <v>36</v>
      </c>
      <c r="I10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0.74626865671641784</v>
      </c>
      <c r="J10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09" s="40"/>
      <c r="N1009" s="37"/>
    </row>
    <row r="1010" spans="1:14" x14ac:dyDescent="0.25">
      <c r="A1010" s="35">
        <f t="shared" si="28"/>
        <v>96</v>
      </c>
      <c r="B1010" s="5">
        <v>43599</v>
      </c>
      <c r="C1010" s="5" t="s">
        <v>1186</v>
      </c>
      <c r="D1010" s="57" t="s">
        <v>1342</v>
      </c>
      <c r="E1010" s="7" t="s">
        <v>1274</v>
      </c>
      <c r="F1010" s="33">
        <v>1</v>
      </c>
      <c r="G1010" s="63">
        <v>-115</v>
      </c>
      <c r="H1010" s="9" t="s">
        <v>36</v>
      </c>
      <c r="I10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0.86956521739130432</v>
      </c>
      <c r="J10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10" s="40"/>
      <c r="N1010" s="37"/>
    </row>
    <row r="1011" spans="1:14" x14ac:dyDescent="0.25">
      <c r="A1011" s="35">
        <f t="shared" si="28"/>
        <v>96</v>
      </c>
      <c r="B1011" s="5">
        <v>43599</v>
      </c>
      <c r="C1011" s="5" t="s">
        <v>1186</v>
      </c>
      <c r="D1011" s="57" t="s">
        <v>1336</v>
      </c>
      <c r="E1011" s="7" t="s">
        <v>1300</v>
      </c>
      <c r="F1011" s="33">
        <v>1</v>
      </c>
      <c r="G1011" s="63">
        <v>-140</v>
      </c>
      <c r="H1011" s="9" t="s">
        <v>6</v>
      </c>
      <c r="I10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1" s="40"/>
      <c r="N1011" s="37"/>
    </row>
    <row r="1012" spans="1:14" x14ac:dyDescent="0.25">
      <c r="A1012" s="35">
        <f t="shared" si="28"/>
        <v>97</v>
      </c>
      <c r="B1012" s="5">
        <v>43600</v>
      </c>
      <c r="C1012" s="5" t="s">
        <v>1186</v>
      </c>
      <c r="D1012" s="57" t="s">
        <v>1334</v>
      </c>
      <c r="E1012" s="7" t="s">
        <v>1298</v>
      </c>
      <c r="F1012" s="33">
        <v>1.4</v>
      </c>
      <c r="G1012" s="63">
        <v>-140</v>
      </c>
      <c r="H1012" s="9" t="s">
        <v>36</v>
      </c>
      <c r="I10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2" s="40"/>
      <c r="N1012" s="37"/>
    </row>
    <row r="1013" spans="1:14" x14ac:dyDescent="0.25">
      <c r="A1013" s="35">
        <f t="shared" si="28"/>
        <v>97</v>
      </c>
      <c r="B1013" s="5">
        <v>43600</v>
      </c>
      <c r="C1013" s="5" t="s">
        <v>1186</v>
      </c>
      <c r="D1013" s="57" t="s">
        <v>1332</v>
      </c>
      <c r="E1013" s="7" t="s">
        <v>1187</v>
      </c>
      <c r="F1013" s="33">
        <v>1.05</v>
      </c>
      <c r="G1013" s="63">
        <v>-105</v>
      </c>
      <c r="H1013" s="9" t="s">
        <v>36</v>
      </c>
      <c r="I10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3" s="40"/>
      <c r="N1013" s="37"/>
    </row>
    <row r="1014" spans="1:14" x14ac:dyDescent="0.25">
      <c r="A1014" s="35">
        <f t="shared" si="28"/>
        <v>97</v>
      </c>
      <c r="B1014" s="5">
        <v>43600</v>
      </c>
      <c r="C1014" s="5" t="s">
        <v>1186</v>
      </c>
      <c r="D1014" s="57" t="s">
        <v>1340</v>
      </c>
      <c r="E1014" s="7" t="s">
        <v>1343</v>
      </c>
      <c r="F1014" s="33">
        <v>1</v>
      </c>
      <c r="G1014" s="63" t="s">
        <v>1344</v>
      </c>
      <c r="H1014" s="9" t="s">
        <v>6</v>
      </c>
      <c r="I10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14" s="40"/>
      <c r="N1014" s="37"/>
    </row>
    <row r="1015" spans="1:14" x14ac:dyDescent="0.25">
      <c r="A1015" s="35">
        <f t="shared" si="28"/>
        <v>97</v>
      </c>
      <c r="B1015" s="5">
        <v>43600</v>
      </c>
      <c r="C1015" s="5" t="s">
        <v>1186</v>
      </c>
      <c r="D1015" s="57" t="s">
        <v>1342</v>
      </c>
      <c r="E1015" s="7" t="s">
        <v>1244</v>
      </c>
      <c r="F1015" s="33">
        <v>1.4</v>
      </c>
      <c r="G1015" s="63">
        <v>-140</v>
      </c>
      <c r="H1015" s="9" t="s">
        <v>36</v>
      </c>
      <c r="I10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5" s="40"/>
      <c r="N1015" s="37"/>
    </row>
    <row r="1016" spans="1:14" x14ac:dyDescent="0.25">
      <c r="A1016" s="35">
        <f t="shared" si="28"/>
        <v>97</v>
      </c>
      <c r="B1016" s="5">
        <v>43600</v>
      </c>
      <c r="C1016" s="5" t="s">
        <v>1186</v>
      </c>
      <c r="D1016" s="57" t="s">
        <v>1345</v>
      </c>
      <c r="E1016" s="7" t="s">
        <v>1295</v>
      </c>
      <c r="F1016" s="33">
        <v>1.3</v>
      </c>
      <c r="G1016" s="63">
        <v>-130</v>
      </c>
      <c r="H1016" s="9" t="s">
        <v>36</v>
      </c>
      <c r="I10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6" s="40"/>
      <c r="N1016" s="37"/>
    </row>
    <row r="1017" spans="1:14" x14ac:dyDescent="0.25">
      <c r="A1017" s="35">
        <f t="shared" si="28"/>
        <v>97</v>
      </c>
      <c r="B1017" s="5">
        <v>43600</v>
      </c>
      <c r="C1017" s="5" t="s">
        <v>1186</v>
      </c>
      <c r="D1017" s="57" t="s">
        <v>1333</v>
      </c>
      <c r="E1017" s="7" t="s">
        <v>1246</v>
      </c>
      <c r="F1017" s="33">
        <v>3.6</v>
      </c>
      <c r="G1017" s="63">
        <v>-360</v>
      </c>
      <c r="H1017" s="9" t="s">
        <v>36</v>
      </c>
      <c r="I10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7" s="40"/>
      <c r="N1017" s="37"/>
    </row>
    <row r="1018" spans="1:14" x14ac:dyDescent="0.25">
      <c r="A1018" s="35">
        <f t="shared" si="28"/>
        <v>97</v>
      </c>
      <c r="B1018" s="5">
        <v>43600</v>
      </c>
      <c r="C1018" s="5" t="s">
        <v>1186</v>
      </c>
      <c r="D1018" s="57" t="s">
        <v>1341</v>
      </c>
      <c r="E1018" s="7" t="s">
        <v>1269</v>
      </c>
      <c r="F1018" s="33">
        <v>1.85</v>
      </c>
      <c r="G1018" s="63">
        <v>-185</v>
      </c>
      <c r="H1018" s="9" t="s">
        <v>36</v>
      </c>
      <c r="I10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18" s="40"/>
      <c r="N1018" s="37"/>
    </row>
    <row r="1019" spans="1:14" x14ac:dyDescent="0.25">
      <c r="A1019" s="35">
        <f t="shared" si="28"/>
        <v>98</v>
      </c>
      <c r="B1019" s="5">
        <v>43601</v>
      </c>
      <c r="C1019" s="5" t="s">
        <v>1186</v>
      </c>
      <c r="D1019" s="57" t="s">
        <v>1332</v>
      </c>
      <c r="E1019" s="7" t="s">
        <v>1277</v>
      </c>
      <c r="F1019" s="33">
        <v>2.1</v>
      </c>
      <c r="G1019" s="63">
        <v>-105</v>
      </c>
      <c r="H1019" s="9" t="s">
        <v>6</v>
      </c>
      <c r="I10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-2.1</v>
      </c>
      <c r="J10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19" s="40"/>
      <c r="N1019" s="37"/>
    </row>
    <row r="1020" spans="1:14" x14ac:dyDescent="0.25">
      <c r="A1020" s="35">
        <f t="shared" si="28"/>
        <v>98</v>
      </c>
      <c r="B1020" s="5">
        <v>43601</v>
      </c>
      <c r="C1020" s="5" t="s">
        <v>1186</v>
      </c>
      <c r="D1020" s="57" t="s">
        <v>1346</v>
      </c>
      <c r="E1020" s="7" t="s">
        <v>1289</v>
      </c>
      <c r="F1020" s="33">
        <v>2.1</v>
      </c>
      <c r="G1020" s="63">
        <v>-105</v>
      </c>
      <c r="H1020" s="9" t="s">
        <v>6</v>
      </c>
      <c r="I10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-2.1</v>
      </c>
      <c r="J10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20" s="40"/>
      <c r="N1020" s="37"/>
    </row>
    <row r="1021" spans="1:14" x14ac:dyDescent="0.25">
      <c r="A1021" s="35">
        <f t="shared" si="28"/>
        <v>98</v>
      </c>
      <c r="B1021" s="5">
        <v>43601</v>
      </c>
      <c r="C1021" s="5" t="s">
        <v>1186</v>
      </c>
      <c r="D1021" s="57" t="s">
        <v>1338</v>
      </c>
      <c r="E1021" s="7" t="s">
        <v>1289</v>
      </c>
      <c r="F1021" s="33">
        <v>2</v>
      </c>
      <c r="G1021" s="63">
        <v>100</v>
      </c>
      <c r="H1021" s="9" t="s">
        <v>36</v>
      </c>
      <c r="I10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</v>
      </c>
      <c r="J10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21" s="40"/>
      <c r="N1021" s="37"/>
    </row>
    <row r="1022" spans="1:14" x14ac:dyDescent="0.25">
      <c r="A1022" s="35">
        <f t="shared" si="28"/>
        <v>98</v>
      </c>
      <c r="B1022" s="5">
        <v>43601</v>
      </c>
      <c r="C1022" s="5" t="s">
        <v>1186</v>
      </c>
      <c r="D1022" s="57" t="s">
        <v>1342</v>
      </c>
      <c r="E1022" s="7" t="s">
        <v>1316</v>
      </c>
      <c r="F1022" s="33">
        <v>2.2999999999999998</v>
      </c>
      <c r="G1022" s="63">
        <v>-115</v>
      </c>
      <c r="H1022" s="9" t="s">
        <v>6</v>
      </c>
      <c r="I10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-2.2999999999999998</v>
      </c>
      <c r="J10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22" s="40"/>
      <c r="N1022" s="37"/>
    </row>
    <row r="1023" spans="1:14" x14ac:dyDescent="0.25">
      <c r="A1023" s="35">
        <f t="shared" si="28"/>
        <v>98</v>
      </c>
      <c r="B1023" s="5">
        <v>43601</v>
      </c>
      <c r="C1023" s="5" t="s">
        <v>1186</v>
      </c>
      <c r="D1023" s="57" t="s">
        <v>1347</v>
      </c>
      <c r="E1023" s="7" t="s">
        <v>1322</v>
      </c>
      <c r="F1023" s="33">
        <v>2.2999999999999998</v>
      </c>
      <c r="G1023" s="63">
        <v>-115</v>
      </c>
      <c r="H1023" s="9" t="s">
        <v>36</v>
      </c>
      <c r="I10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1.9999999999999998</v>
      </c>
      <c r="J10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23" s="40"/>
      <c r="N1023" s="37"/>
    </row>
    <row r="1024" spans="1:14" x14ac:dyDescent="0.25">
      <c r="A1024" s="35">
        <f t="shared" si="28"/>
        <v>98</v>
      </c>
      <c r="B1024" s="5">
        <v>43601</v>
      </c>
      <c r="C1024" s="5" t="s">
        <v>1186</v>
      </c>
      <c r="D1024" s="57" t="s">
        <v>1348</v>
      </c>
      <c r="E1024" s="7" t="s">
        <v>1318</v>
      </c>
      <c r="F1024" s="33">
        <v>2</v>
      </c>
      <c r="G1024" s="63" t="s">
        <v>1273</v>
      </c>
      <c r="H1024" s="9" t="s">
        <v>6</v>
      </c>
      <c r="I10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</v>
      </c>
      <c r="J10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24" s="40"/>
      <c r="N1024" s="37"/>
    </row>
    <row r="1025" spans="1:14" x14ac:dyDescent="0.25">
      <c r="A1025" s="35">
        <f t="shared" si="28"/>
        <v>99</v>
      </c>
      <c r="B1025" s="5">
        <v>43602</v>
      </c>
      <c r="C1025" s="5" t="s">
        <v>1186</v>
      </c>
      <c r="D1025" s="57" t="s">
        <v>1349</v>
      </c>
      <c r="E1025" s="7" t="s">
        <v>1242</v>
      </c>
      <c r="F1025" s="33">
        <v>1.22</v>
      </c>
      <c r="G1025" s="66">
        <v>-122</v>
      </c>
      <c r="H1025" s="9" t="s">
        <v>36</v>
      </c>
      <c r="I10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25" s="40"/>
      <c r="N1025" s="37"/>
    </row>
    <row r="1026" spans="1:14" x14ac:dyDescent="0.25">
      <c r="A1026" s="35">
        <f t="shared" si="28"/>
        <v>99</v>
      </c>
      <c r="B1026" s="5">
        <v>43602</v>
      </c>
      <c r="C1026" s="5" t="s">
        <v>1186</v>
      </c>
      <c r="D1026" s="57" t="s">
        <v>1350</v>
      </c>
      <c r="E1026" s="7" t="s">
        <v>1303</v>
      </c>
      <c r="F1026" s="33">
        <v>1</v>
      </c>
      <c r="G1026" s="66" t="s">
        <v>1331</v>
      </c>
      <c r="H1026" s="9" t="s">
        <v>36</v>
      </c>
      <c r="I10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1.25</v>
      </c>
      <c r="J10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26" s="40"/>
      <c r="N1026" s="37"/>
    </row>
    <row r="1027" spans="1:14" x14ac:dyDescent="0.25">
      <c r="A1027" s="35">
        <f t="shared" si="28"/>
        <v>99</v>
      </c>
      <c r="B1027" s="5">
        <v>43602</v>
      </c>
      <c r="C1027" s="5" t="s">
        <v>1186</v>
      </c>
      <c r="D1027" s="57" t="s">
        <v>1351</v>
      </c>
      <c r="E1027" s="7" t="s">
        <v>1246</v>
      </c>
      <c r="F1027" s="33">
        <v>1.38</v>
      </c>
      <c r="G1027" s="66">
        <v>-138</v>
      </c>
      <c r="H1027" s="9" t="s">
        <v>36</v>
      </c>
      <c r="I10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0.99999999999999989</v>
      </c>
      <c r="J10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27" s="40"/>
      <c r="N1027" s="37"/>
    </row>
    <row r="1028" spans="1:14" x14ac:dyDescent="0.25">
      <c r="A1028" s="35">
        <f t="shared" ref="A1028:A1091" si="29">IF(B1028=B1027,A1027,A1027+1)</f>
        <v>99</v>
      </c>
      <c r="B1028" s="5">
        <v>43602</v>
      </c>
      <c r="C1028" s="5" t="s">
        <v>1186</v>
      </c>
      <c r="D1028" s="57" t="s">
        <v>1352</v>
      </c>
      <c r="E1028" s="7" t="s">
        <v>1353</v>
      </c>
      <c r="F1028" s="33">
        <v>1.05</v>
      </c>
      <c r="G1028" s="66">
        <v>-105</v>
      </c>
      <c r="H1028" s="9" t="s">
        <v>36</v>
      </c>
      <c r="I10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28" s="40"/>
      <c r="N1028" s="37"/>
    </row>
    <row r="1029" spans="1:14" x14ac:dyDescent="0.25">
      <c r="A1029" s="35">
        <f t="shared" si="29"/>
        <v>99</v>
      </c>
      <c r="B1029" s="5">
        <v>43602</v>
      </c>
      <c r="C1029" s="5" t="s">
        <v>1186</v>
      </c>
      <c r="D1029" s="57" t="s">
        <v>1354</v>
      </c>
      <c r="E1029" s="7" t="s">
        <v>1293</v>
      </c>
      <c r="F1029" s="33">
        <v>1.62</v>
      </c>
      <c r="G1029" s="66">
        <v>-162</v>
      </c>
      <c r="H1029" s="9" t="s">
        <v>6</v>
      </c>
      <c r="I10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-1.62</v>
      </c>
      <c r="J10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29" s="40"/>
      <c r="N1029" s="37"/>
    </row>
    <row r="1030" spans="1:14" x14ac:dyDescent="0.25">
      <c r="A1030" s="35">
        <f t="shared" si="29"/>
        <v>99</v>
      </c>
      <c r="B1030" s="5">
        <v>43602</v>
      </c>
      <c r="C1030" s="5" t="s">
        <v>1186</v>
      </c>
      <c r="D1030" s="57" t="s">
        <v>1346</v>
      </c>
      <c r="E1030" s="7" t="s">
        <v>1277</v>
      </c>
      <c r="F1030" s="33">
        <v>1.2</v>
      </c>
      <c r="G1030" s="66">
        <v>-120</v>
      </c>
      <c r="H1030" s="9" t="s">
        <v>65</v>
      </c>
      <c r="I10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0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30" s="40"/>
      <c r="N1030" s="37"/>
    </row>
    <row r="1031" spans="1:14" x14ac:dyDescent="0.25">
      <c r="A1031" s="35">
        <f t="shared" si="29"/>
        <v>99</v>
      </c>
      <c r="B1031" s="5">
        <v>43602</v>
      </c>
      <c r="C1031" s="5" t="s">
        <v>1186</v>
      </c>
      <c r="D1031" s="57" t="s">
        <v>1348</v>
      </c>
      <c r="E1031" s="7" t="s">
        <v>1318</v>
      </c>
      <c r="F1031" s="33">
        <v>1</v>
      </c>
      <c r="G1031" s="66" t="s">
        <v>1355</v>
      </c>
      <c r="H1031" s="9" t="s">
        <v>36</v>
      </c>
      <c r="I10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1.38</v>
      </c>
      <c r="J10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31" s="40"/>
      <c r="N1031" s="37"/>
    </row>
    <row r="1032" spans="1:14" x14ac:dyDescent="0.25">
      <c r="A1032" s="35">
        <f t="shared" si="29"/>
        <v>100</v>
      </c>
      <c r="B1032" s="5">
        <v>43606</v>
      </c>
      <c r="C1032" s="5" t="s">
        <v>1186</v>
      </c>
      <c r="D1032" s="57" t="s">
        <v>1356</v>
      </c>
      <c r="E1032" s="7" t="s">
        <v>1263</v>
      </c>
      <c r="F1032" s="33">
        <v>1</v>
      </c>
      <c r="G1032" s="63" t="s">
        <v>1357</v>
      </c>
      <c r="H1032" s="9" t="s">
        <v>36</v>
      </c>
      <c r="I10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1.08</v>
      </c>
      <c r="J10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32" s="40"/>
      <c r="N1032" s="37"/>
    </row>
    <row r="1033" spans="1:14" x14ac:dyDescent="0.25">
      <c r="A1033" s="35">
        <f t="shared" si="29"/>
        <v>100</v>
      </c>
      <c r="B1033" s="5">
        <v>43606</v>
      </c>
      <c r="C1033" s="5" t="s">
        <v>1186</v>
      </c>
      <c r="D1033" s="57" t="s">
        <v>1356</v>
      </c>
      <c r="E1033" s="7" t="s">
        <v>1289</v>
      </c>
      <c r="F1033" s="33">
        <v>1.1499999999999999</v>
      </c>
      <c r="G1033" s="63">
        <v>-115</v>
      </c>
      <c r="H1033" s="9" t="s">
        <v>36</v>
      </c>
      <c r="I10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0.99999999999999989</v>
      </c>
      <c r="J10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33" s="40"/>
      <c r="N1033" s="37"/>
    </row>
    <row r="1034" spans="1:14" x14ac:dyDescent="0.25">
      <c r="A1034" s="35">
        <f t="shared" si="29"/>
        <v>100</v>
      </c>
      <c r="B1034" s="5">
        <v>43606</v>
      </c>
      <c r="C1034" s="5" t="s">
        <v>1186</v>
      </c>
      <c r="D1034" s="57" t="s">
        <v>1358</v>
      </c>
      <c r="E1034" s="7" t="s">
        <v>1343</v>
      </c>
      <c r="F1034" s="33">
        <v>1.25</v>
      </c>
      <c r="G1034" s="63">
        <v>-125</v>
      </c>
      <c r="H1034" s="9" t="s">
        <v>36</v>
      </c>
      <c r="I10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34" s="40"/>
      <c r="N1034" s="37"/>
    </row>
    <row r="1035" spans="1:14" x14ac:dyDescent="0.25">
      <c r="A1035" s="35">
        <f t="shared" si="29"/>
        <v>100</v>
      </c>
      <c r="B1035" s="5">
        <v>43606</v>
      </c>
      <c r="C1035" s="5" t="s">
        <v>1186</v>
      </c>
      <c r="D1035" s="57" t="s">
        <v>1359</v>
      </c>
      <c r="E1035" s="7" t="s">
        <v>1353</v>
      </c>
      <c r="F1035" s="33">
        <v>1.2</v>
      </c>
      <c r="G1035" s="63">
        <v>-120</v>
      </c>
      <c r="H1035" s="9" t="s">
        <v>6</v>
      </c>
      <c r="I10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-1.2</v>
      </c>
      <c r="J10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35" s="40"/>
      <c r="N1035" s="37"/>
    </row>
    <row r="1036" spans="1:14" x14ac:dyDescent="0.25">
      <c r="A1036" s="35">
        <f t="shared" si="29"/>
        <v>100</v>
      </c>
      <c r="B1036" s="5">
        <v>43606</v>
      </c>
      <c r="C1036" s="5" t="s">
        <v>1186</v>
      </c>
      <c r="D1036" s="57" t="s">
        <v>1360</v>
      </c>
      <c r="E1036" s="7" t="s">
        <v>1361</v>
      </c>
      <c r="F1036" s="33">
        <v>1.25</v>
      </c>
      <c r="G1036" s="63">
        <v>-125</v>
      </c>
      <c r="H1036" s="9" t="s">
        <v>6</v>
      </c>
      <c r="I10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-1.25</v>
      </c>
      <c r="J10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36" s="40"/>
      <c r="N1036" s="37"/>
    </row>
    <row r="1037" spans="1:14" x14ac:dyDescent="0.25">
      <c r="A1037" s="35">
        <f t="shared" si="29"/>
        <v>100</v>
      </c>
      <c r="B1037" s="5">
        <v>43606</v>
      </c>
      <c r="C1037" s="5" t="s">
        <v>1186</v>
      </c>
      <c r="D1037" s="57" t="s">
        <v>1362</v>
      </c>
      <c r="E1037" s="7" t="s">
        <v>1260</v>
      </c>
      <c r="F1037" s="33">
        <v>1</v>
      </c>
      <c r="G1037" s="63" t="s">
        <v>1331</v>
      </c>
      <c r="H1037" s="9" t="s">
        <v>6</v>
      </c>
      <c r="I10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37" s="40"/>
      <c r="N1037" s="37"/>
    </row>
    <row r="1038" spans="1:14" x14ac:dyDescent="0.25">
      <c r="A1038" s="35">
        <f t="shared" si="29"/>
        <v>100</v>
      </c>
      <c r="B1038" s="5">
        <v>43606</v>
      </c>
      <c r="C1038" s="5" t="s">
        <v>1186</v>
      </c>
      <c r="D1038" s="57" t="s">
        <v>1363</v>
      </c>
      <c r="E1038" s="7" t="s">
        <v>1269</v>
      </c>
      <c r="F1038" s="33">
        <v>1</v>
      </c>
      <c r="G1038" s="63" t="s">
        <v>1364</v>
      </c>
      <c r="H1038" s="9" t="s">
        <v>6</v>
      </c>
      <c r="I10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38" s="40"/>
      <c r="N1038" s="37"/>
    </row>
    <row r="1039" spans="1:14" x14ac:dyDescent="0.25">
      <c r="A1039" s="35">
        <f t="shared" si="29"/>
        <v>100</v>
      </c>
      <c r="B1039" s="5">
        <v>43606</v>
      </c>
      <c r="C1039" s="5" t="s">
        <v>1186</v>
      </c>
      <c r="D1039" s="57" t="s">
        <v>1365</v>
      </c>
      <c r="E1039" s="7" t="s">
        <v>1277</v>
      </c>
      <c r="F1039" s="33">
        <v>1.2</v>
      </c>
      <c r="G1039" s="63">
        <v>-120</v>
      </c>
      <c r="H1039" s="9" t="s">
        <v>36</v>
      </c>
      <c r="I10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39" s="40"/>
      <c r="N1039" s="37"/>
    </row>
    <row r="1040" spans="1:14" x14ac:dyDescent="0.25">
      <c r="A1040" s="35">
        <f t="shared" si="29"/>
        <v>100</v>
      </c>
      <c r="B1040" s="5">
        <v>43606</v>
      </c>
      <c r="C1040" s="5" t="s">
        <v>1186</v>
      </c>
      <c r="D1040" s="57" t="s">
        <v>1366</v>
      </c>
      <c r="E1040" s="7" t="s">
        <v>1244</v>
      </c>
      <c r="F1040" s="33">
        <v>1.1200000000000001</v>
      </c>
      <c r="G1040" s="63">
        <v>-112</v>
      </c>
      <c r="H1040" s="9" t="s">
        <v>6</v>
      </c>
      <c r="I10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-1.1200000000000001</v>
      </c>
      <c r="J10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0" s="40"/>
      <c r="N1040" s="37"/>
    </row>
    <row r="1041" spans="1:14" x14ac:dyDescent="0.25">
      <c r="A1041" s="35">
        <f t="shared" si="29"/>
        <v>100</v>
      </c>
      <c r="B1041" s="5">
        <v>43606</v>
      </c>
      <c r="C1041" s="5" t="s">
        <v>1186</v>
      </c>
      <c r="D1041" s="57" t="s">
        <v>1367</v>
      </c>
      <c r="E1041" s="7" t="s">
        <v>1298</v>
      </c>
      <c r="F1041" s="33">
        <v>1.05</v>
      </c>
      <c r="G1041" s="63">
        <v>-105</v>
      </c>
      <c r="H1041" s="9" t="s">
        <v>36</v>
      </c>
      <c r="I10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1" s="40"/>
      <c r="N1041" s="37"/>
    </row>
    <row r="1042" spans="1:14" x14ac:dyDescent="0.25">
      <c r="A1042" s="35">
        <f t="shared" si="29"/>
        <v>100</v>
      </c>
      <c r="B1042" s="5">
        <v>43606</v>
      </c>
      <c r="C1042" s="5" t="s">
        <v>1186</v>
      </c>
      <c r="D1042" s="57" t="s">
        <v>1368</v>
      </c>
      <c r="E1042" s="7" t="s">
        <v>1300</v>
      </c>
      <c r="F1042" s="33">
        <v>1.1000000000000001</v>
      </c>
      <c r="G1042" s="63">
        <v>-110</v>
      </c>
      <c r="H1042" s="9" t="s">
        <v>6</v>
      </c>
      <c r="I10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10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2" s="40"/>
      <c r="N1042" s="37"/>
    </row>
    <row r="1043" spans="1:14" x14ac:dyDescent="0.25">
      <c r="A1043" s="35">
        <f t="shared" si="29"/>
        <v>101</v>
      </c>
      <c r="B1043" s="5">
        <v>43608</v>
      </c>
      <c r="C1043" s="5" t="s">
        <v>1186</v>
      </c>
      <c r="D1043" s="57" t="s">
        <v>1359</v>
      </c>
      <c r="E1043" s="7" t="s">
        <v>1353</v>
      </c>
      <c r="F1043" s="33">
        <v>1.1499999999999999</v>
      </c>
      <c r="G1043" s="63">
        <v>-115</v>
      </c>
      <c r="H1043" s="9" t="s">
        <v>6</v>
      </c>
      <c r="I10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-1.1499999999999999</v>
      </c>
      <c r="J10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43" s="40"/>
      <c r="N1043" s="37"/>
    </row>
    <row r="1044" spans="1:14" x14ac:dyDescent="0.25">
      <c r="A1044" s="35">
        <f t="shared" si="29"/>
        <v>101</v>
      </c>
      <c r="B1044" s="5">
        <v>43608</v>
      </c>
      <c r="C1044" s="5" t="s">
        <v>1186</v>
      </c>
      <c r="D1044" s="57" t="s">
        <v>1358</v>
      </c>
      <c r="E1044" s="7" t="s">
        <v>1258</v>
      </c>
      <c r="F1044" s="33">
        <v>1.05</v>
      </c>
      <c r="G1044" s="63">
        <v>-105</v>
      </c>
      <c r="H1044" s="9" t="s">
        <v>36</v>
      </c>
      <c r="I10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44" s="40"/>
      <c r="N1044" s="37"/>
    </row>
    <row r="1045" spans="1:14" x14ac:dyDescent="0.25">
      <c r="A1045" s="35">
        <f t="shared" si="29"/>
        <v>101</v>
      </c>
      <c r="B1045" s="5">
        <v>43608</v>
      </c>
      <c r="C1045" s="5" t="s">
        <v>1186</v>
      </c>
      <c r="D1045" s="57" t="s">
        <v>1369</v>
      </c>
      <c r="E1045" s="7" t="s">
        <v>1314</v>
      </c>
      <c r="F1045" s="33">
        <v>1.3</v>
      </c>
      <c r="G1045" s="63">
        <v>-130</v>
      </c>
      <c r="H1045" s="9" t="s">
        <v>36</v>
      </c>
      <c r="I10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5" s="40"/>
      <c r="N1045" s="37"/>
    </row>
    <row r="1046" spans="1:14" x14ac:dyDescent="0.25">
      <c r="A1046" s="35">
        <f t="shared" si="29"/>
        <v>101</v>
      </c>
      <c r="B1046" s="5">
        <v>43608</v>
      </c>
      <c r="C1046" s="5" t="s">
        <v>1186</v>
      </c>
      <c r="D1046" s="57" t="s">
        <v>1369</v>
      </c>
      <c r="E1046" s="7" t="s">
        <v>1316</v>
      </c>
      <c r="F1046" s="33">
        <v>1.05</v>
      </c>
      <c r="G1046" s="63">
        <v>-105</v>
      </c>
      <c r="H1046" s="9" t="s">
        <v>65</v>
      </c>
      <c r="I10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0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46" s="40"/>
      <c r="N1046" s="37"/>
    </row>
    <row r="1047" spans="1:14" x14ac:dyDescent="0.25">
      <c r="A1047" s="35">
        <f t="shared" si="29"/>
        <v>101</v>
      </c>
      <c r="B1047" s="5">
        <v>43608</v>
      </c>
      <c r="C1047" s="5" t="s">
        <v>1186</v>
      </c>
      <c r="D1047" s="57" t="s">
        <v>1360</v>
      </c>
      <c r="E1047" s="7" t="s">
        <v>1277</v>
      </c>
      <c r="F1047" s="33">
        <v>1.1499999999999999</v>
      </c>
      <c r="G1047" s="63">
        <v>-115</v>
      </c>
      <c r="H1047" s="9" t="s">
        <v>36</v>
      </c>
      <c r="I10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0.99999999999999989</v>
      </c>
      <c r="J10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47" s="40"/>
      <c r="N1047" s="37"/>
    </row>
    <row r="1048" spans="1:14" x14ac:dyDescent="0.25">
      <c r="A1048" s="35">
        <f t="shared" si="29"/>
        <v>101</v>
      </c>
      <c r="B1048" s="5">
        <v>43608</v>
      </c>
      <c r="C1048" s="5" t="s">
        <v>1186</v>
      </c>
      <c r="D1048" s="57" t="s">
        <v>1370</v>
      </c>
      <c r="E1048" s="7" t="s">
        <v>1303</v>
      </c>
      <c r="F1048" s="33">
        <v>1.25</v>
      </c>
      <c r="G1048" s="63">
        <v>-125</v>
      </c>
      <c r="H1048" s="9" t="s">
        <v>6</v>
      </c>
      <c r="I10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-1.25</v>
      </c>
      <c r="J10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8" s="40"/>
      <c r="N1048" s="37"/>
    </row>
    <row r="1049" spans="1:14" x14ac:dyDescent="0.25">
      <c r="A1049" s="35">
        <f t="shared" si="29"/>
        <v>101</v>
      </c>
      <c r="B1049" s="5">
        <v>43608</v>
      </c>
      <c r="C1049" s="5" t="s">
        <v>1186</v>
      </c>
      <c r="D1049" s="57" t="s">
        <v>1366</v>
      </c>
      <c r="E1049" s="7" t="s">
        <v>1244</v>
      </c>
      <c r="F1049" s="33">
        <v>1.3</v>
      </c>
      <c r="G1049" s="63">
        <v>-130</v>
      </c>
      <c r="H1049" s="9" t="s">
        <v>36</v>
      </c>
      <c r="I10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49" s="40"/>
      <c r="N1049" s="37"/>
    </row>
    <row r="1050" spans="1:14" x14ac:dyDescent="0.25">
      <c r="A1050" s="35">
        <f t="shared" si="29"/>
        <v>101</v>
      </c>
      <c r="B1050" s="5">
        <v>43608</v>
      </c>
      <c r="C1050" s="5" t="s">
        <v>1186</v>
      </c>
      <c r="D1050" s="57" t="s">
        <v>1371</v>
      </c>
      <c r="E1050" s="7" t="s">
        <v>1293</v>
      </c>
      <c r="F1050" s="33">
        <v>1</v>
      </c>
      <c r="G1050" s="63" t="s">
        <v>1372</v>
      </c>
      <c r="H1050" s="9" t="s">
        <v>6</v>
      </c>
      <c r="I10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50" s="40"/>
      <c r="N1050" s="37"/>
    </row>
    <row r="1051" spans="1:14" x14ac:dyDescent="0.25">
      <c r="A1051" s="35">
        <f t="shared" si="29"/>
        <v>102</v>
      </c>
      <c r="B1051" s="5">
        <v>43613</v>
      </c>
      <c r="C1051" s="5" t="s">
        <v>1186</v>
      </c>
      <c r="D1051" s="57" t="s">
        <v>1373</v>
      </c>
      <c r="E1051" s="7" t="s">
        <v>1353</v>
      </c>
      <c r="F1051" s="33">
        <v>1.1499999999999999</v>
      </c>
      <c r="G1051" s="63">
        <v>-115</v>
      </c>
      <c r="H1051" s="9" t="s">
        <v>36</v>
      </c>
      <c r="I10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0.99999999999999989</v>
      </c>
      <c r="J10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51" s="40"/>
      <c r="N1051" s="37"/>
    </row>
    <row r="1052" spans="1:14" x14ac:dyDescent="0.25">
      <c r="A1052" s="35">
        <f t="shared" si="29"/>
        <v>102</v>
      </c>
      <c r="B1052" s="5">
        <v>43613</v>
      </c>
      <c r="C1052" s="5" t="s">
        <v>1186</v>
      </c>
      <c r="D1052" s="57" t="s">
        <v>1374</v>
      </c>
      <c r="E1052" s="7" t="s">
        <v>1316</v>
      </c>
      <c r="F1052" s="33">
        <v>1.1000000000000001</v>
      </c>
      <c r="G1052" s="63">
        <v>-110</v>
      </c>
      <c r="H1052" s="9" t="s">
        <v>6</v>
      </c>
      <c r="I10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10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52" s="40"/>
      <c r="N1052" s="37"/>
    </row>
    <row r="1053" spans="1:14" x14ac:dyDescent="0.25">
      <c r="A1053" s="35">
        <f t="shared" si="29"/>
        <v>102</v>
      </c>
      <c r="B1053" s="5">
        <v>43613</v>
      </c>
      <c r="C1053" s="5" t="s">
        <v>1186</v>
      </c>
      <c r="D1053" s="57" t="s">
        <v>1375</v>
      </c>
      <c r="E1053" s="7" t="s">
        <v>1277</v>
      </c>
      <c r="F1053" s="33">
        <v>1.2</v>
      </c>
      <c r="G1053" s="63">
        <v>-120</v>
      </c>
      <c r="H1053" s="9" t="s">
        <v>36</v>
      </c>
      <c r="I10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53" s="40"/>
      <c r="N1053" s="37"/>
    </row>
    <row r="1054" spans="1:14" x14ac:dyDescent="0.25">
      <c r="A1054" s="35">
        <f t="shared" si="29"/>
        <v>102</v>
      </c>
      <c r="B1054" s="5">
        <v>43613</v>
      </c>
      <c r="C1054" s="5" t="s">
        <v>1186</v>
      </c>
      <c r="D1054" s="57" t="s">
        <v>1376</v>
      </c>
      <c r="E1054" s="7" t="s">
        <v>1248</v>
      </c>
      <c r="F1054" s="33">
        <v>1</v>
      </c>
      <c r="G1054" s="63" t="s">
        <v>1372</v>
      </c>
      <c r="H1054" s="9" t="s">
        <v>6</v>
      </c>
      <c r="I10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54" s="40"/>
      <c r="N1054" s="37"/>
    </row>
    <row r="1055" spans="1:14" x14ac:dyDescent="0.25">
      <c r="A1055" s="35">
        <f t="shared" si="29"/>
        <v>102</v>
      </c>
      <c r="B1055" s="5">
        <v>43613</v>
      </c>
      <c r="C1055" s="5" t="s">
        <v>1186</v>
      </c>
      <c r="D1055" s="57" t="s">
        <v>1377</v>
      </c>
      <c r="E1055" s="7" t="s">
        <v>1378</v>
      </c>
      <c r="F1055" s="33">
        <v>1.1000000000000001</v>
      </c>
      <c r="G1055" s="63">
        <v>-110</v>
      </c>
      <c r="H1055" s="9" t="s">
        <v>6</v>
      </c>
      <c r="I10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-1.1000000000000001</v>
      </c>
      <c r="J10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55" s="40"/>
      <c r="N1055" s="37"/>
    </row>
    <row r="1056" spans="1:14" x14ac:dyDescent="0.25">
      <c r="A1056" s="35">
        <f t="shared" si="29"/>
        <v>102</v>
      </c>
      <c r="B1056" s="5">
        <v>43613</v>
      </c>
      <c r="C1056" s="5" t="s">
        <v>1186</v>
      </c>
      <c r="D1056" s="57" t="s">
        <v>1379</v>
      </c>
      <c r="E1056" s="7" t="s">
        <v>1289</v>
      </c>
      <c r="F1056" s="33">
        <v>1.2</v>
      </c>
      <c r="G1056" s="63">
        <v>-120</v>
      </c>
      <c r="H1056" s="9" t="s">
        <v>36</v>
      </c>
      <c r="I10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56" s="40"/>
      <c r="N1056" s="37"/>
    </row>
    <row r="1057" spans="1:14" x14ac:dyDescent="0.25">
      <c r="A1057" s="35">
        <f t="shared" si="29"/>
        <v>102</v>
      </c>
      <c r="B1057" s="5">
        <v>43613</v>
      </c>
      <c r="C1057" s="5" t="s">
        <v>1186</v>
      </c>
      <c r="D1057" s="57" t="s">
        <v>1380</v>
      </c>
      <c r="E1057" s="7" t="s">
        <v>1300</v>
      </c>
      <c r="F1057" s="33">
        <v>1</v>
      </c>
      <c r="G1057" s="63" t="s">
        <v>1381</v>
      </c>
      <c r="H1057" s="9" t="s">
        <v>6</v>
      </c>
      <c r="I10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57" s="40"/>
      <c r="N1057" s="37"/>
    </row>
    <row r="1058" spans="1:14" x14ac:dyDescent="0.25">
      <c r="A1058" s="35">
        <f t="shared" si="29"/>
        <v>102</v>
      </c>
      <c r="B1058" s="5">
        <v>43613</v>
      </c>
      <c r="C1058" s="5" t="s">
        <v>1186</v>
      </c>
      <c r="D1058" s="57" t="s">
        <v>1380</v>
      </c>
      <c r="E1058" s="7" t="s">
        <v>1382</v>
      </c>
      <c r="F1058" s="33">
        <v>1</v>
      </c>
      <c r="G1058" s="63">
        <v>100</v>
      </c>
      <c r="H1058" s="9" t="s">
        <v>36</v>
      </c>
      <c r="I10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58" s="40"/>
      <c r="N1058" s="37"/>
    </row>
    <row r="1059" spans="1:14" x14ac:dyDescent="0.25">
      <c r="A1059" s="35">
        <f t="shared" si="29"/>
        <v>103</v>
      </c>
      <c r="B1059" s="5">
        <v>43614</v>
      </c>
      <c r="C1059" s="5" t="s">
        <v>1186</v>
      </c>
      <c r="D1059" s="57" t="s">
        <v>1383</v>
      </c>
      <c r="E1059" s="7" t="s">
        <v>1263</v>
      </c>
      <c r="F1059" s="33">
        <v>1.36</v>
      </c>
      <c r="G1059" s="63">
        <v>-136</v>
      </c>
      <c r="H1059" s="9" t="s">
        <v>6</v>
      </c>
      <c r="I10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-1.36</v>
      </c>
      <c r="J10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59" s="40"/>
      <c r="N1059" s="37"/>
    </row>
    <row r="1060" spans="1:14" x14ac:dyDescent="0.25">
      <c r="A1060" s="35">
        <f t="shared" si="29"/>
        <v>103</v>
      </c>
      <c r="B1060" s="5">
        <v>43614</v>
      </c>
      <c r="C1060" s="5" t="s">
        <v>1186</v>
      </c>
      <c r="D1060" s="57" t="s">
        <v>1249</v>
      </c>
      <c r="E1060" s="7" t="s">
        <v>1322</v>
      </c>
      <c r="F1060" s="33">
        <v>1.05</v>
      </c>
      <c r="G1060" s="63">
        <v>-105</v>
      </c>
      <c r="H1060" s="9" t="s">
        <v>36</v>
      </c>
      <c r="I10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60" s="40"/>
      <c r="N1060" s="37"/>
    </row>
    <row r="1061" spans="1:14" x14ac:dyDescent="0.25">
      <c r="A1061" s="35">
        <f t="shared" si="29"/>
        <v>103</v>
      </c>
      <c r="B1061" s="5">
        <v>43614</v>
      </c>
      <c r="C1061" s="5" t="s">
        <v>1186</v>
      </c>
      <c r="D1061" s="57" t="s">
        <v>1249</v>
      </c>
      <c r="E1061" s="7" t="s">
        <v>1250</v>
      </c>
      <c r="F1061" s="33">
        <v>1.35</v>
      </c>
      <c r="G1061" s="63">
        <v>-135</v>
      </c>
      <c r="H1061" s="9" t="s">
        <v>6</v>
      </c>
      <c r="I10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-1.35</v>
      </c>
      <c r="J10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1" s="40"/>
      <c r="N1061" s="37"/>
    </row>
    <row r="1062" spans="1:14" x14ac:dyDescent="0.25">
      <c r="A1062" s="35">
        <f t="shared" si="29"/>
        <v>103</v>
      </c>
      <c r="B1062" s="5">
        <v>43614</v>
      </c>
      <c r="C1062" s="5" t="s">
        <v>1186</v>
      </c>
      <c r="D1062" s="57" t="s">
        <v>1384</v>
      </c>
      <c r="E1062" s="7" t="s">
        <v>1314</v>
      </c>
      <c r="F1062" s="33">
        <v>1.1200000000000001</v>
      </c>
      <c r="G1062" s="63">
        <v>-112</v>
      </c>
      <c r="H1062" s="9" t="s">
        <v>6</v>
      </c>
      <c r="I10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-1.1200000000000001</v>
      </c>
      <c r="J10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2" s="40"/>
      <c r="N1062" s="37"/>
    </row>
    <row r="1063" spans="1:14" x14ac:dyDescent="0.25">
      <c r="A1063" s="35">
        <f t="shared" si="29"/>
        <v>103</v>
      </c>
      <c r="B1063" s="5">
        <v>43614</v>
      </c>
      <c r="C1063" s="5" t="s">
        <v>1186</v>
      </c>
      <c r="D1063" s="57" t="s">
        <v>1375</v>
      </c>
      <c r="E1063" s="7" t="s">
        <v>1385</v>
      </c>
      <c r="F1063" s="33">
        <v>1.2</v>
      </c>
      <c r="G1063" s="63">
        <v>-120</v>
      </c>
      <c r="H1063" s="9" t="s">
        <v>6</v>
      </c>
      <c r="I10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-1.2</v>
      </c>
      <c r="J10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3" s="40"/>
      <c r="N1063" s="37"/>
    </row>
    <row r="1064" spans="1:14" x14ac:dyDescent="0.25">
      <c r="A1064" s="35">
        <f t="shared" si="29"/>
        <v>103</v>
      </c>
      <c r="B1064" s="5">
        <v>43614</v>
      </c>
      <c r="C1064" s="5" t="s">
        <v>1186</v>
      </c>
      <c r="D1064" s="57" t="s">
        <v>1380</v>
      </c>
      <c r="E1064" s="7" t="s">
        <v>1300</v>
      </c>
      <c r="F1064" s="33">
        <v>1.1200000000000001</v>
      </c>
      <c r="G1064" s="63">
        <v>-112</v>
      </c>
      <c r="H1064" s="9" t="s">
        <v>6</v>
      </c>
      <c r="I10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-1.1200000000000001</v>
      </c>
      <c r="J10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4" s="40"/>
      <c r="N1064" s="37"/>
    </row>
    <row r="1065" spans="1:14" x14ac:dyDescent="0.25">
      <c r="A1065" s="35">
        <f t="shared" si="29"/>
        <v>103</v>
      </c>
      <c r="B1065" s="5">
        <v>43614</v>
      </c>
      <c r="C1065" s="5" t="s">
        <v>1186</v>
      </c>
      <c r="D1065" s="57" t="s">
        <v>1386</v>
      </c>
      <c r="E1065" s="7" t="s">
        <v>1256</v>
      </c>
      <c r="F1065" s="33">
        <v>1.1499999999999999</v>
      </c>
      <c r="G1065" s="63">
        <v>-115</v>
      </c>
      <c r="H1065" s="9" t="s">
        <v>36</v>
      </c>
      <c r="I10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0.99999999999999989</v>
      </c>
      <c r="J10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65" s="40"/>
      <c r="N1065" s="37"/>
    </row>
    <row r="1066" spans="1:14" x14ac:dyDescent="0.25">
      <c r="A1066" s="35">
        <f t="shared" si="29"/>
        <v>104</v>
      </c>
      <c r="B1066" s="5">
        <v>43616</v>
      </c>
      <c r="C1066" s="5" t="s">
        <v>1186</v>
      </c>
      <c r="D1066" s="57" t="s">
        <v>1387</v>
      </c>
      <c r="E1066" s="7" t="s">
        <v>1252</v>
      </c>
      <c r="F1066" s="33">
        <v>1</v>
      </c>
      <c r="G1066" s="63">
        <v>120</v>
      </c>
      <c r="H1066" s="9" t="s">
        <v>36</v>
      </c>
      <c r="I10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1.2</v>
      </c>
      <c r="J10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66" s="40"/>
      <c r="N1066" s="37"/>
    </row>
    <row r="1067" spans="1:14" x14ac:dyDescent="0.25">
      <c r="A1067" s="35">
        <f t="shared" si="29"/>
        <v>104</v>
      </c>
      <c r="B1067" s="5">
        <v>43616</v>
      </c>
      <c r="C1067" s="5" t="s">
        <v>1186</v>
      </c>
      <c r="D1067" s="57" t="s">
        <v>1388</v>
      </c>
      <c r="E1067" s="7" t="s">
        <v>1187</v>
      </c>
      <c r="F1067" s="33">
        <v>1.2</v>
      </c>
      <c r="G1067" s="63">
        <v>-120</v>
      </c>
      <c r="H1067" s="9" t="s">
        <v>6</v>
      </c>
      <c r="I10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-1.2</v>
      </c>
      <c r="J10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7" s="40"/>
      <c r="N1067" s="37"/>
    </row>
    <row r="1068" spans="1:14" x14ac:dyDescent="0.25">
      <c r="A1068" s="35">
        <f t="shared" si="29"/>
        <v>104</v>
      </c>
      <c r="B1068" s="5">
        <v>43616</v>
      </c>
      <c r="C1068" s="5" t="s">
        <v>1186</v>
      </c>
      <c r="D1068" s="57" t="s">
        <v>1389</v>
      </c>
      <c r="E1068" s="7" t="s">
        <v>1244</v>
      </c>
      <c r="F1068" s="33">
        <v>1.64</v>
      </c>
      <c r="G1068" s="63">
        <v>-164</v>
      </c>
      <c r="H1068" s="9" t="s">
        <v>6</v>
      </c>
      <c r="I10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-1.64</v>
      </c>
      <c r="J10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8" s="40"/>
      <c r="N1068" s="37"/>
    </row>
    <row r="1069" spans="1:14" x14ac:dyDescent="0.25">
      <c r="A1069" s="35">
        <f t="shared" si="29"/>
        <v>104</v>
      </c>
      <c r="B1069" s="5">
        <v>43616</v>
      </c>
      <c r="C1069" s="5" t="s">
        <v>1186</v>
      </c>
      <c r="D1069" s="57" t="s">
        <v>1335</v>
      </c>
      <c r="E1069" s="7" t="s">
        <v>1293</v>
      </c>
      <c r="F1069" s="33">
        <v>1.72</v>
      </c>
      <c r="G1069" s="63">
        <v>-172</v>
      </c>
      <c r="H1069" s="9" t="s">
        <v>6</v>
      </c>
      <c r="I10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-1.72</v>
      </c>
      <c r="J10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69" s="40"/>
      <c r="N1069" s="37"/>
    </row>
    <row r="1070" spans="1:14" x14ac:dyDescent="0.25">
      <c r="A1070" s="35">
        <f t="shared" si="29"/>
        <v>104</v>
      </c>
      <c r="B1070" s="5">
        <v>43616</v>
      </c>
      <c r="C1070" s="5" t="s">
        <v>1186</v>
      </c>
      <c r="D1070" s="57" t="s">
        <v>1390</v>
      </c>
      <c r="E1070" s="7" t="s">
        <v>1246</v>
      </c>
      <c r="F1070" s="33">
        <v>1.24</v>
      </c>
      <c r="G1070" s="63">
        <v>-124</v>
      </c>
      <c r="H1070" s="9" t="s">
        <v>36</v>
      </c>
      <c r="I10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0" s="40"/>
      <c r="N1070" s="37"/>
    </row>
    <row r="1071" spans="1:14" x14ac:dyDescent="0.25">
      <c r="A1071" s="35">
        <f t="shared" si="29"/>
        <v>104</v>
      </c>
      <c r="B1071" s="5">
        <v>43616</v>
      </c>
      <c r="C1071" s="5" t="s">
        <v>1186</v>
      </c>
      <c r="D1071" s="57" t="s">
        <v>1391</v>
      </c>
      <c r="E1071" s="7" t="s">
        <v>1272</v>
      </c>
      <c r="F1071" s="33">
        <v>1.6</v>
      </c>
      <c r="G1071" s="63">
        <v>-160</v>
      </c>
      <c r="H1071" s="9" t="s">
        <v>36</v>
      </c>
      <c r="I10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1" s="40"/>
      <c r="N1071" s="37"/>
    </row>
    <row r="1072" spans="1:14" x14ac:dyDescent="0.25">
      <c r="A1072" s="35">
        <f t="shared" si="29"/>
        <v>104</v>
      </c>
      <c r="B1072" s="5">
        <v>43616</v>
      </c>
      <c r="C1072" s="5" t="s">
        <v>1186</v>
      </c>
      <c r="D1072" s="57" t="s">
        <v>1392</v>
      </c>
      <c r="E1072" s="7" t="s">
        <v>1281</v>
      </c>
      <c r="F1072" s="33">
        <v>1</v>
      </c>
      <c r="G1072" s="63">
        <v>143</v>
      </c>
      <c r="H1072" s="9" t="s">
        <v>6</v>
      </c>
      <c r="I10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72" s="40"/>
      <c r="N1072" s="37"/>
    </row>
    <row r="1073" spans="1:14" x14ac:dyDescent="0.25">
      <c r="A1073" s="35">
        <f t="shared" si="29"/>
        <v>105</v>
      </c>
      <c r="B1073" s="5">
        <v>43619</v>
      </c>
      <c r="C1073" s="5" t="s">
        <v>1186</v>
      </c>
      <c r="D1073" s="57" t="s">
        <v>1393</v>
      </c>
      <c r="E1073" s="7" t="s">
        <v>1394</v>
      </c>
      <c r="F1073" s="33">
        <v>5</v>
      </c>
      <c r="G1073" s="63">
        <v>151</v>
      </c>
      <c r="H1073" s="9" t="s">
        <v>6</v>
      </c>
      <c r="I10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0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73" s="40"/>
      <c r="N1073" s="37"/>
    </row>
    <row r="1074" spans="1:14" x14ac:dyDescent="0.25">
      <c r="A1074" s="35">
        <f t="shared" si="29"/>
        <v>105</v>
      </c>
      <c r="B1074" s="5">
        <v>43619</v>
      </c>
      <c r="C1074" s="5" t="s">
        <v>1186</v>
      </c>
      <c r="D1074" s="57" t="s">
        <v>1395</v>
      </c>
      <c r="E1074" s="7" t="s">
        <v>1272</v>
      </c>
      <c r="F1074" s="33">
        <v>3.48</v>
      </c>
      <c r="G1074" s="63">
        <v>-145</v>
      </c>
      <c r="H1074" s="9" t="s">
        <v>36</v>
      </c>
      <c r="I10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2.4</v>
      </c>
      <c r="J10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4" s="40"/>
      <c r="N1074" s="37"/>
    </row>
    <row r="1075" spans="1:14" x14ac:dyDescent="0.25">
      <c r="A1075" s="35">
        <f t="shared" si="29"/>
        <v>106</v>
      </c>
      <c r="B1075" s="5">
        <v>43643</v>
      </c>
      <c r="C1075" s="5" t="s">
        <v>1186</v>
      </c>
      <c r="D1075" s="57" t="s">
        <v>1396</v>
      </c>
      <c r="E1075" s="7" t="s">
        <v>1272</v>
      </c>
      <c r="F1075" s="33">
        <v>2</v>
      </c>
      <c r="G1075" s="63">
        <v>-200</v>
      </c>
      <c r="H1075" s="9" t="s">
        <v>36</v>
      </c>
      <c r="I10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5" s="40"/>
      <c r="N1075" s="37"/>
    </row>
    <row r="1076" spans="1:14" x14ac:dyDescent="0.25">
      <c r="A1076" s="35">
        <f t="shared" si="29"/>
        <v>106</v>
      </c>
      <c r="B1076" s="5">
        <v>43643</v>
      </c>
      <c r="C1076" s="5" t="s">
        <v>1186</v>
      </c>
      <c r="D1076" s="57" t="s">
        <v>1397</v>
      </c>
      <c r="E1076" s="7" t="s">
        <v>1300</v>
      </c>
      <c r="F1076" s="33">
        <v>1.1000000000000001</v>
      </c>
      <c r="G1076" s="63">
        <v>-110</v>
      </c>
      <c r="H1076" s="9" t="s">
        <v>36</v>
      </c>
      <c r="I10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</v>
      </c>
      <c r="J10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6" s="40"/>
      <c r="N1076" s="37"/>
    </row>
    <row r="1077" spans="1:14" x14ac:dyDescent="0.25">
      <c r="A1077" s="35">
        <f t="shared" si="29"/>
        <v>106</v>
      </c>
      <c r="B1077" s="5">
        <v>43643</v>
      </c>
      <c r="C1077" s="5" t="s">
        <v>1186</v>
      </c>
      <c r="D1077" s="57" t="s">
        <v>1398</v>
      </c>
      <c r="E1077" s="7" t="s">
        <v>1263</v>
      </c>
      <c r="F1077" s="33">
        <v>1</v>
      </c>
      <c r="G1077" s="63" t="s">
        <v>1399</v>
      </c>
      <c r="H1077" s="9" t="s">
        <v>6</v>
      </c>
      <c r="I10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77" s="40"/>
      <c r="N1077" s="37"/>
    </row>
    <row r="1078" spans="1:14" x14ac:dyDescent="0.25">
      <c r="A1078" s="35">
        <f t="shared" si="29"/>
        <v>106</v>
      </c>
      <c r="B1078" s="5">
        <v>43643</v>
      </c>
      <c r="C1078" s="5" t="s">
        <v>1400</v>
      </c>
      <c r="D1078" s="57" t="s">
        <v>1401</v>
      </c>
      <c r="E1078" s="7" t="s">
        <v>1402</v>
      </c>
      <c r="F1078" s="33">
        <v>1.78</v>
      </c>
      <c r="G1078" s="63">
        <v>-145</v>
      </c>
      <c r="H1078" s="9" t="s">
        <v>6</v>
      </c>
      <c r="I10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-1.78</v>
      </c>
      <c r="J10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L1078" s="40"/>
      <c r="N1078" s="37"/>
    </row>
    <row r="1079" spans="1:14" x14ac:dyDescent="0.25">
      <c r="A1079" s="35">
        <f t="shared" si="29"/>
        <v>107</v>
      </c>
      <c r="B1079" s="5">
        <v>43644</v>
      </c>
      <c r="C1079" s="5" t="s">
        <v>1186</v>
      </c>
      <c r="D1079" s="57" t="s">
        <v>1403</v>
      </c>
      <c r="E1079" s="7" t="s">
        <v>1260</v>
      </c>
      <c r="F1079" s="33">
        <v>1</v>
      </c>
      <c r="G1079" s="63">
        <v>-153</v>
      </c>
      <c r="H1079" s="9" t="s">
        <v>36</v>
      </c>
      <c r="I10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0.65359477124183007</v>
      </c>
      <c r="J10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79" s="40"/>
      <c r="N1079" s="37"/>
    </row>
    <row r="1080" spans="1:14" x14ac:dyDescent="0.25">
      <c r="A1080" s="35">
        <f t="shared" si="29"/>
        <v>107</v>
      </c>
      <c r="B1080" s="5">
        <v>43644</v>
      </c>
      <c r="C1080" s="5" t="s">
        <v>1186</v>
      </c>
      <c r="D1080" s="57" t="s">
        <v>1404</v>
      </c>
      <c r="E1080" s="7" t="s">
        <v>1244</v>
      </c>
      <c r="F1080" s="33">
        <v>1</v>
      </c>
      <c r="G1080" s="63" t="s">
        <v>1405</v>
      </c>
      <c r="H1080" s="9" t="s">
        <v>36</v>
      </c>
      <c r="I10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1.1599999999999999</v>
      </c>
      <c r="J10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80" s="40"/>
      <c r="N1080" s="37"/>
    </row>
    <row r="1081" spans="1:14" x14ac:dyDescent="0.25">
      <c r="A1081" s="35">
        <f t="shared" si="29"/>
        <v>107</v>
      </c>
      <c r="B1081" s="5">
        <v>43644</v>
      </c>
      <c r="C1081" s="5" t="s">
        <v>1186</v>
      </c>
      <c r="D1081" s="57" t="s">
        <v>1406</v>
      </c>
      <c r="E1081" s="7" t="s">
        <v>1269</v>
      </c>
      <c r="F1081" s="33">
        <v>1</v>
      </c>
      <c r="G1081" s="63">
        <v>-135</v>
      </c>
      <c r="H1081" s="9" t="s">
        <v>6</v>
      </c>
      <c r="I10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81" s="40"/>
      <c r="N1081" s="37"/>
    </row>
    <row r="1082" spans="1:14" x14ac:dyDescent="0.25">
      <c r="A1082" s="35">
        <f t="shared" si="29"/>
        <v>107</v>
      </c>
      <c r="B1082" s="5">
        <v>43644</v>
      </c>
      <c r="C1082" s="5" t="s">
        <v>1186</v>
      </c>
      <c r="D1082" s="57" t="s">
        <v>1396</v>
      </c>
      <c r="E1082" s="7" t="s">
        <v>1272</v>
      </c>
      <c r="F1082" s="33">
        <v>1</v>
      </c>
      <c r="G1082" s="63">
        <v>-200</v>
      </c>
      <c r="H1082" s="9" t="s">
        <v>6</v>
      </c>
      <c r="I10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82" s="40"/>
      <c r="N1082" s="37"/>
    </row>
    <row r="1083" spans="1:14" x14ac:dyDescent="0.25">
      <c r="A1083" s="35">
        <f t="shared" si="29"/>
        <v>107</v>
      </c>
      <c r="B1083" s="5">
        <v>43644</v>
      </c>
      <c r="C1083" s="5" t="s">
        <v>1186</v>
      </c>
      <c r="D1083" s="57" t="s">
        <v>1397</v>
      </c>
      <c r="E1083" s="7" t="s">
        <v>1300</v>
      </c>
      <c r="F1083" s="33">
        <v>1</v>
      </c>
      <c r="G1083" s="63">
        <v>-110</v>
      </c>
      <c r="H1083" s="9" t="s">
        <v>6</v>
      </c>
      <c r="I10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</v>
      </c>
      <c r="J10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83" s="40"/>
      <c r="N1083" s="37"/>
    </row>
    <row r="1084" spans="1:14" x14ac:dyDescent="0.25">
      <c r="A1084" s="35">
        <f t="shared" si="29"/>
        <v>108</v>
      </c>
      <c r="B1084" s="5">
        <v>43647</v>
      </c>
      <c r="C1084" s="5" t="s">
        <v>1186</v>
      </c>
      <c r="D1084" s="57" t="s">
        <v>1407</v>
      </c>
      <c r="E1084" s="7" t="s">
        <v>1408</v>
      </c>
      <c r="F1084" s="33">
        <v>3.91</v>
      </c>
      <c r="G1084" s="63">
        <v>120</v>
      </c>
      <c r="H1084" s="9" t="s">
        <v>6</v>
      </c>
      <c r="I10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-3.91</v>
      </c>
      <c r="J10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  <c r="L1084" s="40"/>
      <c r="N1084" s="37"/>
    </row>
    <row r="1085" spans="1:14" x14ac:dyDescent="0.25">
      <c r="A1085" s="35">
        <f t="shared" si="29"/>
        <v>109</v>
      </c>
      <c r="B1085" s="5">
        <v>43677</v>
      </c>
      <c r="C1085" s="5" t="s">
        <v>1186</v>
      </c>
      <c r="D1085" s="57" t="s">
        <v>1409</v>
      </c>
      <c r="E1085" s="7" t="s">
        <v>1260</v>
      </c>
      <c r="F1085" s="33">
        <v>12.65</v>
      </c>
      <c r="G1085" s="63" t="s">
        <v>1381</v>
      </c>
      <c r="H1085" s="9" t="s">
        <v>6</v>
      </c>
      <c r="I10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-12.65</v>
      </c>
      <c r="J10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85" s="40"/>
      <c r="N1085" s="37"/>
    </row>
    <row r="1086" spans="1:14" x14ac:dyDescent="0.25">
      <c r="A1086" s="35">
        <f t="shared" si="29"/>
        <v>109</v>
      </c>
      <c r="B1086" s="5">
        <v>43677</v>
      </c>
      <c r="C1086" s="5" t="s">
        <v>1186</v>
      </c>
      <c r="D1086" s="57" t="s">
        <v>1374</v>
      </c>
      <c r="E1086" s="7" t="s">
        <v>1318</v>
      </c>
      <c r="F1086" s="33">
        <v>12.15</v>
      </c>
      <c r="G1086" s="63" t="s">
        <v>1410</v>
      </c>
      <c r="H1086" s="9" t="s">
        <v>6</v>
      </c>
      <c r="I10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-12.15</v>
      </c>
      <c r="J10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86" s="40"/>
      <c r="N1086" s="37"/>
    </row>
    <row r="1087" spans="1:14" x14ac:dyDescent="0.25">
      <c r="A1087" s="35">
        <f t="shared" si="29"/>
        <v>109</v>
      </c>
      <c r="B1087" s="5">
        <v>43677</v>
      </c>
      <c r="C1087" s="5" t="s">
        <v>1186</v>
      </c>
      <c r="D1087" s="57" t="s">
        <v>1411</v>
      </c>
      <c r="E1087" s="7" t="s">
        <v>1300</v>
      </c>
      <c r="F1087" s="33">
        <v>19.72</v>
      </c>
      <c r="G1087" s="63" t="s">
        <v>1381</v>
      </c>
      <c r="H1087" s="9" t="s">
        <v>6</v>
      </c>
      <c r="I10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-19.72</v>
      </c>
      <c r="J10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87" s="40"/>
      <c r="N1087" s="37"/>
    </row>
    <row r="1088" spans="1:14" x14ac:dyDescent="0.25">
      <c r="A1088" s="35">
        <f t="shared" si="29"/>
        <v>109</v>
      </c>
      <c r="B1088" s="5">
        <v>43677</v>
      </c>
      <c r="C1088" s="5" t="s">
        <v>1186</v>
      </c>
      <c r="D1088" s="57" t="s">
        <v>1412</v>
      </c>
      <c r="E1088" s="7" t="s">
        <v>1413</v>
      </c>
      <c r="F1088" s="33">
        <v>13.43</v>
      </c>
      <c r="G1088" s="63" t="s">
        <v>1414</v>
      </c>
      <c r="H1088" s="9" t="s">
        <v>36</v>
      </c>
      <c r="I10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15.310199999999998</v>
      </c>
      <c r="J10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88" s="40"/>
      <c r="N1088" s="37"/>
    </row>
    <row r="1089" spans="1:14" x14ac:dyDescent="0.25">
      <c r="A1089" s="35">
        <f t="shared" si="29"/>
        <v>109</v>
      </c>
      <c r="B1089" s="5">
        <v>43677</v>
      </c>
      <c r="C1089" s="5" t="s">
        <v>1186</v>
      </c>
      <c r="D1089" s="57" t="s">
        <v>1396</v>
      </c>
      <c r="E1089" s="7" t="s">
        <v>1272</v>
      </c>
      <c r="F1089" s="33">
        <v>16.809999999999999</v>
      </c>
      <c r="G1089" s="63">
        <v>-134</v>
      </c>
      <c r="H1089" s="9" t="s">
        <v>36</v>
      </c>
      <c r="I10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12.544776119402984</v>
      </c>
      <c r="J10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89" s="40"/>
      <c r="N1089" s="37"/>
    </row>
    <row r="1090" spans="1:14" x14ac:dyDescent="0.25">
      <c r="A1090" s="35">
        <f t="shared" si="29"/>
        <v>109</v>
      </c>
      <c r="B1090" s="5">
        <v>43677</v>
      </c>
      <c r="C1090" s="5" t="s">
        <v>1186</v>
      </c>
      <c r="D1090" s="57" t="s">
        <v>1415</v>
      </c>
      <c r="E1090" s="7" t="s">
        <v>1269</v>
      </c>
      <c r="F1090" s="33">
        <v>12.97</v>
      </c>
      <c r="G1090" s="63" t="s">
        <v>1416</v>
      </c>
      <c r="H1090" s="9" t="s">
        <v>36</v>
      </c>
      <c r="I10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16.601600000000001</v>
      </c>
      <c r="J10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90" s="40"/>
      <c r="N1090" s="37"/>
    </row>
    <row r="1091" spans="1:14" x14ac:dyDescent="0.25">
      <c r="A1091" s="35">
        <f t="shared" si="29"/>
        <v>109</v>
      </c>
      <c r="B1091" s="5">
        <v>43677</v>
      </c>
      <c r="C1091" s="5" t="s">
        <v>1186</v>
      </c>
      <c r="D1091" s="57" t="s">
        <v>1417</v>
      </c>
      <c r="E1091" s="7" t="s">
        <v>1293</v>
      </c>
      <c r="F1091" s="33">
        <v>12.27</v>
      </c>
      <c r="G1091" s="63" t="s">
        <v>1416</v>
      </c>
      <c r="H1091" s="9" t="s">
        <v>36</v>
      </c>
      <c r="I10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15.7056</v>
      </c>
      <c r="J10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91" s="40"/>
      <c r="N1091" s="37"/>
    </row>
    <row r="1092" spans="1:14" x14ac:dyDescent="0.25">
      <c r="A1092" s="35">
        <f t="shared" ref="A1092:A1155" si="30">IF(B1092=B1091,A1091,A1091+1)</f>
        <v>109</v>
      </c>
      <c r="B1092" s="5">
        <v>43677</v>
      </c>
      <c r="C1092" s="5" t="s">
        <v>1186</v>
      </c>
      <c r="D1092" s="57" t="s">
        <v>1411</v>
      </c>
      <c r="E1092" s="7" t="s">
        <v>1277</v>
      </c>
      <c r="F1092" s="33">
        <v>32.9</v>
      </c>
      <c r="G1092" s="63">
        <v>-105</v>
      </c>
      <c r="H1092" s="9" t="s">
        <v>6</v>
      </c>
      <c r="I10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-32.9</v>
      </c>
      <c r="J10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92" s="40"/>
      <c r="N1092" s="37"/>
    </row>
    <row r="1093" spans="1:14" x14ac:dyDescent="0.25">
      <c r="A1093" s="35">
        <f t="shared" si="30"/>
        <v>109</v>
      </c>
      <c r="B1093" s="5">
        <v>43677</v>
      </c>
      <c r="C1093" s="5" t="s">
        <v>1186</v>
      </c>
      <c r="D1093" s="57" t="s">
        <v>1412</v>
      </c>
      <c r="E1093" s="7" t="s">
        <v>1322</v>
      </c>
      <c r="F1093" s="33">
        <v>21.58</v>
      </c>
      <c r="G1093" s="63">
        <v>-112</v>
      </c>
      <c r="H1093" s="9" t="s">
        <v>6</v>
      </c>
      <c r="I10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-21.58</v>
      </c>
      <c r="J10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093" s="40"/>
      <c r="N1093" s="37"/>
    </row>
    <row r="1094" spans="1:14" x14ac:dyDescent="0.25">
      <c r="A1094" s="35">
        <f t="shared" si="30"/>
        <v>109</v>
      </c>
      <c r="B1094" s="5">
        <v>43677</v>
      </c>
      <c r="C1094" s="5" t="s">
        <v>1186</v>
      </c>
      <c r="D1094" s="57" t="s">
        <v>1418</v>
      </c>
      <c r="E1094" s="7" t="s">
        <v>1353</v>
      </c>
      <c r="F1094" s="33">
        <v>20.57</v>
      </c>
      <c r="G1094" s="63">
        <v>-115</v>
      </c>
      <c r="H1094" s="9" t="s">
        <v>36</v>
      </c>
      <c r="I10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17.88695652173913</v>
      </c>
      <c r="J10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94" s="40"/>
      <c r="N1094" s="37"/>
    </row>
    <row r="1095" spans="1:14" x14ac:dyDescent="0.25">
      <c r="A1095" s="35">
        <f t="shared" si="30"/>
        <v>109</v>
      </c>
      <c r="B1095" s="5">
        <v>43677</v>
      </c>
      <c r="C1095" s="5" t="s">
        <v>1186</v>
      </c>
      <c r="D1095" s="57" t="s">
        <v>1417</v>
      </c>
      <c r="E1095" s="7" t="s">
        <v>1316</v>
      </c>
      <c r="F1095" s="33">
        <v>24.95</v>
      </c>
      <c r="G1095" s="63">
        <v>-117</v>
      </c>
      <c r="H1095" s="9" t="s">
        <v>6</v>
      </c>
      <c r="I10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-24.95</v>
      </c>
      <c r="J10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095" s="40"/>
      <c r="N1095" s="37"/>
    </row>
    <row r="1096" spans="1:14" x14ac:dyDescent="0.25">
      <c r="A1096" s="35">
        <f t="shared" si="30"/>
        <v>110</v>
      </c>
      <c r="B1096" s="5">
        <v>43678</v>
      </c>
      <c r="C1096" s="5" t="s">
        <v>1186</v>
      </c>
      <c r="D1096" s="57" t="s">
        <v>1419</v>
      </c>
      <c r="E1096" s="7" t="s">
        <v>1298</v>
      </c>
      <c r="F1096" s="33">
        <v>20.5</v>
      </c>
      <c r="G1096" s="63">
        <v>-180</v>
      </c>
      <c r="H1096" s="9" t="s">
        <v>6</v>
      </c>
      <c r="I10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-20.5</v>
      </c>
      <c r="J10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96" s="40"/>
      <c r="N1096" s="37"/>
    </row>
    <row r="1097" spans="1:14" x14ac:dyDescent="0.25">
      <c r="A1097" s="35">
        <f t="shared" si="30"/>
        <v>110</v>
      </c>
      <c r="B1097" s="5">
        <v>43678</v>
      </c>
      <c r="C1097" s="5" t="s">
        <v>1186</v>
      </c>
      <c r="D1097" s="57" t="s">
        <v>1418</v>
      </c>
      <c r="E1097" s="7" t="s">
        <v>1378</v>
      </c>
      <c r="F1097" s="33">
        <v>16.440000000000001</v>
      </c>
      <c r="G1097" s="63" t="s">
        <v>1344</v>
      </c>
      <c r="H1097" s="9" t="s">
        <v>6</v>
      </c>
      <c r="I10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-16.440000000000001</v>
      </c>
      <c r="J10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097" s="40"/>
      <c r="N1097" s="37"/>
    </row>
    <row r="1098" spans="1:14" x14ac:dyDescent="0.25">
      <c r="A1098" s="35">
        <f t="shared" si="30"/>
        <v>110</v>
      </c>
      <c r="B1098" s="5">
        <v>43678</v>
      </c>
      <c r="C1098" s="5" t="s">
        <v>1186</v>
      </c>
      <c r="D1098" s="57" t="s">
        <v>1420</v>
      </c>
      <c r="E1098" s="7" t="s">
        <v>1421</v>
      </c>
      <c r="F1098" s="33">
        <v>21.21</v>
      </c>
      <c r="G1098" s="63">
        <v>-195</v>
      </c>
      <c r="H1098" s="9" t="s">
        <v>36</v>
      </c>
      <c r="I10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10.876923076923077</v>
      </c>
      <c r="J10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98" s="40"/>
      <c r="N1098" s="37"/>
    </row>
    <row r="1099" spans="1:14" x14ac:dyDescent="0.25">
      <c r="A1099" s="35">
        <f t="shared" si="30"/>
        <v>110</v>
      </c>
      <c r="B1099" s="5">
        <v>43678</v>
      </c>
      <c r="C1099" s="5" t="s">
        <v>1186</v>
      </c>
      <c r="D1099" s="57" t="s">
        <v>1422</v>
      </c>
      <c r="E1099" s="7" t="s">
        <v>1272</v>
      </c>
      <c r="F1099" s="33">
        <v>21.85</v>
      </c>
      <c r="G1099" s="63">
        <v>-225</v>
      </c>
      <c r="H1099" s="9" t="s">
        <v>36</v>
      </c>
      <c r="I10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9.7111111111111121</v>
      </c>
      <c r="J10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099" s="40"/>
      <c r="N1099" s="37"/>
    </row>
    <row r="1100" spans="1:14" x14ac:dyDescent="0.25">
      <c r="A1100" s="35">
        <f t="shared" si="30"/>
        <v>110</v>
      </c>
      <c r="B1100" s="5">
        <v>43678</v>
      </c>
      <c r="C1100" s="5" t="s">
        <v>1186</v>
      </c>
      <c r="D1100" s="57" t="s">
        <v>1423</v>
      </c>
      <c r="E1100" s="7" t="s">
        <v>1311</v>
      </c>
      <c r="F1100" s="33">
        <v>19.97</v>
      </c>
      <c r="G1100" s="63">
        <v>-109</v>
      </c>
      <c r="H1100" s="9" t="s">
        <v>6</v>
      </c>
      <c r="I11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-19.97</v>
      </c>
      <c r="J11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00" s="40"/>
      <c r="N1100" s="37"/>
    </row>
    <row r="1101" spans="1:14" x14ac:dyDescent="0.25">
      <c r="A1101" s="35">
        <f t="shared" si="30"/>
        <v>110</v>
      </c>
      <c r="B1101" s="5">
        <v>43678</v>
      </c>
      <c r="C1101" s="5" t="s">
        <v>1186</v>
      </c>
      <c r="D1101" s="57" t="s">
        <v>1415</v>
      </c>
      <c r="E1101" s="7" t="s">
        <v>1311</v>
      </c>
      <c r="F1101" s="33">
        <v>20.03</v>
      </c>
      <c r="G1101" s="63">
        <v>102</v>
      </c>
      <c r="H1101" s="9" t="s">
        <v>6</v>
      </c>
      <c r="I11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-20.03</v>
      </c>
      <c r="J11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01" s="40"/>
      <c r="N1101" s="37"/>
    </row>
    <row r="1102" spans="1:14" x14ac:dyDescent="0.25">
      <c r="A1102" s="35">
        <f t="shared" si="30"/>
        <v>110</v>
      </c>
      <c r="B1102" s="5">
        <v>43678</v>
      </c>
      <c r="C1102" s="5" t="s">
        <v>133</v>
      </c>
      <c r="D1102" s="57" t="s">
        <v>1424</v>
      </c>
      <c r="E1102" s="7" t="s">
        <v>1425</v>
      </c>
      <c r="F1102" s="33">
        <v>20</v>
      </c>
      <c r="G1102" s="63">
        <v>-118</v>
      </c>
      <c r="H1102" s="9" t="s">
        <v>36</v>
      </c>
      <c r="I11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1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02" s="40"/>
      <c r="N1102" s="37"/>
    </row>
    <row r="1103" spans="1:14" x14ac:dyDescent="0.25">
      <c r="A1103" s="35">
        <f t="shared" si="30"/>
        <v>111</v>
      </c>
      <c r="B1103" s="5">
        <v>43679</v>
      </c>
      <c r="C1103" s="5" t="s">
        <v>1186</v>
      </c>
      <c r="D1103" s="57" t="s">
        <v>1426</v>
      </c>
      <c r="E1103" s="7" t="s">
        <v>1278</v>
      </c>
      <c r="F1103" s="33">
        <v>15.8</v>
      </c>
      <c r="G1103" s="63" t="s">
        <v>1427</v>
      </c>
      <c r="H1103" s="9" t="s">
        <v>36</v>
      </c>
      <c r="I11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23.384</v>
      </c>
      <c r="J11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03" s="40"/>
      <c r="N1103" s="37"/>
    </row>
    <row r="1104" spans="1:14" x14ac:dyDescent="0.25">
      <c r="A1104" s="35">
        <f t="shared" si="30"/>
        <v>111</v>
      </c>
      <c r="B1104" s="5">
        <v>43679</v>
      </c>
      <c r="C1104" s="5" t="s">
        <v>1186</v>
      </c>
      <c r="D1104" s="57" t="s">
        <v>1428</v>
      </c>
      <c r="E1104" s="7" t="s">
        <v>1295</v>
      </c>
      <c r="F1104" s="33">
        <v>21.16</v>
      </c>
      <c r="G1104" s="63">
        <v>-250</v>
      </c>
      <c r="H1104" s="9" t="s">
        <v>36</v>
      </c>
      <c r="I11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8.4640000000000004</v>
      </c>
      <c r="J11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04" s="40"/>
      <c r="N1104" s="37"/>
    </row>
    <row r="1105" spans="1:14" x14ac:dyDescent="0.25">
      <c r="A1105" s="35">
        <f t="shared" si="30"/>
        <v>111</v>
      </c>
      <c r="B1105" s="5">
        <v>43679</v>
      </c>
      <c r="C1105" s="5" t="s">
        <v>1186</v>
      </c>
      <c r="D1105" s="57" t="s">
        <v>1429</v>
      </c>
      <c r="E1105" s="7" t="s">
        <v>1246</v>
      </c>
      <c r="F1105" s="33">
        <v>21.74</v>
      </c>
      <c r="G1105" s="63">
        <v>-286</v>
      </c>
      <c r="H1105" s="9" t="s">
        <v>36</v>
      </c>
      <c r="I11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7.6013986013986017</v>
      </c>
      <c r="J11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05" s="40"/>
      <c r="N1105" s="37"/>
    </row>
    <row r="1106" spans="1:14" x14ac:dyDescent="0.25">
      <c r="A1106" s="35">
        <f t="shared" si="30"/>
        <v>111</v>
      </c>
      <c r="B1106" s="5">
        <v>43679</v>
      </c>
      <c r="C1106" s="5" t="s">
        <v>1186</v>
      </c>
      <c r="D1106" s="57" t="s">
        <v>1430</v>
      </c>
      <c r="E1106" s="7" t="s">
        <v>1298</v>
      </c>
      <c r="F1106" s="33">
        <v>21.3</v>
      </c>
      <c r="G1106" s="63">
        <v>-235</v>
      </c>
      <c r="H1106" s="9" t="s">
        <v>36</v>
      </c>
      <c r="I11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9.0638297872340434</v>
      </c>
      <c r="J11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06" s="40"/>
      <c r="N1106" s="37"/>
    </row>
    <row r="1107" spans="1:14" x14ac:dyDescent="0.25">
      <c r="A1107" s="35">
        <f t="shared" si="30"/>
        <v>111</v>
      </c>
      <c r="B1107" s="5">
        <v>43679</v>
      </c>
      <c r="C1107" s="5" t="s">
        <v>1186</v>
      </c>
      <c r="D1107" s="57" t="s">
        <v>1387</v>
      </c>
      <c r="E1107" s="7" t="s">
        <v>1431</v>
      </c>
      <c r="F1107" s="33">
        <v>19.3</v>
      </c>
      <c r="G1107" s="63">
        <v>-106</v>
      </c>
      <c r="H1107" s="9" t="s">
        <v>6</v>
      </c>
      <c r="I11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-19.3</v>
      </c>
      <c r="J11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07" s="40"/>
      <c r="N1107" s="37"/>
    </row>
    <row r="1108" spans="1:14" x14ac:dyDescent="0.25">
      <c r="A1108" s="35">
        <f t="shared" si="30"/>
        <v>111</v>
      </c>
      <c r="B1108" s="5">
        <v>43679</v>
      </c>
      <c r="C1108" s="5" t="s">
        <v>1186</v>
      </c>
      <c r="D1108" s="57" t="s">
        <v>1428</v>
      </c>
      <c r="E1108" s="7" t="s">
        <v>1316</v>
      </c>
      <c r="F1108" s="33">
        <v>20.7</v>
      </c>
      <c r="G1108" s="63">
        <v>-106</v>
      </c>
      <c r="H1108" s="9" t="s">
        <v>36</v>
      </c>
      <c r="I11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19.528301886792452</v>
      </c>
      <c r="J11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08" s="40"/>
      <c r="N1108" s="37"/>
    </row>
    <row r="1109" spans="1:14" x14ac:dyDescent="0.25">
      <c r="A1109" s="35">
        <f t="shared" si="30"/>
        <v>112</v>
      </c>
      <c r="B1109" s="5">
        <v>43680</v>
      </c>
      <c r="C1109" s="5" t="s">
        <v>1186</v>
      </c>
      <c r="D1109" s="57" t="s">
        <v>1432</v>
      </c>
      <c r="E1109" s="7" t="s">
        <v>1242</v>
      </c>
      <c r="F1109" s="33">
        <v>20</v>
      </c>
      <c r="G1109" s="63">
        <v>-265</v>
      </c>
      <c r="H1109" s="9" t="s">
        <v>36</v>
      </c>
      <c r="I11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7.5471698113207548</v>
      </c>
      <c r="J11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09" s="40"/>
      <c r="N1109" s="37"/>
    </row>
    <row r="1110" spans="1:14" x14ac:dyDescent="0.25">
      <c r="A1110" s="35">
        <f t="shared" si="30"/>
        <v>112</v>
      </c>
      <c r="B1110" s="5">
        <v>43680</v>
      </c>
      <c r="C1110" s="5" t="s">
        <v>1186</v>
      </c>
      <c r="D1110" s="57" t="s">
        <v>1430</v>
      </c>
      <c r="E1110" s="7" t="s">
        <v>1298</v>
      </c>
      <c r="F1110" s="33">
        <v>20</v>
      </c>
      <c r="G1110" s="63">
        <v>-225</v>
      </c>
      <c r="H1110" s="9" t="s">
        <v>36</v>
      </c>
      <c r="I11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8.8888888888888893</v>
      </c>
      <c r="J11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10" s="40"/>
      <c r="N1110" s="37"/>
    </row>
    <row r="1111" spans="1:14" x14ac:dyDescent="0.25">
      <c r="A1111" s="35">
        <f t="shared" si="30"/>
        <v>112</v>
      </c>
      <c r="B1111" s="5">
        <v>43680</v>
      </c>
      <c r="C1111" s="5" t="s">
        <v>1186</v>
      </c>
      <c r="D1111" s="57" t="s">
        <v>1428</v>
      </c>
      <c r="E1111" s="7" t="s">
        <v>1295</v>
      </c>
      <c r="F1111" s="33">
        <v>20</v>
      </c>
      <c r="G1111" s="63">
        <v>-107</v>
      </c>
      <c r="H1111" s="9" t="s">
        <v>36</v>
      </c>
      <c r="I11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18.691588785046729</v>
      </c>
      <c r="J11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11" s="40"/>
      <c r="N1111" s="37"/>
    </row>
    <row r="1112" spans="1:14" x14ac:dyDescent="0.25">
      <c r="A1112" s="35">
        <f t="shared" si="30"/>
        <v>112</v>
      </c>
      <c r="B1112" s="5">
        <v>43680</v>
      </c>
      <c r="C1112" s="5" t="s">
        <v>1186</v>
      </c>
      <c r="D1112" s="57" t="s">
        <v>1428</v>
      </c>
      <c r="E1112" s="7" t="s">
        <v>1353</v>
      </c>
      <c r="F1112" s="33">
        <v>20</v>
      </c>
      <c r="G1112" s="63">
        <v>-110</v>
      </c>
      <c r="H1112" s="9" t="s">
        <v>36</v>
      </c>
      <c r="I11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1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12" s="40"/>
      <c r="N1112" s="37"/>
    </row>
    <row r="1113" spans="1:14" x14ac:dyDescent="0.25">
      <c r="A1113" s="35">
        <f t="shared" si="30"/>
        <v>112</v>
      </c>
      <c r="B1113" s="5">
        <v>43680</v>
      </c>
      <c r="C1113" s="5" t="s">
        <v>1186</v>
      </c>
      <c r="D1113" s="57" t="s">
        <v>1433</v>
      </c>
      <c r="E1113" s="7" t="s">
        <v>1258</v>
      </c>
      <c r="F1113" s="33">
        <v>20</v>
      </c>
      <c r="G1113" s="63">
        <v>-118</v>
      </c>
      <c r="H1113" s="9" t="s">
        <v>36</v>
      </c>
      <c r="I11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1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13" s="40"/>
      <c r="N1113" s="37"/>
    </row>
    <row r="1114" spans="1:14" x14ac:dyDescent="0.25">
      <c r="A1114" s="35">
        <f t="shared" si="30"/>
        <v>112</v>
      </c>
      <c r="B1114" s="5">
        <v>43680</v>
      </c>
      <c r="C1114" s="5" t="s">
        <v>1186</v>
      </c>
      <c r="D1114" s="57" t="s">
        <v>1434</v>
      </c>
      <c r="E1114" s="7" t="s">
        <v>1421</v>
      </c>
      <c r="F1114" s="33">
        <v>20</v>
      </c>
      <c r="G1114" s="63">
        <v>-137</v>
      </c>
      <c r="H1114" s="9" t="s">
        <v>36</v>
      </c>
      <c r="I11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14.5985401459854</v>
      </c>
      <c r="J11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14" s="40"/>
      <c r="N1114" s="37"/>
    </row>
    <row r="1115" spans="1:14" x14ac:dyDescent="0.25">
      <c r="A1115" s="35">
        <f t="shared" si="30"/>
        <v>113</v>
      </c>
      <c r="B1115" s="5">
        <v>43681</v>
      </c>
      <c r="C1115" s="5" t="s">
        <v>1186</v>
      </c>
      <c r="D1115" s="57" t="s">
        <v>1428</v>
      </c>
      <c r="E1115" s="7" t="s">
        <v>1295</v>
      </c>
      <c r="F1115" s="33">
        <v>25.13</v>
      </c>
      <c r="G1115" s="63">
        <v>-200</v>
      </c>
      <c r="H1115" s="9" t="s">
        <v>36</v>
      </c>
      <c r="I11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12.564999999999998</v>
      </c>
      <c r="J11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15" s="40"/>
      <c r="N1115" s="37"/>
    </row>
    <row r="1116" spans="1:14" x14ac:dyDescent="0.25">
      <c r="A1116" s="35">
        <f t="shared" si="30"/>
        <v>113</v>
      </c>
      <c r="B1116" s="5">
        <v>43681</v>
      </c>
      <c r="C1116" s="5" t="s">
        <v>1186</v>
      </c>
      <c r="D1116" s="57" t="s">
        <v>1433</v>
      </c>
      <c r="E1116" s="7" t="s">
        <v>1263</v>
      </c>
      <c r="F1116" s="33">
        <v>19.54</v>
      </c>
      <c r="G1116" s="63">
        <v>-136</v>
      </c>
      <c r="H1116" s="9" t="s">
        <v>36</v>
      </c>
      <c r="I11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14.367647058823529</v>
      </c>
      <c r="J11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16" s="40"/>
      <c r="N1116" s="37"/>
    </row>
    <row r="1117" spans="1:14" x14ac:dyDescent="0.25">
      <c r="A1117" s="35">
        <f t="shared" si="30"/>
        <v>113</v>
      </c>
      <c r="B1117" s="5">
        <v>43681</v>
      </c>
      <c r="C1117" s="5" t="s">
        <v>1186</v>
      </c>
      <c r="D1117" s="57" t="s">
        <v>1435</v>
      </c>
      <c r="E1117" s="7" t="s">
        <v>1300</v>
      </c>
      <c r="F1117" s="33">
        <v>15.32</v>
      </c>
      <c r="G1117" s="63" t="s">
        <v>1261</v>
      </c>
      <c r="H1117" s="9" t="s">
        <v>36</v>
      </c>
      <c r="I11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21.448</v>
      </c>
      <c r="J11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17" s="40"/>
      <c r="N1117" s="37"/>
    </row>
    <row r="1118" spans="1:14" x14ac:dyDescent="0.25">
      <c r="A1118" s="35">
        <f t="shared" si="30"/>
        <v>113</v>
      </c>
      <c r="B1118" s="5">
        <v>43681</v>
      </c>
      <c r="C1118" s="5" t="s">
        <v>1186</v>
      </c>
      <c r="D1118" s="57" t="s">
        <v>1428</v>
      </c>
      <c r="E1118" s="7" t="s">
        <v>1436</v>
      </c>
      <c r="F1118" s="33">
        <v>17.23</v>
      </c>
      <c r="G1118" s="63">
        <v>-117</v>
      </c>
      <c r="H1118" s="9" t="s">
        <v>6</v>
      </c>
      <c r="I11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-17.23</v>
      </c>
      <c r="J11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18" s="40"/>
      <c r="N1118" s="37"/>
    </row>
    <row r="1119" spans="1:14" x14ac:dyDescent="0.25">
      <c r="A1119" s="35">
        <f t="shared" si="30"/>
        <v>113</v>
      </c>
      <c r="B1119" s="5">
        <v>43681</v>
      </c>
      <c r="C1119" s="5" t="s">
        <v>1186</v>
      </c>
      <c r="D1119" s="57" t="s">
        <v>1310</v>
      </c>
      <c r="E1119" s="7" t="s">
        <v>1437</v>
      </c>
      <c r="F1119" s="33">
        <v>22.78</v>
      </c>
      <c r="G1119" s="63">
        <v>-114</v>
      </c>
      <c r="H1119" s="9" t="s">
        <v>36</v>
      </c>
      <c r="I11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19.98245614035088</v>
      </c>
      <c r="J11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19" s="40"/>
      <c r="N1119" s="37"/>
    </row>
    <row r="1120" spans="1:14" x14ac:dyDescent="0.25">
      <c r="A1120" s="35">
        <f t="shared" si="30"/>
        <v>114</v>
      </c>
      <c r="B1120" s="5">
        <v>43682</v>
      </c>
      <c r="C1120" s="5" t="s">
        <v>1186</v>
      </c>
      <c r="D1120" s="57" t="s">
        <v>1438</v>
      </c>
      <c r="E1120" s="7" t="s">
        <v>1421</v>
      </c>
      <c r="F1120" s="33">
        <v>22.34</v>
      </c>
      <c r="G1120" s="74">
        <v>-305</v>
      </c>
      <c r="H1120" s="9" t="s">
        <v>36</v>
      </c>
      <c r="I11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7.3245901639344257</v>
      </c>
      <c r="J11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1120"/>
      <c r="L1120"/>
      <c r="M1120"/>
      <c r="N1120" s="37"/>
    </row>
    <row r="1121" spans="1:14" x14ac:dyDescent="0.25">
      <c r="A1121" s="35">
        <f t="shared" si="30"/>
        <v>114</v>
      </c>
      <c r="B1121" s="5">
        <v>43682</v>
      </c>
      <c r="C1121" s="5" t="s">
        <v>1186</v>
      </c>
      <c r="D1121" s="57" t="s">
        <v>1388</v>
      </c>
      <c r="E1121" s="7" t="s">
        <v>1318</v>
      </c>
      <c r="F1121" s="33">
        <v>17.670000000000002</v>
      </c>
      <c r="G1121" s="74" t="s">
        <v>1439</v>
      </c>
      <c r="H1121" s="9" t="s">
        <v>6</v>
      </c>
      <c r="I11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-17.670000000000002</v>
      </c>
      <c r="J11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121"/>
      <c r="L1121"/>
      <c r="M1121"/>
      <c r="N1121" s="37"/>
    </row>
    <row r="1122" spans="1:14" x14ac:dyDescent="0.25">
      <c r="A1122" s="35">
        <f t="shared" si="30"/>
        <v>114</v>
      </c>
      <c r="B1122" s="5">
        <v>43682</v>
      </c>
      <c r="C1122" s="5" t="s">
        <v>1186</v>
      </c>
      <c r="D1122" s="57" t="s">
        <v>1440</v>
      </c>
      <c r="E1122" s="7" t="s">
        <v>1314</v>
      </c>
      <c r="F1122" s="33">
        <v>21.84</v>
      </c>
      <c r="G1122" s="74">
        <v>-265</v>
      </c>
      <c r="H1122" s="9" t="s">
        <v>36</v>
      </c>
      <c r="I11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8.2415094339622641</v>
      </c>
      <c r="J11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1122"/>
      <c r="L1122"/>
      <c r="M1122"/>
      <c r="N1122" s="37"/>
    </row>
    <row r="1123" spans="1:14" x14ac:dyDescent="0.25">
      <c r="A1123" s="35">
        <f t="shared" si="30"/>
        <v>114</v>
      </c>
      <c r="B1123" s="5">
        <v>43682</v>
      </c>
      <c r="C1123" s="5" t="s">
        <v>1186</v>
      </c>
      <c r="D1123" s="57" t="s">
        <v>1438</v>
      </c>
      <c r="E1123" s="7" t="s">
        <v>1421</v>
      </c>
      <c r="F1123" s="33">
        <v>21.43</v>
      </c>
      <c r="G1123" s="74">
        <v>-180</v>
      </c>
      <c r="H1123" s="9" t="s">
        <v>36</v>
      </c>
      <c r="I11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11.905555555555555</v>
      </c>
      <c r="J11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1123"/>
      <c r="L1123"/>
      <c r="M1123"/>
      <c r="N1123" s="37"/>
    </row>
    <row r="1124" spans="1:14" x14ac:dyDescent="0.25">
      <c r="A1124" s="35">
        <f t="shared" si="30"/>
        <v>114</v>
      </c>
      <c r="B1124" s="5">
        <v>43682</v>
      </c>
      <c r="C1124" s="5" t="s">
        <v>1186</v>
      </c>
      <c r="D1124" s="57" t="s">
        <v>1379</v>
      </c>
      <c r="E1124" s="7" t="s">
        <v>1269</v>
      </c>
      <c r="F1124" s="33">
        <v>22.98</v>
      </c>
      <c r="G1124" s="74">
        <v>-240</v>
      </c>
      <c r="H1124" s="9" t="s">
        <v>6</v>
      </c>
      <c r="I11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-22.98</v>
      </c>
      <c r="J11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1124"/>
      <c r="L1124"/>
      <c r="M1124"/>
      <c r="N1124" s="37"/>
    </row>
    <row r="1125" spans="1:14" x14ac:dyDescent="0.25">
      <c r="A1125" s="35">
        <f t="shared" si="30"/>
        <v>114</v>
      </c>
      <c r="B1125" s="5">
        <v>43682</v>
      </c>
      <c r="C1125" s="5" t="s">
        <v>1186</v>
      </c>
      <c r="D1125" s="57" t="s">
        <v>1441</v>
      </c>
      <c r="E1125" s="7" t="s">
        <v>1263</v>
      </c>
      <c r="F1125" s="33">
        <v>17.02</v>
      </c>
      <c r="G1125" s="74" t="s">
        <v>1279</v>
      </c>
      <c r="H1125" s="9" t="s">
        <v>6</v>
      </c>
      <c r="I11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-17.02</v>
      </c>
      <c r="J11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125"/>
      <c r="L1125"/>
      <c r="M1125"/>
      <c r="N1125" s="37"/>
    </row>
    <row r="1126" spans="1:14" x14ac:dyDescent="0.25">
      <c r="A1126" s="35">
        <f t="shared" si="30"/>
        <v>114</v>
      </c>
      <c r="B1126" s="5">
        <v>43682</v>
      </c>
      <c r="C1126" s="5" t="s">
        <v>1186</v>
      </c>
      <c r="D1126" s="57" t="s">
        <v>1442</v>
      </c>
      <c r="E1126" s="7" t="s">
        <v>1248</v>
      </c>
      <c r="F1126" s="33">
        <v>16.72</v>
      </c>
      <c r="G1126" s="74" t="s">
        <v>1261</v>
      </c>
      <c r="H1126" s="9" t="s">
        <v>6</v>
      </c>
      <c r="I11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-16.72</v>
      </c>
      <c r="J11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K1126"/>
      <c r="L1126"/>
      <c r="M1126"/>
      <c r="N1126" s="37"/>
    </row>
    <row r="1127" spans="1:14" x14ac:dyDescent="0.25">
      <c r="A1127" s="35">
        <f t="shared" si="30"/>
        <v>114</v>
      </c>
      <c r="B1127" s="5">
        <v>43682</v>
      </c>
      <c r="C1127" s="5" t="s">
        <v>1186</v>
      </c>
      <c r="D1127" s="57" t="s">
        <v>1443</v>
      </c>
      <c r="E1127" s="7" t="s">
        <v>1311</v>
      </c>
      <c r="F1127" s="33">
        <v>20</v>
      </c>
      <c r="G1127" s="74">
        <v>-115</v>
      </c>
      <c r="H1127" s="9" t="s">
        <v>36</v>
      </c>
      <c r="I11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17.391304347826086</v>
      </c>
      <c r="J11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K1127"/>
      <c r="L1127"/>
      <c r="M1127"/>
      <c r="N1127" s="37"/>
    </row>
    <row r="1128" spans="1:14" x14ac:dyDescent="0.25">
      <c r="A1128" s="35">
        <f t="shared" si="30"/>
        <v>115</v>
      </c>
      <c r="B1128" s="5">
        <v>43683</v>
      </c>
      <c r="C1128" s="5" t="s">
        <v>1186</v>
      </c>
      <c r="D1128" s="57" t="s">
        <v>1359</v>
      </c>
      <c r="E1128" s="7" t="s">
        <v>1252</v>
      </c>
      <c r="F1128" s="33">
        <v>22.54</v>
      </c>
      <c r="G1128" s="63">
        <v>-220</v>
      </c>
      <c r="H1128" s="9" t="s">
        <v>36</v>
      </c>
      <c r="I11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10.245454545454544</v>
      </c>
      <c r="J11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K1128"/>
      <c r="L1128"/>
      <c r="M1128"/>
      <c r="N1128" s="37"/>
    </row>
    <row r="1129" spans="1:14" x14ac:dyDescent="0.25">
      <c r="A1129" s="35">
        <f t="shared" si="30"/>
        <v>115</v>
      </c>
      <c r="B1129" s="5">
        <v>43683</v>
      </c>
      <c r="C1129" s="5" t="s">
        <v>1186</v>
      </c>
      <c r="D1129" s="57" t="s">
        <v>1440</v>
      </c>
      <c r="E1129" s="7" t="s">
        <v>1314</v>
      </c>
      <c r="F1129" s="33">
        <v>25.29</v>
      </c>
      <c r="G1129" s="63">
        <v>-190</v>
      </c>
      <c r="H1129" s="9" t="s">
        <v>6</v>
      </c>
      <c r="I11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-25.29</v>
      </c>
      <c r="J11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29" s="40"/>
      <c r="N1129" s="37"/>
    </row>
    <row r="1130" spans="1:14" x14ac:dyDescent="0.25">
      <c r="A1130" s="35">
        <f t="shared" si="30"/>
        <v>115</v>
      </c>
      <c r="B1130" s="5">
        <v>43683</v>
      </c>
      <c r="C1130" s="5" t="s">
        <v>1186</v>
      </c>
      <c r="D1130" s="57" t="s">
        <v>1444</v>
      </c>
      <c r="E1130" s="7" t="s">
        <v>1394</v>
      </c>
      <c r="F1130" s="33">
        <v>15.76</v>
      </c>
      <c r="G1130" s="63" t="s">
        <v>1355</v>
      </c>
      <c r="H1130" s="9" t="s">
        <v>6</v>
      </c>
      <c r="I11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-15.76</v>
      </c>
      <c r="J11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30" s="40"/>
      <c r="N1130" s="37"/>
    </row>
    <row r="1131" spans="1:14" x14ac:dyDescent="0.25">
      <c r="A1131" s="35">
        <f t="shared" si="30"/>
        <v>115</v>
      </c>
      <c r="B1131" s="5">
        <v>43683</v>
      </c>
      <c r="C1131" s="5" t="s">
        <v>1186</v>
      </c>
      <c r="D1131" s="57" t="s">
        <v>1443</v>
      </c>
      <c r="E1131" s="7" t="s">
        <v>1293</v>
      </c>
      <c r="F1131" s="33">
        <v>20.07</v>
      </c>
      <c r="G1131" s="63">
        <v>-190</v>
      </c>
      <c r="H1131" s="9" t="s">
        <v>65</v>
      </c>
      <c r="I11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1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31" s="40"/>
      <c r="N1131" s="37"/>
    </row>
    <row r="1132" spans="1:14" x14ac:dyDescent="0.25">
      <c r="A1132" s="35">
        <f t="shared" si="30"/>
        <v>115</v>
      </c>
      <c r="B1132" s="5">
        <v>43683</v>
      </c>
      <c r="C1132" s="5" t="s">
        <v>1186</v>
      </c>
      <c r="D1132" s="57" t="s">
        <v>1445</v>
      </c>
      <c r="E1132" s="7" t="s">
        <v>1446</v>
      </c>
      <c r="F1132" s="33">
        <v>21.58</v>
      </c>
      <c r="G1132" s="63">
        <v>-109</v>
      </c>
      <c r="H1132" s="9" t="s">
        <v>6</v>
      </c>
      <c r="I11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-21.58</v>
      </c>
      <c r="J11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32" s="40"/>
      <c r="N1132" s="37"/>
    </row>
    <row r="1133" spans="1:14" x14ac:dyDescent="0.25">
      <c r="A1133" s="35">
        <f t="shared" si="30"/>
        <v>115</v>
      </c>
      <c r="B1133" s="5">
        <v>43683</v>
      </c>
      <c r="C1133" s="5" t="s">
        <v>1186</v>
      </c>
      <c r="D1133" s="57" t="s">
        <v>1438</v>
      </c>
      <c r="E1133" s="7" t="s">
        <v>1281</v>
      </c>
      <c r="F1133" s="33">
        <v>13.92</v>
      </c>
      <c r="G1133" s="63" t="s">
        <v>1447</v>
      </c>
      <c r="H1133" s="9" t="s">
        <v>6</v>
      </c>
      <c r="I11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-13.92</v>
      </c>
      <c r="J11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33" s="40"/>
      <c r="N1133" s="37"/>
    </row>
    <row r="1134" spans="1:14" x14ac:dyDescent="0.25">
      <c r="A1134" s="35">
        <f t="shared" si="30"/>
        <v>115</v>
      </c>
      <c r="B1134" s="5">
        <v>43683</v>
      </c>
      <c r="C1134" s="5" t="s">
        <v>1186</v>
      </c>
      <c r="D1134" s="57" t="s">
        <v>1379</v>
      </c>
      <c r="E1134" s="7" t="s">
        <v>1269</v>
      </c>
      <c r="F1134" s="33">
        <v>20.16</v>
      </c>
      <c r="G1134" s="63">
        <v>-195</v>
      </c>
      <c r="H1134" s="9" t="s">
        <v>36</v>
      </c>
      <c r="I11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10.338461538461537</v>
      </c>
      <c r="J11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34" s="40"/>
      <c r="N1134" s="37"/>
    </row>
    <row r="1135" spans="1:14" x14ac:dyDescent="0.25">
      <c r="A1135" s="35">
        <f t="shared" si="30"/>
        <v>115</v>
      </c>
      <c r="B1135" s="5">
        <v>43683</v>
      </c>
      <c r="C1135" s="5" t="s">
        <v>1186</v>
      </c>
      <c r="D1135" s="57" t="s">
        <v>1448</v>
      </c>
      <c r="E1135" s="7" t="s">
        <v>1246</v>
      </c>
      <c r="F1135" s="33">
        <v>20.69</v>
      </c>
      <c r="G1135" s="63">
        <v>-205</v>
      </c>
      <c r="H1135" s="9" t="s">
        <v>36</v>
      </c>
      <c r="I11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10.092682926829269</v>
      </c>
      <c r="J11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35" s="40"/>
      <c r="N1135" s="37"/>
    </row>
    <row r="1136" spans="1:14" x14ac:dyDescent="0.25">
      <c r="A1136" s="35">
        <f t="shared" si="30"/>
        <v>115</v>
      </c>
      <c r="B1136" s="5">
        <v>43683</v>
      </c>
      <c r="C1136" s="5" t="s">
        <v>1186</v>
      </c>
      <c r="D1136" s="57" t="s">
        <v>1449</v>
      </c>
      <c r="E1136" s="7" t="s">
        <v>1298</v>
      </c>
      <c r="F1136" s="33">
        <v>20</v>
      </c>
      <c r="G1136" s="63">
        <v>-155</v>
      </c>
      <c r="H1136" s="9" t="s">
        <v>6</v>
      </c>
      <c r="I11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1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36" s="40"/>
      <c r="N1136" s="37"/>
    </row>
    <row r="1137" spans="1:14" x14ac:dyDescent="0.25">
      <c r="A1137" s="35">
        <f t="shared" si="30"/>
        <v>115</v>
      </c>
      <c r="B1137" s="5">
        <v>43683</v>
      </c>
      <c r="C1137" s="5" t="s">
        <v>1186</v>
      </c>
      <c r="D1137" s="57" t="s">
        <v>1444</v>
      </c>
      <c r="E1137" s="7" t="s">
        <v>1311</v>
      </c>
      <c r="F1137" s="33">
        <v>22.8</v>
      </c>
      <c r="G1137" s="63">
        <v>-115</v>
      </c>
      <c r="H1137" s="9" t="s">
        <v>6</v>
      </c>
      <c r="I11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-22.8</v>
      </c>
      <c r="J11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37" s="40"/>
      <c r="N1137" s="37"/>
    </row>
    <row r="1138" spans="1:14" x14ac:dyDescent="0.25">
      <c r="A1138" s="35">
        <f t="shared" si="30"/>
        <v>115</v>
      </c>
      <c r="B1138" s="5">
        <v>43683</v>
      </c>
      <c r="C1138" s="5" t="s">
        <v>1186</v>
      </c>
      <c r="D1138" s="57" t="s">
        <v>1445</v>
      </c>
      <c r="E1138" s="7" t="s">
        <v>1431</v>
      </c>
      <c r="F1138" s="33">
        <v>19.14</v>
      </c>
      <c r="G1138" s="63">
        <v>-110</v>
      </c>
      <c r="H1138" s="9" t="s">
        <v>36</v>
      </c>
      <c r="I11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17.400000000000002</v>
      </c>
      <c r="J11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38" s="40"/>
      <c r="N1138" s="37"/>
    </row>
    <row r="1139" spans="1:14" x14ac:dyDescent="0.25">
      <c r="A1139" s="35">
        <f t="shared" si="30"/>
        <v>115</v>
      </c>
      <c r="B1139" s="5">
        <v>43683</v>
      </c>
      <c r="C1139" s="5" t="s">
        <v>1186</v>
      </c>
      <c r="D1139" s="57" t="s">
        <v>1448</v>
      </c>
      <c r="E1139" s="7" t="s">
        <v>1274</v>
      </c>
      <c r="F1139" s="33">
        <v>18.059999999999999</v>
      </c>
      <c r="G1139" s="63">
        <v>-104</v>
      </c>
      <c r="H1139" s="9" t="s">
        <v>36</v>
      </c>
      <c r="I11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17.365384615384613</v>
      </c>
      <c r="J11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39" s="40"/>
      <c r="N1139" s="37"/>
    </row>
    <row r="1140" spans="1:14" x14ac:dyDescent="0.25">
      <c r="A1140" s="35">
        <f t="shared" si="30"/>
        <v>116</v>
      </c>
      <c r="B1140" s="5">
        <v>43684</v>
      </c>
      <c r="C1140" s="5" t="s">
        <v>1186</v>
      </c>
      <c r="D1140" s="57" t="s">
        <v>1438</v>
      </c>
      <c r="E1140" s="7" t="s">
        <v>1281</v>
      </c>
      <c r="F1140" s="33">
        <v>14.19</v>
      </c>
      <c r="G1140" s="63" t="s">
        <v>1450</v>
      </c>
      <c r="H1140" s="9" t="s">
        <v>6</v>
      </c>
      <c r="I11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-14.19</v>
      </c>
      <c r="J11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40" s="40"/>
      <c r="N1140" s="37"/>
    </row>
    <row r="1141" spans="1:14" x14ac:dyDescent="0.25">
      <c r="A1141" s="35">
        <f t="shared" si="30"/>
        <v>116</v>
      </c>
      <c r="B1141" s="5">
        <v>43684</v>
      </c>
      <c r="C1141" s="5" t="s">
        <v>1186</v>
      </c>
      <c r="D1141" s="57" t="s">
        <v>1379</v>
      </c>
      <c r="E1141" s="7" t="s">
        <v>1269</v>
      </c>
      <c r="F1141" s="33">
        <v>20.100000000000001</v>
      </c>
      <c r="G1141" s="63">
        <v>-230</v>
      </c>
      <c r="H1141" s="9" t="s">
        <v>6</v>
      </c>
      <c r="I11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-20.100000000000001</v>
      </c>
      <c r="J11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1" s="40"/>
      <c r="N1141" s="37"/>
    </row>
    <row r="1142" spans="1:14" x14ac:dyDescent="0.25">
      <c r="A1142" s="35">
        <f t="shared" si="30"/>
        <v>116</v>
      </c>
      <c r="B1142" s="5">
        <v>43684</v>
      </c>
      <c r="C1142" s="5" t="s">
        <v>1186</v>
      </c>
      <c r="D1142" s="57" t="s">
        <v>1448</v>
      </c>
      <c r="E1142" s="7" t="s">
        <v>1246</v>
      </c>
      <c r="F1142" s="33">
        <v>22.81</v>
      </c>
      <c r="G1142" s="63">
        <v>-360</v>
      </c>
      <c r="H1142" s="9" t="s">
        <v>36</v>
      </c>
      <c r="I11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6.3361111111111104</v>
      </c>
      <c r="J11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2" s="40"/>
      <c r="N1142" s="37"/>
    </row>
    <row r="1143" spans="1:14" x14ac:dyDescent="0.25">
      <c r="A1143" s="35">
        <f t="shared" si="30"/>
        <v>116</v>
      </c>
      <c r="B1143" s="5">
        <v>43684</v>
      </c>
      <c r="C1143" s="5" t="s">
        <v>1186</v>
      </c>
      <c r="D1143" s="57" t="s">
        <v>1441</v>
      </c>
      <c r="E1143" s="7" t="s">
        <v>1263</v>
      </c>
      <c r="F1143" s="33">
        <v>17.55</v>
      </c>
      <c r="G1143" s="63" t="s">
        <v>1331</v>
      </c>
      <c r="H1143" s="9" t="s">
        <v>6</v>
      </c>
      <c r="I11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-17.55</v>
      </c>
      <c r="J11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43" s="40"/>
      <c r="N1143" s="37"/>
    </row>
    <row r="1144" spans="1:14" x14ac:dyDescent="0.25">
      <c r="A1144" s="35">
        <f t="shared" si="30"/>
        <v>116</v>
      </c>
      <c r="B1144" s="5">
        <v>43684</v>
      </c>
      <c r="C1144" s="5" t="s">
        <v>1186</v>
      </c>
      <c r="D1144" s="57" t="s">
        <v>1451</v>
      </c>
      <c r="E1144" s="7" t="s">
        <v>1378</v>
      </c>
      <c r="F1144" s="33">
        <v>21</v>
      </c>
      <c r="G1144" s="63">
        <v>-103</v>
      </c>
      <c r="H1144" s="9" t="s">
        <v>6</v>
      </c>
      <c r="I11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</v>
      </c>
      <c r="J11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4" s="40"/>
      <c r="N1144" s="37"/>
    </row>
    <row r="1145" spans="1:14" x14ac:dyDescent="0.25">
      <c r="A1145" s="35">
        <f t="shared" si="30"/>
        <v>116</v>
      </c>
      <c r="B1145" s="5">
        <v>43684</v>
      </c>
      <c r="C1145" s="5" t="s">
        <v>1186</v>
      </c>
      <c r="D1145" s="57" t="s">
        <v>1452</v>
      </c>
      <c r="E1145" s="7" t="s">
        <v>1306</v>
      </c>
      <c r="F1145" s="33">
        <v>20.010000000000002</v>
      </c>
      <c r="G1145" s="63">
        <v>-159</v>
      </c>
      <c r="H1145" s="9" t="s">
        <v>6</v>
      </c>
      <c r="I11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-20.010000000000002</v>
      </c>
      <c r="J11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5" s="40"/>
      <c r="N1145" s="37"/>
    </row>
    <row r="1146" spans="1:14" x14ac:dyDescent="0.25">
      <c r="A1146" s="35">
        <f t="shared" si="30"/>
        <v>116</v>
      </c>
      <c r="B1146" s="5">
        <v>43684</v>
      </c>
      <c r="C1146" s="5" t="s">
        <v>1186</v>
      </c>
      <c r="D1146" s="57" t="s">
        <v>1359</v>
      </c>
      <c r="E1146" s="7" t="s">
        <v>1252</v>
      </c>
      <c r="F1146" s="33">
        <v>21.51</v>
      </c>
      <c r="G1146" s="63">
        <v>-250</v>
      </c>
      <c r="H1146" s="9" t="s">
        <v>36</v>
      </c>
      <c r="I11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8.604000000000001</v>
      </c>
      <c r="J11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6" s="40"/>
      <c r="N1146" s="37"/>
    </row>
    <row r="1147" spans="1:14" x14ac:dyDescent="0.25">
      <c r="A1147" s="35">
        <f t="shared" si="30"/>
        <v>116</v>
      </c>
      <c r="B1147" s="5">
        <v>43684</v>
      </c>
      <c r="C1147" s="5" t="s">
        <v>1186</v>
      </c>
      <c r="D1147" s="57" t="s">
        <v>1440</v>
      </c>
      <c r="E1147" s="7" t="s">
        <v>1314</v>
      </c>
      <c r="F1147" s="33">
        <v>22.83</v>
      </c>
      <c r="G1147" s="63">
        <v>-315</v>
      </c>
      <c r="H1147" s="9" t="s">
        <v>65</v>
      </c>
      <c r="I11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1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47" s="40"/>
      <c r="N1147" s="37"/>
    </row>
    <row r="1148" spans="1:14" x14ac:dyDescent="0.25">
      <c r="A1148" s="35">
        <f t="shared" si="30"/>
        <v>116</v>
      </c>
      <c r="B1148" s="5">
        <v>43684</v>
      </c>
      <c r="C1148" s="5" t="s">
        <v>1186</v>
      </c>
      <c r="D1148" s="57" t="s">
        <v>1448</v>
      </c>
      <c r="E1148" s="7" t="s">
        <v>1274</v>
      </c>
      <c r="F1148" s="33">
        <v>19</v>
      </c>
      <c r="G1148" s="63">
        <v>-115</v>
      </c>
      <c r="H1148" s="9" t="s">
        <v>36</v>
      </c>
      <c r="I11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16.521739130434781</v>
      </c>
      <c r="J11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48" s="40"/>
      <c r="N1148" s="37"/>
    </row>
    <row r="1149" spans="1:14" x14ac:dyDescent="0.25">
      <c r="A1149" s="35">
        <f t="shared" si="30"/>
        <v>116</v>
      </c>
      <c r="B1149" s="5">
        <v>43684</v>
      </c>
      <c r="C1149" s="5" t="s">
        <v>1186</v>
      </c>
      <c r="D1149" s="57" t="s">
        <v>1451</v>
      </c>
      <c r="E1149" s="7" t="s">
        <v>1258</v>
      </c>
      <c r="F1149" s="33">
        <v>23.92</v>
      </c>
      <c r="G1149" s="63">
        <v>-115</v>
      </c>
      <c r="H1149" s="9" t="s">
        <v>6</v>
      </c>
      <c r="I11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-23.92</v>
      </c>
      <c r="J11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49" s="40"/>
      <c r="N1149" s="37"/>
    </row>
    <row r="1150" spans="1:14" x14ac:dyDescent="0.25">
      <c r="A1150" s="35">
        <f t="shared" si="30"/>
        <v>116</v>
      </c>
      <c r="B1150" s="5">
        <v>43684</v>
      </c>
      <c r="C1150" s="5" t="s">
        <v>1186</v>
      </c>
      <c r="D1150" s="57" t="s">
        <v>1359</v>
      </c>
      <c r="E1150" s="7" t="s">
        <v>1322</v>
      </c>
      <c r="F1150" s="33">
        <v>17.09</v>
      </c>
      <c r="G1150" s="63">
        <v>-115</v>
      </c>
      <c r="H1150" s="9" t="s">
        <v>36</v>
      </c>
      <c r="I11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14.86086956521739</v>
      </c>
      <c r="J11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50" s="40"/>
      <c r="N1150" s="37"/>
    </row>
    <row r="1151" spans="1:14" x14ac:dyDescent="0.25">
      <c r="A1151" s="35">
        <f t="shared" si="30"/>
        <v>117</v>
      </c>
      <c r="B1151" s="5">
        <v>43685</v>
      </c>
      <c r="C1151" s="5" t="s">
        <v>1186</v>
      </c>
      <c r="D1151" s="57" t="s">
        <v>1453</v>
      </c>
      <c r="E1151" s="7" t="s">
        <v>1252</v>
      </c>
      <c r="F1151" s="33">
        <v>23.32</v>
      </c>
      <c r="G1151" s="63">
        <v>-200</v>
      </c>
      <c r="H1151" s="9" t="s">
        <v>36</v>
      </c>
      <c r="I11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11.66</v>
      </c>
      <c r="J11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51" s="40"/>
      <c r="N1151" s="37"/>
    </row>
    <row r="1152" spans="1:14" x14ac:dyDescent="0.25">
      <c r="A1152" s="35">
        <f t="shared" si="30"/>
        <v>117</v>
      </c>
      <c r="B1152" s="5">
        <v>43685</v>
      </c>
      <c r="C1152" s="5" t="s">
        <v>1186</v>
      </c>
      <c r="D1152" s="57" t="s">
        <v>1454</v>
      </c>
      <c r="E1152" s="7" t="s">
        <v>1394</v>
      </c>
      <c r="F1152" s="33">
        <v>14.62</v>
      </c>
      <c r="G1152" s="63" t="s">
        <v>1455</v>
      </c>
      <c r="H1152" s="9" t="s">
        <v>6</v>
      </c>
      <c r="I11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-14.62</v>
      </c>
      <c r="J11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52" s="40"/>
      <c r="N1152" s="37"/>
    </row>
    <row r="1153" spans="1:14" x14ac:dyDescent="0.25">
      <c r="A1153" s="35">
        <f t="shared" si="30"/>
        <v>117</v>
      </c>
      <c r="B1153" s="5">
        <v>43685</v>
      </c>
      <c r="C1153" s="5" t="s">
        <v>1186</v>
      </c>
      <c r="D1153" s="57" t="s">
        <v>1456</v>
      </c>
      <c r="E1153" s="7" t="s">
        <v>1244</v>
      </c>
      <c r="F1153" s="33">
        <v>23</v>
      </c>
      <c r="G1153" s="63">
        <v>-200</v>
      </c>
      <c r="H1153" s="9" t="s">
        <v>6</v>
      </c>
      <c r="I11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-23</v>
      </c>
      <c r="J11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53" s="40"/>
      <c r="N1153" s="37"/>
    </row>
    <row r="1154" spans="1:14" x14ac:dyDescent="0.25">
      <c r="A1154" s="35">
        <f t="shared" si="30"/>
        <v>117</v>
      </c>
      <c r="B1154" s="5">
        <v>43685</v>
      </c>
      <c r="C1154" s="5" t="s">
        <v>1186</v>
      </c>
      <c r="D1154" s="57" t="s">
        <v>1457</v>
      </c>
      <c r="E1154" s="7" t="s">
        <v>1343</v>
      </c>
      <c r="F1154" s="33">
        <v>19.059999999999999</v>
      </c>
      <c r="G1154" s="63" t="s">
        <v>1458</v>
      </c>
      <c r="H1154" s="9" t="s">
        <v>6</v>
      </c>
      <c r="I11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-19.059999999999999</v>
      </c>
      <c r="J11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54" s="40"/>
      <c r="N1154" s="37"/>
    </row>
    <row r="1155" spans="1:14" x14ac:dyDescent="0.25">
      <c r="A1155" s="35">
        <f t="shared" si="30"/>
        <v>117</v>
      </c>
      <c r="B1155" s="5">
        <v>43685</v>
      </c>
      <c r="C1155" s="5" t="s">
        <v>1186</v>
      </c>
      <c r="D1155" s="57" t="s">
        <v>1453</v>
      </c>
      <c r="E1155" s="7" t="s">
        <v>1431</v>
      </c>
      <c r="F1155" s="33">
        <v>19.559999999999999</v>
      </c>
      <c r="G1155" s="63">
        <v>-112</v>
      </c>
      <c r="H1155" s="9" t="s">
        <v>36</v>
      </c>
      <c r="I11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17.464285714285712</v>
      </c>
      <c r="J11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55" s="40"/>
      <c r="N1155" s="37"/>
    </row>
    <row r="1156" spans="1:14" x14ac:dyDescent="0.25">
      <c r="A1156" s="35">
        <f t="shared" ref="A1156:A1219" si="31">IF(B1156=B1155,A1155,A1155+1)</f>
        <v>117</v>
      </c>
      <c r="B1156" s="5">
        <v>43685</v>
      </c>
      <c r="C1156" s="5" t="s">
        <v>1186</v>
      </c>
      <c r="D1156" s="57" t="s">
        <v>1338</v>
      </c>
      <c r="E1156" s="7" t="s">
        <v>1353</v>
      </c>
      <c r="F1156" s="33">
        <v>19.72</v>
      </c>
      <c r="G1156" s="63">
        <v>-117</v>
      </c>
      <c r="H1156" s="9" t="s">
        <v>6</v>
      </c>
      <c r="I11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-19.72</v>
      </c>
      <c r="J11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56" s="40"/>
      <c r="N1156" s="37"/>
    </row>
    <row r="1157" spans="1:14" x14ac:dyDescent="0.25">
      <c r="A1157" s="35">
        <f t="shared" si="31"/>
        <v>117</v>
      </c>
      <c r="B1157" s="5">
        <v>43685</v>
      </c>
      <c r="C1157" s="5" t="s">
        <v>1186</v>
      </c>
      <c r="D1157" s="57" t="s">
        <v>1459</v>
      </c>
      <c r="E1157" s="7" t="s">
        <v>1256</v>
      </c>
      <c r="F1157" s="33">
        <v>19.2</v>
      </c>
      <c r="G1157" s="63">
        <v>-103</v>
      </c>
      <c r="H1157" s="9" t="s">
        <v>6</v>
      </c>
      <c r="I11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-19.2</v>
      </c>
      <c r="J11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57" s="40"/>
      <c r="N1157" s="37"/>
    </row>
    <row r="1158" spans="1:14" x14ac:dyDescent="0.25">
      <c r="A1158" s="35">
        <f t="shared" si="31"/>
        <v>117</v>
      </c>
      <c r="B1158" s="5">
        <v>43685</v>
      </c>
      <c r="C1158" s="5" t="s">
        <v>1186</v>
      </c>
      <c r="D1158" s="57" t="s">
        <v>1457</v>
      </c>
      <c r="E1158" s="7" t="s">
        <v>1276</v>
      </c>
      <c r="F1158" s="33">
        <v>21.52</v>
      </c>
      <c r="G1158" s="63">
        <v>-115</v>
      </c>
      <c r="H1158" s="9" t="s">
        <v>36</v>
      </c>
      <c r="I11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18.713043478260868</v>
      </c>
      <c r="J11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58" s="40"/>
      <c r="N1158" s="37"/>
    </row>
    <row r="1159" spans="1:14" x14ac:dyDescent="0.25">
      <c r="A1159" s="35">
        <f t="shared" si="31"/>
        <v>118</v>
      </c>
      <c r="B1159" s="5">
        <v>43703</v>
      </c>
      <c r="C1159" s="5" t="s">
        <v>1186</v>
      </c>
      <c r="D1159" s="57" t="s">
        <v>1460</v>
      </c>
      <c r="E1159" s="7" t="s">
        <v>1343</v>
      </c>
      <c r="F1159" s="33">
        <v>17.21</v>
      </c>
      <c r="G1159" s="75" t="s">
        <v>1355</v>
      </c>
      <c r="H1159" s="9" t="s">
        <v>36</v>
      </c>
      <c r="I11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23.7498</v>
      </c>
      <c r="J11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59" s="40"/>
      <c r="N1159" s="37"/>
    </row>
    <row r="1160" spans="1:14" x14ac:dyDescent="0.25">
      <c r="A1160" s="35">
        <f t="shared" si="31"/>
        <v>118</v>
      </c>
      <c r="B1160" s="5">
        <v>43703</v>
      </c>
      <c r="C1160" s="5" t="s">
        <v>1186</v>
      </c>
      <c r="D1160" s="57" t="s">
        <v>1461</v>
      </c>
      <c r="E1160" s="7" t="s">
        <v>1278</v>
      </c>
      <c r="F1160" s="33">
        <v>22.13</v>
      </c>
      <c r="G1160" s="75">
        <v>-165</v>
      </c>
      <c r="H1160" s="9" t="s">
        <v>36</v>
      </c>
      <c r="I11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13.412121212121212</v>
      </c>
      <c r="J11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0" s="40"/>
      <c r="N1160" s="37"/>
    </row>
    <row r="1161" spans="1:14" x14ac:dyDescent="0.25">
      <c r="A1161" s="35">
        <f t="shared" si="31"/>
        <v>118</v>
      </c>
      <c r="B1161" s="5">
        <v>43703</v>
      </c>
      <c r="C1161" s="5" t="s">
        <v>1186</v>
      </c>
      <c r="D1161" s="57" t="s">
        <v>1462</v>
      </c>
      <c r="E1161" s="7" t="s">
        <v>1272</v>
      </c>
      <c r="F1161" s="33">
        <v>20.66</v>
      </c>
      <c r="G1161" s="75">
        <v>-148</v>
      </c>
      <c r="H1161" s="9" t="s">
        <v>6</v>
      </c>
      <c r="I11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-20.66</v>
      </c>
      <c r="J11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1" s="40"/>
      <c r="N1161" s="37"/>
    </row>
    <row r="1162" spans="1:14" x14ac:dyDescent="0.25">
      <c r="A1162" s="35">
        <f t="shared" si="31"/>
        <v>118</v>
      </c>
      <c r="B1162" s="5">
        <v>43703</v>
      </c>
      <c r="C1162" s="5" t="s">
        <v>1186</v>
      </c>
      <c r="D1162" s="57" t="s">
        <v>1460</v>
      </c>
      <c r="E1162" s="7" t="s">
        <v>1463</v>
      </c>
      <c r="F1162" s="33">
        <v>20</v>
      </c>
      <c r="G1162" s="75">
        <v>100</v>
      </c>
      <c r="H1162" s="9" t="s">
        <v>36</v>
      </c>
      <c r="I11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1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62" s="40"/>
      <c r="N1162" s="37"/>
    </row>
    <row r="1163" spans="1:14" x14ac:dyDescent="0.25">
      <c r="A1163" s="35">
        <f t="shared" si="31"/>
        <v>119</v>
      </c>
      <c r="B1163" s="5">
        <v>43704</v>
      </c>
      <c r="C1163" s="5" t="s">
        <v>1186</v>
      </c>
      <c r="D1163" s="57" t="s">
        <v>1464</v>
      </c>
      <c r="E1163" s="7" t="s">
        <v>1318</v>
      </c>
      <c r="F1163" s="33">
        <v>18.260000000000002</v>
      </c>
      <c r="G1163" s="75" t="s">
        <v>1439</v>
      </c>
      <c r="H1163" s="9" t="s">
        <v>36</v>
      </c>
      <c r="I11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22.459800000000001</v>
      </c>
      <c r="J11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63" s="40"/>
      <c r="N1163" s="37"/>
    </row>
    <row r="1164" spans="1:14" x14ac:dyDescent="0.25">
      <c r="A1164" s="35">
        <f t="shared" si="31"/>
        <v>119</v>
      </c>
      <c r="B1164" s="5">
        <v>43704</v>
      </c>
      <c r="C1164" s="5" t="s">
        <v>1186</v>
      </c>
      <c r="D1164" s="57" t="s">
        <v>1465</v>
      </c>
      <c r="E1164" s="7" t="s">
        <v>1260</v>
      </c>
      <c r="F1164" s="33">
        <v>23.17</v>
      </c>
      <c r="G1164" s="75">
        <v>-335</v>
      </c>
      <c r="H1164" s="9" t="s">
        <v>6</v>
      </c>
      <c r="I11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-23.17</v>
      </c>
      <c r="J11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4" s="40"/>
      <c r="N1164" s="37"/>
    </row>
    <row r="1165" spans="1:14" x14ac:dyDescent="0.25">
      <c r="A1165" s="35">
        <f t="shared" si="31"/>
        <v>119</v>
      </c>
      <c r="B1165" s="5">
        <v>43704</v>
      </c>
      <c r="C1165" s="5" t="s">
        <v>1186</v>
      </c>
      <c r="D1165" s="57" t="s">
        <v>1466</v>
      </c>
      <c r="E1165" s="7" t="s">
        <v>1293</v>
      </c>
      <c r="F1165" s="33">
        <v>21.42</v>
      </c>
      <c r="G1165" s="75">
        <v>-143</v>
      </c>
      <c r="H1165" s="9" t="s">
        <v>36</v>
      </c>
      <c r="I11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14.97902097902098</v>
      </c>
      <c r="J11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5" s="40"/>
      <c r="N1165" s="37"/>
    </row>
    <row r="1166" spans="1:14" x14ac:dyDescent="0.25">
      <c r="A1166" s="35">
        <f t="shared" si="31"/>
        <v>119</v>
      </c>
      <c r="B1166" s="5">
        <v>43704</v>
      </c>
      <c r="C1166" s="5" t="s">
        <v>1186</v>
      </c>
      <c r="D1166" s="57" t="s">
        <v>1461</v>
      </c>
      <c r="E1166" s="7" t="s">
        <v>1278</v>
      </c>
      <c r="F1166" s="33">
        <v>21.39</v>
      </c>
      <c r="G1166" s="75">
        <v>-155</v>
      </c>
      <c r="H1166" s="9" t="s">
        <v>36</v>
      </c>
      <c r="I11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13.8</v>
      </c>
      <c r="J11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6" s="40"/>
      <c r="N1166" s="37"/>
    </row>
    <row r="1167" spans="1:14" x14ac:dyDescent="0.25">
      <c r="A1167" s="35">
        <f t="shared" si="31"/>
        <v>119</v>
      </c>
      <c r="B1167" s="5">
        <v>43704</v>
      </c>
      <c r="C1167" s="5" t="s">
        <v>1186</v>
      </c>
      <c r="D1167" s="57" t="s">
        <v>1467</v>
      </c>
      <c r="E1167" s="7" t="s">
        <v>1248</v>
      </c>
      <c r="F1167" s="33">
        <v>18</v>
      </c>
      <c r="G1167" s="75" t="s">
        <v>1279</v>
      </c>
      <c r="H1167" s="9" t="s">
        <v>36</v>
      </c>
      <c r="I11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23.400000000000002</v>
      </c>
      <c r="J11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67" s="40"/>
      <c r="N1167" s="37"/>
    </row>
    <row r="1168" spans="1:14" x14ac:dyDescent="0.25">
      <c r="A1168" s="35">
        <f t="shared" si="31"/>
        <v>119</v>
      </c>
      <c r="B1168" s="5">
        <v>43704</v>
      </c>
      <c r="C1168" s="5" t="s">
        <v>1186</v>
      </c>
      <c r="D1168" s="57" t="s">
        <v>1468</v>
      </c>
      <c r="E1168" s="7" t="s">
        <v>1298</v>
      </c>
      <c r="F1168" s="33">
        <v>19.16</v>
      </c>
      <c r="G1168" s="75">
        <v>-115</v>
      </c>
      <c r="H1168" s="9" t="s">
        <v>36</v>
      </c>
      <c r="I11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16.660869565217393</v>
      </c>
      <c r="J11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68" s="40"/>
      <c r="N1168" s="37"/>
    </row>
    <row r="1169" spans="1:14" x14ac:dyDescent="0.25">
      <c r="A1169" s="35">
        <f t="shared" si="31"/>
        <v>119</v>
      </c>
      <c r="B1169" s="5">
        <v>43704</v>
      </c>
      <c r="C1169" s="5" t="s">
        <v>1186</v>
      </c>
      <c r="D1169" s="57" t="s">
        <v>1469</v>
      </c>
      <c r="E1169" s="7" t="s">
        <v>1269</v>
      </c>
      <c r="F1169" s="33">
        <v>14.38</v>
      </c>
      <c r="G1169" s="75" t="s">
        <v>1450</v>
      </c>
      <c r="H1169" s="9" t="s">
        <v>6</v>
      </c>
      <c r="I11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-14.38</v>
      </c>
      <c r="J11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69" s="40"/>
      <c r="N1169" s="37"/>
    </row>
    <row r="1170" spans="1:14" x14ac:dyDescent="0.25">
      <c r="A1170" s="35">
        <f t="shared" si="31"/>
        <v>119</v>
      </c>
      <c r="B1170" s="5">
        <v>43704</v>
      </c>
      <c r="C1170" s="5" t="s">
        <v>1186</v>
      </c>
      <c r="D1170" s="57" t="s">
        <v>1470</v>
      </c>
      <c r="E1170" s="7" t="s">
        <v>1263</v>
      </c>
      <c r="F1170" s="33">
        <v>25.87</v>
      </c>
      <c r="G1170" s="75">
        <v>-182</v>
      </c>
      <c r="H1170" s="9" t="s">
        <v>36</v>
      </c>
      <c r="I11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14.214285714285715</v>
      </c>
      <c r="J11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0" s="40"/>
      <c r="N1170" s="37"/>
    </row>
    <row r="1171" spans="1:14" x14ac:dyDescent="0.25">
      <c r="A1171" s="35">
        <f t="shared" si="31"/>
        <v>119</v>
      </c>
      <c r="B1171" s="5">
        <v>43704</v>
      </c>
      <c r="C1171" s="5" t="s">
        <v>1186</v>
      </c>
      <c r="D1171" s="57" t="s">
        <v>1471</v>
      </c>
      <c r="E1171" s="7" t="s">
        <v>1295</v>
      </c>
      <c r="F1171" s="33">
        <v>16.87</v>
      </c>
      <c r="G1171" s="75" t="s">
        <v>1307</v>
      </c>
      <c r="H1171" s="9" t="s">
        <v>6</v>
      </c>
      <c r="I11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-16.87</v>
      </c>
      <c r="J11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71" s="40"/>
      <c r="N1171" s="37"/>
    </row>
    <row r="1172" spans="1:14" x14ac:dyDescent="0.25">
      <c r="A1172" s="35">
        <f t="shared" si="31"/>
        <v>119</v>
      </c>
      <c r="B1172" s="5">
        <v>43704</v>
      </c>
      <c r="C1172" s="5" t="s">
        <v>1186</v>
      </c>
      <c r="D1172" s="57" t="s">
        <v>1462</v>
      </c>
      <c r="E1172" s="7" t="s">
        <v>1272</v>
      </c>
      <c r="F1172" s="33">
        <v>20.63</v>
      </c>
      <c r="G1172" s="75">
        <v>-186</v>
      </c>
      <c r="H1172" s="9" t="s">
        <v>36</v>
      </c>
      <c r="I11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11.091397849462364</v>
      </c>
      <c r="J11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2" s="40"/>
      <c r="N1172" s="37"/>
    </row>
    <row r="1173" spans="1:14" x14ac:dyDescent="0.25">
      <c r="A1173" s="35">
        <f t="shared" si="31"/>
        <v>119</v>
      </c>
      <c r="B1173" s="5">
        <v>43704</v>
      </c>
      <c r="C1173" s="5" t="s">
        <v>1186</v>
      </c>
      <c r="D1173" s="57" t="s">
        <v>1472</v>
      </c>
      <c r="E1173" s="7" t="s">
        <v>1252</v>
      </c>
      <c r="F1173" s="33">
        <v>20.85</v>
      </c>
      <c r="G1173" s="75">
        <v>-190</v>
      </c>
      <c r="H1173" s="9" t="s">
        <v>36</v>
      </c>
      <c r="I11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10.973684210526317</v>
      </c>
      <c r="J11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3" s="40"/>
      <c r="N1173" s="37"/>
    </row>
    <row r="1174" spans="1:14" x14ac:dyDescent="0.25">
      <c r="A1174" s="35">
        <f t="shared" si="31"/>
        <v>119</v>
      </c>
      <c r="B1174" s="5">
        <v>43704</v>
      </c>
      <c r="C1174" s="5" t="s">
        <v>1186</v>
      </c>
      <c r="D1174" s="57" t="s">
        <v>1470</v>
      </c>
      <c r="E1174" s="7" t="s">
        <v>1473</v>
      </c>
      <c r="F1174" s="33">
        <v>20</v>
      </c>
      <c r="G1174" s="75">
        <v>-106</v>
      </c>
      <c r="H1174" s="9" t="s">
        <v>6</v>
      </c>
      <c r="I11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1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74" s="40"/>
      <c r="N1174" s="37"/>
    </row>
    <row r="1175" spans="1:14" x14ac:dyDescent="0.25">
      <c r="A1175" s="35">
        <f t="shared" si="31"/>
        <v>120</v>
      </c>
      <c r="B1175" s="5">
        <v>43705</v>
      </c>
      <c r="C1175" s="5" t="s">
        <v>1186</v>
      </c>
      <c r="D1175" s="57" t="s">
        <v>1467</v>
      </c>
      <c r="E1175" s="7" t="s">
        <v>1248</v>
      </c>
      <c r="F1175" s="33">
        <v>18.66</v>
      </c>
      <c r="G1175" s="63">
        <v>-129</v>
      </c>
      <c r="H1175" s="9" t="s">
        <v>6</v>
      </c>
      <c r="I11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-18.66</v>
      </c>
      <c r="J11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5" s="40"/>
      <c r="N1175" s="37"/>
    </row>
    <row r="1176" spans="1:14" x14ac:dyDescent="0.25">
      <c r="A1176" s="35">
        <f t="shared" si="31"/>
        <v>120</v>
      </c>
      <c r="B1176" s="5">
        <v>43705</v>
      </c>
      <c r="C1176" s="5" t="s">
        <v>1186</v>
      </c>
      <c r="D1176" s="57" t="s">
        <v>1472</v>
      </c>
      <c r="E1176" s="7" t="s">
        <v>1252</v>
      </c>
      <c r="F1176" s="33">
        <v>21.42</v>
      </c>
      <c r="G1176" s="63">
        <v>-245</v>
      </c>
      <c r="H1176" s="9" t="s">
        <v>36</v>
      </c>
      <c r="I11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8.7428571428571438</v>
      </c>
      <c r="J11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6" s="40"/>
      <c r="N1176" s="37"/>
    </row>
    <row r="1177" spans="1:14" x14ac:dyDescent="0.25">
      <c r="A1177" s="35">
        <f t="shared" si="31"/>
        <v>120</v>
      </c>
      <c r="B1177" s="5">
        <v>43705</v>
      </c>
      <c r="C1177" s="5" t="s">
        <v>1186</v>
      </c>
      <c r="D1177" s="57" t="s">
        <v>1466</v>
      </c>
      <c r="E1177" s="7" t="s">
        <v>1293</v>
      </c>
      <c r="F1177" s="33">
        <v>22.49</v>
      </c>
      <c r="G1177" s="63">
        <v>-195</v>
      </c>
      <c r="H1177" s="9" t="s">
        <v>36</v>
      </c>
      <c r="I11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11.533333333333333</v>
      </c>
      <c r="J11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7" s="40"/>
      <c r="N1177" s="37"/>
    </row>
    <row r="1178" spans="1:14" x14ac:dyDescent="0.25">
      <c r="A1178" s="35">
        <f t="shared" si="31"/>
        <v>120</v>
      </c>
      <c r="B1178" s="5">
        <v>43705</v>
      </c>
      <c r="C1178" s="5" t="s">
        <v>1186</v>
      </c>
      <c r="D1178" s="57" t="s">
        <v>1461</v>
      </c>
      <c r="E1178" s="7" t="s">
        <v>1278</v>
      </c>
      <c r="F1178" s="33">
        <v>19.38</v>
      </c>
      <c r="G1178" s="63">
        <v>-157</v>
      </c>
      <c r="H1178" s="9" t="s">
        <v>36</v>
      </c>
      <c r="I11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12.343949044585987</v>
      </c>
      <c r="J11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78" s="40"/>
      <c r="N1178" s="37"/>
    </row>
    <row r="1179" spans="1:14" x14ac:dyDescent="0.25">
      <c r="A1179" s="35">
        <f t="shared" si="31"/>
        <v>120</v>
      </c>
      <c r="B1179" s="5">
        <v>43705</v>
      </c>
      <c r="C1179" s="5" t="s">
        <v>1186</v>
      </c>
      <c r="D1179" s="57" t="s">
        <v>1474</v>
      </c>
      <c r="E1179" s="7" t="s">
        <v>1303</v>
      </c>
      <c r="F1179" s="33">
        <v>16.75</v>
      </c>
      <c r="G1179" s="63" t="s">
        <v>1475</v>
      </c>
      <c r="H1179" s="9" t="s">
        <v>36</v>
      </c>
      <c r="I11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17.085000000000001</v>
      </c>
      <c r="J11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79" s="40"/>
      <c r="N1179" s="37"/>
    </row>
    <row r="1180" spans="1:14" x14ac:dyDescent="0.25">
      <c r="A1180" s="35">
        <f t="shared" si="31"/>
        <v>120</v>
      </c>
      <c r="B1180" s="5">
        <v>43705</v>
      </c>
      <c r="C1180" s="5" t="s">
        <v>1186</v>
      </c>
      <c r="D1180" s="57" t="s">
        <v>1468</v>
      </c>
      <c r="E1180" s="7" t="s">
        <v>1298</v>
      </c>
      <c r="F1180" s="33">
        <v>20.04</v>
      </c>
      <c r="G1180" s="63">
        <v>-195</v>
      </c>
      <c r="H1180" s="9" t="s">
        <v>36</v>
      </c>
      <c r="I11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10.276923076923076</v>
      </c>
      <c r="J11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80" s="40"/>
      <c r="N1180" s="37"/>
    </row>
    <row r="1181" spans="1:14" x14ac:dyDescent="0.25">
      <c r="A1181" s="35">
        <f t="shared" si="31"/>
        <v>120</v>
      </c>
      <c r="B1181" s="5">
        <v>43705</v>
      </c>
      <c r="C1181" s="5" t="s">
        <v>1186</v>
      </c>
      <c r="D1181" s="57" t="s">
        <v>1469</v>
      </c>
      <c r="E1181" s="7" t="s">
        <v>1246</v>
      </c>
      <c r="F1181" s="33">
        <v>20.68</v>
      </c>
      <c r="G1181" s="63">
        <v>-235</v>
      </c>
      <c r="H1181" s="9" t="s">
        <v>36</v>
      </c>
      <c r="I11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8.7999999999999989</v>
      </c>
      <c r="J11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81" s="40"/>
      <c r="N1181" s="37"/>
    </row>
    <row r="1182" spans="1:14" x14ac:dyDescent="0.25">
      <c r="A1182" s="35">
        <f t="shared" si="31"/>
        <v>120</v>
      </c>
      <c r="B1182" s="5">
        <v>43705</v>
      </c>
      <c r="C1182" s="5" t="s">
        <v>1186</v>
      </c>
      <c r="D1182" s="57" t="s">
        <v>1470</v>
      </c>
      <c r="E1182" s="7" t="s">
        <v>1263</v>
      </c>
      <c r="F1182" s="33">
        <v>21.96</v>
      </c>
      <c r="G1182" s="63">
        <v>-165</v>
      </c>
      <c r="H1182" s="9" t="s">
        <v>6</v>
      </c>
      <c r="I11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-21.96</v>
      </c>
      <c r="J11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82" s="40"/>
      <c r="N1182" s="37"/>
    </row>
    <row r="1183" spans="1:14" x14ac:dyDescent="0.25">
      <c r="A1183" s="35">
        <f t="shared" si="31"/>
        <v>120</v>
      </c>
      <c r="B1183" s="5">
        <v>43705</v>
      </c>
      <c r="C1183" s="5" t="s">
        <v>1186</v>
      </c>
      <c r="D1183" s="57" t="s">
        <v>1476</v>
      </c>
      <c r="E1183" s="7" t="s">
        <v>1314</v>
      </c>
      <c r="F1183" s="33">
        <v>22.88</v>
      </c>
      <c r="G1183" s="63">
        <v>-177</v>
      </c>
      <c r="H1183" s="9" t="s">
        <v>36</v>
      </c>
      <c r="I11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12.926553672316384</v>
      </c>
      <c r="J11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83" s="40"/>
      <c r="N1183" s="37"/>
    </row>
    <row r="1184" spans="1:14" x14ac:dyDescent="0.25">
      <c r="A1184" s="35">
        <f t="shared" si="31"/>
        <v>120</v>
      </c>
      <c r="B1184" s="5">
        <v>43705</v>
      </c>
      <c r="C1184" s="5" t="s">
        <v>1186</v>
      </c>
      <c r="D1184" s="57" t="s">
        <v>1462</v>
      </c>
      <c r="E1184" s="7" t="s">
        <v>1272</v>
      </c>
      <c r="F1184" s="33">
        <v>19.03</v>
      </c>
      <c r="G1184" s="63">
        <v>-182</v>
      </c>
      <c r="H1184" s="9" t="s">
        <v>36</v>
      </c>
      <c r="I11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10.456043956043956</v>
      </c>
      <c r="J11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84" s="40"/>
      <c r="N1184" s="37"/>
    </row>
    <row r="1185" spans="1:14" x14ac:dyDescent="0.25">
      <c r="A1185" s="35">
        <f t="shared" si="31"/>
        <v>120</v>
      </c>
      <c r="B1185" s="5">
        <v>43705</v>
      </c>
      <c r="C1185" s="5" t="s">
        <v>1186</v>
      </c>
      <c r="D1185" s="57" t="s">
        <v>1471</v>
      </c>
      <c r="E1185" s="7" t="s">
        <v>1295</v>
      </c>
      <c r="F1185" s="33">
        <v>16.72</v>
      </c>
      <c r="G1185" s="63" t="s">
        <v>1477</v>
      </c>
      <c r="H1185" s="9" t="s">
        <v>36</v>
      </c>
      <c r="I11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25.916</v>
      </c>
      <c r="J11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85" s="40"/>
      <c r="N1185" s="37"/>
    </row>
    <row r="1186" spans="1:14" x14ac:dyDescent="0.25">
      <c r="A1186" s="35">
        <f t="shared" si="31"/>
        <v>120</v>
      </c>
      <c r="B1186" s="5">
        <v>43705</v>
      </c>
      <c r="C1186" s="5" t="s">
        <v>1186</v>
      </c>
      <c r="D1186" s="57" t="s">
        <v>1472</v>
      </c>
      <c r="E1186" s="7" t="s">
        <v>1258</v>
      </c>
      <c r="F1186" s="33">
        <v>18.87</v>
      </c>
      <c r="G1186" s="63">
        <v>-117</v>
      </c>
      <c r="H1186" s="9" t="s">
        <v>6</v>
      </c>
      <c r="I11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-18.87</v>
      </c>
      <c r="J11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86" s="40"/>
      <c r="N1186" s="37"/>
    </row>
    <row r="1187" spans="1:14" x14ac:dyDescent="0.25">
      <c r="A1187" s="35">
        <f t="shared" si="31"/>
        <v>120</v>
      </c>
      <c r="B1187" s="5">
        <v>43705</v>
      </c>
      <c r="C1187" s="5" t="s">
        <v>1186</v>
      </c>
      <c r="D1187" s="57" t="s">
        <v>1474</v>
      </c>
      <c r="E1187" s="7" t="s">
        <v>1256</v>
      </c>
      <c r="F1187" s="33">
        <v>18.23</v>
      </c>
      <c r="G1187" s="63">
        <v>-117</v>
      </c>
      <c r="H1187" s="9" t="s">
        <v>36</v>
      </c>
      <c r="I11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15.581196581196583</v>
      </c>
      <c r="J11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87" s="40"/>
      <c r="N1187" s="37"/>
    </row>
    <row r="1188" spans="1:14" x14ac:dyDescent="0.25">
      <c r="A1188" s="35">
        <f t="shared" si="31"/>
        <v>120</v>
      </c>
      <c r="B1188" s="5">
        <v>43705</v>
      </c>
      <c r="C1188" s="5" t="s">
        <v>1186</v>
      </c>
      <c r="D1188" s="57" t="s">
        <v>1469</v>
      </c>
      <c r="E1188" s="7" t="s">
        <v>1478</v>
      </c>
      <c r="F1188" s="33">
        <v>18.579999999999998</v>
      </c>
      <c r="G1188" s="63">
        <v>-108</v>
      </c>
      <c r="H1188" s="9" t="s">
        <v>6</v>
      </c>
      <c r="I11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-18.579999999999998</v>
      </c>
      <c r="J11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88" s="40"/>
      <c r="N1188" s="37"/>
    </row>
    <row r="1189" spans="1:14" x14ac:dyDescent="0.25">
      <c r="A1189" s="35">
        <f t="shared" si="31"/>
        <v>120</v>
      </c>
      <c r="B1189" s="5">
        <v>43705</v>
      </c>
      <c r="C1189" s="5" t="s">
        <v>1186</v>
      </c>
      <c r="D1189" s="57" t="s">
        <v>1476</v>
      </c>
      <c r="E1189" s="7" t="s">
        <v>1437</v>
      </c>
      <c r="F1189" s="33">
        <v>24.32</v>
      </c>
      <c r="G1189" s="63">
        <v>-109</v>
      </c>
      <c r="H1189" s="9" t="s">
        <v>36</v>
      </c>
      <c r="I11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22.311926605504588</v>
      </c>
      <c r="J11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89" s="40"/>
      <c r="N1189" s="37"/>
    </row>
    <row r="1190" spans="1:14" x14ac:dyDescent="0.25">
      <c r="A1190" s="35">
        <f t="shared" si="31"/>
        <v>121</v>
      </c>
      <c r="B1190" s="5">
        <v>43706</v>
      </c>
      <c r="C1190" s="5" t="s">
        <v>1186</v>
      </c>
      <c r="D1190" s="57" t="s">
        <v>1466</v>
      </c>
      <c r="E1190" s="7" t="s">
        <v>1293</v>
      </c>
      <c r="F1190" s="33">
        <v>20.43</v>
      </c>
      <c r="G1190" s="63">
        <v>-240</v>
      </c>
      <c r="H1190" s="9" t="s">
        <v>36</v>
      </c>
      <c r="I11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8.5124999999999993</v>
      </c>
      <c r="J11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0" s="40"/>
      <c r="N1190" s="37"/>
    </row>
    <row r="1191" spans="1:14" x14ac:dyDescent="0.25">
      <c r="A1191" s="35">
        <f t="shared" si="31"/>
        <v>121</v>
      </c>
      <c r="B1191" s="5">
        <v>43706</v>
      </c>
      <c r="C1191" s="5" t="s">
        <v>1186</v>
      </c>
      <c r="D1191" s="57" t="s">
        <v>1470</v>
      </c>
      <c r="E1191" s="7" t="s">
        <v>1263</v>
      </c>
      <c r="F1191" s="33">
        <v>21.42</v>
      </c>
      <c r="G1191" s="63">
        <v>-195</v>
      </c>
      <c r="H1191" s="9" t="s">
        <v>36</v>
      </c>
      <c r="I11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10.984615384615386</v>
      </c>
      <c r="J11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1" s="40"/>
      <c r="N1191" s="37"/>
    </row>
    <row r="1192" spans="1:14" x14ac:dyDescent="0.25">
      <c r="A1192" s="35">
        <f t="shared" si="31"/>
        <v>121</v>
      </c>
      <c r="B1192" s="5">
        <v>43706</v>
      </c>
      <c r="C1192" s="5" t="s">
        <v>1186</v>
      </c>
      <c r="D1192" s="57" t="s">
        <v>1468</v>
      </c>
      <c r="E1192" s="7" t="s">
        <v>1298</v>
      </c>
      <c r="F1192" s="33">
        <v>18.489999999999998</v>
      </c>
      <c r="G1192" s="63">
        <v>-190</v>
      </c>
      <c r="H1192" s="9" t="s">
        <v>36</v>
      </c>
      <c r="I11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9.7315789473684209</v>
      </c>
      <c r="J11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2" s="40"/>
      <c r="N1192" s="37"/>
    </row>
    <row r="1193" spans="1:14" x14ac:dyDescent="0.25">
      <c r="A1193" s="35">
        <f t="shared" si="31"/>
        <v>121</v>
      </c>
      <c r="B1193" s="5">
        <v>43706</v>
      </c>
      <c r="C1193" s="5" t="s">
        <v>1186</v>
      </c>
      <c r="D1193" s="57" t="s">
        <v>1469</v>
      </c>
      <c r="E1193" s="7" t="s">
        <v>1246</v>
      </c>
      <c r="F1193" s="33">
        <v>21.74</v>
      </c>
      <c r="G1193" s="63">
        <v>-250</v>
      </c>
      <c r="H1193" s="9" t="s">
        <v>6</v>
      </c>
      <c r="I11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-21.74</v>
      </c>
      <c r="J11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3" s="40"/>
      <c r="N1193" s="37"/>
    </row>
    <row r="1194" spans="1:14" x14ac:dyDescent="0.25">
      <c r="A1194" s="35">
        <f t="shared" si="31"/>
        <v>121</v>
      </c>
      <c r="B1194" s="5">
        <v>43706</v>
      </c>
      <c r="C1194" s="5" t="s">
        <v>1186</v>
      </c>
      <c r="D1194" s="57" t="s">
        <v>1461</v>
      </c>
      <c r="E1194" s="7" t="s">
        <v>1278</v>
      </c>
      <c r="F1194" s="33">
        <v>19.46</v>
      </c>
      <c r="G1194" s="63">
        <v>-186</v>
      </c>
      <c r="H1194" s="9" t="s">
        <v>6</v>
      </c>
      <c r="I11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-19.46</v>
      </c>
      <c r="J11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4" s="40"/>
      <c r="N1194" s="37"/>
    </row>
    <row r="1195" spans="1:14" x14ac:dyDescent="0.25">
      <c r="A1195" s="35">
        <f t="shared" si="31"/>
        <v>121</v>
      </c>
      <c r="B1195" s="5">
        <v>43706</v>
      </c>
      <c r="C1195" s="5" t="s">
        <v>1186</v>
      </c>
      <c r="D1195" s="57" t="s">
        <v>1479</v>
      </c>
      <c r="E1195" s="7" t="s">
        <v>1272</v>
      </c>
      <c r="F1195" s="33">
        <v>18.45</v>
      </c>
      <c r="G1195" s="63">
        <v>-190</v>
      </c>
      <c r="H1195" s="9" t="s">
        <v>6</v>
      </c>
      <c r="I11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-18.45</v>
      </c>
      <c r="J11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195" s="40"/>
      <c r="N1195" s="37"/>
    </row>
    <row r="1196" spans="1:14" x14ac:dyDescent="0.25">
      <c r="A1196" s="35">
        <f t="shared" si="31"/>
        <v>121</v>
      </c>
      <c r="B1196" s="5">
        <v>43706</v>
      </c>
      <c r="C1196" s="5" t="s">
        <v>1186</v>
      </c>
      <c r="D1196" s="57" t="s">
        <v>1461</v>
      </c>
      <c r="E1196" s="7" t="s">
        <v>1274</v>
      </c>
      <c r="F1196" s="33">
        <v>20.010000000000002</v>
      </c>
      <c r="G1196" s="63">
        <v>-106</v>
      </c>
      <c r="H1196" s="9" t="s">
        <v>6</v>
      </c>
      <c r="I11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-20.010000000000002</v>
      </c>
      <c r="J11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96" s="40"/>
      <c r="N1196" s="37"/>
    </row>
    <row r="1197" spans="1:14" x14ac:dyDescent="0.25">
      <c r="A1197" s="35">
        <f t="shared" si="31"/>
        <v>121</v>
      </c>
      <c r="B1197" s="5">
        <v>43706</v>
      </c>
      <c r="C1197" s="5" t="s">
        <v>1186</v>
      </c>
      <c r="D1197" s="57" t="s">
        <v>1474</v>
      </c>
      <c r="E1197" s="7" t="s">
        <v>1256</v>
      </c>
      <c r="F1197" s="33">
        <v>19.29</v>
      </c>
      <c r="G1197" s="63">
        <v>102</v>
      </c>
      <c r="H1197" s="9" t="s">
        <v>6</v>
      </c>
      <c r="I11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-19.29</v>
      </c>
      <c r="J11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197" s="40"/>
      <c r="N1197" s="37"/>
    </row>
    <row r="1198" spans="1:14" x14ac:dyDescent="0.25">
      <c r="A1198" s="35">
        <f t="shared" si="31"/>
        <v>121</v>
      </c>
      <c r="B1198" s="5">
        <v>43706</v>
      </c>
      <c r="C1198" s="5" t="s">
        <v>1186</v>
      </c>
      <c r="D1198" s="57" t="s">
        <v>1480</v>
      </c>
      <c r="E1198" s="7" t="s">
        <v>1481</v>
      </c>
      <c r="F1198" s="33">
        <v>20.7</v>
      </c>
      <c r="G1198" s="63">
        <v>-106</v>
      </c>
      <c r="H1198" s="9" t="s">
        <v>6</v>
      </c>
      <c r="I11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-20.7</v>
      </c>
      <c r="J11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198" s="40"/>
      <c r="N1198" s="37"/>
    </row>
    <row r="1199" spans="1:14" x14ac:dyDescent="0.25">
      <c r="A1199" s="35">
        <f t="shared" si="31"/>
        <v>122</v>
      </c>
      <c r="B1199" s="5">
        <v>43717</v>
      </c>
      <c r="C1199" s="5" t="s">
        <v>1186</v>
      </c>
      <c r="D1199" s="57" t="s">
        <v>1496</v>
      </c>
      <c r="E1199" s="7" t="s">
        <v>1281</v>
      </c>
      <c r="F1199" s="33">
        <v>19.13</v>
      </c>
      <c r="G1199" s="63" t="s">
        <v>1450</v>
      </c>
      <c r="H1199" s="9" t="s">
        <v>6</v>
      </c>
      <c r="I11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-19.13</v>
      </c>
      <c r="J11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199" s="40"/>
      <c r="N1199" s="37"/>
    </row>
    <row r="1200" spans="1:14" x14ac:dyDescent="0.25">
      <c r="A1200" s="35">
        <f t="shared" si="31"/>
        <v>122</v>
      </c>
      <c r="B1200" s="5">
        <v>43717</v>
      </c>
      <c r="C1200" s="5" t="s">
        <v>1186</v>
      </c>
      <c r="D1200" s="57" t="s">
        <v>1497</v>
      </c>
      <c r="E1200" s="7" t="s">
        <v>1300</v>
      </c>
      <c r="F1200" s="33">
        <v>17.170000000000002</v>
      </c>
      <c r="G1200" s="63" t="s">
        <v>1498</v>
      </c>
      <c r="H1200" s="9" t="s">
        <v>6</v>
      </c>
      <c r="I12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-17.170000000000002</v>
      </c>
      <c r="J12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200" s="40"/>
      <c r="N1200" s="37"/>
    </row>
    <row r="1201" spans="1:14" x14ac:dyDescent="0.25">
      <c r="A1201" s="35">
        <f t="shared" si="31"/>
        <v>122</v>
      </c>
      <c r="B1201" s="5">
        <v>43717</v>
      </c>
      <c r="C1201" s="5" t="s">
        <v>1186</v>
      </c>
      <c r="D1201" s="57" t="s">
        <v>1499</v>
      </c>
      <c r="E1201" s="7" t="s">
        <v>1293</v>
      </c>
      <c r="F1201" s="33">
        <v>23.7</v>
      </c>
      <c r="G1201" s="63">
        <v>-165</v>
      </c>
      <c r="H1201" s="9" t="s">
        <v>36</v>
      </c>
      <c r="I12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14.363636363636365</v>
      </c>
      <c r="J12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01" s="40"/>
      <c r="N1201" s="37"/>
    </row>
    <row r="1202" spans="1:14" x14ac:dyDescent="0.25">
      <c r="A1202" s="35">
        <f t="shared" si="31"/>
        <v>122</v>
      </c>
      <c r="B1202" s="5">
        <v>43717</v>
      </c>
      <c r="C1202" s="5" t="s">
        <v>1186</v>
      </c>
      <c r="D1202" s="57" t="s">
        <v>1500</v>
      </c>
      <c r="E1202" s="7" t="s">
        <v>1274</v>
      </c>
      <c r="F1202" s="33">
        <v>20</v>
      </c>
      <c r="G1202" s="63">
        <v>-117</v>
      </c>
      <c r="H1202" s="9" t="s">
        <v>36</v>
      </c>
      <c r="I12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17.094017094017094</v>
      </c>
      <c r="J12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202" s="40"/>
      <c r="N1202" s="37"/>
    </row>
    <row r="1203" spans="1:14" x14ac:dyDescent="0.25">
      <c r="A1203" s="35">
        <f t="shared" si="31"/>
        <v>123</v>
      </c>
      <c r="B1203" s="5">
        <v>43718</v>
      </c>
      <c r="C1203" s="5" t="s">
        <v>1186</v>
      </c>
      <c r="D1203" s="57" t="s">
        <v>1501</v>
      </c>
      <c r="E1203" s="7" t="s">
        <v>1272</v>
      </c>
      <c r="F1203" s="33">
        <v>21.54</v>
      </c>
      <c r="G1203" s="63">
        <v>-315</v>
      </c>
      <c r="H1203" s="9" t="s">
        <v>36</v>
      </c>
      <c r="I12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6.8380952380952378</v>
      </c>
      <c r="J12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03" s="40"/>
      <c r="N1203" s="37"/>
    </row>
    <row r="1204" spans="1:14" x14ac:dyDescent="0.25">
      <c r="A1204" s="35">
        <f t="shared" si="31"/>
        <v>123</v>
      </c>
      <c r="B1204" s="5">
        <v>43718</v>
      </c>
      <c r="C1204" s="5" t="s">
        <v>1186</v>
      </c>
      <c r="D1204" s="57" t="s">
        <v>1497</v>
      </c>
      <c r="E1204" s="7" t="s">
        <v>1300</v>
      </c>
      <c r="F1204" s="33">
        <v>16.510000000000002</v>
      </c>
      <c r="G1204" s="63" t="s">
        <v>1405</v>
      </c>
      <c r="H1204" s="9" t="s">
        <v>6</v>
      </c>
      <c r="I12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-16.510000000000002</v>
      </c>
      <c r="J12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  <c r="L1204" s="40"/>
      <c r="N1204" s="37"/>
    </row>
    <row r="1205" spans="1:14" x14ac:dyDescent="0.25">
      <c r="A1205" s="35">
        <f t="shared" si="31"/>
        <v>123</v>
      </c>
      <c r="B1205" s="5">
        <v>43718</v>
      </c>
      <c r="C1205" s="5" t="s">
        <v>1186</v>
      </c>
      <c r="D1205" s="57" t="s">
        <v>1502</v>
      </c>
      <c r="E1205" s="7" t="s">
        <v>1248</v>
      </c>
      <c r="F1205" s="33">
        <v>18.239999999999998</v>
      </c>
      <c r="G1205" s="63">
        <v>-150</v>
      </c>
      <c r="H1205" s="9" t="s">
        <v>6</v>
      </c>
      <c r="I12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-18.239999999999998</v>
      </c>
      <c r="J12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05" s="40"/>
      <c r="N1205" s="37"/>
    </row>
    <row r="1206" spans="1:14" x14ac:dyDescent="0.25">
      <c r="A1206" s="35">
        <f t="shared" si="31"/>
        <v>123</v>
      </c>
      <c r="B1206" s="5">
        <v>43718</v>
      </c>
      <c r="C1206" s="5" t="s">
        <v>1186</v>
      </c>
      <c r="D1206" s="57" t="s">
        <v>1499</v>
      </c>
      <c r="E1206" s="7" t="s">
        <v>1293</v>
      </c>
      <c r="F1206" s="33">
        <v>23.71</v>
      </c>
      <c r="G1206" s="63">
        <v>-148</v>
      </c>
      <c r="H1206" s="9" t="s">
        <v>36</v>
      </c>
      <c r="I12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16.02027027027027</v>
      </c>
      <c r="J12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06" s="40"/>
      <c r="N1206" s="37"/>
    </row>
    <row r="1207" spans="1:14" x14ac:dyDescent="0.25">
      <c r="A1207" s="35">
        <f t="shared" si="31"/>
        <v>123</v>
      </c>
      <c r="B1207" s="5">
        <v>43718</v>
      </c>
      <c r="C1207" s="5" t="s">
        <v>1186</v>
      </c>
      <c r="D1207" s="57" t="s">
        <v>1502</v>
      </c>
      <c r="E1207" s="7" t="s">
        <v>1437</v>
      </c>
      <c r="F1207" s="33">
        <v>18.170000000000002</v>
      </c>
      <c r="G1207" s="63">
        <v>-117</v>
      </c>
      <c r="H1207" s="9" t="s">
        <v>36</v>
      </c>
      <c r="I12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15.529914529914532</v>
      </c>
      <c r="J12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  <c r="L1207" s="40"/>
      <c r="N1207" s="37"/>
    </row>
    <row r="1208" spans="1:14" x14ac:dyDescent="0.25">
      <c r="A1208" s="35">
        <f t="shared" si="31"/>
        <v>123</v>
      </c>
      <c r="B1208" s="5">
        <v>43718</v>
      </c>
      <c r="C1208" s="5" t="s">
        <v>1186</v>
      </c>
      <c r="D1208" s="57" t="s">
        <v>1503</v>
      </c>
      <c r="E1208" s="7" t="s">
        <v>1274</v>
      </c>
      <c r="F1208" s="33">
        <v>22.32</v>
      </c>
      <c r="G1208" s="63">
        <v>-112</v>
      </c>
      <c r="H1208" s="9" t="s">
        <v>36</v>
      </c>
      <c r="I12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19.928571428571431</v>
      </c>
      <c r="J12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208" s="40"/>
      <c r="N1208" s="37"/>
    </row>
    <row r="1209" spans="1:14" x14ac:dyDescent="0.25">
      <c r="A1209" s="35">
        <f t="shared" si="31"/>
        <v>123</v>
      </c>
      <c r="B1209" s="5">
        <v>43718</v>
      </c>
      <c r="C1209" s="5" t="s">
        <v>1186</v>
      </c>
      <c r="D1209" s="57" t="s">
        <v>1499</v>
      </c>
      <c r="E1209" s="7" t="s">
        <v>1322</v>
      </c>
      <c r="F1209" s="33">
        <v>19.510000000000002</v>
      </c>
      <c r="G1209" s="63">
        <v>-115</v>
      </c>
      <c r="H1209" s="9" t="s">
        <v>6</v>
      </c>
      <c r="I12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-19.510000000000002</v>
      </c>
      <c r="J12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  <c r="L1209" s="40"/>
      <c r="N1209" s="37"/>
    </row>
    <row r="1210" spans="1:14" x14ac:dyDescent="0.25">
      <c r="A1210" s="35">
        <f t="shared" si="31"/>
        <v>124</v>
      </c>
      <c r="B1210" s="5">
        <v>43719</v>
      </c>
      <c r="C1210" s="5" t="s">
        <v>1186</v>
      </c>
      <c r="D1210" s="57" t="s">
        <v>1504</v>
      </c>
      <c r="E1210" s="7" t="s">
        <v>1252</v>
      </c>
      <c r="F1210" s="33">
        <v>21.05</v>
      </c>
      <c r="G1210" s="63">
        <v>-220</v>
      </c>
      <c r="H1210" s="9" t="s">
        <v>65</v>
      </c>
      <c r="I12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2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10" s="40"/>
      <c r="N1210" s="37"/>
    </row>
    <row r="1211" spans="1:14" x14ac:dyDescent="0.25">
      <c r="A1211" s="35">
        <f t="shared" si="31"/>
        <v>124</v>
      </c>
      <c r="B1211" s="5">
        <v>43719</v>
      </c>
      <c r="C1211" s="5" t="s">
        <v>1186</v>
      </c>
      <c r="D1211" s="57" t="s">
        <v>1501</v>
      </c>
      <c r="E1211" s="7" t="s">
        <v>1272</v>
      </c>
      <c r="F1211" s="33">
        <v>20.89</v>
      </c>
      <c r="G1211" s="63">
        <v>-182</v>
      </c>
      <c r="H1211" s="9" t="s">
        <v>6</v>
      </c>
      <c r="I12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-20.89</v>
      </c>
      <c r="J12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  <c r="L1211" s="40"/>
      <c r="N1211" s="37"/>
    </row>
    <row r="1212" spans="1:14" x14ac:dyDescent="0.25">
      <c r="A1212" s="35">
        <f t="shared" si="31"/>
        <v>124</v>
      </c>
      <c r="B1212" s="5">
        <v>43719</v>
      </c>
      <c r="C1212" s="5" t="s">
        <v>1186</v>
      </c>
      <c r="D1212" s="57" t="s">
        <v>1505</v>
      </c>
      <c r="E1212" s="7" t="s">
        <v>1298</v>
      </c>
      <c r="F1212" s="33">
        <v>15.85</v>
      </c>
      <c r="G1212" s="63" t="s">
        <v>1279</v>
      </c>
      <c r="H1212" s="9" t="s">
        <v>6</v>
      </c>
      <c r="I12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-15.85</v>
      </c>
      <c r="J12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213" spans="1:14" x14ac:dyDescent="0.25">
      <c r="A1213" s="35">
        <f t="shared" si="31"/>
        <v>124</v>
      </c>
      <c r="B1213" s="5">
        <v>43719</v>
      </c>
      <c r="C1213" s="5" t="s">
        <v>1186</v>
      </c>
      <c r="D1213" s="57" t="s">
        <v>1506</v>
      </c>
      <c r="E1213" s="7" t="s">
        <v>1269</v>
      </c>
      <c r="F1213" s="33">
        <v>18.79</v>
      </c>
      <c r="G1213" s="63">
        <v>-155</v>
      </c>
      <c r="H1213" s="9" t="s">
        <v>6</v>
      </c>
      <c r="I12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-18.79</v>
      </c>
      <c r="J12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14" spans="1:14" x14ac:dyDescent="0.25">
      <c r="A1214" s="35">
        <f t="shared" si="31"/>
        <v>124</v>
      </c>
      <c r="B1214" s="5">
        <v>43719</v>
      </c>
      <c r="C1214" s="5" t="s">
        <v>1186</v>
      </c>
      <c r="D1214" s="57" t="s">
        <v>1499</v>
      </c>
      <c r="E1214" s="7" t="s">
        <v>1293</v>
      </c>
      <c r="F1214" s="33">
        <v>22.2</v>
      </c>
      <c r="G1214" s="63">
        <v>-125</v>
      </c>
      <c r="H1214" s="9" t="s">
        <v>36</v>
      </c>
      <c r="I12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17.760000000000002</v>
      </c>
      <c r="J12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15" spans="1:14" x14ac:dyDescent="0.25">
      <c r="A1215" s="35">
        <f t="shared" si="31"/>
        <v>124</v>
      </c>
      <c r="B1215" s="5">
        <v>43719</v>
      </c>
      <c r="C1215" s="5" t="s">
        <v>1186</v>
      </c>
      <c r="D1215" s="57" t="s">
        <v>1502</v>
      </c>
      <c r="E1215" s="7" t="s">
        <v>1248</v>
      </c>
      <c r="F1215" s="33">
        <v>21.21</v>
      </c>
      <c r="G1215" s="63">
        <v>-150</v>
      </c>
      <c r="H1215" s="9" t="s">
        <v>6</v>
      </c>
      <c r="I12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-21.21</v>
      </c>
      <c r="J12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16" spans="1:14" x14ac:dyDescent="0.25">
      <c r="A1216" s="35">
        <f t="shared" si="31"/>
        <v>124</v>
      </c>
      <c r="B1216" s="5">
        <v>43719</v>
      </c>
      <c r="C1216" s="5" t="s">
        <v>1186</v>
      </c>
      <c r="D1216" s="57" t="s">
        <v>1506</v>
      </c>
      <c r="E1216" s="7" t="s">
        <v>1311</v>
      </c>
      <c r="F1216" s="33">
        <v>17.68</v>
      </c>
      <c r="G1216" s="63">
        <v>-115</v>
      </c>
      <c r="H1216" s="9" t="s">
        <v>6</v>
      </c>
      <c r="I12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-17.68</v>
      </c>
      <c r="J12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17" spans="1:10" x14ac:dyDescent="0.25">
      <c r="A1217" s="35">
        <f t="shared" si="31"/>
        <v>124</v>
      </c>
      <c r="B1217" s="5">
        <v>43719</v>
      </c>
      <c r="C1217" s="5" t="s">
        <v>1186</v>
      </c>
      <c r="D1217" s="57" t="s">
        <v>1502</v>
      </c>
      <c r="E1217" s="7" t="s">
        <v>1437</v>
      </c>
      <c r="F1217" s="33">
        <v>22.32</v>
      </c>
      <c r="G1217" s="63">
        <v>-114</v>
      </c>
      <c r="H1217" s="9" t="s">
        <v>36</v>
      </c>
      <c r="I12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19.578947368421055</v>
      </c>
      <c r="J12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18" spans="1:10" x14ac:dyDescent="0.25">
      <c r="A1218" s="35">
        <f t="shared" si="31"/>
        <v>125</v>
      </c>
      <c r="B1218" s="5">
        <v>43721</v>
      </c>
      <c r="C1218" s="5" t="s">
        <v>1507</v>
      </c>
      <c r="D1218" s="57" t="s">
        <v>1508</v>
      </c>
      <c r="E1218" s="46" t="s">
        <v>1509</v>
      </c>
      <c r="F1218" s="33">
        <v>10</v>
      </c>
      <c r="G1218" s="79" t="s">
        <v>1510</v>
      </c>
      <c r="H1218" s="9" t="s">
        <v>6</v>
      </c>
      <c r="I12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2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19" spans="1:10" x14ac:dyDescent="0.25">
      <c r="A1219" s="35">
        <f t="shared" si="31"/>
        <v>126</v>
      </c>
      <c r="B1219" s="5">
        <v>43722</v>
      </c>
      <c r="C1219" s="5" t="s">
        <v>1507</v>
      </c>
      <c r="D1219" s="57" t="s">
        <v>1515</v>
      </c>
      <c r="E1219" s="7" t="s">
        <v>1516</v>
      </c>
      <c r="F1219" s="33">
        <v>60</v>
      </c>
      <c r="G1219" s="75">
        <v>-118</v>
      </c>
      <c r="H1219" s="9" t="s">
        <v>36</v>
      </c>
      <c r="I12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50.847457627118644</v>
      </c>
      <c r="J12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20" spans="1:10" x14ac:dyDescent="0.25">
      <c r="A1220" s="35">
        <f t="shared" ref="A1220:A1283" si="32">IF(B1220=B1219,A1219,A1219+1)</f>
        <v>126</v>
      </c>
      <c r="B1220" s="5">
        <v>43722</v>
      </c>
      <c r="C1220" s="5" t="s">
        <v>1507</v>
      </c>
      <c r="D1220" s="57" t="s">
        <v>1515</v>
      </c>
      <c r="E1220" s="7" t="s">
        <v>1517</v>
      </c>
      <c r="F1220" s="33">
        <v>20</v>
      </c>
      <c r="G1220" s="75">
        <v>-109</v>
      </c>
      <c r="H1220" s="9" t="s">
        <v>36</v>
      </c>
      <c r="I12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2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21" spans="1:10" x14ac:dyDescent="0.25">
      <c r="A1221" s="35">
        <f t="shared" si="32"/>
        <v>126</v>
      </c>
      <c r="B1221" s="5">
        <v>43722</v>
      </c>
      <c r="C1221" s="5" t="s">
        <v>1507</v>
      </c>
      <c r="D1221" s="57" t="s">
        <v>1518</v>
      </c>
      <c r="E1221" s="7" t="s">
        <v>1519</v>
      </c>
      <c r="F1221" s="33">
        <v>60</v>
      </c>
      <c r="G1221" s="75">
        <v>-110</v>
      </c>
      <c r="H1221" s="9" t="s">
        <v>36</v>
      </c>
      <c r="I12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54.54545454545454</v>
      </c>
      <c r="J12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22" spans="1:10" x14ac:dyDescent="0.25">
      <c r="A1222" s="35">
        <f t="shared" si="32"/>
        <v>127</v>
      </c>
      <c r="B1222" s="5">
        <v>43723</v>
      </c>
      <c r="C1222" s="5" t="s">
        <v>133</v>
      </c>
      <c r="D1222" s="57" t="s">
        <v>1511</v>
      </c>
      <c r="E1222" s="7" t="s">
        <v>1512</v>
      </c>
      <c r="F1222" s="33">
        <v>20</v>
      </c>
      <c r="G1222" s="75">
        <v>-118</v>
      </c>
      <c r="H1222" s="9" t="s">
        <v>36</v>
      </c>
      <c r="I12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2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23" spans="1:10" x14ac:dyDescent="0.25">
      <c r="A1223" s="35">
        <f t="shared" si="32"/>
        <v>127</v>
      </c>
      <c r="B1223" s="5">
        <v>43723</v>
      </c>
      <c r="C1223" s="5" t="s">
        <v>133</v>
      </c>
      <c r="D1223" s="57" t="s">
        <v>1513</v>
      </c>
      <c r="E1223" s="7" t="s">
        <v>1514</v>
      </c>
      <c r="F1223" s="33">
        <v>20</v>
      </c>
      <c r="G1223" s="75">
        <v>-105</v>
      </c>
      <c r="H1223" s="9" t="s">
        <v>36</v>
      </c>
      <c r="I12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19.047619047619047</v>
      </c>
      <c r="J12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24" spans="1:10" x14ac:dyDescent="0.25">
      <c r="A1224" s="35">
        <f t="shared" si="32"/>
        <v>128</v>
      </c>
      <c r="B1224" s="5">
        <v>43724</v>
      </c>
      <c r="C1224" s="5" t="s">
        <v>1186</v>
      </c>
      <c r="D1224" s="57" t="s">
        <v>1522</v>
      </c>
      <c r="E1224" s="7" t="s">
        <v>1298</v>
      </c>
      <c r="F1224" s="33">
        <v>22.86</v>
      </c>
      <c r="G1224" s="63">
        <v>-250</v>
      </c>
      <c r="H1224" s="9" t="s">
        <v>36</v>
      </c>
      <c r="I12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9.1440000000000001</v>
      </c>
      <c r="J12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25" spans="1:10" x14ac:dyDescent="0.25">
      <c r="A1225" s="35">
        <f t="shared" si="32"/>
        <v>128</v>
      </c>
      <c r="B1225" s="5">
        <v>43724</v>
      </c>
      <c r="C1225" s="5" t="s">
        <v>1186</v>
      </c>
      <c r="D1225" s="57" t="s">
        <v>1523</v>
      </c>
      <c r="E1225" s="7" t="s">
        <v>1248</v>
      </c>
      <c r="F1225" s="33">
        <v>17.11</v>
      </c>
      <c r="G1225" s="63" t="s">
        <v>1331</v>
      </c>
      <c r="H1225" s="9" t="s">
        <v>36</v>
      </c>
      <c r="I12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21.387499999999999</v>
      </c>
      <c r="J12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226" spans="1:10" x14ac:dyDescent="0.25">
      <c r="A1226" s="35">
        <f t="shared" si="32"/>
        <v>128</v>
      </c>
      <c r="B1226" s="5">
        <v>43724</v>
      </c>
      <c r="C1226" s="5" t="s">
        <v>1186</v>
      </c>
      <c r="D1226" s="57" t="s">
        <v>1524</v>
      </c>
      <c r="E1226" s="7" t="s">
        <v>1278</v>
      </c>
      <c r="F1226" s="33">
        <v>15.14</v>
      </c>
      <c r="G1226" s="63" t="s">
        <v>1525</v>
      </c>
      <c r="H1226" s="9" t="s">
        <v>6</v>
      </c>
      <c r="I12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-15.14</v>
      </c>
      <c r="J12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227" spans="1:10" x14ac:dyDescent="0.25">
      <c r="A1227" s="35">
        <f t="shared" si="32"/>
        <v>128</v>
      </c>
      <c r="B1227" s="5">
        <v>43724</v>
      </c>
      <c r="C1227" s="5" t="s">
        <v>1186</v>
      </c>
      <c r="D1227" s="57" t="s">
        <v>1526</v>
      </c>
      <c r="E1227" s="7" t="s">
        <v>1421</v>
      </c>
      <c r="F1227" s="33">
        <v>20.95</v>
      </c>
      <c r="G1227" s="63">
        <v>-155</v>
      </c>
      <c r="H1227" s="9" t="s">
        <v>6</v>
      </c>
      <c r="I12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-20.95</v>
      </c>
      <c r="J12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28" spans="1:10" x14ac:dyDescent="0.25">
      <c r="A1228" s="35">
        <f t="shared" si="32"/>
        <v>128</v>
      </c>
      <c r="B1228" s="5">
        <v>43724</v>
      </c>
      <c r="C1228" s="5" t="s">
        <v>1186</v>
      </c>
      <c r="D1228" s="57" t="s">
        <v>1527</v>
      </c>
      <c r="E1228" s="7" t="s">
        <v>1263</v>
      </c>
      <c r="F1228" s="33">
        <v>23.94</v>
      </c>
      <c r="G1228" s="63">
        <v>-286</v>
      </c>
      <c r="H1228" s="9" t="s">
        <v>6</v>
      </c>
      <c r="I12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-23.94</v>
      </c>
      <c r="J12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229" spans="1:10" x14ac:dyDescent="0.25">
      <c r="A1229" s="35">
        <f t="shared" si="32"/>
        <v>128</v>
      </c>
      <c r="B1229" s="5">
        <v>43724</v>
      </c>
      <c r="C1229" s="5" t="s">
        <v>133</v>
      </c>
      <c r="D1229" s="57" t="s">
        <v>1520</v>
      </c>
      <c r="E1229" s="7" t="s">
        <v>1521</v>
      </c>
      <c r="F1229" s="33">
        <v>20</v>
      </c>
      <c r="G1229" s="75">
        <v>-110</v>
      </c>
      <c r="H1229" s="9" t="s">
        <v>36</v>
      </c>
      <c r="I12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30" spans="1:10" x14ac:dyDescent="0.25">
      <c r="A1230" s="35">
        <f t="shared" si="32"/>
        <v>128</v>
      </c>
      <c r="B1230" s="5">
        <v>43724</v>
      </c>
      <c r="C1230" s="5" t="s">
        <v>133</v>
      </c>
      <c r="D1230" s="57" t="s">
        <v>1520</v>
      </c>
      <c r="E1230" s="7" t="s">
        <v>1528</v>
      </c>
      <c r="F1230" s="33">
        <v>20</v>
      </c>
      <c r="G1230" s="63">
        <v>-103</v>
      </c>
      <c r="H1230" s="9" t="s">
        <v>6</v>
      </c>
      <c r="I12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31" spans="1:10" x14ac:dyDescent="0.25">
      <c r="A1231" s="35">
        <f t="shared" si="32"/>
        <v>128</v>
      </c>
      <c r="B1231" s="5">
        <v>43724</v>
      </c>
      <c r="C1231" s="5" t="s">
        <v>133</v>
      </c>
      <c r="D1231" s="57" t="s">
        <v>1520</v>
      </c>
      <c r="E1231" s="7" t="s">
        <v>1529</v>
      </c>
      <c r="F1231" s="33">
        <v>10</v>
      </c>
      <c r="G1231" s="80" t="s">
        <v>1530</v>
      </c>
      <c r="H1231" s="9" t="s">
        <v>6</v>
      </c>
      <c r="I12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2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232" spans="1:10" x14ac:dyDescent="0.25">
      <c r="A1232" s="35">
        <f t="shared" si="32"/>
        <v>129</v>
      </c>
      <c r="B1232" s="5">
        <v>43727</v>
      </c>
      <c r="C1232" s="5" t="s">
        <v>133</v>
      </c>
      <c r="D1232" s="7" t="s">
        <v>47</v>
      </c>
      <c r="E1232" s="33" t="s">
        <v>1531</v>
      </c>
      <c r="F1232" s="33">
        <v>20.41</v>
      </c>
      <c r="G1232" s="63">
        <v>-110</v>
      </c>
      <c r="H1232" s="9" t="s">
        <v>6</v>
      </c>
      <c r="I12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-20.41</v>
      </c>
      <c r="J12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33" spans="1:10" x14ac:dyDescent="0.25">
      <c r="A1233" s="35">
        <f t="shared" si="32"/>
        <v>129</v>
      </c>
      <c r="B1233" s="5">
        <v>43727</v>
      </c>
      <c r="C1233" s="5" t="s">
        <v>133</v>
      </c>
      <c r="D1233" s="7" t="s">
        <v>47</v>
      </c>
      <c r="E1233" s="33" t="s">
        <v>1532</v>
      </c>
      <c r="F1233" s="33">
        <v>18.84</v>
      </c>
      <c r="G1233" s="63">
        <v>-110</v>
      </c>
      <c r="H1233" s="9" t="s">
        <v>6</v>
      </c>
      <c r="I12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-18.84</v>
      </c>
      <c r="J12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34" spans="1:10" ht="30" x14ac:dyDescent="0.25">
      <c r="A1234" s="35">
        <f t="shared" si="32"/>
        <v>129</v>
      </c>
      <c r="B1234" s="5">
        <v>43727</v>
      </c>
      <c r="C1234" s="5" t="s">
        <v>133</v>
      </c>
      <c r="D1234" s="57" t="s">
        <v>47</v>
      </c>
      <c r="E1234" s="46" t="s">
        <v>1533</v>
      </c>
      <c r="F1234" s="33">
        <v>25</v>
      </c>
      <c r="G1234" s="81">
        <v>275</v>
      </c>
      <c r="H1234" s="9" t="s">
        <v>36</v>
      </c>
      <c r="I12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68.75</v>
      </c>
      <c r="J12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35" spans="1:10" x14ac:dyDescent="0.25">
      <c r="A1235" s="35">
        <f t="shared" si="32"/>
        <v>130</v>
      </c>
      <c r="B1235" s="5">
        <v>43729</v>
      </c>
      <c r="C1235" s="5" t="s">
        <v>1507</v>
      </c>
      <c r="D1235" s="57" t="s">
        <v>1534</v>
      </c>
      <c r="E1235" s="7" t="s">
        <v>1535</v>
      </c>
      <c r="F1235" s="33">
        <v>20</v>
      </c>
      <c r="G1235" s="81">
        <v>-110</v>
      </c>
      <c r="H1235" s="9" t="s">
        <v>6</v>
      </c>
      <c r="I12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36" spans="1:10" x14ac:dyDescent="0.25">
      <c r="A1236" s="35">
        <f t="shared" si="32"/>
        <v>130</v>
      </c>
      <c r="B1236" s="5">
        <v>43729</v>
      </c>
      <c r="C1236" s="5" t="s">
        <v>1507</v>
      </c>
      <c r="D1236" s="57" t="s">
        <v>1536</v>
      </c>
      <c r="E1236" s="7" t="s">
        <v>1537</v>
      </c>
      <c r="F1236" s="33">
        <v>20</v>
      </c>
      <c r="G1236" s="81">
        <v>-118</v>
      </c>
      <c r="H1236" s="9" t="s">
        <v>36</v>
      </c>
      <c r="I12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2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37" spans="1:10" x14ac:dyDescent="0.25">
      <c r="A1237" s="35">
        <f t="shared" si="32"/>
        <v>130</v>
      </c>
      <c r="B1237" s="5">
        <v>43729</v>
      </c>
      <c r="C1237" s="5" t="s">
        <v>1507</v>
      </c>
      <c r="D1237" s="57" t="s">
        <v>1538</v>
      </c>
      <c r="E1237" s="7" t="s">
        <v>1539</v>
      </c>
      <c r="F1237" s="33">
        <v>20</v>
      </c>
      <c r="G1237" s="81">
        <v>-110</v>
      </c>
      <c r="H1237" s="9" t="s">
        <v>6</v>
      </c>
      <c r="I12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38" spans="1:10" x14ac:dyDescent="0.25">
      <c r="A1238" s="35">
        <f t="shared" si="32"/>
        <v>131</v>
      </c>
      <c r="B1238" s="5">
        <v>43730</v>
      </c>
      <c r="C1238" s="5" t="s">
        <v>133</v>
      </c>
      <c r="D1238" s="57" t="s">
        <v>1540</v>
      </c>
      <c r="E1238" s="7" t="s">
        <v>1541</v>
      </c>
      <c r="F1238" s="33">
        <v>20</v>
      </c>
      <c r="G1238" s="81">
        <v>-105</v>
      </c>
      <c r="H1238" s="9" t="s">
        <v>6</v>
      </c>
      <c r="I12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39" spans="1:10" x14ac:dyDescent="0.25">
      <c r="A1239" s="35">
        <f t="shared" si="32"/>
        <v>132</v>
      </c>
      <c r="B1239" s="5">
        <v>43731</v>
      </c>
      <c r="C1239" s="5" t="s">
        <v>133</v>
      </c>
      <c r="D1239" s="57" t="s">
        <v>1542</v>
      </c>
      <c r="E1239" s="7" t="s">
        <v>1543</v>
      </c>
      <c r="F1239" s="33">
        <v>20</v>
      </c>
      <c r="G1239" s="81">
        <v>-110</v>
      </c>
      <c r="H1239" s="9" t="s">
        <v>6</v>
      </c>
      <c r="I12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40" spans="1:10" x14ac:dyDescent="0.25">
      <c r="A1240" s="35">
        <f t="shared" si="32"/>
        <v>133</v>
      </c>
      <c r="B1240" s="5">
        <v>43734</v>
      </c>
      <c r="C1240" s="5" t="s">
        <v>133</v>
      </c>
      <c r="D1240" s="57" t="s">
        <v>1544</v>
      </c>
      <c r="E1240" s="7" t="s">
        <v>1545</v>
      </c>
      <c r="F1240" s="33">
        <v>20</v>
      </c>
      <c r="G1240" s="81">
        <v>-110</v>
      </c>
      <c r="H1240" s="9" t="s">
        <v>36</v>
      </c>
      <c r="I12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41" spans="1:10" ht="30" x14ac:dyDescent="0.25">
      <c r="A1241" s="35">
        <f t="shared" si="32"/>
        <v>133</v>
      </c>
      <c r="B1241" s="5">
        <v>43734</v>
      </c>
      <c r="C1241" s="5" t="s">
        <v>133</v>
      </c>
      <c r="D1241" s="57" t="s">
        <v>1544</v>
      </c>
      <c r="E1241" s="46" t="s">
        <v>1546</v>
      </c>
      <c r="F1241" s="33">
        <v>20</v>
      </c>
      <c r="G1241" s="81">
        <v>550</v>
      </c>
      <c r="H1241" s="9" t="s">
        <v>6</v>
      </c>
      <c r="I12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42" spans="1:10" x14ac:dyDescent="0.25">
      <c r="A1242" s="35">
        <f t="shared" si="32"/>
        <v>134</v>
      </c>
      <c r="B1242" s="5">
        <v>43736</v>
      </c>
      <c r="C1242" s="5" t="s">
        <v>1507</v>
      </c>
      <c r="D1242" s="57" t="s">
        <v>1547</v>
      </c>
      <c r="E1242" s="7" t="s">
        <v>1548</v>
      </c>
      <c r="F1242" s="33">
        <v>25</v>
      </c>
      <c r="G1242" s="81">
        <v>-110</v>
      </c>
      <c r="H1242" s="9" t="s">
        <v>36</v>
      </c>
      <c r="I12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22.727272727272727</v>
      </c>
      <c r="J12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43" spans="1:10" x14ac:dyDescent="0.25">
      <c r="A1243" s="35">
        <f t="shared" si="32"/>
        <v>134</v>
      </c>
      <c r="B1243" s="5">
        <v>43736</v>
      </c>
      <c r="C1243" s="5" t="s">
        <v>1507</v>
      </c>
      <c r="D1243" s="57" t="s">
        <v>1549</v>
      </c>
      <c r="E1243" s="7" t="s">
        <v>1550</v>
      </c>
      <c r="F1243" s="33">
        <v>20</v>
      </c>
      <c r="G1243" s="81">
        <v>-110</v>
      </c>
      <c r="H1243" s="9" t="s">
        <v>6</v>
      </c>
      <c r="I12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44" spans="1:10" x14ac:dyDescent="0.25">
      <c r="A1244" s="35">
        <f t="shared" si="32"/>
        <v>135</v>
      </c>
      <c r="B1244" s="5">
        <v>43737</v>
      </c>
      <c r="C1244" s="5" t="s">
        <v>133</v>
      </c>
      <c r="D1244" s="57" t="s">
        <v>1551</v>
      </c>
      <c r="E1244" s="7" t="s">
        <v>1552</v>
      </c>
      <c r="F1244" s="33">
        <v>10</v>
      </c>
      <c r="G1244" s="81">
        <v>100</v>
      </c>
      <c r="H1244" s="9" t="s">
        <v>36</v>
      </c>
      <c r="I12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12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45" spans="1:10" x14ac:dyDescent="0.25">
      <c r="A1245" s="35">
        <f t="shared" si="32"/>
        <v>135</v>
      </c>
      <c r="B1245" s="5">
        <v>43737</v>
      </c>
      <c r="C1245" s="5" t="s">
        <v>133</v>
      </c>
      <c r="D1245" s="57" t="s">
        <v>1553</v>
      </c>
      <c r="E1245" s="7" t="s">
        <v>1554</v>
      </c>
      <c r="F1245" s="33">
        <v>20</v>
      </c>
      <c r="G1245" s="81">
        <v>-118</v>
      </c>
      <c r="H1245" s="9" t="s">
        <v>6</v>
      </c>
      <c r="I12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46" spans="1:10" ht="45" x14ac:dyDescent="0.25">
      <c r="A1246" s="35">
        <f t="shared" si="32"/>
        <v>135</v>
      </c>
      <c r="B1246" s="5">
        <v>43737</v>
      </c>
      <c r="C1246" s="5" t="s">
        <v>133</v>
      </c>
      <c r="D1246" s="57" t="s">
        <v>1555</v>
      </c>
      <c r="E1246" s="46" t="s">
        <v>1556</v>
      </c>
      <c r="F1246" s="33">
        <v>20</v>
      </c>
      <c r="G1246" s="81">
        <v>450</v>
      </c>
      <c r="H1246" s="9" t="s">
        <v>6</v>
      </c>
      <c r="I12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47" spans="1:10" x14ac:dyDescent="0.25">
      <c r="A1247" s="35">
        <f t="shared" si="32"/>
        <v>136</v>
      </c>
      <c r="B1247" s="5">
        <v>43738</v>
      </c>
      <c r="C1247" s="5" t="s">
        <v>133</v>
      </c>
      <c r="D1247" s="57" t="s">
        <v>1557</v>
      </c>
      <c r="E1247" s="7" t="s">
        <v>1558</v>
      </c>
      <c r="F1247" s="33">
        <v>20</v>
      </c>
      <c r="G1247" s="81">
        <v>-110</v>
      </c>
      <c r="H1247" s="9" t="s">
        <v>6</v>
      </c>
      <c r="I12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48" spans="1:10" x14ac:dyDescent="0.25">
      <c r="A1248" s="35">
        <f t="shared" si="32"/>
        <v>136</v>
      </c>
      <c r="B1248" s="5">
        <v>43738</v>
      </c>
      <c r="C1248" s="5" t="s">
        <v>133</v>
      </c>
      <c r="D1248" s="57" t="s">
        <v>1557</v>
      </c>
      <c r="E1248" s="7" t="s">
        <v>1560</v>
      </c>
      <c r="F1248" s="33">
        <v>20</v>
      </c>
      <c r="G1248" s="63">
        <v>100</v>
      </c>
      <c r="H1248" s="9" t="s">
        <v>36</v>
      </c>
      <c r="I12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2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49" spans="1:10" x14ac:dyDescent="0.25">
      <c r="A1249" s="35">
        <f t="shared" si="32"/>
        <v>137</v>
      </c>
      <c r="B1249" s="5">
        <v>43741</v>
      </c>
      <c r="C1249" s="5" t="s">
        <v>133</v>
      </c>
      <c r="D1249" s="57" t="s">
        <v>1561</v>
      </c>
      <c r="E1249" s="7" t="s">
        <v>1562</v>
      </c>
      <c r="F1249" s="33">
        <v>19.98</v>
      </c>
      <c r="G1249" s="81">
        <v>-110</v>
      </c>
      <c r="H1249" s="9" t="s">
        <v>6</v>
      </c>
      <c r="I12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-19.98</v>
      </c>
      <c r="J12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50" spans="1:10" x14ac:dyDescent="0.25">
      <c r="A1250" s="35">
        <f t="shared" si="32"/>
        <v>138</v>
      </c>
      <c r="B1250" s="5">
        <v>43743</v>
      </c>
      <c r="C1250" s="5" t="s">
        <v>1507</v>
      </c>
      <c r="D1250" s="57" t="s">
        <v>1581</v>
      </c>
      <c r="E1250" s="7" t="s">
        <v>1582</v>
      </c>
      <c r="F1250" s="33">
        <v>20</v>
      </c>
      <c r="G1250" s="81">
        <v>-113</v>
      </c>
      <c r="H1250" s="9" t="s">
        <v>36</v>
      </c>
      <c r="I12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2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51" spans="1:10" x14ac:dyDescent="0.25">
      <c r="A1251" s="35">
        <f t="shared" si="32"/>
        <v>139</v>
      </c>
      <c r="B1251" s="5">
        <v>43744</v>
      </c>
      <c r="C1251" s="5" t="s">
        <v>133</v>
      </c>
      <c r="D1251" s="57" t="s">
        <v>1563</v>
      </c>
      <c r="E1251" s="7" t="s">
        <v>1564</v>
      </c>
      <c r="F1251" s="33">
        <v>18.940000000000001</v>
      </c>
      <c r="G1251" s="81">
        <v>-115</v>
      </c>
      <c r="H1251" s="9" t="s">
        <v>36</v>
      </c>
      <c r="I12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16.469565217391306</v>
      </c>
      <c r="J12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52" spans="1:10" x14ac:dyDescent="0.25">
      <c r="A1252" s="35">
        <f t="shared" si="32"/>
        <v>139</v>
      </c>
      <c r="B1252" s="5">
        <v>43744</v>
      </c>
      <c r="C1252" s="5" t="s">
        <v>133</v>
      </c>
      <c r="D1252" s="57" t="s">
        <v>1563</v>
      </c>
      <c r="E1252" s="7" t="s">
        <v>1577</v>
      </c>
      <c r="F1252" s="33">
        <v>20.010000000000002</v>
      </c>
      <c r="G1252" s="81">
        <v>-110</v>
      </c>
      <c r="H1252" s="9" t="s">
        <v>6</v>
      </c>
      <c r="I12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-20.010000000000002</v>
      </c>
      <c r="J12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53" spans="1:10" x14ac:dyDescent="0.25">
      <c r="A1253" s="35">
        <f t="shared" si="32"/>
        <v>139</v>
      </c>
      <c r="B1253" s="5">
        <v>43744</v>
      </c>
      <c r="C1253" s="5" t="s">
        <v>133</v>
      </c>
      <c r="D1253" s="57" t="s">
        <v>1565</v>
      </c>
      <c r="E1253" s="7" t="s">
        <v>1562</v>
      </c>
      <c r="F1253" s="33">
        <v>19.5</v>
      </c>
      <c r="G1253" s="81">
        <v>-110</v>
      </c>
      <c r="H1253" s="9" t="s">
        <v>6</v>
      </c>
      <c r="I12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-19.5</v>
      </c>
      <c r="J12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54" spans="1:10" x14ac:dyDescent="0.25">
      <c r="A1254" s="35">
        <f t="shared" si="32"/>
        <v>139</v>
      </c>
      <c r="B1254" s="5">
        <v>43744</v>
      </c>
      <c r="C1254" s="5" t="s">
        <v>133</v>
      </c>
      <c r="D1254" s="57" t="s">
        <v>1566</v>
      </c>
      <c r="E1254" s="7" t="s">
        <v>1567</v>
      </c>
      <c r="F1254" s="33">
        <v>18.97</v>
      </c>
      <c r="G1254" s="81">
        <v>-120</v>
      </c>
      <c r="H1254" s="9" t="s">
        <v>65</v>
      </c>
      <c r="I12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2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55" spans="1:10" x14ac:dyDescent="0.25">
      <c r="A1255" s="35">
        <f t="shared" si="32"/>
        <v>139</v>
      </c>
      <c r="B1255" s="5">
        <v>43744</v>
      </c>
      <c r="C1255" s="5" t="s">
        <v>133</v>
      </c>
      <c r="D1255" s="57" t="s">
        <v>1566</v>
      </c>
      <c r="E1255" s="7" t="s">
        <v>1572</v>
      </c>
      <c r="F1255" s="33">
        <v>19.53</v>
      </c>
      <c r="G1255" s="81">
        <v>-110</v>
      </c>
      <c r="H1255" s="9" t="s">
        <v>36</v>
      </c>
      <c r="I12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17.754545454545458</v>
      </c>
      <c r="J12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56" spans="1:10" x14ac:dyDescent="0.25">
      <c r="A1256" s="35">
        <f t="shared" si="32"/>
        <v>139</v>
      </c>
      <c r="B1256" s="5">
        <v>43744</v>
      </c>
      <c r="C1256" s="5" t="s">
        <v>133</v>
      </c>
      <c r="D1256" s="57" t="s">
        <v>1568</v>
      </c>
      <c r="E1256" s="7" t="s">
        <v>1578</v>
      </c>
      <c r="F1256" s="33">
        <v>19.25</v>
      </c>
      <c r="G1256" s="81">
        <v>-114</v>
      </c>
      <c r="H1256" s="9" t="s">
        <v>36</v>
      </c>
      <c r="I12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16.885964912280702</v>
      </c>
      <c r="J12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57" spans="1:10" x14ac:dyDescent="0.25">
      <c r="A1257" s="35">
        <f t="shared" si="32"/>
        <v>139</v>
      </c>
      <c r="B1257" s="5">
        <v>43744</v>
      </c>
      <c r="C1257" s="5" t="s">
        <v>133</v>
      </c>
      <c r="D1257" s="57" t="s">
        <v>1569</v>
      </c>
      <c r="E1257" s="7" t="s">
        <v>1570</v>
      </c>
      <c r="F1257" s="33">
        <v>18.64</v>
      </c>
      <c r="G1257" s="81">
        <v>-110</v>
      </c>
      <c r="H1257" s="9" t="s">
        <v>6</v>
      </c>
      <c r="I12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-18.64</v>
      </c>
      <c r="J12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58" spans="1:10" x14ac:dyDescent="0.25">
      <c r="A1258" s="35">
        <f t="shared" si="32"/>
        <v>139</v>
      </c>
      <c r="B1258" s="5">
        <v>43744</v>
      </c>
      <c r="C1258" s="5" t="s">
        <v>133</v>
      </c>
      <c r="D1258" s="57" t="s">
        <v>1571</v>
      </c>
      <c r="E1258" s="7" t="s">
        <v>1579</v>
      </c>
      <c r="F1258" s="33">
        <v>18.66</v>
      </c>
      <c r="G1258" s="81">
        <v>-110</v>
      </c>
      <c r="H1258" s="9" t="s">
        <v>6</v>
      </c>
      <c r="I12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-18.66</v>
      </c>
      <c r="J12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59" spans="1:10" x14ac:dyDescent="0.25">
      <c r="A1259" s="35">
        <f t="shared" si="32"/>
        <v>139</v>
      </c>
      <c r="B1259" s="5">
        <v>43744</v>
      </c>
      <c r="C1259" s="5" t="s">
        <v>133</v>
      </c>
      <c r="D1259" s="57" t="s">
        <v>1571</v>
      </c>
      <c r="E1259" s="7" t="s">
        <v>1572</v>
      </c>
      <c r="F1259" s="33">
        <v>19.73</v>
      </c>
      <c r="G1259" s="81">
        <v>-110</v>
      </c>
      <c r="H1259" s="9" t="s">
        <v>6</v>
      </c>
      <c r="I12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-19.73</v>
      </c>
      <c r="J12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60" spans="1:10" x14ac:dyDescent="0.25">
      <c r="A1260" s="35">
        <f t="shared" si="32"/>
        <v>139</v>
      </c>
      <c r="B1260" s="5">
        <v>43744</v>
      </c>
      <c r="C1260" s="5" t="s">
        <v>133</v>
      </c>
      <c r="D1260" s="57" t="s">
        <v>1573</v>
      </c>
      <c r="E1260" s="7" t="s">
        <v>1574</v>
      </c>
      <c r="F1260" s="33">
        <v>19.25</v>
      </c>
      <c r="G1260" s="81">
        <v>-110</v>
      </c>
      <c r="H1260" s="9" t="s">
        <v>6</v>
      </c>
      <c r="I12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-19.25</v>
      </c>
      <c r="J12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61" spans="1:10" x14ac:dyDescent="0.25">
      <c r="A1261" s="35">
        <f t="shared" si="32"/>
        <v>139</v>
      </c>
      <c r="B1261" s="5">
        <v>43744</v>
      </c>
      <c r="C1261" s="5" t="s">
        <v>133</v>
      </c>
      <c r="D1261" s="57" t="s">
        <v>1575</v>
      </c>
      <c r="E1261" s="7" t="s">
        <v>1580</v>
      </c>
      <c r="F1261" s="33">
        <v>16.63</v>
      </c>
      <c r="G1261" s="81">
        <v>-110</v>
      </c>
      <c r="H1261" s="9" t="s">
        <v>36</v>
      </c>
      <c r="I12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15.118181818181817</v>
      </c>
      <c r="J12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62" spans="1:10" x14ac:dyDescent="0.25">
      <c r="A1262" s="35">
        <f t="shared" si="32"/>
        <v>139</v>
      </c>
      <c r="B1262" s="5">
        <v>43744</v>
      </c>
      <c r="C1262" s="5" t="s">
        <v>133</v>
      </c>
      <c r="D1262" s="57" t="s">
        <v>1575</v>
      </c>
      <c r="E1262" s="7" t="s">
        <v>1576</v>
      </c>
      <c r="F1262" s="33">
        <v>21.25</v>
      </c>
      <c r="G1262" s="81">
        <v>-110</v>
      </c>
      <c r="H1262" s="9" t="s">
        <v>36</v>
      </c>
      <c r="I12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19.318181818181817</v>
      </c>
      <c r="J12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63" spans="1:10" x14ac:dyDescent="0.25">
      <c r="A1263" s="35">
        <f t="shared" si="32"/>
        <v>140</v>
      </c>
      <c r="B1263" s="5">
        <v>43745</v>
      </c>
      <c r="C1263" s="5" t="s">
        <v>133</v>
      </c>
      <c r="D1263" s="57" t="s">
        <v>1591</v>
      </c>
      <c r="E1263" s="7" t="s">
        <v>1592</v>
      </c>
      <c r="F1263" s="33">
        <v>20</v>
      </c>
      <c r="G1263" s="63">
        <v>100</v>
      </c>
      <c r="H1263" s="9" t="s">
        <v>6</v>
      </c>
      <c r="I12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64" spans="1:10" ht="30" x14ac:dyDescent="0.25">
      <c r="A1264" s="35">
        <f t="shared" si="32"/>
        <v>141</v>
      </c>
      <c r="B1264" s="5">
        <v>43747</v>
      </c>
      <c r="C1264" s="5" t="s">
        <v>133</v>
      </c>
      <c r="D1264" s="57" t="s">
        <v>1593</v>
      </c>
      <c r="E1264" s="46" t="s">
        <v>1594</v>
      </c>
      <c r="F1264" s="33">
        <v>25</v>
      </c>
      <c r="G1264" s="63">
        <v>600</v>
      </c>
      <c r="H1264" s="9" t="s">
        <v>36</v>
      </c>
      <c r="I12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150</v>
      </c>
      <c r="J12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65" spans="1:10" x14ac:dyDescent="0.25">
      <c r="A1265" s="35">
        <f t="shared" si="32"/>
        <v>142</v>
      </c>
      <c r="B1265" s="5">
        <v>43750</v>
      </c>
      <c r="C1265" s="5" t="s">
        <v>1507</v>
      </c>
      <c r="D1265" s="57" t="s">
        <v>1595</v>
      </c>
      <c r="E1265" s="7" t="s">
        <v>1596</v>
      </c>
      <c r="F1265" s="33">
        <v>20</v>
      </c>
      <c r="G1265" s="63">
        <v>100</v>
      </c>
      <c r="H1265" s="9" t="s">
        <v>6</v>
      </c>
      <c r="I12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66" spans="1:10" x14ac:dyDescent="0.25">
      <c r="A1266" s="35">
        <f t="shared" si="32"/>
        <v>142</v>
      </c>
      <c r="B1266" s="5">
        <v>43750</v>
      </c>
      <c r="C1266" s="5" t="s">
        <v>1507</v>
      </c>
      <c r="D1266" s="57" t="s">
        <v>1597</v>
      </c>
      <c r="E1266" s="7" t="s">
        <v>1598</v>
      </c>
      <c r="F1266" s="33">
        <v>20</v>
      </c>
      <c r="G1266" s="63">
        <v>100</v>
      </c>
      <c r="H1266" s="9" t="s">
        <v>36</v>
      </c>
      <c r="I12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2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67" spans="1:10" x14ac:dyDescent="0.25">
      <c r="A1267" s="35">
        <f t="shared" si="32"/>
        <v>142</v>
      </c>
      <c r="B1267" s="5">
        <v>43750</v>
      </c>
      <c r="C1267" s="5" t="s">
        <v>1507</v>
      </c>
      <c r="D1267" s="57" t="s">
        <v>1599</v>
      </c>
      <c r="E1267" s="7" t="s">
        <v>1600</v>
      </c>
      <c r="F1267" s="33">
        <v>20</v>
      </c>
      <c r="G1267" s="63">
        <v>100</v>
      </c>
      <c r="H1267" s="9" t="s">
        <v>36</v>
      </c>
      <c r="I12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2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68" spans="1:10" x14ac:dyDescent="0.25">
      <c r="A1268" s="35">
        <f t="shared" si="32"/>
        <v>143</v>
      </c>
      <c r="B1268" s="5">
        <v>43752</v>
      </c>
      <c r="C1268" s="5" t="s">
        <v>133</v>
      </c>
      <c r="D1268" s="57" t="s">
        <v>1584</v>
      </c>
      <c r="E1268" s="7" t="s">
        <v>1585</v>
      </c>
      <c r="F1268" s="33">
        <v>25</v>
      </c>
      <c r="G1268" s="63">
        <v>-114</v>
      </c>
      <c r="H1268" s="9" t="s">
        <v>36</v>
      </c>
      <c r="I12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21.929824561403507</v>
      </c>
      <c r="J12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69" spans="1:10" x14ac:dyDescent="0.25">
      <c r="A1269" s="35">
        <f t="shared" si="32"/>
        <v>144</v>
      </c>
      <c r="B1269" s="5">
        <v>43755</v>
      </c>
      <c r="C1269" s="5" t="s">
        <v>1507</v>
      </c>
      <c r="D1269" s="57" t="s">
        <v>1589</v>
      </c>
      <c r="E1269" s="7" t="s">
        <v>104</v>
      </c>
      <c r="F1269" s="33">
        <v>20</v>
      </c>
      <c r="G1269" s="63">
        <v>-110</v>
      </c>
      <c r="H1269" s="9" t="s">
        <v>6</v>
      </c>
      <c r="I12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70" spans="1:10" x14ac:dyDescent="0.25">
      <c r="A1270" s="35">
        <f t="shared" si="32"/>
        <v>144</v>
      </c>
      <c r="B1270" s="5">
        <v>43755</v>
      </c>
      <c r="C1270" s="5" t="s">
        <v>1507</v>
      </c>
      <c r="D1270" s="57" t="s">
        <v>1589</v>
      </c>
      <c r="E1270" s="7" t="s">
        <v>1590</v>
      </c>
      <c r="F1270" s="33">
        <v>20</v>
      </c>
      <c r="G1270" s="63">
        <v>-110</v>
      </c>
      <c r="H1270" s="9" t="s">
        <v>36</v>
      </c>
      <c r="I12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1" spans="1:10" x14ac:dyDescent="0.25">
      <c r="A1271" s="35">
        <f t="shared" si="32"/>
        <v>144</v>
      </c>
      <c r="B1271" s="5">
        <v>43755</v>
      </c>
      <c r="C1271" s="5" t="s">
        <v>133</v>
      </c>
      <c r="D1271" s="57" t="s">
        <v>1588</v>
      </c>
      <c r="E1271" s="7" t="s">
        <v>1586</v>
      </c>
      <c r="F1271" s="33">
        <v>20</v>
      </c>
      <c r="G1271" s="63">
        <v>-110</v>
      </c>
      <c r="H1271" s="9" t="s">
        <v>6</v>
      </c>
      <c r="I12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2" spans="1:10" x14ac:dyDescent="0.25">
      <c r="A1272" s="35">
        <f t="shared" si="32"/>
        <v>144</v>
      </c>
      <c r="B1272" s="5">
        <v>43755</v>
      </c>
      <c r="C1272" s="5" t="s">
        <v>133</v>
      </c>
      <c r="D1272" s="57" t="s">
        <v>1588</v>
      </c>
      <c r="E1272" s="7" t="s">
        <v>1587</v>
      </c>
      <c r="F1272" s="33">
        <v>20</v>
      </c>
      <c r="G1272" s="63">
        <v>-110</v>
      </c>
      <c r="H1272" s="9" t="s">
        <v>36</v>
      </c>
      <c r="I12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273" spans="1:10" x14ac:dyDescent="0.25">
      <c r="A1273" s="35">
        <f t="shared" si="32"/>
        <v>145</v>
      </c>
      <c r="B1273" s="5">
        <v>43756</v>
      </c>
      <c r="C1273" s="5" t="s">
        <v>1507</v>
      </c>
      <c r="D1273" s="57" t="s">
        <v>1601</v>
      </c>
      <c r="E1273" s="7" t="s">
        <v>1602</v>
      </c>
      <c r="F1273" s="33">
        <v>20</v>
      </c>
      <c r="G1273" s="82">
        <v>-108</v>
      </c>
      <c r="H1273" s="9" t="s">
        <v>6</v>
      </c>
      <c r="I12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4" spans="1:10" x14ac:dyDescent="0.25">
      <c r="A1274" s="35">
        <f t="shared" si="32"/>
        <v>145</v>
      </c>
      <c r="B1274" s="5">
        <v>43756</v>
      </c>
      <c r="C1274" s="5" t="s">
        <v>1507</v>
      </c>
      <c r="D1274" s="57" t="s">
        <v>1603</v>
      </c>
      <c r="E1274" s="7" t="s">
        <v>1605</v>
      </c>
      <c r="F1274" s="33">
        <v>20</v>
      </c>
      <c r="G1274" s="82">
        <v>-110</v>
      </c>
      <c r="H1274" s="9" t="s">
        <v>36</v>
      </c>
      <c r="I12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5" spans="1:10" x14ac:dyDescent="0.25">
      <c r="A1275" s="35">
        <f t="shared" si="32"/>
        <v>146</v>
      </c>
      <c r="B1275" s="5">
        <v>43757</v>
      </c>
      <c r="C1275" s="5" t="s">
        <v>1507</v>
      </c>
      <c r="D1275" s="57" t="s">
        <v>1604</v>
      </c>
      <c r="E1275" s="7" t="s">
        <v>1606</v>
      </c>
      <c r="F1275" s="33">
        <v>20</v>
      </c>
      <c r="G1275" s="82">
        <v>-110</v>
      </c>
      <c r="H1275" s="9" t="s">
        <v>36</v>
      </c>
      <c r="I12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76" spans="1:10" x14ac:dyDescent="0.25">
      <c r="A1276" s="35">
        <f t="shared" si="32"/>
        <v>146</v>
      </c>
      <c r="B1276" s="5">
        <v>43757</v>
      </c>
      <c r="C1276" s="5" t="s">
        <v>1507</v>
      </c>
      <c r="D1276" s="57" t="s">
        <v>1607</v>
      </c>
      <c r="E1276" s="7" t="s">
        <v>1608</v>
      </c>
      <c r="F1276" s="33">
        <v>20</v>
      </c>
      <c r="G1276" s="82">
        <v>-117</v>
      </c>
      <c r="H1276" s="9" t="s">
        <v>36</v>
      </c>
      <c r="I12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17.094017094017094</v>
      </c>
      <c r="J12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77" spans="1:10" x14ac:dyDescent="0.25">
      <c r="A1277" s="35">
        <f t="shared" si="32"/>
        <v>146</v>
      </c>
      <c r="B1277" s="5">
        <v>43757</v>
      </c>
      <c r="C1277" s="5" t="s">
        <v>1507</v>
      </c>
      <c r="D1277" s="57" t="s">
        <v>1609</v>
      </c>
      <c r="E1277" s="7" t="s">
        <v>1610</v>
      </c>
      <c r="F1277" s="33">
        <v>20</v>
      </c>
      <c r="G1277" s="82">
        <v>-108</v>
      </c>
      <c r="H1277" s="9" t="s">
        <v>6</v>
      </c>
      <c r="I12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8" spans="1:10" x14ac:dyDescent="0.25">
      <c r="A1278" s="35">
        <f t="shared" si="32"/>
        <v>146</v>
      </c>
      <c r="B1278" s="5">
        <v>43757</v>
      </c>
      <c r="C1278" s="5" t="s">
        <v>1507</v>
      </c>
      <c r="D1278" s="57" t="s">
        <v>1611</v>
      </c>
      <c r="E1278" s="7" t="s">
        <v>1612</v>
      </c>
      <c r="F1278" s="33">
        <v>20</v>
      </c>
      <c r="G1278" s="82">
        <v>-110</v>
      </c>
      <c r="H1278" s="9" t="s">
        <v>36</v>
      </c>
      <c r="I12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79" spans="1:10" x14ac:dyDescent="0.25">
      <c r="A1279" s="35">
        <f t="shared" si="32"/>
        <v>147</v>
      </c>
      <c r="B1279" s="5">
        <v>43758</v>
      </c>
      <c r="C1279" s="5" t="s">
        <v>133</v>
      </c>
      <c r="D1279" s="57" t="s">
        <v>1613</v>
      </c>
      <c r="E1279" s="7" t="s">
        <v>1614</v>
      </c>
      <c r="F1279" s="33">
        <v>20</v>
      </c>
      <c r="G1279" s="82">
        <v>-118</v>
      </c>
      <c r="H1279" s="9" t="s">
        <v>36</v>
      </c>
      <c r="I12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2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80" spans="1:10" x14ac:dyDescent="0.25">
      <c r="A1280" s="35">
        <f t="shared" si="32"/>
        <v>147</v>
      </c>
      <c r="B1280" s="5">
        <v>43758</v>
      </c>
      <c r="C1280" s="5" t="s">
        <v>133</v>
      </c>
      <c r="D1280" s="57" t="s">
        <v>1615</v>
      </c>
      <c r="E1280" s="7" t="s">
        <v>1616</v>
      </c>
      <c r="F1280" s="33">
        <v>20</v>
      </c>
      <c r="G1280" s="82">
        <v>-114</v>
      </c>
      <c r="H1280" s="9" t="s">
        <v>65</v>
      </c>
      <c r="I12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2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81" spans="1:10" ht="30" x14ac:dyDescent="0.25">
      <c r="A1281" s="35">
        <f t="shared" si="32"/>
        <v>147</v>
      </c>
      <c r="B1281" s="5">
        <v>43758</v>
      </c>
      <c r="C1281" s="5" t="s">
        <v>133</v>
      </c>
      <c r="D1281" s="57" t="s">
        <v>1617</v>
      </c>
      <c r="E1281" s="46" t="s">
        <v>1618</v>
      </c>
      <c r="F1281" s="33">
        <v>20</v>
      </c>
      <c r="G1281" s="82">
        <v>235</v>
      </c>
      <c r="H1281" s="9" t="s">
        <v>36</v>
      </c>
      <c r="I12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47</v>
      </c>
      <c r="J12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82" spans="1:10" x14ac:dyDescent="0.25">
      <c r="A1282" s="35">
        <f t="shared" si="32"/>
        <v>147</v>
      </c>
      <c r="B1282" s="5">
        <v>43758</v>
      </c>
      <c r="C1282" s="5" t="s">
        <v>133</v>
      </c>
      <c r="D1282" s="57" t="s">
        <v>1619</v>
      </c>
      <c r="E1282" s="7" t="s">
        <v>1620</v>
      </c>
      <c r="F1282" s="33">
        <v>20</v>
      </c>
      <c r="G1282" s="82">
        <v>180</v>
      </c>
      <c r="H1282" s="9" t="s">
        <v>36</v>
      </c>
      <c r="I12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36</v>
      </c>
      <c r="J12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283" spans="1:10" x14ac:dyDescent="0.25">
      <c r="A1283" s="35">
        <f t="shared" si="32"/>
        <v>147</v>
      </c>
      <c r="B1283" s="5">
        <v>43758</v>
      </c>
      <c r="C1283" s="5" t="s">
        <v>133</v>
      </c>
      <c r="D1283" s="57" t="s">
        <v>68</v>
      </c>
      <c r="E1283" s="7" t="s">
        <v>1623</v>
      </c>
      <c r="F1283" s="33">
        <v>20</v>
      </c>
      <c r="G1283" s="82">
        <v>100</v>
      </c>
      <c r="H1283" s="9" t="s">
        <v>6</v>
      </c>
      <c r="I12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84" spans="1:10" x14ac:dyDescent="0.25">
      <c r="A1284" s="35">
        <f t="shared" ref="A1284:A1347" si="33">IF(B1284=B1283,A1283,A1283+1)</f>
        <v>148</v>
      </c>
      <c r="B1284" s="5">
        <v>43759</v>
      </c>
      <c r="C1284" s="5" t="s">
        <v>133</v>
      </c>
      <c r="D1284" s="57" t="s">
        <v>1621</v>
      </c>
      <c r="E1284" s="7" t="s">
        <v>1622</v>
      </c>
      <c r="F1284" s="33">
        <v>20</v>
      </c>
      <c r="G1284" s="82">
        <v>-121</v>
      </c>
      <c r="H1284" s="9" t="s">
        <v>36</v>
      </c>
      <c r="I12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16.528925619834713</v>
      </c>
      <c r="J12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85" spans="1:10" ht="30" x14ac:dyDescent="0.25">
      <c r="A1285" s="35">
        <f t="shared" si="33"/>
        <v>149</v>
      </c>
      <c r="B1285" s="5">
        <v>43762</v>
      </c>
      <c r="C1285" s="5" t="s">
        <v>133</v>
      </c>
      <c r="D1285" s="57" t="s">
        <v>1624</v>
      </c>
      <c r="E1285" s="46" t="s">
        <v>1625</v>
      </c>
      <c r="F1285" s="33">
        <v>20</v>
      </c>
      <c r="G1285" s="82">
        <v>-120</v>
      </c>
      <c r="H1285" s="9" t="s">
        <v>36</v>
      </c>
      <c r="I12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16.666666666666664</v>
      </c>
      <c r="J12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86" spans="1:10" x14ac:dyDescent="0.25">
      <c r="A1286" s="35">
        <f t="shared" si="33"/>
        <v>149</v>
      </c>
      <c r="B1286" s="5">
        <v>43762</v>
      </c>
      <c r="C1286" s="5" t="s">
        <v>133</v>
      </c>
      <c r="D1286" s="57" t="s">
        <v>1624</v>
      </c>
      <c r="E1286" s="7" t="s">
        <v>1626</v>
      </c>
      <c r="F1286" s="33">
        <v>20</v>
      </c>
      <c r="G1286" s="82">
        <v>-110</v>
      </c>
      <c r="H1286" s="9" t="s">
        <v>36</v>
      </c>
      <c r="I12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87" spans="1:10" x14ac:dyDescent="0.25">
      <c r="A1287" s="35">
        <f t="shared" si="33"/>
        <v>150</v>
      </c>
      <c r="B1287" s="5">
        <v>43765</v>
      </c>
      <c r="C1287" s="5" t="s">
        <v>133</v>
      </c>
      <c r="D1287" s="57" t="s">
        <v>1627</v>
      </c>
      <c r="E1287" s="7" t="s">
        <v>1628</v>
      </c>
      <c r="F1287" s="33">
        <v>20</v>
      </c>
      <c r="G1287" s="82">
        <v>-110</v>
      </c>
      <c r="H1287" s="9" t="s">
        <v>36</v>
      </c>
      <c r="I12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88" spans="1:10" ht="30" x14ac:dyDescent="0.25">
      <c r="A1288" s="35">
        <f t="shared" si="33"/>
        <v>151</v>
      </c>
      <c r="B1288" s="5">
        <v>43766</v>
      </c>
      <c r="C1288" s="5" t="s">
        <v>133</v>
      </c>
      <c r="D1288" s="57" t="s">
        <v>1629</v>
      </c>
      <c r="E1288" s="46" t="s">
        <v>1630</v>
      </c>
      <c r="F1288" s="33">
        <v>10</v>
      </c>
      <c r="G1288" s="82">
        <v>400</v>
      </c>
      <c r="H1288" s="9" t="s">
        <v>36</v>
      </c>
      <c r="I12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40</v>
      </c>
      <c r="J12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89" spans="1:10" x14ac:dyDescent="0.25">
      <c r="A1289" s="35">
        <f t="shared" si="33"/>
        <v>152</v>
      </c>
      <c r="B1289" s="5">
        <v>43768</v>
      </c>
      <c r="C1289" s="5" t="s">
        <v>1186</v>
      </c>
      <c r="D1289" s="57" t="s">
        <v>1631</v>
      </c>
      <c r="E1289" s="7" t="s">
        <v>1632</v>
      </c>
      <c r="F1289" s="33">
        <v>20</v>
      </c>
      <c r="G1289" s="82">
        <v>155</v>
      </c>
      <c r="H1289" s="9" t="s">
        <v>6</v>
      </c>
      <c r="I12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90" spans="1:10" x14ac:dyDescent="0.25">
      <c r="A1290" s="35">
        <f t="shared" si="33"/>
        <v>153</v>
      </c>
      <c r="B1290" s="5">
        <v>43769</v>
      </c>
      <c r="C1290" s="5" t="s">
        <v>1507</v>
      </c>
      <c r="D1290" s="57" t="s">
        <v>1635</v>
      </c>
      <c r="E1290" s="7" t="s">
        <v>1636</v>
      </c>
      <c r="F1290" s="33">
        <v>20</v>
      </c>
      <c r="G1290" s="82">
        <v>-110</v>
      </c>
      <c r="H1290" s="9" t="s">
        <v>6</v>
      </c>
      <c r="I12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91" spans="1:10" x14ac:dyDescent="0.25">
      <c r="A1291" s="35">
        <f t="shared" si="33"/>
        <v>153</v>
      </c>
      <c r="B1291" s="5">
        <v>43769</v>
      </c>
      <c r="C1291" s="5" t="s">
        <v>1507</v>
      </c>
      <c r="D1291" s="57" t="s">
        <v>1635</v>
      </c>
      <c r="E1291" s="7" t="s">
        <v>1558</v>
      </c>
      <c r="F1291" s="33">
        <v>20</v>
      </c>
      <c r="G1291" s="82">
        <v>-110</v>
      </c>
      <c r="H1291" s="9" t="s">
        <v>36</v>
      </c>
      <c r="I12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292" spans="1:10" x14ac:dyDescent="0.25">
      <c r="A1292" s="35">
        <f t="shared" si="33"/>
        <v>153</v>
      </c>
      <c r="B1292" s="5">
        <v>43769</v>
      </c>
      <c r="C1292" s="5" t="s">
        <v>1507</v>
      </c>
      <c r="D1292" s="57" t="s">
        <v>1637</v>
      </c>
      <c r="E1292" s="7" t="s">
        <v>1638</v>
      </c>
      <c r="F1292" s="33">
        <v>20</v>
      </c>
      <c r="G1292" s="82">
        <v>-110</v>
      </c>
      <c r="H1292" s="9" t="s">
        <v>6</v>
      </c>
      <c r="I12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93" spans="1:10" ht="45" x14ac:dyDescent="0.25">
      <c r="A1293" s="35">
        <f t="shared" si="33"/>
        <v>153</v>
      </c>
      <c r="B1293" s="5">
        <v>43769</v>
      </c>
      <c r="C1293" s="5" t="s">
        <v>133</v>
      </c>
      <c r="D1293" s="57" t="s">
        <v>1633</v>
      </c>
      <c r="E1293" s="46" t="s">
        <v>1634</v>
      </c>
      <c r="F1293" s="33">
        <v>25</v>
      </c>
      <c r="G1293" s="82">
        <v>250</v>
      </c>
      <c r="H1293" s="9" t="s">
        <v>36</v>
      </c>
      <c r="I12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62.5</v>
      </c>
      <c r="J12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94" spans="1:10" x14ac:dyDescent="0.25">
      <c r="A1294" s="35">
        <f t="shared" si="33"/>
        <v>153</v>
      </c>
      <c r="B1294" s="5">
        <v>43769</v>
      </c>
      <c r="C1294" s="5" t="s">
        <v>133</v>
      </c>
      <c r="D1294" s="57" t="s">
        <v>1633</v>
      </c>
      <c r="E1294" s="7" t="s">
        <v>1639</v>
      </c>
      <c r="F1294" s="33">
        <v>20</v>
      </c>
      <c r="G1294" s="82">
        <v>-118</v>
      </c>
      <c r="H1294" s="9" t="s">
        <v>6</v>
      </c>
      <c r="I12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95" spans="1:10" x14ac:dyDescent="0.25">
      <c r="A1295" s="35">
        <f t="shared" si="33"/>
        <v>154</v>
      </c>
      <c r="B1295" s="5">
        <v>43771</v>
      </c>
      <c r="C1295" s="5" t="s">
        <v>1507</v>
      </c>
      <c r="D1295" s="57" t="s">
        <v>1658</v>
      </c>
      <c r="E1295" s="7" t="s">
        <v>1659</v>
      </c>
      <c r="F1295" s="33">
        <v>20</v>
      </c>
      <c r="G1295" s="82">
        <v>-110</v>
      </c>
      <c r="H1295" s="9" t="s">
        <v>6</v>
      </c>
      <c r="I12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296" spans="1:10" x14ac:dyDescent="0.25">
      <c r="A1296" s="35">
        <f t="shared" si="33"/>
        <v>154</v>
      </c>
      <c r="B1296" s="5">
        <v>43771</v>
      </c>
      <c r="C1296" s="5" t="s">
        <v>1507</v>
      </c>
      <c r="D1296" s="57" t="s">
        <v>1660</v>
      </c>
      <c r="E1296" s="7" t="s">
        <v>1661</v>
      </c>
      <c r="F1296" s="33">
        <v>20</v>
      </c>
      <c r="G1296" s="82">
        <v>-110</v>
      </c>
      <c r="H1296" s="9" t="s">
        <v>36</v>
      </c>
      <c r="I12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2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297" spans="1:10" ht="90" x14ac:dyDescent="0.25">
      <c r="A1297" s="35">
        <f t="shared" si="33"/>
        <v>155</v>
      </c>
      <c r="B1297" s="5">
        <v>43772</v>
      </c>
      <c r="C1297" s="5" t="s">
        <v>133</v>
      </c>
      <c r="D1297" s="58" t="s">
        <v>1652</v>
      </c>
      <c r="E1297" s="46" t="s">
        <v>1653</v>
      </c>
      <c r="F1297" s="33">
        <v>20</v>
      </c>
      <c r="G1297" s="82">
        <v>3430</v>
      </c>
      <c r="H1297" s="9" t="s">
        <v>6</v>
      </c>
      <c r="I12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98" spans="1:10" ht="45" x14ac:dyDescent="0.25">
      <c r="A1298" s="35">
        <f t="shared" si="33"/>
        <v>155</v>
      </c>
      <c r="B1298" s="5">
        <v>43772</v>
      </c>
      <c r="C1298" s="5" t="s">
        <v>133</v>
      </c>
      <c r="D1298" s="58" t="s">
        <v>1654</v>
      </c>
      <c r="E1298" s="46" t="s">
        <v>1655</v>
      </c>
      <c r="F1298" s="33">
        <v>20</v>
      </c>
      <c r="G1298" s="82">
        <v>372</v>
      </c>
      <c r="H1298" s="9" t="s">
        <v>6</v>
      </c>
      <c r="I12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2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299" spans="1:10" x14ac:dyDescent="0.25">
      <c r="A1299" s="35">
        <f t="shared" si="33"/>
        <v>155</v>
      </c>
      <c r="B1299" s="5">
        <v>43772</v>
      </c>
      <c r="C1299" s="5" t="s">
        <v>133</v>
      </c>
      <c r="D1299" s="57" t="s">
        <v>1656</v>
      </c>
      <c r="E1299" s="7" t="s">
        <v>1657</v>
      </c>
      <c r="F1299" s="33">
        <v>50</v>
      </c>
      <c r="G1299" s="82">
        <v>-115</v>
      </c>
      <c r="H1299" s="9" t="s">
        <v>6</v>
      </c>
      <c r="I12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-50</v>
      </c>
      <c r="J12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00" spans="1:10" x14ac:dyDescent="0.25">
      <c r="A1300" s="35">
        <f t="shared" si="33"/>
        <v>155</v>
      </c>
      <c r="B1300" s="5">
        <v>43772</v>
      </c>
      <c r="C1300" s="5" t="s">
        <v>133</v>
      </c>
      <c r="D1300" s="57" t="s">
        <v>1662</v>
      </c>
      <c r="E1300" s="7" t="s">
        <v>1663</v>
      </c>
      <c r="F1300" s="33">
        <v>20</v>
      </c>
      <c r="G1300" s="82">
        <v>-110</v>
      </c>
      <c r="H1300" s="9" t="s">
        <v>6</v>
      </c>
      <c r="I13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1" spans="1:10" x14ac:dyDescent="0.25">
      <c r="A1301" s="35">
        <f t="shared" si="33"/>
        <v>155</v>
      </c>
      <c r="B1301" s="5">
        <v>43772</v>
      </c>
      <c r="C1301" s="5" t="s">
        <v>133</v>
      </c>
      <c r="D1301" s="57" t="s">
        <v>1662</v>
      </c>
      <c r="E1301" s="7" t="s">
        <v>32</v>
      </c>
      <c r="F1301" s="33">
        <v>20</v>
      </c>
      <c r="G1301" s="82">
        <v>-110</v>
      </c>
      <c r="H1301" s="9" t="s">
        <v>36</v>
      </c>
      <c r="I13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02" spans="1:10" x14ac:dyDescent="0.25">
      <c r="A1302" s="35">
        <f t="shared" si="33"/>
        <v>155</v>
      </c>
      <c r="B1302" s="5">
        <v>43772</v>
      </c>
      <c r="C1302" s="5" t="s">
        <v>133</v>
      </c>
      <c r="D1302" s="57" t="s">
        <v>1664</v>
      </c>
      <c r="E1302" s="7" t="s">
        <v>1665</v>
      </c>
      <c r="F1302" s="33">
        <v>20</v>
      </c>
      <c r="G1302" s="82">
        <v>-118</v>
      </c>
      <c r="H1302" s="9" t="s">
        <v>6</v>
      </c>
      <c r="I13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3" spans="1:10" x14ac:dyDescent="0.25">
      <c r="A1303" s="35">
        <f t="shared" si="33"/>
        <v>155</v>
      </c>
      <c r="B1303" s="5">
        <v>43772</v>
      </c>
      <c r="C1303" s="5" t="s">
        <v>133</v>
      </c>
      <c r="D1303" s="57" t="s">
        <v>1666</v>
      </c>
      <c r="E1303" s="7" t="s">
        <v>1667</v>
      </c>
      <c r="F1303" s="33">
        <v>20</v>
      </c>
      <c r="G1303" s="82">
        <v>-118</v>
      </c>
      <c r="H1303" s="9" t="s">
        <v>36</v>
      </c>
      <c r="I13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16.949152542372879</v>
      </c>
      <c r="J13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4" spans="1:10" x14ac:dyDescent="0.25">
      <c r="A1304" s="35">
        <f t="shared" si="33"/>
        <v>155</v>
      </c>
      <c r="B1304" s="5">
        <v>43772</v>
      </c>
      <c r="C1304" s="5" t="s">
        <v>133</v>
      </c>
      <c r="D1304" s="57" t="s">
        <v>1664</v>
      </c>
      <c r="E1304" s="7" t="s">
        <v>232</v>
      </c>
      <c r="F1304" s="33">
        <v>20</v>
      </c>
      <c r="G1304" s="82">
        <v>100</v>
      </c>
      <c r="H1304" s="9" t="s">
        <v>36</v>
      </c>
      <c r="I13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3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05" spans="1:10" x14ac:dyDescent="0.25">
      <c r="A1305" s="35">
        <f t="shared" si="33"/>
        <v>155</v>
      </c>
      <c r="B1305" s="5">
        <v>43772</v>
      </c>
      <c r="C1305" s="5" t="s">
        <v>133</v>
      </c>
      <c r="D1305" s="57" t="s">
        <v>1668</v>
      </c>
      <c r="E1305" s="7" t="s">
        <v>1669</v>
      </c>
      <c r="F1305" s="33">
        <v>20</v>
      </c>
      <c r="G1305" s="82">
        <v>-110</v>
      </c>
      <c r="H1305" s="9" t="s">
        <v>6</v>
      </c>
      <c r="I13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6" spans="1:10" x14ac:dyDescent="0.25">
      <c r="A1306" s="35">
        <f t="shared" si="33"/>
        <v>155</v>
      </c>
      <c r="B1306" s="5">
        <v>43772</v>
      </c>
      <c r="C1306" s="5" t="s">
        <v>133</v>
      </c>
      <c r="D1306" s="57" t="s">
        <v>1670</v>
      </c>
      <c r="E1306" s="7" t="s">
        <v>1671</v>
      </c>
      <c r="F1306" s="33">
        <v>20</v>
      </c>
      <c r="G1306" s="82">
        <v>-105</v>
      </c>
      <c r="H1306" s="9" t="s">
        <v>6</v>
      </c>
      <c r="I13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7" spans="1:10" ht="90" x14ac:dyDescent="0.25">
      <c r="A1307" s="35">
        <f t="shared" si="33"/>
        <v>155</v>
      </c>
      <c r="B1307" s="5">
        <v>43772</v>
      </c>
      <c r="C1307" s="5" t="s">
        <v>133</v>
      </c>
      <c r="D1307" s="58" t="s">
        <v>1680</v>
      </c>
      <c r="E1307" s="46" t="s">
        <v>1672</v>
      </c>
      <c r="F1307" s="33">
        <v>20</v>
      </c>
      <c r="G1307" s="82">
        <v>100</v>
      </c>
      <c r="H1307" s="9" t="s">
        <v>6</v>
      </c>
      <c r="I13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08" spans="1:10" x14ac:dyDescent="0.25">
      <c r="A1308" s="35">
        <f t="shared" si="33"/>
        <v>155</v>
      </c>
      <c r="B1308" s="5">
        <v>43772</v>
      </c>
      <c r="C1308" s="5" t="s">
        <v>133</v>
      </c>
      <c r="D1308" s="57" t="s">
        <v>1673</v>
      </c>
      <c r="E1308" s="7" t="s">
        <v>1674</v>
      </c>
      <c r="F1308" s="33">
        <v>20</v>
      </c>
      <c r="G1308" s="82">
        <v>100</v>
      </c>
      <c r="H1308" s="9" t="s">
        <v>6</v>
      </c>
      <c r="I13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09" spans="1:10" x14ac:dyDescent="0.25">
      <c r="A1309" s="35">
        <f t="shared" si="33"/>
        <v>155</v>
      </c>
      <c r="B1309" s="5">
        <v>43772</v>
      </c>
      <c r="C1309" s="5" t="s">
        <v>133</v>
      </c>
      <c r="D1309" s="57" t="s">
        <v>1675</v>
      </c>
      <c r="E1309" s="7" t="s">
        <v>1676</v>
      </c>
      <c r="F1309" s="33">
        <v>20</v>
      </c>
      <c r="G1309" s="82">
        <v>-118</v>
      </c>
      <c r="H1309" s="9" t="s">
        <v>6</v>
      </c>
      <c r="I13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10" spans="1:10" x14ac:dyDescent="0.25">
      <c r="A1310" s="35">
        <f t="shared" si="33"/>
        <v>155</v>
      </c>
      <c r="B1310" s="5">
        <v>43772</v>
      </c>
      <c r="C1310" s="5" t="s">
        <v>133</v>
      </c>
      <c r="D1310" s="57" t="s">
        <v>79</v>
      </c>
      <c r="E1310" s="7" t="s">
        <v>1677</v>
      </c>
      <c r="F1310" s="33">
        <v>20</v>
      </c>
      <c r="G1310" s="82">
        <v>-110</v>
      </c>
      <c r="H1310" s="9" t="s">
        <v>36</v>
      </c>
      <c r="I13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11" spans="1:10" x14ac:dyDescent="0.25">
      <c r="A1311" s="35">
        <f t="shared" si="33"/>
        <v>155</v>
      </c>
      <c r="B1311" s="5">
        <v>43772</v>
      </c>
      <c r="C1311" s="5" t="s">
        <v>133</v>
      </c>
      <c r="D1311" s="57" t="s">
        <v>1679</v>
      </c>
      <c r="E1311" s="7" t="s">
        <v>1678</v>
      </c>
      <c r="F1311" s="33">
        <v>20</v>
      </c>
      <c r="G1311" s="82">
        <v>-110</v>
      </c>
      <c r="H1311" s="9" t="s">
        <v>6</v>
      </c>
      <c r="I13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12" spans="1:10" x14ac:dyDescent="0.25">
      <c r="A1312" s="35">
        <f t="shared" si="33"/>
        <v>155</v>
      </c>
      <c r="B1312" s="5">
        <v>43772</v>
      </c>
      <c r="C1312" s="5" t="s">
        <v>133</v>
      </c>
      <c r="D1312" s="57" t="s">
        <v>1656</v>
      </c>
      <c r="E1312" s="7" t="s">
        <v>1657</v>
      </c>
      <c r="F1312" s="33">
        <v>50</v>
      </c>
      <c r="G1312" s="82">
        <v>-110</v>
      </c>
      <c r="H1312" s="9" t="s">
        <v>6</v>
      </c>
      <c r="I13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-50</v>
      </c>
      <c r="J13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13" spans="1:10" x14ac:dyDescent="0.25">
      <c r="A1313" s="35">
        <f t="shared" si="33"/>
        <v>156</v>
      </c>
      <c r="B1313" s="5">
        <v>43773</v>
      </c>
      <c r="C1313" s="5" t="s">
        <v>134</v>
      </c>
      <c r="D1313" s="57" t="s">
        <v>1648</v>
      </c>
      <c r="E1313" s="7" t="s">
        <v>1649</v>
      </c>
      <c r="F1313" s="33">
        <v>21.28</v>
      </c>
      <c r="G1313" s="82">
        <v>-112</v>
      </c>
      <c r="H1313" s="9" t="s">
        <v>6</v>
      </c>
      <c r="I13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-21.28</v>
      </c>
      <c r="J13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14" spans="1:10" x14ac:dyDescent="0.25">
      <c r="A1314" s="35">
        <f t="shared" si="33"/>
        <v>156</v>
      </c>
      <c r="B1314" s="5">
        <v>43773</v>
      </c>
      <c r="C1314" s="5" t="s">
        <v>134</v>
      </c>
      <c r="D1314" s="57" t="s">
        <v>210</v>
      </c>
      <c r="E1314" s="7" t="s">
        <v>1650</v>
      </c>
      <c r="F1314" s="33">
        <v>20.803757607963668</v>
      </c>
      <c r="G1314" s="82">
        <v>-109</v>
      </c>
      <c r="H1314" s="9" t="s">
        <v>6</v>
      </c>
      <c r="I13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-20.803757607963668</v>
      </c>
      <c r="J13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15" spans="1:10" x14ac:dyDescent="0.25">
      <c r="A1315" s="35">
        <f t="shared" si="33"/>
        <v>156</v>
      </c>
      <c r="B1315" s="5">
        <v>43773</v>
      </c>
      <c r="C1315" s="5" t="s">
        <v>134</v>
      </c>
      <c r="D1315" s="57" t="s">
        <v>210</v>
      </c>
      <c r="E1315" s="7" t="s">
        <v>961</v>
      </c>
      <c r="F1315" s="33">
        <v>19.282428078307824</v>
      </c>
      <c r="G1315" s="82">
        <v>-113</v>
      </c>
      <c r="H1315" s="9" t="s">
        <v>6</v>
      </c>
      <c r="I13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-19.282428078307824</v>
      </c>
      <c r="J13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16" spans="1:10" x14ac:dyDescent="0.25">
      <c r="A1316" s="35">
        <f t="shared" si="33"/>
        <v>156</v>
      </c>
      <c r="B1316" s="5">
        <v>43773</v>
      </c>
      <c r="C1316" s="5" t="s">
        <v>134</v>
      </c>
      <c r="D1316" s="57" t="s">
        <v>1651</v>
      </c>
      <c r="E1316" s="7" t="s">
        <v>367</v>
      </c>
      <c r="F1316" s="33">
        <v>19.196242392036332</v>
      </c>
      <c r="G1316" s="82">
        <v>-109</v>
      </c>
      <c r="H1316" s="9" t="s">
        <v>6</v>
      </c>
      <c r="I13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-19.196242392036332</v>
      </c>
      <c r="J13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17" spans="1:10" x14ac:dyDescent="0.25">
      <c r="A1317" s="35">
        <f t="shared" si="33"/>
        <v>156</v>
      </c>
      <c r="B1317" s="5">
        <v>43773</v>
      </c>
      <c r="C1317" s="5" t="s">
        <v>134</v>
      </c>
      <c r="D1317" s="57" t="s">
        <v>215</v>
      </c>
      <c r="E1317" s="7" t="s">
        <v>264</v>
      </c>
      <c r="F1317" s="33">
        <v>19.341687590238344</v>
      </c>
      <c r="G1317" s="82">
        <v>-109</v>
      </c>
      <c r="H1317" s="9" t="s">
        <v>36</v>
      </c>
      <c r="I13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17.744667513980129</v>
      </c>
      <c r="J13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18" spans="1:10" x14ac:dyDescent="0.25">
      <c r="A1318" s="35">
        <f t="shared" si="33"/>
        <v>157</v>
      </c>
      <c r="B1318" s="5">
        <v>43774</v>
      </c>
      <c r="C1318" s="5" t="s">
        <v>134</v>
      </c>
      <c r="D1318" s="57" t="s">
        <v>1138</v>
      </c>
      <c r="E1318" s="7" t="s">
        <v>1682</v>
      </c>
      <c r="F1318" s="33">
        <v>19.193997834288691</v>
      </c>
      <c r="G1318" s="82">
        <v>-110</v>
      </c>
      <c r="H1318" s="9" t="s">
        <v>65</v>
      </c>
      <c r="I13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3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19" spans="1:10" x14ac:dyDescent="0.25">
      <c r="A1319" s="35">
        <f t="shared" si="33"/>
        <v>157</v>
      </c>
      <c r="B1319" s="5">
        <v>43774</v>
      </c>
      <c r="C1319" s="5" t="s">
        <v>134</v>
      </c>
      <c r="D1319" s="57" t="s">
        <v>1683</v>
      </c>
      <c r="E1319" s="7" t="s">
        <v>1684</v>
      </c>
      <c r="F1319" s="33">
        <v>17.463975967530157</v>
      </c>
      <c r="G1319" s="82">
        <v>-113</v>
      </c>
      <c r="H1319" s="9" t="s">
        <v>36</v>
      </c>
      <c r="I13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15.454845988964742</v>
      </c>
      <c r="J13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20" spans="1:10" x14ac:dyDescent="0.25">
      <c r="A1320" s="35">
        <f t="shared" si="33"/>
        <v>157</v>
      </c>
      <c r="B1320" s="5">
        <v>43774</v>
      </c>
      <c r="C1320" s="5" t="s">
        <v>134</v>
      </c>
      <c r="D1320" s="57" t="s">
        <v>1685</v>
      </c>
      <c r="E1320" s="7" t="s">
        <v>377</v>
      </c>
      <c r="F1320" s="33">
        <v>19.498391548361479</v>
      </c>
      <c r="G1320" s="82">
        <v>-110</v>
      </c>
      <c r="H1320" s="9" t="s">
        <v>6</v>
      </c>
      <c r="I13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-19.498391548361479</v>
      </c>
      <c r="J13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21" spans="1:10" x14ac:dyDescent="0.25">
      <c r="A1321" s="35">
        <f t="shared" si="33"/>
        <v>157</v>
      </c>
      <c r="B1321" s="5">
        <v>43774</v>
      </c>
      <c r="C1321" s="5" t="s">
        <v>134</v>
      </c>
      <c r="D1321" s="57" t="s">
        <v>1685</v>
      </c>
      <c r="E1321" s="7" t="s">
        <v>1686</v>
      </c>
      <c r="F1321" s="33">
        <v>20.008327059165168</v>
      </c>
      <c r="G1321" s="82">
        <v>-109</v>
      </c>
      <c r="H1321" s="9" t="s">
        <v>6</v>
      </c>
      <c r="I13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-20.008327059165168</v>
      </c>
      <c r="J13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22" spans="1:10" x14ac:dyDescent="0.25">
      <c r="A1322" s="35">
        <f t="shared" si="33"/>
        <v>157</v>
      </c>
      <c r="B1322" s="5">
        <v>43774</v>
      </c>
      <c r="C1322" s="5" t="s">
        <v>134</v>
      </c>
      <c r="D1322" s="57" t="s">
        <v>1687</v>
      </c>
      <c r="E1322" s="7" t="s">
        <v>1688</v>
      </c>
      <c r="F1322" s="33">
        <v>16.318370686039696</v>
      </c>
      <c r="G1322" s="82">
        <v>-112</v>
      </c>
      <c r="H1322" s="9" t="s">
        <v>36</v>
      </c>
      <c r="I13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14.569973826821156</v>
      </c>
      <c r="J13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23" spans="1:10" x14ac:dyDescent="0.25">
      <c r="A1323" s="35">
        <f t="shared" si="33"/>
        <v>157</v>
      </c>
      <c r="B1323" s="5">
        <v>43774</v>
      </c>
      <c r="C1323" s="5" t="s">
        <v>134</v>
      </c>
      <c r="D1323" s="57" t="s">
        <v>1687</v>
      </c>
      <c r="E1323" s="7" t="s">
        <v>1689</v>
      </c>
      <c r="F1323" s="33">
        <v>19.991672940834832</v>
      </c>
      <c r="G1323" s="82">
        <v>-112</v>
      </c>
      <c r="H1323" s="9" t="s">
        <v>6</v>
      </c>
      <c r="I13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-19.991672940834832</v>
      </c>
      <c r="J13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24" spans="1:10" x14ac:dyDescent="0.25">
      <c r="A1324" s="35">
        <f t="shared" si="33"/>
        <v>157</v>
      </c>
      <c r="B1324" s="5">
        <v>43774</v>
      </c>
      <c r="C1324" s="5" t="s">
        <v>134</v>
      </c>
      <c r="D1324" s="57" t="s">
        <v>1690</v>
      </c>
      <c r="E1324" s="7" t="s">
        <v>1691</v>
      </c>
      <c r="F1324" s="33">
        <v>27.525263963779985</v>
      </c>
      <c r="G1324" s="82">
        <v>-109</v>
      </c>
      <c r="H1324" s="9" t="s">
        <v>6</v>
      </c>
      <c r="I13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-27.525263963779985</v>
      </c>
      <c r="J13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25" spans="1:10" ht="60" x14ac:dyDescent="0.25">
      <c r="A1325" s="35">
        <f t="shared" si="33"/>
        <v>157</v>
      </c>
      <c r="B1325" s="5">
        <v>43774</v>
      </c>
      <c r="C1325" s="5" t="s">
        <v>134</v>
      </c>
      <c r="D1325" s="58" t="s">
        <v>1692</v>
      </c>
      <c r="E1325" s="46" t="s">
        <v>1693</v>
      </c>
      <c r="F1325" s="33">
        <v>10</v>
      </c>
      <c r="G1325" s="82">
        <v>709</v>
      </c>
      <c r="H1325" s="9" t="s">
        <v>6</v>
      </c>
      <c r="I13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3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26" spans="1:10" x14ac:dyDescent="0.25">
      <c r="A1326" s="35">
        <f t="shared" si="33"/>
        <v>157</v>
      </c>
      <c r="B1326" s="5">
        <v>43774</v>
      </c>
      <c r="C1326" s="5" t="s">
        <v>419</v>
      </c>
      <c r="D1326" s="57" t="s">
        <v>1696</v>
      </c>
      <c r="E1326" s="7" t="s">
        <v>1697</v>
      </c>
      <c r="F1326" s="33">
        <v>20</v>
      </c>
      <c r="G1326" s="82">
        <v>-118</v>
      </c>
      <c r="H1326" s="9" t="s">
        <v>6</v>
      </c>
      <c r="I13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27" spans="1:10" x14ac:dyDescent="0.25">
      <c r="A1327" s="35">
        <f t="shared" si="33"/>
        <v>157</v>
      </c>
      <c r="B1327" s="5">
        <v>43774</v>
      </c>
      <c r="C1327" s="5" t="s">
        <v>1507</v>
      </c>
      <c r="D1327" s="57" t="s">
        <v>1694</v>
      </c>
      <c r="E1327" s="7" t="s">
        <v>1695</v>
      </c>
      <c r="F1327" s="33">
        <v>20</v>
      </c>
      <c r="G1327" s="82">
        <v>-110</v>
      </c>
      <c r="H1327" s="9" t="s">
        <v>36</v>
      </c>
      <c r="I13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28" spans="1:10" x14ac:dyDescent="0.25">
      <c r="A1328" s="35">
        <f t="shared" si="33"/>
        <v>158</v>
      </c>
      <c r="B1328" s="5">
        <v>43779</v>
      </c>
      <c r="C1328" s="5" t="s">
        <v>133</v>
      </c>
      <c r="D1328" s="57" t="s">
        <v>1698</v>
      </c>
      <c r="E1328" s="7" t="s">
        <v>1699</v>
      </c>
      <c r="F1328" s="33">
        <v>20</v>
      </c>
      <c r="G1328" s="82">
        <v>-110</v>
      </c>
      <c r="H1328" s="9" t="s">
        <v>65</v>
      </c>
      <c r="I13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3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29" spans="1:10" x14ac:dyDescent="0.25">
      <c r="A1329" s="35">
        <f t="shared" si="33"/>
        <v>159</v>
      </c>
      <c r="B1329" s="5">
        <v>43781</v>
      </c>
      <c r="C1329" s="5" t="s">
        <v>419</v>
      </c>
      <c r="D1329" s="57" t="s">
        <v>1814</v>
      </c>
      <c r="E1329" s="33" t="s">
        <v>1815</v>
      </c>
      <c r="F1329" s="33">
        <v>20</v>
      </c>
      <c r="G1329" s="63">
        <v>-110</v>
      </c>
      <c r="H1329" s="9" t="s">
        <v>36</v>
      </c>
      <c r="I13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30" spans="1:10" x14ac:dyDescent="0.25">
      <c r="A1330" s="35">
        <f t="shared" si="33"/>
        <v>159</v>
      </c>
      <c r="B1330" s="5">
        <v>43781</v>
      </c>
      <c r="C1330" s="5" t="s">
        <v>419</v>
      </c>
      <c r="D1330" s="57" t="s">
        <v>1816</v>
      </c>
      <c r="E1330" s="33" t="s">
        <v>1817</v>
      </c>
      <c r="F1330" s="33">
        <v>20</v>
      </c>
      <c r="G1330" s="63">
        <v>-109</v>
      </c>
      <c r="H1330" s="9" t="s">
        <v>6</v>
      </c>
      <c r="I13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31" spans="1:10" x14ac:dyDescent="0.25">
      <c r="A1331" s="35">
        <f t="shared" si="33"/>
        <v>159</v>
      </c>
      <c r="B1331" s="5">
        <v>43781</v>
      </c>
      <c r="C1331" s="5" t="s">
        <v>419</v>
      </c>
      <c r="D1331" s="57" t="s">
        <v>1818</v>
      </c>
      <c r="E1331" s="33" t="s">
        <v>1819</v>
      </c>
      <c r="F1331" s="33">
        <v>20</v>
      </c>
      <c r="G1331" s="63">
        <v>-112</v>
      </c>
      <c r="H1331" s="9" t="s">
        <v>36</v>
      </c>
      <c r="I13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17.857142857142858</v>
      </c>
      <c r="J13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32" spans="1:10" x14ac:dyDescent="0.25">
      <c r="A1332" s="35">
        <f t="shared" si="33"/>
        <v>159</v>
      </c>
      <c r="B1332" s="5">
        <v>43781</v>
      </c>
      <c r="C1332" s="5" t="s">
        <v>419</v>
      </c>
      <c r="D1332" s="57" t="s">
        <v>1818</v>
      </c>
      <c r="E1332" s="33" t="s">
        <v>1820</v>
      </c>
      <c r="F1332" s="33">
        <v>20</v>
      </c>
      <c r="G1332" s="63">
        <v>-109</v>
      </c>
      <c r="H1332" s="9" t="s">
        <v>36</v>
      </c>
      <c r="I13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3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33" spans="1:10" x14ac:dyDescent="0.25">
      <c r="A1333" s="35">
        <f t="shared" si="33"/>
        <v>159</v>
      </c>
      <c r="B1333" s="5">
        <v>43781</v>
      </c>
      <c r="C1333" s="5" t="s">
        <v>419</v>
      </c>
      <c r="D1333" s="57" t="s">
        <v>1821</v>
      </c>
      <c r="E1333" s="33" t="s">
        <v>1822</v>
      </c>
      <c r="F1333" s="33">
        <v>20</v>
      </c>
      <c r="G1333" s="63">
        <v>-110</v>
      </c>
      <c r="H1333" s="9" t="s">
        <v>36</v>
      </c>
      <c r="I13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34" spans="1:10" x14ac:dyDescent="0.25">
      <c r="A1334" s="35">
        <f t="shared" si="33"/>
        <v>159</v>
      </c>
      <c r="B1334" s="5">
        <v>43781</v>
      </c>
      <c r="C1334" s="5" t="s">
        <v>133</v>
      </c>
      <c r="D1334" s="57" t="s">
        <v>1823</v>
      </c>
      <c r="E1334" s="7" t="s">
        <v>1824</v>
      </c>
      <c r="F1334" s="33">
        <v>21.2</v>
      </c>
      <c r="G1334" s="63">
        <v>-106</v>
      </c>
      <c r="H1334" s="9" t="s">
        <v>36</v>
      </c>
      <c r="I13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</v>
      </c>
      <c r="J13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35" spans="1:10" ht="60" x14ac:dyDescent="0.25">
      <c r="A1335" s="35">
        <f t="shared" si="33"/>
        <v>160</v>
      </c>
      <c r="B1335" s="5">
        <v>43782</v>
      </c>
      <c r="C1335" s="5" t="s">
        <v>134</v>
      </c>
      <c r="D1335" s="58" t="s">
        <v>1712</v>
      </c>
      <c r="E1335" s="46" t="s">
        <v>1714</v>
      </c>
      <c r="F1335" s="99">
        <v>10</v>
      </c>
      <c r="G1335" s="100" t="s">
        <v>1713</v>
      </c>
      <c r="H1335" s="101" t="s">
        <v>6</v>
      </c>
      <c r="I13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3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36" spans="1:10" x14ac:dyDescent="0.25">
      <c r="A1336" s="35">
        <f t="shared" si="33"/>
        <v>161</v>
      </c>
      <c r="B1336" s="5">
        <v>43783</v>
      </c>
      <c r="C1336" s="5" t="s">
        <v>134</v>
      </c>
      <c r="D1336" s="57" t="s">
        <v>1700</v>
      </c>
      <c r="E1336" s="7" t="s">
        <v>262</v>
      </c>
      <c r="F1336" s="33">
        <v>19.59249486735839</v>
      </c>
      <c r="G1336" s="63">
        <v>-112</v>
      </c>
      <c r="H1336" s="9" t="s">
        <v>6</v>
      </c>
      <c r="I13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-19.59249486735839</v>
      </c>
      <c r="J13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37" spans="1:10" x14ac:dyDescent="0.25">
      <c r="A1337" s="35">
        <f t="shared" si="33"/>
        <v>161</v>
      </c>
      <c r="B1337" s="5">
        <v>43783</v>
      </c>
      <c r="C1337" s="5" t="s">
        <v>134</v>
      </c>
      <c r="D1337" s="57" t="s">
        <v>1701</v>
      </c>
      <c r="E1337" s="7" t="s">
        <v>1702</v>
      </c>
      <c r="F1337" s="33">
        <v>19.205978240580794</v>
      </c>
      <c r="G1337" s="63">
        <v>-109</v>
      </c>
      <c r="H1337" s="9" t="s">
        <v>36</v>
      </c>
      <c r="I13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17.620163523468619</v>
      </c>
      <c r="J13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38" spans="1:10" x14ac:dyDescent="0.25">
      <c r="A1338" s="35">
        <f t="shared" si="33"/>
        <v>161</v>
      </c>
      <c r="B1338" s="5">
        <v>43783</v>
      </c>
      <c r="C1338" s="5" t="s">
        <v>134</v>
      </c>
      <c r="D1338" s="57" t="s">
        <v>610</v>
      </c>
      <c r="E1338" s="7" t="s">
        <v>1703</v>
      </c>
      <c r="F1338" s="33">
        <v>19.660350133837273</v>
      </c>
      <c r="G1338" s="63">
        <v>-110</v>
      </c>
      <c r="H1338" s="9" t="s">
        <v>6</v>
      </c>
      <c r="I13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-19.660350133837273</v>
      </c>
      <c r="J13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39" spans="1:10" x14ac:dyDescent="0.25">
      <c r="A1339" s="35">
        <f t="shared" si="33"/>
        <v>161</v>
      </c>
      <c r="B1339" s="5">
        <v>43783</v>
      </c>
      <c r="C1339" s="5" t="s">
        <v>134</v>
      </c>
      <c r="D1339" s="57" t="s">
        <v>610</v>
      </c>
      <c r="E1339" s="7" t="s">
        <v>1704</v>
      </c>
      <c r="F1339" s="33">
        <v>22.228097637606808</v>
      </c>
      <c r="G1339" s="63">
        <v>-112</v>
      </c>
      <c r="H1339" s="9" t="s">
        <v>6</v>
      </c>
      <c r="I13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-22.228097637606808</v>
      </c>
      <c r="J13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40" spans="1:10" x14ac:dyDescent="0.25">
      <c r="A1340" s="35">
        <f t="shared" si="33"/>
        <v>161</v>
      </c>
      <c r="B1340" s="5">
        <v>43783</v>
      </c>
      <c r="C1340" s="5" t="s">
        <v>134</v>
      </c>
      <c r="D1340" s="57" t="s">
        <v>1705</v>
      </c>
      <c r="E1340" s="7" t="s">
        <v>1706</v>
      </c>
      <c r="F1340" s="33">
        <v>20.615886518713555</v>
      </c>
      <c r="G1340" s="63">
        <v>-108</v>
      </c>
      <c r="H1340" s="9" t="s">
        <v>6</v>
      </c>
      <c r="I13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-20.615886518713555</v>
      </c>
      <c r="J13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41" spans="1:10" x14ac:dyDescent="0.25">
      <c r="A1341" s="35">
        <f t="shared" si="33"/>
        <v>161</v>
      </c>
      <c r="B1341" s="5">
        <v>43783</v>
      </c>
      <c r="C1341" s="5" t="s">
        <v>134</v>
      </c>
      <c r="D1341" s="57" t="s">
        <v>207</v>
      </c>
      <c r="E1341" s="7" t="s">
        <v>1143</v>
      </c>
      <c r="F1341" s="33">
        <v>20.747154998804334</v>
      </c>
      <c r="G1341" s="63">
        <v>-112</v>
      </c>
      <c r="H1341" s="9" t="s">
        <v>36</v>
      </c>
      <c r="I13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18.524245534646727</v>
      </c>
      <c r="J13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42" spans="1:10" x14ac:dyDescent="0.25">
      <c r="A1342" s="35">
        <f t="shared" si="33"/>
        <v>161</v>
      </c>
      <c r="B1342" s="5">
        <v>43783</v>
      </c>
      <c r="C1342" s="5" t="s">
        <v>134</v>
      </c>
      <c r="D1342" s="57" t="s">
        <v>207</v>
      </c>
      <c r="E1342" s="7" t="s">
        <v>612</v>
      </c>
      <c r="F1342" s="33">
        <v>17.950037603098835</v>
      </c>
      <c r="G1342" s="63">
        <v>-108</v>
      </c>
      <c r="H1342" s="9" t="s">
        <v>6</v>
      </c>
      <c r="I13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-17.950037603098835</v>
      </c>
      <c r="J13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43" spans="1:10" x14ac:dyDescent="0.25">
      <c r="A1343" s="35">
        <f t="shared" si="33"/>
        <v>161</v>
      </c>
      <c r="B1343" s="5">
        <v>43783</v>
      </c>
      <c r="C1343" s="5" t="s">
        <v>1507</v>
      </c>
      <c r="D1343" s="57" t="s">
        <v>512</v>
      </c>
      <c r="E1343" s="7" t="s">
        <v>1707</v>
      </c>
      <c r="F1343" s="33">
        <v>19.71</v>
      </c>
      <c r="G1343" s="63">
        <v>-110</v>
      </c>
      <c r="H1343" s="9" t="s">
        <v>6</v>
      </c>
      <c r="I13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-19.71</v>
      </c>
      <c r="J13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44" spans="1:10" x14ac:dyDescent="0.25">
      <c r="A1344" s="35">
        <f t="shared" si="33"/>
        <v>161</v>
      </c>
      <c r="B1344" s="5">
        <v>43783</v>
      </c>
      <c r="C1344" s="5" t="s">
        <v>1507</v>
      </c>
      <c r="D1344" s="57" t="s">
        <v>1708</v>
      </c>
      <c r="E1344" s="7" t="s">
        <v>1709</v>
      </c>
      <c r="F1344" s="33">
        <v>20.29</v>
      </c>
      <c r="G1344" s="63">
        <v>-118</v>
      </c>
      <c r="H1344" s="9" t="s">
        <v>6</v>
      </c>
      <c r="I13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-20.29</v>
      </c>
      <c r="J13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45" spans="1:10" x14ac:dyDescent="0.25">
      <c r="A1345" s="35">
        <f t="shared" si="33"/>
        <v>161</v>
      </c>
      <c r="B1345" s="5">
        <v>43783</v>
      </c>
      <c r="C1345" s="5" t="s">
        <v>1507</v>
      </c>
      <c r="D1345" s="57" t="s">
        <v>1708</v>
      </c>
      <c r="E1345" s="7" t="s">
        <v>1710</v>
      </c>
      <c r="F1345" s="33">
        <v>20</v>
      </c>
      <c r="G1345" s="63">
        <v>-110</v>
      </c>
      <c r="H1345" s="9" t="s">
        <v>6</v>
      </c>
      <c r="I13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46" spans="1:10" x14ac:dyDescent="0.25">
      <c r="A1346" s="35">
        <f t="shared" si="33"/>
        <v>161</v>
      </c>
      <c r="B1346" s="5">
        <v>43783</v>
      </c>
      <c r="C1346" s="5" t="s">
        <v>133</v>
      </c>
      <c r="D1346" s="57" t="s">
        <v>1711</v>
      </c>
      <c r="E1346" s="7" t="s">
        <v>99</v>
      </c>
      <c r="F1346" s="33">
        <v>20</v>
      </c>
      <c r="G1346" s="63">
        <v>-110</v>
      </c>
      <c r="H1346" s="9" t="s">
        <v>6</v>
      </c>
      <c r="I13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47" spans="1:10" ht="45" x14ac:dyDescent="0.25">
      <c r="A1347" s="35">
        <f t="shared" si="33"/>
        <v>162</v>
      </c>
      <c r="B1347" s="5">
        <v>43784</v>
      </c>
      <c r="C1347" s="5" t="s">
        <v>134</v>
      </c>
      <c r="D1347" s="58" t="s">
        <v>1715</v>
      </c>
      <c r="E1347" s="46" t="s">
        <v>1716</v>
      </c>
      <c r="F1347" s="99">
        <v>20</v>
      </c>
      <c r="G1347" s="103">
        <v>104</v>
      </c>
      <c r="H1347" s="9" t="s">
        <v>6</v>
      </c>
      <c r="I13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48" spans="1:10" x14ac:dyDescent="0.25">
      <c r="A1348" s="35">
        <f t="shared" ref="A1348:A1411" si="34">IF(B1348=B1347,A1347,A1347+1)</f>
        <v>163</v>
      </c>
      <c r="B1348" s="5">
        <v>43785</v>
      </c>
      <c r="C1348" s="5" t="s">
        <v>1507</v>
      </c>
      <c r="D1348" s="57" t="s">
        <v>1722</v>
      </c>
      <c r="E1348" s="7" t="s">
        <v>1723</v>
      </c>
      <c r="F1348" s="33">
        <v>20</v>
      </c>
      <c r="G1348" s="63">
        <v>-110</v>
      </c>
      <c r="H1348" s="9" t="s">
        <v>6</v>
      </c>
      <c r="I13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49" spans="1:10" x14ac:dyDescent="0.25">
      <c r="A1349" s="35">
        <f t="shared" si="34"/>
        <v>163</v>
      </c>
      <c r="B1349" s="5">
        <v>43785</v>
      </c>
      <c r="C1349" s="5" t="s">
        <v>1507</v>
      </c>
      <c r="D1349" s="57" t="s">
        <v>1724</v>
      </c>
      <c r="E1349" s="7" t="s">
        <v>1725</v>
      </c>
      <c r="F1349" s="33">
        <v>20</v>
      </c>
      <c r="G1349" s="63">
        <v>-110</v>
      </c>
      <c r="H1349" s="9" t="s">
        <v>6</v>
      </c>
      <c r="I13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50" spans="1:10" x14ac:dyDescent="0.25">
      <c r="A1350" s="35">
        <f t="shared" si="34"/>
        <v>163</v>
      </c>
      <c r="B1350" s="5">
        <v>43785</v>
      </c>
      <c r="C1350" s="5" t="s">
        <v>1507</v>
      </c>
      <c r="D1350" s="57" t="s">
        <v>1726</v>
      </c>
      <c r="E1350" s="7" t="s">
        <v>1727</v>
      </c>
      <c r="F1350" s="33">
        <v>20</v>
      </c>
      <c r="G1350" s="63">
        <v>-110</v>
      </c>
      <c r="H1350" s="9" t="s">
        <v>6</v>
      </c>
      <c r="I13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51" spans="1:10" x14ac:dyDescent="0.25">
      <c r="A1351" s="35">
        <f t="shared" si="34"/>
        <v>163</v>
      </c>
      <c r="B1351" s="5">
        <v>43785</v>
      </c>
      <c r="C1351" s="5" t="s">
        <v>1507</v>
      </c>
      <c r="D1351" s="57" t="s">
        <v>1728</v>
      </c>
      <c r="E1351" s="7" t="s">
        <v>1729</v>
      </c>
      <c r="F1351" s="33">
        <v>20</v>
      </c>
      <c r="G1351" s="63">
        <v>-110</v>
      </c>
      <c r="H1351" s="9" t="s">
        <v>6</v>
      </c>
      <c r="I13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52" spans="1:10" x14ac:dyDescent="0.25">
      <c r="A1352" s="35">
        <f t="shared" si="34"/>
        <v>163</v>
      </c>
      <c r="B1352" s="5">
        <v>43785</v>
      </c>
      <c r="C1352" s="5" t="s">
        <v>1507</v>
      </c>
      <c r="D1352" s="57" t="s">
        <v>1730</v>
      </c>
      <c r="E1352" s="7" t="s">
        <v>1731</v>
      </c>
      <c r="F1352" s="33">
        <v>20</v>
      </c>
      <c r="G1352" s="63">
        <v>-110</v>
      </c>
      <c r="H1352" s="9" t="s">
        <v>36</v>
      </c>
      <c r="I13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3" spans="1:10" x14ac:dyDescent="0.25">
      <c r="A1353" s="35">
        <f t="shared" si="34"/>
        <v>163</v>
      </c>
      <c r="B1353" s="5">
        <v>43785</v>
      </c>
      <c r="C1353" s="5" t="s">
        <v>1507</v>
      </c>
      <c r="D1353" s="57" t="s">
        <v>1732</v>
      </c>
      <c r="E1353" s="7" t="s">
        <v>1734</v>
      </c>
      <c r="F1353" s="33">
        <v>20</v>
      </c>
      <c r="G1353" s="63">
        <v>-110</v>
      </c>
      <c r="H1353" s="9" t="s">
        <v>6</v>
      </c>
      <c r="I13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4" spans="1:10" x14ac:dyDescent="0.25">
      <c r="A1354" s="35">
        <f t="shared" si="34"/>
        <v>163</v>
      </c>
      <c r="B1354" s="5">
        <v>43785</v>
      </c>
      <c r="C1354" s="5" t="s">
        <v>1507</v>
      </c>
      <c r="D1354" s="57" t="s">
        <v>1733</v>
      </c>
      <c r="E1354" s="7" t="s">
        <v>1735</v>
      </c>
      <c r="F1354" s="33">
        <v>20</v>
      </c>
      <c r="G1354" s="63">
        <v>-110</v>
      </c>
      <c r="H1354" s="9" t="s">
        <v>6</v>
      </c>
      <c r="I13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55" spans="1:10" x14ac:dyDescent="0.25">
      <c r="A1355" s="35">
        <f t="shared" si="34"/>
        <v>163</v>
      </c>
      <c r="B1355" s="5">
        <v>43785</v>
      </c>
      <c r="C1355" s="5" t="s">
        <v>1507</v>
      </c>
      <c r="D1355" s="57" t="s">
        <v>1736</v>
      </c>
      <c r="E1355" s="7" t="s">
        <v>1739</v>
      </c>
      <c r="F1355" s="33">
        <v>20</v>
      </c>
      <c r="G1355" s="63">
        <v>-125</v>
      </c>
      <c r="H1355" s="9" t="s">
        <v>36</v>
      </c>
      <c r="I13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</v>
      </c>
      <c r="J13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6" spans="1:10" x14ac:dyDescent="0.25">
      <c r="A1356" s="35">
        <f t="shared" si="34"/>
        <v>163</v>
      </c>
      <c r="B1356" s="5">
        <v>43785</v>
      </c>
      <c r="C1356" s="5" t="s">
        <v>1507</v>
      </c>
      <c r="D1356" s="57" t="s">
        <v>1737</v>
      </c>
      <c r="E1356" s="7" t="s">
        <v>1740</v>
      </c>
      <c r="F1356" s="33">
        <v>20</v>
      </c>
      <c r="G1356" s="63">
        <v>-110</v>
      </c>
      <c r="H1356" s="9" t="s">
        <v>36</v>
      </c>
      <c r="I13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7" spans="1:10" x14ac:dyDescent="0.25">
      <c r="A1357" s="35">
        <f t="shared" si="34"/>
        <v>163</v>
      </c>
      <c r="B1357" s="5">
        <v>43785</v>
      </c>
      <c r="C1357" s="5" t="s">
        <v>1507</v>
      </c>
      <c r="D1357" s="57" t="s">
        <v>1738</v>
      </c>
      <c r="E1357" s="7" t="s">
        <v>1741</v>
      </c>
      <c r="F1357" s="33">
        <v>20</v>
      </c>
      <c r="G1357" s="63">
        <v>-112</v>
      </c>
      <c r="H1357" s="9" t="s">
        <v>36</v>
      </c>
      <c r="I13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17.857142857142858</v>
      </c>
      <c r="J13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8" spans="1:10" x14ac:dyDescent="0.25">
      <c r="A1358" s="35">
        <f t="shared" si="34"/>
        <v>163</v>
      </c>
      <c r="B1358" s="5">
        <v>43785</v>
      </c>
      <c r="C1358" s="5" t="s">
        <v>1507</v>
      </c>
      <c r="D1358" s="57" t="s">
        <v>1742</v>
      </c>
      <c r="E1358" s="7" t="s">
        <v>1746</v>
      </c>
      <c r="F1358" s="33">
        <v>20</v>
      </c>
      <c r="G1358" s="63">
        <v>-121</v>
      </c>
      <c r="H1358" s="9" t="s">
        <v>6</v>
      </c>
      <c r="I13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59" spans="1:10" x14ac:dyDescent="0.25">
      <c r="A1359" s="35">
        <f t="shared" si="34"/>
        <v>163</v>
      </c>
      <c r="B1359" s="5">
        <v>43785</v>
      </c>
      <c r="C1359" s="5" t="s">
        <v>1507</v>
      </c>
      <c r="D1359" s="57" t="s">
        <v>1743</v>
      </c>
      <c r="E1359" s="7" t="s">
        <v>1747</v>
      </c>
      <c r="F1359" s="33">
        <v>20</v>
      </c>
      <c r="G1359" s="63">
        <v>-110</v>
      </c>
      <c r="H1359" s="9" t="s">
        <v>36</v>
      </c>
      <c r="I13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60" spans="1:10" x14ac:dyDescent="0.25">
      <c r="A1360" s="35">
        <f t="shared" si="34"/>
        <v>163</v>
      </c>
      <c r="B1360" s="5">
        <v>43785</v>
      </c>
      <c r="C1360" s="5" t="s">
        <v>1507</v>
      </c>
      <c r="D1360" s="57" t="s">
        <v>1744</v>
      </c>
      <c r="E1360" s="7" t="s">
        <v>1748</v>
      </c>
      <c r="F1360" s="33">
        <v>20</v>
      </c>
      <c r="G1360" s="63">
        <v>-110</v>
      </c>
      <c r="H1360" s="9" t="s">
        <v>36</v>
      </c>
      <c r="I13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61" spans="1:10" x14ac:dyDescent="0.25">
      <c r="A1361" s="35">
        <f t="shared" si="34"/>
        <v>163</v>
      </c>
      <c r="B1361" s="5">
        <v>43785</v>
      </c>
      <c r="C1361" s="5" t="s">
        <v>1507</v>
      </c>
      <c r="D1361" s="57" t="s">
        <v>1745</v>
      </c>
      <c r="E1361" s="7" t="s">
        <v>1749</v>
      </c>
      <c r="F1361" s="33">
        <v>20</v>
      </c>
      <c r="G1361" s="63">
        <v>-107</v>
      </c>
      <c r="H1361" s="9" t="s">
        <v>36</v>
      </c>
      <c r="I13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18.691588785046729</v>
      </c>
      <c r="J13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62" spans="1:10" x14ac:dyDescent="0.25">
      <c r="A1362" s="35">
        <f t="shared" si="34"/>
        <v>163</v>
      </c>
      <c r="B1362" s="5">
        <v>43785</v>
      </c>
      <c r="C1362" s="5" t="s">
        <v>1507</v>
      </c>
      <c r="D1362" s="57" t="s">
        <v>1750</v>
      </c>
      <c r="E1362" s="7" t="s">
        <v>1751</v>
      </c>
      <c r="F1362" s="33">
        <v>20</v>
      </c>
      <c r="G1362" s="63">
        <v>-112</v>
      </c>
      <c r="H1362" s="9" t="s">
        <v>6</v>
      </c>
      <c r="I13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63" spans="1:10" x14ac:dyDescent="0.25">
      <c r="A1363" s="35">
        <f t="shared" si="34"/>
        <v>163</v>
      </c>
      <c r="B1363" s="5">
        <v>43785</v>
      </c>
      <c r="C1363" s="5" t="s">
        <v>1507</v>
      </c>
      <c r="D1363" s="57" t="s">
        <v>1753</v>
      </c>
      <c r="E1363" s="7" t="s">
        <v>1752</v>
      </c>
      <c r="F1363" s="33">
        <v>20</v>
      </c>
      <c r="G1363" s="63">
        <v>-121</v>
      </c>
      <c r="H1363" s="9" t="s">
        <v>6</v>
      </c>
      <c r="I13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64" spans="1:10" x14ac:dyDescent="0.25">
      <c r="A1364" s="35">
        <f t="shared" si="34"/>
        <v>163</v>
      </c>
      <c r="B1364" s="5">
        <v>43785</v>
      </c>
      <c r="C1364" s="5" t="s">
        <v>1507</v>
      </c>
      <c r="D1364" s="57" t="s">
        <v>1754</v>
      </c>
      <c r="E1364" s="7" t="s">
        <v>1755</v>
      </c>
      <c r="F1364" s="33">
        <v>20</v>
      </c>
      <c r="G1364" s="63">
        <v>-110</v>
      </c>
      <c r="H1364" s="9" t="s">
        <v>6</v>
      </c>
      <c r="I13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65" spans="1:10" x14ac:dyDescent="0.25">
      <c r="A1365" s="35">
        <f t="shared" si="34"/>
        <v>163</v>
      </c>
      <c r="B1365" s="5">
        <v>43785</v>
      </c>
      <c r="C1365" s="5" t="s">
        <v>1507</v>
      </c>
      <c r="D1365" s="57" t="s">
        <v>1756</v>
      </c>
      <c r="E1365" s="7" t="s">
        <v>1757</v>
      </c>
      <c r="F1365" s="33">
        <v>20</v>
      </c>
      <c r="G1365" s="63">
        <v>-110</v>
      </c>
      <c r="H1365" s="9" t="s">
        <v>36</v>
      </c>
      <c r="I13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66" spans="1:10" ht="30" x14ac:dyDescent="0.25">
      <c r="A1366" s="35">
        <f t="shared" si="34"/>
        <v>163</v>
      </c>
      <c r="B1366" s="5">
        <v>43785</v>
      </c>
      <c r="C1366" s="5" t="s">
        <v>1507</v>
      </c>
      <c r="D1366" s="58" t="s">
        <v>1758</v>
      </c>
      <c r="E1366" s="46" t="s">
        <v>1759</v>
      </c>
      <c r="F1366" s="33">
        <v>40</v>
      </c>
      <c r="G1366" s="63">
        <v>-103</v>
      </c>
      <c r="H1366" s="9" t="s">
        <v>6</v>
      </c>
      <c r="I13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3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67" spans="1:10" x14ac:dyDescent="0.25">
      <c r="A1367" s="35">
        <f t="shared" si="34"/>
        <v>164</v>
      </c>
      <c r="B1367" s="5">
        <v>43786</v>
      </c>
      <c r="C1367" s="5" t="s">
        <v>133</v>
      </c>
      <c r="D1367" s="57" t="s">
        <v>1717</v>
      </c>
      <c r="E1367" s="7" t="s">
        <v>1718</v>
      </c>
      <c r="F1367" s="33">
        <v>20</v>
      </c>
      <c r="G1367" s="63">
        <v>100</v>
      </c>
      <c r="H1367" s="9" t="s">
        <v>6</v>
      </c>
      <c r="I13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/>
      </c>
    </row>
    <row r="1368" spans="1:10" x14ac:dyDescent="0.25">
      <c r="A1368" s="35">
        <f t="shared" si="34"/>
        <v>164</v>
      </c>
      <c r="B1368" s="5">
        <v>43786</v>
      </c>
      <c r="C1368" s="5" t="s">
        <v>133</v>
      </c>
      <c r="D1368" s="57" t="s">
        <v>1719</v>
      </c>
      <c r="E1368" s="7" t="s">
        <v>1720</v>
      </c>
      <c r="F1368" s="33">
        <v>20</v>
      </c>
      <c r="G1368" s="63">
        <v>210</v>
      </c>
      <c r="H1368" s="9" t="s">
        <v>6</v>
      </c>
      <c r="I13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369" spans="1:10" ht="30" x14ac:dyDescent="0.25">
      <c r="A1369" s="35">
        <f t="shared" si="34"/>
        <v>164</v>
      </c>
      <c r="B1369" s="5">
        <v>43786</v>
      </c>
      <c r="C1369" s="5" t="s">
        <v>133</v>
      </c>
      <c r="D1369" s="57" t="s">
        <v>1719</v>
      </c>
      <c r="E1369" s="46" t="s">
        <v>1721</v>
      </c>
      <c r="F1369" s="33">
        <v>2.59</v>
      </c>
      <c r="G1369" s="63">
        <v>10000</v>
      </c>
      <c r="H1369" s="9" t="s">
        <v>6</v>
      </c>
      <c r="I13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-2.59</v>
      </c>
      <c r="J13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70" spans="1:10" ht="30" x14ac:dyDescent="0.25">
      <c r="A1370" s="35">
        <f t="shared" si="34"/>
        <v>165</v>
      </c>
      <c r="B1370" s="5">
        <v>43790</v>
      </c>
      <c r="C1370" s="5" t="s">
        <v>134</v>
      </c>
      <c r="D1370" s="58" t="s">
        <v>1760</v>
      </c>
      <c r="E1370" s="46" t="s">
        <v>1761</v>
      </c>
      <c r="F1370" s="33">
        <v>20</v>
      </c>
      <c r="G1370" s="63">
        <v>-130</v>
      </c>
      <c r="H1370" s="9" t="s">
        <v>6</v>
      </c>
      <c r="I13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71" spans="1:10" x14ac:dyDescent="0.25">
      <c r="A1371" s="35">
        <f t="shared" si="34"/>
        <v>165</v>
      </c>
      <c r="B1371" s="5">
        <v>43790</v>
      </c>
      <c r="C1371" s="5" t="s">
        <v>133</v>
      </c>
      <c r="D1371" s="57" t="s">
        <v>1792</v>
      </c>
      <c r="E1371" s="46" t="s">
        <v>1793</v>
      </c>
      <c r="F1371" s="33">
        <v>15</v>
      </c>
      <c r="G1371" s="63">
        <v>-110</v>
      </c>
      <c r="H1371" s="9" t="s">
        <v>6</v>
      </c>
      <c r="I13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</v>
      </c>
      <c r="J13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72" spans="1:10" x14ac:dyDescent="0.25">
      <c r="A1372" s="35">
        <f t="shared" si="34"/>
        <v>166</v>
      </c>
      <c r="B1372" s="5">
        <v>43793</v>
      </c>
      <c r="C1372" s="5" t="s">
        <v>133</v>
      </c>
      <c r="D1372" s="57" t="s">
        <v>1763</v>
      </c>
      <c r="E1372" s="7" t="s">
        <v>1762</v>
      </c>
      <c r="F1372" s="33">
        <v>20</v>
      </c>
      <c r="G1372" s="63">
        <v>-103</v>
      </c>
      <c r="H1372" s="9" t="s">
        <v>36</v>
      </c>
      <c r="I13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19.417475728155338</v>
      </c>
      <c r="J13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73" spans="1:10" x14ac:dyDescent="0.25">
      <c r="A1373" s="35">
        <f t="shared" si="34"/>
        <v>166</v>
      </c>
      <c r="B1373" s="5">
        <v>43793</v>
      </c>
      <c r="C1373" s="5" t="s">
        <v>133</v>
      </c>
      <c r="D1373" s="57" t="s">
        <v>1764</v>
      </c>
      <c r="E1373" s="7" t="s">
        <v>1770</v>
      </c>
      <c r="F1373" s="33">
        <v>20</v>
      </c>
      <c r="G1373" s="63">
        <v>-110</v>
      </c>
      <c r="H1373" s="9" t="s">
        <v>6</v>
      </c>
      <c r="I13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74" spans="1:10" x14ac:dyDescent="0.25">
      <c r="A1374" s="35">
        <f t="shared" si="34"/>
        <v>166</v>
      </c>
      <c r="B1374" s="5">
        <v>43793</v>
      </c>
      <c r="C1374" s="5" t="s">
        <v>133</v>
      </c>
      <c r="D1374" s="57" t="s">
        <v>1764</v>
      </c>
      <c r="E1374" s="7" t="s">
        <v>1771</v>
      </c>
      <c r="F1374" s="33">
        <v>20</v>
      </c>
      <c r="G1374" s="63">
        <v>-110</v>
      </c>
      <c r="H1374" s="9" t="s">
        <v>6</v>
      </c>
      <c r="I13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75" spans="1:10" x14ac:dyDescent="0.25">
      <c r="A1375" s="35">
        <f t="shared" si="34"/>
        <v>166</v>
      </c>
      <c r="B1375" s="5">
        <v>43793</v>
      </c>
      <c r="C1375" s="5" t="s">
        <v>133</v>
      </c>
      <c r="D1375" s="57" t="s">
        <v>1765</v>
      </c>
      <c r="E1375" s="7" t="s">
        <v>1772</v>
      </c>
      <c r="F1375" s="33">
        <v>20</v>
      </c>
      <c r="G1375" s="63">
        <v>-110</v>
      </c>
      <c r="H1375" s="9" t="s">
        <v>6</v>
      </c>
      <c r="I13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76" spans="1:10" x14ac:dyDescent="0.25">
      <c r="A1376" s="35">
        <f t="shared" si="34"/>
        <v>166</v>
      </c>
      <c r="B1376" s="5">
        <v>43793</v>
      </c>
      <c r="C1376" s="5" t="s">
        <v>133</v>
      </c>
      <c r="D1376" s="57" t="s">
        <v>1766</v>
      </c>
      <c r="E1376" s="7" t="s">
        <v>1773</v>
      </c>
      <c r="F1376" s="33">
        <v>20</v>
      </c>
      <c r="G1376" s="63">
        <v>-105</v>
      </c>
      <c r="H1376" s="9" t="s">
        <v>6</v>
      </c>
      <c r="I13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77" spans="1:10" x14ac:dyDescent="0.25">
      <c r="A1377" s="35">
        <f t="shared" si="34"/>
        <v>166</v>
      </c>
      <c r="B1377" s="5">
        <v>43793</v>
      </c>
      <c r="C1377" s="5" t="s">
        <v>133</v>
      </c>
      <c r="D1377" s="57" t="s">
        <v>1767</v>
      </c>
      <c r="E1377" s="7" t="s">
        <v>48</v>
      </c>
      <c r="F1377" s="33">
        <v>20</v>
      </c>
      <c r="G1377" s="63">
        <v>-110</v>
      </c>
      <c r="H1377" s="9" t="s">
        <v>36</v>
      </c>
      <c r="I13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78" spans="1:10" x14ac:dyDescent="0.25">
      <c r="A1378" s="35">
        <f t="shared" si="34"/>
        <v>166</v>
      </c>
      <c r="B1378" s="5">
        <v>43793</v>
      </c>
      <c r="C1378" s="5" t="s">
        <v>133</v>
      </c>
      <c r="D1378" s="57" t="s">
        <v>1768</v>
      </c>
      <c r="E1378" s="7" t="s">
        <v>1774</v>
      </c>
      <c r="F1378" s="33">
        <v>20</v>
      </c>
      <c r="G1378" s="63">
        <v>-110</v>
      </c>
      <c r="H1378" s="9" t="s">
        <v>36</v>
      </c>
      <c r="I13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79" spans="1:10" x14ac:dyDescent="0.25">
      <c r="A1379" s="35">
        <f t="shared" si="34"/>
        <v>166</v>
      </c>
      <c r="B1379" s="5">
        <v>43793</v>
      </c>
      <c r="C1379" s="5" t="s">
        <v>133</v>
      </c>
      <c r="D1379" s="57" t="s">
        <v>1769</v>
      </c>
      <c r="E1379" s="7" t="s">
        <v>1775</v>
      </c>
      <c r="F1379" s="33">
        <v>20</v>
      </c>
      <c r="G1379" s="63">
        <v>-110</v>
      </c>
      <c r="H1379" s="9" t="s">
        <v>36</v>
      </c>
      <c r="I13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80" spans="1:10" x14ac:dyDescent="0.25">
      <c r="A1380" s="35">
        <f t="shared" si="34"/>
        <v>167</v>
      </c>
      <c r="B1380" s="5">
        <v>43794</v>
      </c>
      <c r="C1380" s="5" t="s">
        <v>133</v>
      </c>
      <c r="D1380" s="57" t="s">
        <v>1776</v>
      </c>
      <c r="E1380" s="57" t="s">
        <v>1777</v>
      </c>
      <c r="F1380" s="33">
        <v>20</v>
      </c>
      <c r="G1380" s="63">
        <v>-103</v>
      </c>
      <c r="H1380" s="9" t="s">
        <v>36</v>
      </c>
      <c r="I13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19.417475728155338</v>
      </c>
      <c r="J13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81" spans="1:10" x14ac:dyDescent="0.25">
      <c r="A1381" s="35">
        <f t="shared" si="34"/>
        <v>167</v>
      </c>
      <c r="B1381" s="5">
        <v>43794</v>
      </c>
      <c r="C1381" s="5" t="s">
        <v>133</v>
      </c>
      <c r="D1381" s="57" t="s">
        <v>1776</v>
      </c>
      <c r="E1381" s="7" t="s">
        <v>1778</v>
      </c>
      <c r="F1381" s="33">
        <v>20</v>
      </c>
      <c r="G1381" s="63">
        <v>-110</v>
      </c>
      <c r="H1381" s="9" t="s">
        <v>36</v>
      </c>
      <c r="I13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82" spans="1:10" x14ac:dyDescent="0.25">
      <c r="A1382" s="35">
        <f t="shared" si="34"/>
        <v>168</v>
      </c>
      <c r="B1382" s="5">
        <v>43797</v>
      </c>
      <c r="C1382" s="5" t="s">
        <v>133</v>
      </c>
      <c r="D1382" s="57" t="s">
        <v>1779</v>
      </c>
      <c r="E1382" s="7" t="s">
        <v>1780</v>
      </c>
      <c r="F1382" s="33">
        <v>50</v>
      </c>
      <c r="G1382" s="63">
        <v>-110</v>
      </c>
      <c r="H1382" s="9" t="s">
        <v>6</v>
      </c>
      <c r="I13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-50</v>
      </c>
      <c r="J13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83" spans="1:10" ht="30" x14ac:dyDescent="0.25">
      <c r="A1383" s="35">
        <f t="shared" si="34"/>
        <v>168</v>
      </c>
      <c r="B1383" s="5">
        <v>43797</v>
      </c>
      <c r="C1383" s="5" t="s">
        <v>133</v>
      </c>
      <c r="D1383" s="57" t="s">
        <v>1779</v>
      </c>
      <c r="E1383" s="46" t="s">
        <v>1781</v>
      </c>
      <c r="F1383" s="33">
        <v>20</v>
      </c>
      <c r="G1383" s="63">
        <v>300</v>
      </c>
      <c r="H1383" s="9" t="s">
        <v>6</v>
      </c>
      <c r="I13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84" spans="1:10" ht="30" x14ac:dyDescent="0.25">
      <c r="A1384" s="35">
        <f t="shared" si="34"/>
        <v>168</v>
      </c>
      <c r="B1384" s="5">
        <v>43797</v>
      </c>
      <c r="C1384" s="5" t="s">
        <v>133</v>
      </c>
      <c r="D1384" s="57" t="s">
        <v>1782</v>
      </c>
      <c r="E1384" s="46" t="s">
        <v>1783</v>
      </c>
      <c r="F1384" s="33">
        <v>20</v>
      </c>
      <c r="G1384" s="63">
        <v>225</v>
      </c>
      <c r="H1384" s="9" t="s">
        <v>36</v>
      </c>
      <c r="I13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45</v>
      </c>
      <c r="J13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85" spans="1:10" x14ac:dyDescent="0.25">
      <c r="A1385" s="35">
        <f t="shared" si="34"/>
        <v>169</v>
      </c>
      <c r="B1385" s="5">
        <v>43800</v>
      </c>
      <c r="C1385" s="5" t="s">
        <v>133</v>
      </c>
      <c r="D1385" s="57" t="s">
        <v>1784</v>
      </c>
      <c r="E1385" s="7" t="s">
        <v>1657</v>
      </c>
      <c r="F1385" s="33">
        <v>20</v>
      </c>
      <c r="G1385" s="63">
        <v>-118</v>
      </c>
      <c r="H1385" s="9" t="s">
        <v>6</v>
      </c>
      <c r="I13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86" spans="1:10" x14ac:dyDescent="0.25">
      <c r="A1386" s="35">
        <f t="shared" si="34"/>
        <v>169</v>
      </c>
      <c r="B1386" s="5">
        <v>43800</v>
      </c>
      <c r="C1386" s="5" t="s">
        <v>133</v>
      </c>
      <c r="D1386" s="57" t="s">
        <v>1785</v>
      </c>
      <c r="E1386" s="7" t="s">
        <v>1786</v>
      </c>
      <c r="F1386" s="33">
        <v>40</v>
      </c>
      <c r="G1386" s="63">
        <v>-121</v>
      </c>
      <c r="H1386" s="9" t="s">
        <v>6</v>
      </c>
      <c r="I13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3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87" spans="1:10" x14ac:dyDescent="0.25">
      <c r="A1387" s="35">
        <f t="shared" si="34"/>
        <v>170</v>
      </c>
      <c r="B1387" s="5">
        <v>43804</v>
      </c>
      <c r="C1387" s="5" t="s">
        <v>133</v>
      </c>
      <c r="D1387" s="57" t="s">
        <v>1787</v>
      </c>
      <c r="E1387" s="7" t="s">
        <v>1720</v>
      </c>
      <c r="F1387" s="33">
        <v>20</v>
      </c>
      <c r="G1387" s="63">
        <v>245</v>
      </c>
      <c r="H1387" s="9" t="s">
        <v>36</v>
      </c>
      <c r="I13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49</v>
      </c>
      <c r="J13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388" spans="1:10" ht="45" x14ac:dyDescent="0.25">
      <c r="A1388" s="35">
        <f t="shared" si="34"/>
        <v>171</v>
      </c>
      <c r="B1388" s="5">
        <v>43807</v>
      </c>
      <c r="C1388" s="5" t="s">
        <v>133</v>
      </c>
      <c r="D1388" s="58" t="s">
        <v>1788</v>
      </c>
      <c r="E1388" s="46" t="s">
        <v>1789</v>
      </c>
      <c r="F1388" s="33">
        <v>20</v>
      </c>
      <c r="G1388" s="63">
        <v>124</v>
      </c>
      <c r="H1388" s="9" t="s">
        <v>36</v>
      </c>
      <c r="I13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24.8</v>
      </c>
      <c r="J13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389" spans="1:10" x14ac:dyDescent="0.25">
      <c r="A1389" s="35">
        <f t="shared" si="34"/>
        <v>171</v>
      </c>
      <c r="B1389" s="5">
        <v>43807</v>
      </c>
      <c r="C1389" s="5" t="s">
        <v>133</v>
      </c>
      <c r="D1389" s="57" t="s">
        <v>1790</v>
      </c>
      <c r="E1389" s="7" t="s">
        <v>77</v>
      </c>
      <c r="F1389" s="33">
        <v>21.98</v>
      </c>
      <c r="G1389" s="63">
        <v>-110</v>
      </c>
      <c r="H1389" s="9" t="s">
        <v>36</v>
      </c>
      <c r="I13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19.981818181818181</v>
      </c>
      <c r="J13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390" spans="1:10" x14ac:dyDescent="0.25">
      <c r="A1390" s="35">
        <f t="shared" si="34"/>
        <v>171</v>
      </c>
      <c r="B1390" s="5">
        <v>43807</v>
      </c>
      <c r="C1390" s="5" t="s">
        <v>133</v>
      </c>
      <c r="D1390" s="57" t="s">
        <v>1791</v>
      </c>
      <c r="E1390" s="7" t="s">
        <v>64</v>
      </c>
      <c r="F1390" s="33">
        <v>21.98</v>
      </c>
      <c r="G1390" s="63">
        <v>-110</v>
      </c>
      <c r="H1390" s="9" t="s">
        <v>6</v>
      </c>
      <c r="I13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-21.98</v>
      </c>
      <c r="J13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91" spans="1:10" x14ac:dyDescent="0.25">
      <c r="A1391" s="35">
        <f t="shared" si="34"/>
        <v>172</v>
      </c>
      <c r="B1391" s="5">
        <v>43810</v>
      </c>
      <c r="C1391" s="5" t="s">
        <v>419</v>
      </c>
      <c r="D1391" s="57" t="s">
        <v>1794</v>
      </c>
      <c r="E1391" s="7" t="s">
        <v>1795</v>
      </c>
      <c r="F1391" s="33">
        <v>20</v>
      </c>
      <c r="G1391" s="63">
        <v>-112</v>
      </c>
      <c r="H1391" s="9" t="s">
        <v>6</v>
      </c>
      <c r="I13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392" spans="1:10" x14ac:dyDescent="0.25">
      <c r="A1392" s="35">
        <f t="shared" si="34"/>
        <v>172</v>
      </c>
      <c r="B1392" s="5">
        <v>43810</v>
      </c>
      <c r="C1392" s="5" t="s">
        <v>419</v>
      </c>
      <c r="D1392" s="57" t="s">
        <v>1796</v>
      </c>
      <c r="E1392" s="7" t="s">
        <v>1797</v>
      </c>
      <c r="F1392" s="33">
        <v>20</v>
      </c>
      <c r="G1392" s="63">
        <v>-113</v>
      </c>
      <c r="H1392" s="9" t="s">
        <v>36</v>
      </c>
      <c r="I13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3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93" spans="1:10" x14ac:dyDescent="0.25">
      <c r="A1393" s="35">
        <f t="shared" si="34"/>
        <v>172</v>
      </c>
      <c r="B1393" s="5">
        <v>43810</v>
      </c>
      <c r="C1393" s="5" t="s">
        <v>419</v>
      </c>
      <c r="D1393" s="57" t="s">
        <v>1798</v>
      </c>
      <c r="E1393" s="7" t="s">
        <v>1799</v>
      </c>
      <c r="F1393" s="33">
        <v>20</v>
      </c>
      <c r="G1393" s="63">
        <v>-109</v>
      </c>
      <c r="H1393" s="9" t="s">
        <v>36</v>
      </c>
      <c r="I13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3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94" spans="1:10" x14ac:dyDescent="0.25">
      <c r="A1394" s="35">
        <f t="shared" si="34"/>
        <v>172</v>
      </c>
      <c r="B1394" s="5">
        <v>43810</v>
      </c>
      <c r="C1394" s="5" t="s">
        <v>419</v>
      </c>
      <c r="D1394" s="57" t="s">
        <v>1800</v>
      </c>
      <c r="E1394" s="7" t="s">
        <v>1801</v>
      </c>
      <c r="F1394" s="33">
        <v>20</v>
      </c>
      <c r="G1394" s="63">
        <v>-110</v>
      </c>
      <c r="H1394" s="9" t="s">
        <v>6</v>
      </c>
      <c r="I13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95" spans="1:10" x14ac:dyDescent="0.25">
      <c r="A1395" s="35">
        <f t="shared" si="34"/>
        <v>172</v>
      </c>
      <c r="B1395" s="5">
        <v>43810</v>
      </c>
      <c r="C1395" s="5" t="s">
        <v>419</v>
      </c>
      <c r="D1395" s="57" t="s">
        <v>1800</v>
      </c>
      <c r="E1395" s="7" t="s">
        <v>1802</v>
      </c>
      <c r="F1395" s="33">
        <v>20</v>
      </c>
      <c r="G1395" s="63">
        <v>-108</v>
      </c>
      <c r="H1395" s="9" t="s">
        <v>36</v>
      </c>
      <c r="I13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3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96" spans="1:10" x14ac:dyDescent="0.25">
      <c r="A1396" s="35">
        <f t="shared" si="34"/>
        <v>172</v>
      </c>
      <c r="B1396" s="5">
        <v>43810</v>
      </c>
      <c r="C1396" s="5" t="s">
        <v>419</v>
      </c>
      <c r="D1396" s="57" t="s">
        <v>1803</v>
      </c>
      <c r="E1396" s="7" t="s">
        <v>1804</v>
      </c>
      <c r="F1396" s="33">
        <v>20</v>
      </c>
      <c r="G1396" s="63">
        <v>-110</v>
      </c>
      <c r="H1396" s="9" t="s">
        <v>36</v>
      </c>
      <c r="I13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3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97" spans="1:10" x14ac:dyDescent="0.25">
      <c r="A1397" s="35">
        <f t="shared" si="34"/>
        <v>172</v>
      </c>
      <c r="B1397" s="5">
        <v>43810</v>
      </c>
      <c r="C1397" s="5" t="s">
        <v>419</v>
      </c>
      <c r="D1397" s="57" t="s">
        <v>1803</v>
      </c>
      <c r="E1397" s="7" t="s">
        <v>1805</v>
      </c>
      <c r="F1397" s="33">
        <v>20</v>
      </c>
      <c r="G1397" s="63">
        <v>-113</v>
      </c>
      <c r="H1397" s="9" t="s">
        <v>6</v>
      </c>
      <c r="I13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398" spans="1:10" x14ac:dyDescent="0.25">
      <c r="A1398" s="35">
        <f t="shared" si="34"/>
        <v>172</v>
      </c>
      <c r="B1398" s="5">
        <v>43810</v>
      </c>
      <c r="C1398" s="5" t="s">
        <v>419</v>
      </c>
      <c r="D1398" s="57" t="s">
        <v>1806</v>
      </c>
      <c r="E1398" s="7" t="s">
        <v>1807</v>
      </c>
      <c r="F1398" s="33">
        <v>20</v>
      </c>
      <c r="G1398" s="63">
        <v>-112</v>
      </c>
      <c r="H1398" s="9" t="s">
        <v>6</v>
      </c>
      <c r="I13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3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399" spans="1:10" x14ac:dyDescent="0.25">
      <c r="A1399" s="35">
        <f t="shared" si="34"/>
        <v>172</v>
      </c>
      <c r="B1399" s="5">
        <v>43810</v>
      </c>
      <c r="C1399" s="5" t="s">
        <v>419</v>
      </c>
      <c r="D1399" s="57" t="s">
        <v>1808</v>
      </c>
      <c r="E1399" s="7" t="s">
        <v>1809</v>
      </c>
      <c r="F1399" s="33">
        <v>20</v>
      </c>
      <c r="G1399" s="63">
        <v>-108</v>
      </c>
      <c r="H1399" s="9" t="s">
        <v>36</v>
      </c>
      <c r="I13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3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00" spans="1:10" x14ac:dyDescent="0.25">
      <c r="A1400" s="35">
        <f t="shared" si="34"/>
        <v>172</v>
      </c>
      <c r="B1400" s="5">
        <v>43810</v>
      </c>
      <c r="C1400" s="5" t="s">
        <v>419</v>
      </c>
      <c r="D1400" s="57" t="s">
        <v>1810</v>
      </c>
      <c r="E1400" s="7" t="s">
        <v>1811</v>
      </c>
      <c r="F1400" s="33">
        <v>20</v>
      </c>
      <c r="G1400" s="63">
        <v>-109</v>
      </c>
      <c r="H1400" s="9" t="s">
        <v>36</v>
      </c>
      <c r="I14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01" spans="1:10" x14ac:dyDescent="0.25">
      <c r="A1401" s="35">
        <f t="shared" si="34"/>
        <v>172</v>
      </c>
      <c r="B1401" s="5">
        <v>43810</v>
      </c>
      <c r="C1401" s="5" t="s">
        <v>419</v>
      </c>
      <c r="D1401" s="57" t="s">
        <v>1812</v>
      </c>
      <c r="E1401" s="7" t="s">
        <v>873</v>
      </c>
      <c r="F1401" s="33">
        <v>20</v>
      </c>
      <c r="G1401" s="63">
        <v>-108</v>
      </c>
      <c r="H1401" s="9" t="s">
        <v>36</v>
      </c>
      <c r="I14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4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02" spans="1:10" x14ac:dyDescent="0.25">
      <c r="A1402" s="35">
        <f t="shared" si="34"/>
        <v>172</v>
      </c>
      <c r="B1402" s="5">
        <v>43810</v>
      </c>
      <c r="C1402" s="5" t="s">
        <v>419</v>
      </c>
      <c r="D1402" s="57" t="s">
        <v>1813</v>
      </c>
      <c r="E1402" s="7" t="s">
        <v>493</v>
      </c>
      <c r="F1402" s="33">
        <v>20</v>
      </c>
      <c r="G1402" s="63">
        <v>-108</v>
      </c>
      <c r="H1402" s="9" t="s">
        <v>36</v>
      </c>
      <c r="I14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4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03" spans="1:10" x14ac:dyDescent="0.25">
      <c r="A1403" s="35">
        <f t="shared" si="34"/>
        <v>173</v>
      </c>
      <c r="B1403" s="5">
        <v>43812</v>
      </c>
      <c r="C1403" s="5" t="s">
        <v>419</v>
      </c>
      <c r="D1403" s="57" t="s">
        <v>1825</v>
      </c>
      <c r="E1403" s="33" t="s">
        <v>1826</v>
      </c>
      <c r="F1403" s="33">
        <v>20</v>
      </c>
      <c r="G1403" s="63">
        <v>-113</v>
      </c>
      <c r="H1403" s="9" t="s">
        <v>36</v>
      </c>
      <c r="I14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4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04" spans="1:10" x14ac:dyDescent="0.25">
      <c r="A1404" s="35">
        <f t="shared" si="34"/>
        <v>173</v>
      </c>
      <c r="B1404" s="5">
        <v>43812</v>
      </c>
      <c r="C1404" s="5" t="s">
        <v>419</v>
      </c>
      <c r="D1404" s="57" t="s">
        <v>1825</v>
      </c>
      <c r="E1404" s="33" t="s">
        <v>409</v>
      </c>
      <c r="F1404" s="33">
        <v>20</v>
      </c>
      <c r="G1404" s="63">
        <v>-112</v>
      </c>
      <c r="H1404" s="9" t="s">
        <v>36</v>
      </c>
      <c r="I14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17.857142857142858</v>
      </c>
      <c r="J14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05" spans="1:10" x14ac:dyDescent="0.25">
      <c r="A1405" s="35">
        <f t="shared" si="34"/>
        <v>173</v>
      </c>
      <c r="B1405" s="5">
        <v>43812</v>
      </c>
      <c r="C1405" s="5" t="s">
        <v>419</v>
      </c>
      <c r="D1405" s="57" t="s">
        <v>1827</v>
      </c>
      <c r="E1405" s="33" t="s">
        <v>1828</v>
      </c>
      <c r="F1405" s="33">
        <v>20</v>
      </c>
      <c r="G1405" s="63">
        <v>-110</v>
      </c>
      <c r="H1405" s="9" t="s">
        <v>6</v>
      </c>
      <c r="I14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06" spans="1:10" x14ac:dyDescent="0.25">
      <c r="A1406" s="35">
        <f t="shared" si="34"/>
        <v>173</v>
      </c>
      <c r="B1406" s="5">
        <v>43812</v>
      </c>
      <c r="C1406" s="5" t="s">
        <v>419</v>
      </c>
      <c r="D1406" s="57" t="s">
        <v>1829</v>
      </c>
      <c r="E1406" s="33" t="s">
        <v>837</v>
      </c>
      <c r="F1406" s="33">
        <v>20</v>
      </c>
      <c r="G1406" s="63">
        <v>-112</v>
      </c>
      <c r="H1406" s="9" t="s">
        <v>36</v>
      </c>
      <c r="I14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17.857142857142858</v>
      </c>
      <c r="J14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07" spans="1:10" x14ac:dyDescent="0.25">
      <c r="A1407" s="35">
        <f t="shared" si="34"/>
        <v>174</v>
      </c>
      <c r="B1407" s="5">
        <v>43813</v>
      </c>
      <c r="C1407" s="5" t="s">
        <v>419</v>
      </c>
      <c r="D1407" s="57" t="s">
        <v>1847</v>
      </c>
      <c r="E1407" s="7" t="s">
        <v>1877</v>
      </c>
      <c r="F1407" s="33">
        <v>20</v>
      </c>
      <c r="G1407" s="63">
        <v>-113</v>
      </c>
      <c r="H1407" s="9" t="s">
        <v>6</v>
      </c>
      <c r="I14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08" spans="1:10" x14ac:dyDescent="0.25">
      <c r="A1408" s="35">
        <f t="shared" si="34"/>
        <v>174</v>
      </c>
      <c r="B1408" s="5">
        <v>43813</v>
      </c>
      <c r="C1408" s="5" t="s">
        <v>419</v>
      </c>
      <c r="D1408" s="57" t="s">
        <v>1848</v>
      </c>
      <c r="E1408" s="7" t="s">
        <v>474</v>
      </c>
      <c r="F1408" s="33">
        <v>20</v>
      </c>
      <c r="G1408" s="63">
        <v>-108</v>
      </c>
      <c r="H1408" s="9" t="s">
        <v>6</v>
      </c>
      <c r="I14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09" spans="1:10" x14ac:dyDescent="0.25">
      <c r="A1409" s="35">
        <f t="shared" si="34"/>
        <v>174</v>
      </c>
      <c r="B1409" s="5">
        <v>43813</v>
      </c>
      <c r="C1409" s="5" t="s">
        <v>419</v>
      </c>
      <c r="D1409" s="57" t="s">
        <v>1849</v>
      </c>
      <c r="E1409" s="7" t="s">
        <v>772</v>
      </c>
      <c r="F1409" s="33">
        <v>20</v>
      </c>
      <c r="G1409" s="63">
        <v>-112</v>
      </c>
      <c r="H1409" s="9" t="s">
        <v>6</v>
      </c>
      <c r="I14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10" spans="1:10" x14ac:dyDescent="0.25">
      <c r="A1410" s="35">
        <f t="shared" si="34"/>
        <v>174</v>
      </c>
      <c r="B1410" s="5">
        <v>43813</v>
      </c>
      <c r="C1410" s="5" t="s">
        <v>419</v>
      </c>
      <c r="D1410" s="57" t="s">
        <v>1850</v>
      </c>
      <c r="E1410" s="7" t="s">
        <v>598</v>
      </c>
      <c r="F1410" s="33">
        <v>20</v>
      </c>
      <c r="G1410" s="63">
        <v>-109</v>
      </c>
      <c r="H1410" s="9" t="s">
        <v>6</v>
      </c>
      <c r="I14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11" spans="1:10" x14ac:dyDescent="0.25">
      <c r="A1411" s="35">
        <f t="shared" si="34"/>
        <v>174</v>
      </c>
      <c r="B1411" s="5">
        <v>43813</v>
      </c>
      <c r="C1411" s="5" t="s">
        <v>419</v>
      </c>
      <c r="D1411" s="57" t="s">
        <v>1851</v>
      </c>
      <c r="E1411" s="7" t="s">
        <v>1852</v>
      </c>
      <c r="F1411" s="33">
        <v>20</v>
      </c>
      <c r="G1411" s="63">
        <v>-109</v>
      </c>
      <c r="H1411" s="9" t="s">
        <v>36</v>
      </c>
      <c r="I14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12" spans="1:10" x14ac:dyDescent="0.25">
      <c r="A1412" s="35">
        <f t="shared" ref="A1412:A1475" si="35">IF(B1412=B1411,A1411,A1411+1)</f>
        <v>174</v>
      </c>
      <c r="B1412" s="5">
        <v>43813</v>
      </c>
      <c r="C1412" s="5" t="s">
        <v>419</v>
      </c>
      <c r="D1412" s="57" t="s">
        <v>1851</v>
      </c>
      <c r="E1412" s="7" t="s">
        <v>772</v>
      </c>
      <c r="F1412" s="33">
        <v>20</v>
      </c>
      <c r="G1412" s="63">
        <v>-109</v>
      </c>
      <c r="H1412" s="9" t="s">
        <v>6</v>
      </c>
      <c r="I14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13" spans="1:10" x14ac:dyDescent="0.25">
      <c r="A1413" s="35">
        <f t="shared" si="35"/>
        <v>174</v>
      </c>
      <c r="B1413" s="5">
        <v>43813</v>
      </c>
      <c r="C1413" s="5" t="s">
        <v>419</v>
      </c>
      <c r="D1413" s="57" t="s">
        <v>1853</v>
      </c>
      <c r="E1413" s="7" t="s">
        <v>1205</v>
      </c>
      <c r="F1413" s="33">
        <v>20</v>
      </c>
      <c r="G1413" s="63">
        <v>-113</v>
      </c>
      <c r="H1413" s="9" t="s">
        <v>36</v>
      </c>
      <c r="I14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4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14" spans="1:10" x14ac:dyDescent="0.25">
      <c r="A1414" s="35">
        <f t="shared" si="35"/>
        <v>174</v>
      </c>
      <c r="B1414" s="5">
        <v>43813</v>
      </c>
      <c r="C1414" s="5" t="s">
        <v>419</v>
      </c>
      <c r="D1414" s="57" t="s">
        <v>1854</v>
      </c>
      <c r="E1414" s="7" t="s">
        <v>568</v>
      </c>
      <c r="F1414" s="33">
        <v>20</v>
      </c>
      <c r="G1414" s="63">
        <v>-108</v>
      </c>
      <c r="H1414" s="9" t="s">
        <v>36</v>
      </c>
      <c r="I14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4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15" spans="1:10" x14ac:dyDescent="0.25">
      <c r="A1415" s="35">
        <f t="shared" si="35"/>
        <v>174</v>
      </c>
      <c r="B1415" s="5">
        <v>43813</v>
      </c>
      <c r="C1415" s="5" t="s">
        <v>419</v>
      </c>
      <c r="D1415" s="57" t="s">
        <v>1855</v>
      </c>
      <c r="E1415" s="7" t="s">
        <v>1856</v>
      </c>
      <c r="F1415" s="33">
        <v>20</v>
      </c>
      <c r="G1415" s="63">
        <v>-109</v>
      </c>
      <c r="H1415" s="9" t="s">
        <v>36</v>
      </c>
      <c r="I14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16" spans="1:10" x14ac:dyDescent="0.25">
      <c r="A1416" s="35">
        <f t="shared" si="35"/>
        <v>174</v>
      </c>
      <c r="B1416" s="5">
        <v>43813</v>
      </c>
      <c r="C1416" s="5" t="s">
        <v>419</v>
      </c>
      <c r="D1416" s="57" t="s">
        <v>1857</v>
      </c>
      <c r="E1416" s="7" t="s">
        <v>1879</v>
      </c>
      <c r="F1416" s="33">
        <v>20</v>
      </c>
      <c r="G1416" s="63">
        <v>-109</v>
      </c>
      <c r="H1416" s="9" t="s">
        <v>6</v>
      </c>
      <c r="I14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17" spans="1:10" x14ac:dyDescent="0.25">
      <c r="A1417" s="35">
        <f t="shared" si="35"/>
        <v>174</v>
      </c>
      <c r="B1417" s="5">
        <v>43813</v>
      </c>
      <c r="C1417" s="5" t="s">
        <v>419</v>
      </c>
      <c r="D1417" s="57" t="s">
        <v>1857</v>
      </c>
      <c r="E1417" s="7" t="s">
        <v>1880</v>
      </c>
      <c r="F1417" s="33">
        <v>20</v>
      </c>
      <c r="G1417" s="63">
        <v>-108</v>
      </c>
      <c r="H1417" s="9" t="s">
        <v>6</v>
      </c>
      <c r="I14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18" spans="1:10" x14ac:dyDescent="0.25">
      <c r="A1418" s="35">
        <f t="shared" si="35"/>
        <v>174</v>
      </c>
      <c r="B1418" s="5">
        <v>43813</v>
      </c>
      <c r="C1418" s="5" t="s">
        <v>419</v>
      </c>
      <c r="D1418" s="57" t="s">
        <v>1858</v>
      </c>
      <c r="E1418" s="7" t="s">
        <v>1859</v>
      </c>
      <c r="F1418" s="33">
        <v>10</v>
      </c>
      <c r="G1418" s="63">
        <v>-114</v>
      </c>
      <c r="H1418" s="9" t="s">
        <v>36</v>
      </c>
      <c r="I14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8.7719298245614024</v>
      </c>
      <c r="J14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19" spans="1:10" x14ac:dyDescent="0.25">
      <c r="A1419" s="35">
        <f t="shared" si="35"/>
        <v>174</v>
      </c>
      <c r="B1419" s="5">
        <v>43813</v>
      </c>
      <c r="C1419" s="5" t="s">
        <v>419</v>
      </c>
      <c r="D1419" s="57" t="s">
        <v>1860</v>
      </c>
      <c r="E1419" s="7" t="s">
        <v>1861</v>
      </c>
      <c r="F1419" s="33">
        <v>10</v>
      </c>
      <c r="G1419" s="63">
        <v>-110</v>
      </c>
      <c r="H1419" s="9" t="s">
        <v>36</v>
      </c>
      <c r="I14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4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20" spans="1:10" x14ac:dyDescent="0.25">
      <c r="A1420" s="35">
        <f t="shared" si="35"/>
        <v>174</v>
      </c>
      <c r="B1420" s="5">
        <v>43813</v>
      </c>
      <c r="C1420" s="5" t="s">
        <v>419</v>
      </c>
      <c r="D1420" s="57" t="s">
        <v>1862</v>
      </c>
      <c r="E1420" s="7" t="s">
        <v>1863</v>
      </c>
      <c r="F1420" s="33">
        <v>10</v>
      </c>
      <c r="G1420" s="63">
        <v>-109</v>
      </c>
      <c r="H1420" s="9" t="s">
        <v>36</v>
      </c>
      <c r="I14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9.1743119266055047</v>
      </c>
      <c r="J14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21" spans="1:10" x14ac:dyDescent="0.25">
      <c r="A1421" s="35">
        <f t="shared" si="35"/>
        <v>174</v>
      </c>
      <c r="B1421" s="5">
        <v>43813</v>
      </c>
      <c r="C1421" s="5" t="s">
        <v>419</v>
      </c>
      <c r="D1421" s="57" t="s">
        <v>1864</v>
      </c>
      <c r="E1421" s="7" t="s">
        <v>1881</v>
      </c>
      <c r="F1421" s="33">
        <v>10</v>
      </c>
      <c r="G1421" s="63">
        <v>-112</v>
      </c>
      <c r="H1421" s="9" t="s">
        <v>36</v>
      </c>
      <c r="I14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8.9285714285714288</v>
      </c>
      <c r="J14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22" spans="1:10" x14ac:dyDescent="0.25">
      <c r="A1422" s="35">
        <f t="shared" si="35"/>
        <v>174</v>
      </c>
      <c r="B1422" s="5">
        <v>43813</v>
      </c>
      <c r="C1422" s="5" t="s">
        <v>419</v>
      </c>
      <c r="D1422" s="57" t="s">
        <v>1865</v>
      </c>
      <c r="E1422" s="7" t="s">
        <v>1878</v>
      </c>
      <c r="F1422" s="33">
        <v>20</v>
      </c>
      <c r="G1422" s="63">
        <v>-112</v>
      </c>
      <c r="H1422" s="9" t="s">
        <v>36</v>
      </c>
      <c r="I14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17.857142857142858</v>
      </c>
      <c r="J14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23" spans="1:10" x14ac:dyDescent="0.25">
      <c r="A1423" s="35">
        <f t="shared" si="35"/>
        <v>174</v>
      </c>
      <c r="B1423" s="5">
        <v>43813</v>
      </c>
      <c r="C1423" s="5" t="s">
        <v>419</v>
      </c>
      <c r="D1423" s="57" t="s">
        <v>1866</v>
      </c>
      <c r="E1423" s="7" t="s">
        <v>448</v>
      </c>
      <c r="F1423" s="33">
        <v>10</v>
      </c>
      <c r="G1423" s="63">
        <v>-110</v>
      </c>
      <c r="H1423" s="9" t="s">
        <v>6</v>
      </c>
      <c r="I14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24" spans="1:10" x14ac:dyDescent="0.25">
      <c r="A1424" s="35">
        <f t="shared" si="35"/>
        <v>174</v>
      </c>
      <c r="B1424" s="5">
        <v>43813</v>
      </c>
      <c r="C1424" s="5" t="s">
        <v>419</v>
      </c>
      <c r="D1424" s="57" t="s">
        <v>1867</v>
      </c>
      <c r="E1424" s="7" t="s">
        <v>1882</v>
      </c>
      <c r="F1424" s="33">
        <v>10</v>
      </c>
      <c r="G1424" s="63">
        <v>-109</v>
      </c>
      <c r="H1424" s="9" t="s">
        <v>36</v>
      </c>
      <c r="I14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9.1743119266055047</v>
      </c>
      <c r="J14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25" spans="1:10" x14ac:dyDescent="0.25">
      <c r="A1425" s="35">
        <f t="shared" si="35"/>
        <v>174</v>
      </c>
      <c r="B1425" s="5">
        <v>43813</v>
      </c>
      <c r="C1425" s="5" t="s">
        <v>419</v>
      </c>
      <c r="D1425" s="57" t="s">
        <v>1868</v>
      </c>
      <c r="E1425" s="7" t="s">
        <v>1883</v>
      </c>
      <c r="F1425" s="33">
        <v>10</v>
      </c>
      <c r="G1425" s="63">
        <v>-109</v>
      </c>
      <c r="H1425" s="9" t="s">
        <v>6</v>
      </c>
      <c r="I14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26" spans="1:10" x14ac:dyDescent="0.25">
      <c r="A1426" s="35">
        <f t="shared" si="35"/>
        <v>174</v>
      </c>
      <c r="B1426" s="5">
        <v>43813</v>
      </c>
      <c r="C1426" s="5" t="s">
        <v>419</v>
      </c>
      <c r="D1426" s="57" t="s">
        <v>1868</v>
      </c>
      <c r="E1426" s="7" t="s">
        <v>1884</v>
      </c>
      <c r="F1426" s="33">
        <v>10</v>
      </c>
      <c r="G1426" s="63">
        <v>-112</v>
      </c>
      <c r="H1426" s="9" t="s">
        <v>36</v>
      </c>
      <c r="I14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8.9285714285714288</v>
      </c>
      <c r="J14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27" spans="1:10" x14ac:dyDescent="0.25">
      <c r="A1427" s="35">
        <f t="shared" si="35"/>
        <v>174</v>
      </c>
      <c r="B1427" s="5">
        <v>43813</v>
      </c>
      <c r="C1427" s="5" t="s">
        <v>419</v>
      </c>
      <c r="D1427" s="57" t="s">
        <v>1870</v>
      </c>
      <c r="E1427" s="7" t="s">
        <v>1885</v>
      </c>
      <c r="F1427" s="33">
        <v>10</v>
      </c>
      <c r="G1427" s="63">
        <v>-107</v>
      </c>
      <c r="H1427" s="9" t="s">
        <v>6</v>
      </c>
      <c r="I14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28" spans="1:10" x14ac:dyDescent="0.25">
      <c r="A1428" s="35">
        <f t="shared" si="35"/>
        <v>174</v>
      </c>
      <c r="B1428" s="5">
        <v>43813</v>
      </c>
      <c r="C1428" s="5" t="s">
        <v>419</v>
      </c>
      <c r="D1428" s="57" t="s">
        <v>1871</v>
      </c>
      <c r="E1428" s="7" t="s">
        <v>1886</v>
      </c>
      <c r="F1428" s="33">
        <v>10</v>
      </c>
      <c r="G1428" s="63">
        <v>-113</v>
      </c>
      <c r="H1428" s="9" t="s">
        <v>36</v>
      </c>
      <c r="I14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8.8495575221238933</v>
      </c>
      <c r="J14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29" spans="1:10" x14ac:dyDescent="0.25">
      <c r="A1429" s="35">
        <f t="shared" si="35"/>
        <v>174</v>
      </c>
      <c r="B1429" s="5">
        <v>43813</v>
      </c>
      <c r="C1429" s="5" t="s">
        <v>419</v>
      </c>
      <c r="D1429" s="57" t="s">
        <v>1871</v>
      </c>
      <c r="E1429" s="7" t="s">
        <v>1130</v>
      </c>
      <c r="F1429" s="33">
        <v>10</v>
      </c>
      <c r="G1429" s="63">
        <v>-108</v>
      </c>
      <c r="H1429" s="9" t="s">
        <v>65</v>
      </c>
      <c r="I14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4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30" spans="1:10" x14ac:dyDescent="0.25">
      <c r="A1430" s="35">
        <f t="shared" si="35"/>
        <v>174</v>
      </c>
      <c r="B1430" s="5">
        <v>43813</v>
      </c>
      <c r="C1430" s="5" t="s">
        <v>419</v>
      </c>
      <c r="D1430" s="57" t="s">
        <v>1872</v>
      </c>
      <c r="E1430" s="7" t="s">
        <v>1873</v>
      </c>
      <c r="F1430" s="33">
        <v>10</v>
      </c>
      <c r="G1430" s="63">
        <v>-108</v>
      </c>
      <c r="H1430" s="9" t="s">
        <v>6</v>
      </c>
      <c r="I14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31" spans="1:10" x14ac:dyDescent="0.25">
      <c r="A1431" s="35">
        <f t="shared" si="35"/>
        <v>174</v>
      </c>
      <c r="B1431" s="5">
        <v>43813</v>
      </c>
      <c r="C1431" s="5" t="s">
        <v>419</v>
      </c>
      <c r="D1431" s="57" t="s">
        <v>1874</v>
      </c>
      <c r="E1431" s="7" t="s">
        <v>1887</v>
      </c>
      <c r="F1431" s="33">
        <v>20</v>
      </c>
      <c r="G1431" s="63">
        <v>-113</v>
      </c>
      <c r="H1431" s="9" t="s">
        <v>36</v>
      </c>
      <c r="I14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4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32" spans="1:10" x14ac:dyDescent="0.25">
      <c r="A1432" s="35">
        <f t="shared" si="35"/>
        <v>174</v>
      </c>
      <c r="B1432" s="5">
        <v>43813</v>
      </c>
      <c r="C1432" s="5" t="s">
        <v>419</v>
      </c>
      <c r="D1432" s="57" t="s">
        <v>1876</v>
      </c>
      <c r="E1432" s="7" t="s">
        <v>1888</v>
      </c>
      <c r="F1432" s="33">
        <v>20</v>
      </c>
      <c r="G1432" s="63">
        <v>-108</v>
      </c>
      <c r="H1432" s="9" t="s">
        <v>36</v>
      </c>
      <c r="I14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18.518518518518519</v>
      </c>
      <c r="J14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33" spans="1:10" x14ac:dyDescent="0.25">
      <c r="A1433" s="35">
        <f t="shared" si="35"/>
        <v>175</v>
      </c>
      <c r="B1433" s="5">
        <v>43814</v>
      </c>
      <c r="C1433" s="5" t="s">
        <v>133</v>
      </c>
      <c r="D1433" s="57" t="s">
        <v>1889</v>
      </c>
      <c r="E1433" s="7" t="s">
        <v>106</v>
      </c>
      <c r="F1433" s="33">
        <v>20</v>
      </c>
      <c r="G1433" s="63">
        <v>135</v>
      </c>
      <c r="H1433" s="9" t="s">
        <v>6</v>
      </c>
      <c r="I14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434" spans="1:10" x14ac:dyDescent="0.25">
      <c r="A1434" s="35">
        <f t="shared" si="35"/>
        <v>176</v>
      </c>
      <c r="B1434" s="5">
        <v>43815</v>
      </c>
      <c r="C1434" s="5" t="s">
        <v>419</v>
      </c>
      <c r="D1434" s="57" t="s">
        <v>1830</v>
      </c>
      <c r="E1434" s="7" t="s">
        <v>1831</v>
      </c>
      <c r="F1434" s="33">
        <v>40</v>
      </c>
      <c r="G1434" s="63">
        <v>-107</v>
      </c>
      <c r="H1434" s="9" t="s">
        <v>36</v>
      </c>
      <c r="I14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37.383177570093459</v>
      </c>
      <c r="J14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35" spans="1:10" x14ac:dyDescent="0.25">
      <c r="A1435" s="35">
        <f t="shared" si="35"/>
        <v>176</v>
      </c>
      <c r="B1435" s="5">
        <v>43815</v>
      </c>
      <c r="C1435" s="5" t="s">
        <v>419</v>
      </c>
      <c r="D1435" s="57" t="s">
        <v>1832</v>
      </c>
      <c r="E1435" s="7" t="s">
        <v>1833</v>
      </c>
      <c r="F1435" s="33">
        <v>40</v>
      </c>
      <c r="G1435" s="63">
        <v>-112</v>
      </c>
      <c r="H1435" s="9" t="s">
        <v>6</v>
      </c>
      <c r="I14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4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36" spans="1:10" x14ac:dyDescent="0.25">
      <c r="A1436" s="35">
        <f t="shared" si="35"/>
        <v>176</v>
      </c>
      <c r="B1436" s="5">
        <v>43815</v>
      </c>
      <c r="C1436" s="5" t="s">
        <v>419</v>
      </c>
      <c r="D1436" s="57" t="s">
        <v>1834</v>
      </c>
      <c r="E1436" s="7" t="s">
        <v>1835</v>
      </c>
      <c r="F1436" s="33">
        <v>40</v>
      </c>
      <c r="G1436" s="63">
        <v>-108</v>
      </c>
      <c r="H1436" s="9" t="s">
        <v>6</v>
      </c>
      <c r="I14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4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37" spans="1:10" x14ac:dyDescent="0.25">
      <c r="A1437" s="35">
        <f t="shared" si="35"/>
        <v>176</v>
      </c>
      <c r="B1437" s="5">
        <v>43815</v>
      </c>
      <c r="C1437" s="5" t="s">
        <v>419</v>
      </c>
      <c r="D1437" s="57" t="s">
        <v>1836</v>
      </c>
      <c r="E1437" s="7" t="s">
        <v>1837</v>
      </c>
      <c r="F1437" s="33">
        <v>40</v>
      </c>
      <c r="G1437" s="63">
        <v>-110</v>
      </c>
      <c r="H1437" s="9" t="s">
        <v>36</v>
      </c>
      <c r="I14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36.363636363636367</v>
      </c>
      <c r="J14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38" spans="1:10" x14ac:dyDescent="0.25">
      <c r="A1438" s="35">
        <f t="shared" si="35"/>
        <v>176</v>
      </c>
      <c r="B1438" s="5">
        <v>43815</v>
      </c>
      <c r="C1438" s="5" t="s">
        <v>419</v>
      </c>
      <c r="D1438" s="57" t="s">
        <v>1838</v>
      </c>
      <c r="E1438" s="7" t="s">
        <v>892</v>
      </c>
      <c r="F1438" s="33">
        <v>40</v>
      </c>
      <c r="G1438" s="63">
        <v>-109</v>
      </c>
      <c r="H1438" s="9" t="s">
        <v>36</v>
      </c>
      <c r="I14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36.697247706422019</v>
      </c>
      <c r="J14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39" spans="1:10" x14ac:dyDescent="0.25">
      <c r="A1439" s="35">
        <f t="shared" si="35"/>
        <v>176</v>
      </c>
      <c r="B1439" s="5">
        <v>43815</v>
      </c>
      <c r="C1439" s="5" t="s">
        <v>419</v>
      </c>
      <c r="D1439" s="57" t="s">
        <v>1839</v>
      </c>
      <c r="E1439" s="7" t="s">
        <v>1835</v>
      </c>
      <c r="F1439" s="33">
        <v>40</v>
      </c>
      <c r="G1439" s="63">
        <v>-110</v>
      </c>
      <c r="H1439" s="9" t="s">
        <v>6</v>
      </c>
      <c r="I14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4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40" spans="1:10" x14ac:dyDescent="0.25">
      <c r="A1440" s="35">
        <f t="shared" si="35"/>
        <v>176</v>
      </c>
      <c r="B1440" s="5">
        <v>43815</v>
      </c>
      <c r="C1440" s="5" t="s">
        <v>419</v>
      </c>
      <c r="D1440" s="57" t="s">
        <v>1840</v>
      </c>
      <c r="E1440" s="7" t="s">
        <v>528</v>
      </c>
      <c r="F1440" s="33">
        <v>40</v>
      </c>
      <c r="G1440" s="63">
        <v>-110</v>
      </c>
      <c r="H1440" s="9" t="s">
        <v>36</v>
      </c>
      <c r="I14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36.363636363636367</v>
      </c>
      <c r="J14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41" spans="1:10" x14ac:dyDescent="0.25">
      <c r="A1441" s="35">
        <f t="shared" si="35"/>
        <v>176</v>
      </c>
      <c r="B1441" s="5">
        <v>43815</v>
      </c>
      <c r="C1441" s="5" t="s">
        <v>419</v>
      </c>
      <c r="D1441" s="57" t="s">
        <v>1841</v>
      </c>
      <c r="E1441" s="7" t="s">
        <v>1842</v>
      </c>
      <c r="F1441" s="33">
        <v>40</v>
      </c>
      <c r="G1441" s="63">
        <v>-112</v>
      </c>
      <c r="H1441" s="9" t="s">
        <v>6</v>
      </c>
      <c r="I14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4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42" spans="1:10" x14ac:dyDescent="0.25">
      <c r="A1442" s="35">
        <f t="shared" si="35"/>
        <v>176</v>
      </c>
      <c r="B1442" s="5">
        <v>43815</v>
      </c>
      <c r="C1442" s="5" t="s">
        <v>419</v>
      </c>
      <c r="D1442" s="57" t="s">
        <v>1843</v>
      </c>
      <c r="E1442" s="7" t="s">
        <v>1844</v>
      </c>
      <c r="F1442" s="33">
        <v>40</v>
      </c>
      <c r="G1442" s="63">
        <v>-113</v>
      </c>
      <c r="H1442" s="9" t="s">
        <v>36</v>
      </c>
      <c r="I14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35.398230088495573</v>
      </c>
      <c r="J14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43" spans="1:10" x14ac:dyDescent="0.25">
      <c r="A1443" s="35">
        <f t="shared" si="35"/>
        <v>176</v>
      </c>
      <c r="B1443" s="5">
        <v>43815</v>
      </c>
      <c r="C1443" s="5" t="s">
        <v>419</v>
      </c>
      <c r="D1443" s="57" t="s">
        <v>1845</v>
      </c>
      <c r="E1443" s="7" t="s">
        <v>1846</v>
      </c>
      <c r="F1443" s="33">
        <v>40</v>
      </c>
      <c r="G1443" s="63">
        <v>-110</v>
      </c>
      <c r="H1443" s="9" t="s">
        <v>6</v>
      </c>
      <c r="I14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4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44" spans="1:10" x14ac:dyDescent="0.25">
      <c r="A1444" s="35">
        <f t="shared" si="35"/>
        <v>177</v>
      </c>
      <c r="B1444" s="107">
        <v>43816</v>
      </c>
      <c r="C1444" s="107" t="s">
        <v>419</v>
      </c>
      <c r="D1444" s="57" t="s">
        <v>1890</v>
      </c>
      <c r="E1444" s="33" t="s">
        <v>1891</v>
      </c>
      <c r="F1444" s="33">
        <v>20</v>
      </c>
      <c r="G1444" s="108">
        <v>-110</v>
      </c>
      <c r="H1444" s="9" t="s">
        <v>36</v>
      </c>
      <c r="I14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4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45" spans="1:10" x14ac:dyDescent="0.25">
      <c r="A1445" s="35">
        <f t="shared" si="35"/>
        <v>177</v>
      </c>
      <c r="B1445" s="107">
        <v>43816</v>
      </c>
      <c r="C1445" s="107" t="s">
        <v>419</v>
      </c>
      <c r="D1445" s="57" t="s">
        <v>1890</v>
      </c>
      <c r="E1445" s="33" t="s">
        <v>1875</v>
      </c>
      <c r="F1445" s="33">
        <v>20</v>
      </c>
      <c r="G1445" s="108">
        <v>-109</v>
      </c>
      <c r="H1445" s="9" t="s">
        <v>6</v>
      </c>
      <c r="I14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46" spans="1:10" x14ac:dyDescent="0.25">
      <c r="A1446" s="35">
        <f t="shared" si="35"/>
        <v>177</v>
      </c>
      <c r="B1446" s="107">
        <v>43816</v>
      </c>
      <c r="C1446" s="107" t="s">
        <v>419</v>
      </c>
      <c r="D1446" s="57" t="s">
        <v>1892</v>
      </c>
      <c r="E1446" s="33" t="s">
        <v>1893</v>
      </c>
      <c r="F1446" s="33">
        <v>20</v>
      </c>
      <c r="G1446" s="108">
        <v>-109</v>
      </c>
      <c r="H1446" s="9" t="s">
        <v>6</v>
      </c>
      <c r="I14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47" spans="1:10" x14ac:dyDescent="0.25">
      <c r="A1447" s="35">
        <f t="shared" si="35"/>
        <v>177</v>
      </c>
      <c r="B1447" s="107">
        <v>43816</v>
      </c>
      <c r="C1447" s="107" t="s">
        <v>419</v>
      </c>
      <c r="D1447" s="57" t="s">
        <v>1892</v>
      </c>
      <c r="E1447" s="33" t="s">
        <v>1894</v>
      </c>
      <c r="F1447" s="33">
        <v>20</v>
      </c>
      <c r="G1447" s="108">
        <v>-107</v>
      </c>
      <c r="H1447" s="9" t="s">
        <v>36</v>
      </c>
      <c r="I14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18.691588785046729</v>
      </c>
      <c r="J14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48" spans="1:10" x14ac:dyDescent="0.25">
      <c r="A1448" s="35">
        <f t="shared" si="35"/>
        <v>177</v>
      </c>
      <c r="B1448" s="107">
        <v>43816</v>
      </c>
      <c r="C1448" s="107" t="s">
        <v>419</v>
      </c>
      <c r="D1448" s="57" t="s">
        <v>1895</v>
      </c>
      <c r="E1448" s="33" t="s">
        <v>1896</v>
      </c>
      <c r="F1448" s="33">
        <v>20</v>
      </c>
      <c r="G1448" s="108">
        <v>-109</v>
      </c>
      <c r="H1448" s="9" t="s">
        <v>6</v>
      </c>
      <c r="I14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49" spans="1:10" x14ac:dyDescent="0.25">
      <c r="A1449" s="35">
        <f t="shared" si="35"/>
        <v>177</v>
      </c>
      <c r="B1449" s="107">
        <v>43816</v>
      </c>
      <c r="C1449" s="107" t="s">
        <v>419</v>
      </c>
      <c r="D1449" s="57" t="s">
        <v>1897</v>
      </c>
      <c r="E1449" s="33" t="s">
        <v>1898</v>
      </c>
      <c r="F1449" s="33">
        <v>20</v>
      </c>
      <c r="G1449" s="108">
        <v>-113</v>
      </c>
      <c r="H1449" s="9" t="s">
        <v>6</v>
      </c>
      <c r="I14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50" spans="1:10" x14ac:dyDescent="0.25">
      <c r="A1450" s="35">
        <f t="shared" si="35"/>
        <v>177</v>
      </c>
      <c r="B1450" s="107">
        <v>43816</v>
      </c>
      <c r="C1450" s="107" t="s">
        <v>419</v>
      </c>
      <c r="D1450" s="57" t="s">
        <v>1899</v>
      </c>
      <c r="E1450" s="33" t="s">
        <v>1900</v>
      </c>
      <c r="F1450" s="33">
        <v>20</v>
      </c>
      <c r="G1450" s="108">
        <v>-109</v>
      </c>
      <c r="H1450" s="9" t="s">
        <v>36</v>
      </c>
      <c r="I14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51" spans="1:10" x14ac:dyDescent="0.25">
      <c r="A1451" s="35">
        <f t="shared" si="35"/>
        <v>177</v>
      </c>
      <c r="B1451" s="107">
        <v>43816</v>
      </c>
      <c r="C1451" s="107" t="s">
        <v>419</v>
      </c>
      <c r="D1451" s="57" t="s">
        <v>1901</v>
      </c>
      <c r="E1451" s="33" t="s">
        <v>1902</v>
      </c>
      <c r="F1451" s="33">
        <v>20</v>
      </c>
      <c r="G1451" s="108">
        <v>-109</v>
      </c>
      <c r="H1451" s="9" t="s">
        <v>36</v>
      </c>
      <c r="I14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52" spans="1:10" x14ac:dyDescent="0.25">
      <c r="A1452" s="35">
        <f t="shared" si="35"/>
        <v>177</v>
      </c>
      <c r="B1452" s="107">
        <v>43816</v>
      </c>
      <c r="C1452" s="107" t="s">
        <v>419</v>
      </c>
      <c r="D1452" s="57" t="s">
        <v>1903</v>
      </c>
      <c r="E1452" s="33" t="s">
        <v>1904</v>
      </c>
      <c r="F1452" s="33">
        <v>20</v>
      </c>
      <c r="G1452" s="108">
        <v>-109</v>
      </c>
      <c r="H1452" s="9" t="s">
        <v>6</v>
      </c>
      <c r="I14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53" spans="1:10" x14ac:dyDescent="0.25">
      <c r="A1453" s="35">
        <f t="shared" si="35"/>
        <v>177</v>
      </c>
      <c r="B1453" s="107">
        <v>43816</v>
      </c>
      <c r="C1453" s="107" t="s">
        <v>419</v>
      </c>
      <c r="D1453" s="57" t="s">
        <v>1905</v>
      </c>
      <c r="E1453" s="33" t="s">
        <v>1906</v>
      </c>
      <c r="F1453" s="33">
        <v>20</v>
      </c>
      <c r="G1453" s="108">
        <v>-109</v>
      </c>
      <c r="H1453" s="9" t="s">
        <v>36</v>
      </c>
      <c r="I14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18.348623853211009</v>
      </c>
      <c r="J14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54" spans="1:10" x14ac:dyDescent="0.25">
      <c r="A1454" s="35">
        <f t="shared" si="35"/>
        <v>177</v>
      </c>
      <c r="B1454" s="107">
        <v>43816</v>
      </c>
      <c r="C1454" s="107" t="s">
        <v>419</v>
      </c>
      <c r="D1454" s="57" t="s">
        <v>1905</v>
      </c>
      <c r="E1454" s="33" t="s">
        <v>1907</v>
      </c>
      <c r="F1454" s="33">
        <v>20</v>
      </c>
      <c r="G1454" s="108">
        <v>-107</v>
      </c>
      <c r="H1454" s="9" t="s">
        <v>6</v>
      </c>
      <c r="I14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55" spans="1:10" x14ac:dyDescent="0.25">
      <c r="A1455" s="35">
        <f t="shared" si="35"/>
        <v>177</v>
      </c>
      <c r="B1455" s="107">
        <v>43816</v>
      </c>
      <c r="C1455" s="107" t="s">
        <v>419</v>
      </c>
      <c r="D1455" s="57" t="s">
        <v>1908</v>
      </c>
      <c r="E1455" s="33" t="s">
        <v>1909</v>
      </c>
      <c r="F1455" s="33">
        <v>20</v>
      </c>
      <c r="G1455" s="108">
        <v>-110</v>
      </c>
      <c r="H1455" s="9" t="s">
        <v>36</v>
      </c>
      <c r="I14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4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56" spans="1:10" x14ac:dyDescent="0.25">
      <c r="A1456" s="35">
        <f t="shared" si="35"/>
        <v>177</v>
      </c>
      <c r="B1456" s="107">
        <v>43816</v>
      </c>
      <c r="C1456" s="107" t="s">
        <v>419</v>
      </c>
      <c r="D1456" s="57" t="s">
        <v>1908</v>
      </c>
      <c r="E1456" s="33" t="s">
        <v>678</v>
      </c>
      <c r="F1456" s="33">
        <v>20</v>
      </c>
      <c r="G1456" s="108">
        <v>-113</v>
      </c>
      <c r="H1456" s="9" t="s">
        <v>6</v>
      </c>
      <c r="I14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57" spans="1:10" x14ac:dyDescent="0.25">
      <c r="A1457" s="35">
        <f t="shared" si="35"/>
        <v>177</v>
      </c>
      <c r="B1457" s="107">
        <v>43816</v>
      </c>
      <c r="C1457" s="107" t="s">
        <v>419</v>
      </c>
      <c r="D1457" s="57" t="s">
        <v>1910</v>
      </c>
      <c r="E1457" s="33" t="s">
        <v>1911</v>
      </c>
      <c r="F1457" s="33">
        <v>20</v>
      </c>
      <c r="G1457" s="108">
        <v>-110</v>
      </c>
      <c r="H1457" s="9" t="s">
        <v>36</v>
      </c>
      <c r="I14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4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58" spans="1:10" x14ac:dyDescent="0.25">
      <c r="A1458" s="35">
        <f t="shared" si="35"/>
        <v>177</v>
      </c>
      <c r="B1458" s="107">
        <v>43816</v>
      </c>
      <c r="C1458" s="107" t="s">
        <v>419</v>
      </c>
      <c r="D1458" s="57" t="s">
        <v>1912</v>
      </c>
      <c r="E1458" s="33" t="s">
        <v>1913</v>
      </c>
      <c r="F1458" s="33">
        <v>20</v>
      </c>
      <c r="G1458" s="108">
        <v>-110</v>
      </c>
      <c r="H1458" s="9" t="s">
        <v>6</v>
      </c>
      <c r="I14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59" spans="1:10" x14ac:dyDescent="0.25">
      <c r="A1459" s="35">
        <f t="shared" si="35"/>
        <v>177</v>
      </c>
      <c r="B1459" s="107">
        <v>43816</v>
      </c>
      <c r="C1459" s="107" t="s">
        <v>419</v>
      </c>
      <c r="D1459" s="57" t="s">
        <v>1914</v>
      </c>
      <c r="E1459" s="33" t="s">
        <v>1915</v>
      </c>
      <c r="F1459" s="33">
        <v>20</v>
      </c>
      <c r="G1459" s="108">
        <v>-108</v>
      </c>
      <c r="H1459" s="9" t="s">
        <v>6</v>
      </c>
      <c r="I14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60" spans="1:10" x14ac:dyDescent="0.25">
      <c r="A1460" s="35">
        <f t="shared" si="35"/>
        <v>177</v>
      </c>
      <c r="B1460" s="107">
        <v>43816</v>
      </c>
      <c r="C1460" s="107" t="s">
        <v>419</v>
      </c>
      <c r="D1460" s="57" t="s">
        <v>1914</v>
      </c>
      <c r="E1460" s="33" t="s">
        <v>528</v>
      </c>
      <c r="F1460" s="33">
        <v>20</v>
      </c>
      <c r="G1460" s="108">
        <v>-110</v>
      </c>
      <c r="H1460" s="9" t="s">
        <v>6</v>
      </c>
      <c r="I14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61" spans="1:10" x14ac:dyDescent="0.25">
      <c r="A1461" s="35">
        <f t="shared" si="35"/>
        <v>177</v>
      </c>
      <c r="B1461" s="107">
        <v>43816</v>
      </c>
      <c r="C1461" s="107" t="s">
        <v>419</v>
      </c>
      <c r="D1461" s="57" t="s">
        <v>1916</v>
      </c>
      <c r="E1461" s="33" t="s">
        <v>1917</v>
      </c>
      <c r="F1461" s="33">
        <v>20</v>
      </c>
      <c r="G1461" s="108">
        <v>-113</v>
      </c>
      <c r="H1461" s="9" t="s">
        <v>36</v>
      </c>
      <c r="I14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17.699115044247787</v>
      </c>
      <c r="J14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62" spans="1:10" x14ac:dyDescent="0.25">
      <c r="A1462" s="35">
        <f t="shared" si="35"/>
        <v>177</v>
      </c>
      <c r="B1462" s="107">
        <v>43816</v>
      </c>
      <c r="C1462" s="107" t="s">
        <v>419</v>
      </c>
      <c r="D1462" s="57" t="s">
        <v>1918</v>
      </c>
      <c r="E1462" s="33" t="s">
        <v>1919</v>
      </c>
      <c r="F1462" s="33">
        <v>20</v>
      </c>
      <c r="G1462" s="108">
        <v>-110</v>
      </c>
      <c r="H1462" s="9" t="s">
        <v>6</v>
      </c>
      <c r="I14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4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63" spans="1:10" x14ac:dyDescent="0.25">
      <c r="A1463" s="35">
        <f t="shared" si="35"/>
        <v>178</v>
      </c>
      <c r="B1463" s="5">
        <v>43817</v>
      </c>
      <c r="C1463" s="9" t="s">
        <v>419</v>
      </c>
      <c r="D1463" s="33" t="s">
        <v>1921</v>
      </c>
      <c r="E1463" s="109" t="s">
        <v>1884</v>
      </c>
      <c r="F1463" s="33">
        <v>10</v>
      </c>
      <c r="G1463" s="108">
        <v>-112</v>
      </c>
      <c r="H1463" s="9" t="s">
        <v>36</v>
      </c>
      <c r="I14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8.9285714285714288</v>
      </c>
      <c r="J14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64" spans="1:10" x14ac:dyDescent="0.25">
      <c r="A1464" s="35">
        <f t="shared" si="35"/>
        <v>178</v>
      </c>
      <c r="B1464" s="5">
        <v>43817</v>
      </c>
      <c r="C1464" s="9" t="s">
        <v>419</v>
      </c>
      <c r="D1464" s="33" t="s">
        <v>1922</v>
      </c>
      <c r="E1464" s="109" t="s">
        <v>1923</v>
      </c>
      <c r="F1464" s="33">
        <v>10</v>
      </c>
      <c r="G1464" s="108">
        <v>-108</v>
      </c>
      <c r="H1464" s="9" t="s">
        <v>6</v>
      </c>
      <c r="I14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65" spans="1:10" x14ac:dyDescent="0.25">
      <c r="A1465" s="35">
        <f t="shared" si="35"/>
        <v>178</v>
      </c>
      <c r="B1465" s="5">
        <v>43817</v>
      </c>
      <c r="C1465" s="9" t="s">
        <v>419</v>
      </c>
      <c r="D1465" s="33" t="s">
        <v>1924</v>
      </c>
      <c r="E1465" s="109" t="s">
        <v>1962</v>
      </c>
      <c r="F1465" s="33">
        <v>10</v>
      </c>
      <c r="G1465" s="108">
        <v>-110</v>
      </c>
      <c r="H1465" s="9" t="s">
        <v>6</v>
      </c>
      <c r="I14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66" spans="1:10" x14ac:dyDescent="0.25">
      <c r="A1466" s="35">
        <f t="shared" si="35"/>
        <v>178</v>
      </c>
      <c r="B1466" s="5">
        <v>43817</v>
      </c>
      <c r="C1466" s="9" t="s">
        <v>419</v>
      </c>
      <c r="D1466" s="33" t="s">
        <v>1925</v>
      </c>
      <c r="E1466" s="109" t="s">
        <v>1964</v>
      </c>
      <c r="F1466" s="33">
        <v>10</v>
      </c>
      <c r="G1466" s="108">
        <v>-110</v>
      </c>
      <c r="H1466" s="9" t="s">
        <v>36</v>
      </c>
      <c r="I14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4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67" spans="1:10" x14ac:dyDescent="0.25">
      <c r="A1467" s="35">
        <f t="shared" si="35"/>
        <v>178</v>
      </c>
      <c r="B1467" s="5">
        <v>43817</v>
      </c>
      <c r="C1467" s="9" t="s">
        <v>419</v>
      </c>
      <c r="D1467" s="33" t="s">
        <v>1926</v>
      </c>
      <c r="E1467" s="109" t="s">
        <v>646</v>
      </c>
      <c r="F1467" s="33">
        <v>10</v>
      </c>
      <c r="G1467" s="108">
        <v>-108</v>
      </c>
      <c r="H1467" s="9" t="s">
        <v>6</v>
      </c>
      <c r="I14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68" spans="1:10" x14ac:dyDescent="0.25">
      <c r="A1468" s="35">
        <f t="shared" si="35"/>
        <v>178</v>
      </c>
      <c r="B1468" s="5">
        <v>43817</v>
      </c>
      <c r="C1468" s="9" t="s">
        <v>419</v>
      </c>
      <c r="D1468" s="33" t="s">
        <v>1927</v>
      </c>
      <c r="E1468" s="109" t="s">
        <v>1963</v>
      </c>
      <c r="F1468" s="33">
        <v>10</v>
      </c>
      <c r="G1468" s="108">
        <v>-110</v>
      </c>
      <c r="H1468" s="9" t="s">
        <v>36</v>
      </c>
      <c r="I14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4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69" spans="1:10" x14ac:dyDescent="0.25">
      <c r="A1469" s="35">
        <f t="shared" si="35"/>
        <v>178</v>
      </c>
      <c r="B1469" s="5">
        <v>43817</v>
      </c>
      <c r="C1469" s="9" t="s">
        <v>419</v>
      </c>
      <c r="D1469" s="33" t="s">
        <v>1927</v>
      </c>
      <c r="E1469" s="109" t="s">
        <v>522</v>
      </c>
      <c r="F1469" s="33">
        <v>10</v>
      </c>
      <c r="G1469" s="108">
        <v>-107</v>
      </c>
      <c r="H1469" s="9" t="s">
        <v>36</v>
      </c>
      <c r="I14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9.3457943925233646</v>
      </c>
      <c r="J14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70" spans="1:10" x14ac:dyDescent="0.25">
      <c r="A1470" s="35">
        <f t="shared" si="35"/>
        <v>178</v>
      </c>
      <c r="B1470" s="5">
        <v>43817</v>
      </c>
      <c r="C1470" s="9" t="s">
        <v>419</v>
      </c>
      <c r="D1470" s="33" t="s">
        <v>1928</v>
      </c>
      <c r="E1470" s="109" t="s">
        <v>1929</v>
      </c>
      <c r="F1470" s="33">
        <v>10</v>
      </c>
      <c r="G1470" s="108">
        <v>-112</v>
      </c>
      <c r="H1470" s="9" t="s">
        <v>6</v>
      </c>
      <c r="I14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71" spans="1:10" x14ac:dyDescent="0.25">
      <c r="A1471" s="35">
        <f t="shared" si="35"/>
        <v>178</v>
      </c>
      <c r="B1471" s="5">
        <v>43817</v>
      </c>
      <c r="C1471" s="9" t="s">
        <v>419</v>
      </c>
      <c r="D1471" s="33" t="s">
        <v>1930</v>
      </c>
      <c r="E1471" s="109" t="s">
        <v>580</v>
      </c>
      <c r="F1471" s="33">
        <v>10</v>
      </c>
      <c r="G1471" s="108">
        <v>-113</v>
      </c>
      <c r="H1471" s="9" t="s">
        <v>6</v>
      </c>
      <c r="I14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72" spans="1:10" x14ac:dyDescent="0.25">
      <c r="A1472" s="35">
        <f t="shared" si="35"/>
        <v>178</v>
      </c>
      <c r="B1472" s="5">
        <v>43817</v>
      </c>
      <c r="C1472" s="9" t="s">
        <v>419</v>
      </c>
      <c r="D1472" s="33" t="s">
        <v>1931</v>
      </c>
      <c r="E1472" s="109" t="s">
        <v>1932</v>
      </c>
      <c r="F1472" s="33">
        <v>10</v>
      </c>
      <c r="G1472" s="108">
        <v>-112</v>
      </c>
      <c r="H1472" s="9" t="s">
        <v>6</v>
      </c>
      <c r="I14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73" spans="1:10" x14ac:dyDescent="0.25">
      <c r="A1473" s="35">
        <f t="shared" si="35"/>
        <v>178</v>
      </c>
      <c r="B1473" s="5">
        <v>43817</v>
      </c>
      <c r="C1473" s="9" t="s">
        <v>419</v>
      </c>
      <c r="D1473" s="33" t="s">
        <v>1933</v>
      </c>
      <c r="E1473" s="109" t="s">
        <v>1934</v>
      </c>
      <c r="F1473" s="33">
        <v>10</v>
      </c>
      <c r="G1473" s="108">
        <v>-110</v>
      </c>
      <c r="H1473" s="9" t="s">
        <v>6</v>
      </c>
      <c r="I14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74" spans="1:10" x14ac:dyDescent="0.25">
      <c r="A1474" s="35">
        <f t="shared" si="35"/>
        <v>178</v>
      </c>
      <c r="B1474" s="5">
        <v>43817</v>
      </c>
      <c r="C1474" s="9" t="s">
        <v>419</v>
      </c>
      <c r="D1474" s="33" t="s">
        <v>1933</v>
      </c>
      <c r="E1474" s="109" t="s">
        <v>1935</v>
      </c>
      <c r="F1474" s="33">
        <v>10</v>
      </c>
      <c r="G1474" s="108">
        <v>-107</v>
      </c>
      <c r="H1474" s="9" t="s">
        <v>6</v>
      </c>
      <c r="I14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75" spans="1:10" x14ac:dyDescent="0.25">
      <c r="A1475" s="35">
        <f t="shared" si="35"/>
        <v>178</v>
      </c>
      <c r="B1475" s="5">
        <v>43817</v>
      </c>
      <c r="C1475" s="9" t="s">
        <v>419</v>
      </c>
      <c r="D1475" s="33" t="s">
        <v>1936</v>
      </c>
      <c r="E1475" s="109" t="s">
        <v>1937</v>
      </c>
      <c r="F1475" s="33">
        <v>10</v>
      </c>
      <c r="G1475" s="108">
        <v>-110</v>
      </c>
      <c r="H1475" s="9" t="s">
        <v>6</v>
      </c>
      <c r="I14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76" spans="1:10" x14ac:dyDescent="0.25">
      <c r="A1476" s="35">
        <f t="shared" ref="A1476:A1539" si="36">IF(B1476=B1475,A1475,A1475+1)</f>
        <v>178</v>
      </c>
      <c r="B1476" s="5">
        <v>43817</v>
      </c>
      <c r="C1476" s="9" t="s">
        <v>419</v>
      </c>
      <c r="D1476" s="33" t="s">
        <v>1938</v>
      </c>
      <c r="E1476" s="109" t="s">
        <v>1939</v>
      </c>
      <c r="F1476" s="33">
        <v>10</v>
      </c>
      <c r="G1476" s="108">
        <v>-110</v>
      </c>
      <c r="H1476" s="9" t="s">
        <v>36</v>
      </c>
      <c r="I14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4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77" spans="1:10" x14ac:dyDescent="0.25">
      <c r="A1477" s="35">
        <f t="shared" si="36"/>
        <v>178</v>
      </c>
      <c r="B1477" s="5">
        <v>43817</v>
      </c>
      <c r="C1477" s="9" t="s">
        <v>419</v>
      </c>
      <c r="D1477" s="33" t="s">
        <v>1940</v>
      </c>
      <c r="E1477" s="109" t="s">
        <v>837</v>
      </c>
      <c r="F1477" s="33">
        <v>10</v>
      </c>
      <c r="G1477" s="108">
        <v>-108</v>
      </c>
      <c r="H1477" s="9" t="s">
        <v>36</v>
      </c>
      <c r="I14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9.2592592592592595</v>
      </c>
      <c r="J14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78" spans="1:10" x14ac:dyDescent="0.25">
      <c r="A1478" s="35">
        <f t="shared" si="36"/>
        <v>178</v>
      </c>
      <c r="B1478" s="5">
        <v>43817</v>
      </c>
      <c r="C1478" s="9" t="s">
        <v>419</v>
      </c>
      <c r="D1478" s="33" t="s">
        <v>1941</v>
      </c>
      <c r="E1478" s="109" t="s">
        <v>1965</v>
      </c>
      <c r="F1478" s="33">
        <v>10</v>
      </c>
      <c r="G1478" s="108">
        <v>-110</v>
      </c>
      <c r="H1478" s="9" t="s">
        <v>6</v>
      </c>
      <c r="I14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79" spans="1:10" x14ac:dyDescent="0.25">
      <c r="A1479" s="35">
        <f t="shared" si="36"/>
        <v>178</v>
      </c>
      <c r="B1479" s="5">
        <v>43817</v>
      </c>
      <c r="C1479" s="9" t="s">
        <v>419</v>
      </c>
      <c r="D1479" s="33" t="s">
        <v>1942</v>
      </c>
      <c r="E1479" s="109" t="s">
        <v>1943</v>
      </c>
      <c r="F1479" s="33">
        <v>10</v>
      </c>
      <c r="G1479" s="108">
        <v>-110</v>
      </c>
      <c r="H1479" s="9" t="s">
        <v>6</v>
      </c>
      <c r="I14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80" spans="1:10" x14ac:dyDescent="0.25">
      <c r="A1480" s="35">
        <f t="shared" si="36"/>
        <v>178</v>
      </c>
      <c r="B1480" s="5">
        <v>43817</v>
      </c>
      <c r="C1480" s="9" t="s">
        <v>419</v>
      </c>
      <c r="D1480" s="33" t="s">
        <v>1942</v>
      </c>
      <c r="E1480" s="109" t="s">
        <v>1894</v>
      </c>
      <c r="F1480" s="33">
        <v>10</v>
      </c>
      <c r="G1480" s="108">
        <v>-112</v>
      </c>
      <c r="H1480" s="9" t="s">
        <v>6</v>
      </c>
      <c r="I14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1" spans="1:10" x14ac:dyDescent="0.25">
      <c r="A1481" s="35">
        <f t="shared" si="36"/>
        <v>178</v>
      </c>
      <c r="B1481" s="5">
        <v>43817</v>
      </c>
      <c r="C1481" s="9" t="s">
        <v>419</v>
      </c>
      <c r="D1481" s="33" t="s">
        <v>1944</v>
      </c>
      <c r="E1481" s="109" t="s">
        <v>884</v>
      </c>
      <c r="F1481" s="33">
        <v>10</v>
      </c>
      <c r="G1481" s="108">
        <v>-107</v>
      </c>
      <c r="H1481" s="9" t="s">
        <v>6</v>
      </c>
      <c r="I14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2" spans="1:10" x14ac:dyDescent="0.25">
      <c r="A1482" s="35">
        <f t="shared" si="36"/>
        <v>178</v>
      </c>
      <c r="B1482" s="5">
        <v>43817</v>
      </c>
      <c r="C1482" s="9" t="s">
        <v>419</v>
      </c>
      <c r="D1482" s="33" t="s">
        <v>1945</v>
      </c>
      <c r="E1482" s="109" t="s">
        <v>1966</v>
      </c>
      <c r="F1482" s="33">
        <v>10</v>
      </c>
      <c r="G1482" s="108">
        <v>-109</v>
      </c>
      <c r="H1482" s="9" t="s">
        <v>6</v>
      </c>
      <c r="I14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3" spans="1:10" x14ac:dyDescent="0.25">
      <c r="A1483" s="35">
        <f t="shared" si="36"/>
        <v>178</v>
      </c>
      <c r="B1483" s="5">
        <v>43817</v>
      </c>
      <c r="C1483" s="9" t="s">
        <v>419</v>
      </c>
      <c r="D1483" s="33" t="s">
        <v>1946</v>
      </c>
      <c r="E1483" s="109" t="s">
        <v>1947</v>
      </c>
      <c r="F1483" s="33">
        <v>10</v>
      </c>
      <c r="G1483" s="108">
        <v>-109</v>
      </c>
      <c r="H1483" s="9" t="s">
        <v>6</v>
      </c>
      <c r="I14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84" spans="1:10" x14ac:dyDescent="0.25">
      <c r="A1484" s="35">
        <f t="shared" si="36"/>
        <v>178</v>
      </c>
      <c r="B1484" s="5">
        <v>43817</v>
      </c>
      <c r="C1484" s="9" t="s">
        <v>419</v>
      </c>
      <c r="D1484" s="33" t="s">
        <v>1946</v>
      </c>
      <c r="E1484" s="109" t="s">
        <v>1948</v>
      </c>
      <c r="F1484" s="33">
        <v>10</v>
      </c>
      <c r="G1484" s="108">
        <v>-108</v>
      </c>
      <c r="H1484" s="9" t="s">
        <v>6</v>
      </c>
      <c r="I14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5" spans="1:10" x14ac:dyDescent="0.25">
      <c r="A1485" s="35">
        <f t="shared" si="36"/>
        <v>178</v>
      </c>
      <c r="B1485" s="5">
        <v>43817</v>
      </c>
      <c r="C1485" s="9" t="s">
        <v>419</v>
      </c>
      <c r="D1485" s="33" t="s">
        <v>1949</v>
      </c>
      <c r="E1485" s="109" t="s">
        <v>1950</v>
      </c>
      <c r="F1485" s="33">
        <v>10</v>
      </c>
      <c r="G1485" s="108">
        <v>-110</v>
      </c>
      <c r="H1485" s="9" t="s">
        <v>36</v>
      </c>
      <c r="I14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4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86" spans="1:10" x14ac:dyDescent="0.25">
      <c r="A1486" s="35">
        <f t="shared" si="36"/>
        <v>178</v>
      </c>
      <c r="B1486" s="5">
        <v>43817</v>
      </c>
      <c r="C1486" s="9" t="s">
        <v>419</v>
      </c>
      <c r="D1486" s="33" t="s">
        <v>1951</v>
      </c>
      <c r="E1486" s="109" t="s">
        <v>1967</v>
      </c>
      <c r="F1486" s="33">
        <v>10</v>
      </c>
      <c r="G1486" s="108">
        <v>-108</v>
      </c>
      <c r="H1486" s="9" t="s">
        <v>36</v>
      </c>
      <c r="I14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9.2592592592592595</v>
      </c>
      <c r="J14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7" spans="1:10" x14ac:dyDescent="0.25">
      <c r="A1487" s="35">
        <f t="shared" si="36"/>
        <v>178</v>
      </c>
      <c r="B1487" s="5">
        <v>43817</v>
      </c>
      <c r="C1487" s="9" t="s">
        <v>419</v>
      </c>
      <c r="D1487" s="33" t="s">
        <v>1952</v>
      </c>
      <c r="E1487" s="109" t="s">
        <v>1953</v>
      </c>
      <c r="F1487" s="33">
        <v>10</v>
      </c>
      <c r="G1487" s="108">
        <v>-109</v>
      </c>
      <c r="H1487" s="9" t="s">
        <v>6</v>
      </c>
      <c r="I14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88" spans="1:10" x14ac:dyDescent="0.25">
      <c r="A1488" s="35">
        <f t="shared" si="36"/>
        <v>178</v>
      </c>
      <c r="B1488" s="5">
        <v>43817</v>
      </c>
      <c r="C1488" s="9" t="s">
        <v>419</v>
      </c>
      <c r="D1488" s="33" t="s">
        <v>1952</v>
      </c>
      <c r="E1488" s="109" t="s">
        <v>678</v>
      </c>
      <c r="F1488" s="33">
        <v>10</v>
      </c>
      <c r="G1488" s="108">
        <v>-113</v>
      </c>
      <c r="H1488" s="9" t="s">
        <v>6</v>
      </c>
      <c r="I14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89" spans="1:10" x14ac:dyDescent="0.25">
      <c r="A1489" s="35">
        <f t="shared" si="36"/>
        <v>178</v>
      </c>
      <c r="B1489" s="5">
        <v>43817</v>
      </c>
      <c r="C1489" s="9" t="s">
        <v>419</v>
      </c>
      <c r="D1489" s="33" t="s">
        <v>1954</v>
      </c>
      <c r="E1489" s="109" t="s">
        <v>1955</v>
      </c>
      <c r="F1489" s="33">
        <v>10</v>
      </c>
      <c r="G1489" s="108">
        <v>-109</v>
      </c>
      <c r="H1489" s="9" t="s">
        <v>6</v>
      </c>
      <c r="I14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90" spans="1:10" x14ac:dyDescent="0.25">
      <c r="A1490" s="35">
        <f t="shared" si="36"/>
        <v>178</v>
      </c>
      <c r="B1490" s="5">
        <v>43817</v>
      </c>
      <c r="C1490" s="9" t="s">
        <v>419</v>
      </c>
      <c r="D1490" s="33" t="s">
        <v>1954</v>
      </c>
      <c r="E1490" s="109" t="s">
        <v>1869</v>
      </c>
      <c r="F1490" s="33">
        <v>10</v>
      </c>
      <c r="G1490" s="108">
        <v>-109</v>
      </c>
      <c r="H1490" s="9" t="s">
        <v>6</v>
      </c>
      <c r="I14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91" spans="1:10" x14ac:dyDescent="0.25">
      <c r="A1491" s="35">
        <f t="shared" si="36"/>
        <v>178</v>
      </c>
      <c r="B1491" s="5">
        <v>43817</v>
      </c>
      <c r="C1491" s="9" t="s">
        <v>419</v>
      </c>
      <c r="D1491" s="33" t="s">
        <v>1956</v>
      </c>
      <c r="E1491" s="109" t="s">
        <v>632</v>
      </c>
      <c r="F1491" s="33">
        <v>10</v>
      </c>
      <c r="G1491" s="108">
        <v>-109</v>
      </c>
      <c r="H1491" s="9" t="s">
        <v>6</v>
      </c>
      <c r="I14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92" spans="1:10" x14ac:dyDescent="0.25">
      <c r="A1492" s="35">
        <f t="shared" si="36"/>
        <v>178</v>
      </c>
      <c r="B1492" s="5">
        <v>43817</v>
      </c>
      <c r="C1492" s="9" t="s">
        <v>419</v>
      </c>
      <c r="D1492" s="33" t="s">
        <v>1957</v>
      </c>
      <c r="E1492" s="109" t="s">
        <v>1958</v>
      </c>
      <c r="F1492" s="33">
        <v>10</v>
      </c>
      <c r="G1492" s="108">
        <v>-109</v>
      </c>
      <c r="H1492" s="9" t="s">
        <v>6</v>
      </c>
      <c r="I14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493" spans="1:10" x14ac:dyDescent="0.25">
      <c r="A1493" s="35">
        <f t="shared" si="36"/>
        <v>178</v>
      </c>
      <c r="B1493" s="5">
        <v>43817</v>
      </c>
      <c r="C1493" s="9" t="s">
        <v>419</v>
      </c>
      <c r="D1493" s="33" t="s">
        <v>1957</v>
      </c>
      <c r="E1493" s="109" t="s">
        <v>678</v>
      </c>
      <c r="F1493" s="33">
        <v>10</v>
      </c>
      <c r="G1493" s="108">
        <v>-113</v>
      </c>
      <c r="H1493" s="9" t="s">
        <v>6</v>
      </c>
      <c r="I14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94" spans="1:10" x14ac:dyDescent="0.25">
      <c r="A1494" s="35">
        <f t="shared" si="36"/>
        <v>178</v>
      </c>
      <c r="B1494" s="5">
        <v>43817</v>
      </c>
      <c r="C1494" s="9" t="s">
        <v>419</v>
      </c>
      <c r="D1494" s="33" t="s">
        <v>1959</v>
      </c>
      <c r="E1494" s="109" t="s">
        <v>1960</v>
      </c>
      <c r="F1494" s="33">
        <v>10</v>
      </c>
      <c r="G1494" s="108">
        <v>-109</v>
      </c>
      <c r="H1494" s="9" t="s">
        <v>6</v>
      </c>
      <c r="I14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95" spans="1:10" x14ac:dyDescent="0.25">
      <c r="A1495" s="35">
        <f t="shared" si="36"/>
        <v>178</v>
      </c>
      <c r="B1495" s="5">
        <v>43817</v>
      </c>
      <c r="C1495" s="9" t="s">
        <v>419</v>
      </c>
      <c r="D1495" s="33" t="s">
        <v>1959</v>
      </c>
      <c r="E1495" s="109" t="s">
        <v>884</v>
      </c>
      <c r="F1495" s="33">
        <v>10</v>
      </c>
      <c r="G1495" s="108">
        <v>-108</v>
      </c>
      <c r="H1495" s="9" t="s">
        <v>6</v>
      </c>
      <c r="I14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96" spans="1:10" x14ac:dyDescent="0.25">
      <c r="A1496" s="35">
        <f t="shared" si="36"/>
        <v>178</v>
      </c>
      <c r="B1496" s="5">
        <v>43817</v>
      </c>
      <c r="C1496" s="9" t="s">
        <v>419</v>
      </c>
      <c r="D1496" s="33" t="s">
        <v>1961</v>
      </c>
      <c r="E1496" s="109" t="s">
        <v>643</v>
      </c>
      <c r="F1496" s="33">
        <v>10</v>
      </c>
      <c r="G1496" s="108">
        <v>-108</v>
      </c>
      <c r="H1496" s="9" t="s">
        <v>6</v>
      </c>
      <c r="I14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4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497" spans="1:10" x14ac:dyDescent="0.25">
      <c r="A1497" s="35">
        <f t="shared" si="36"/>
        <v>179</v>
      </c>
      <c r="B1497" s="5">
        <v>43819</v>
      </c>
      <c r="C1497" s="5" t="s">
        <v>1507</v>
      </c>
      <c r="D1497" s="57" t="s">
        <v>1975</v>
      </c>
      <c r="E1497" s="7" t="s">
        <v>1976</v>
      </c>
      <c r="F1497" s="33">
        <v>20</v>
      </c>
      <c r="G1497" s="63">
        <v>-110</v>
      </c>
      <c r="H1497" s="9" t="s">
        <v>36</v>
      </c>
      <c r="I14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18.181818181818183</v>
      </c>
      <c r="J14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498" spans="1:10" x14ac:dyDescent="0.25">
      <c r="A1498" s="35">
        <f t="shared" si="36"/>
        <v>180</v>
      </c>
      <c r="B1498" s="5">
        <v>43833</v>
      </c>
      <c r="C1498" s="9" t="s">
        <v>134</v>
      </c>
      <c r="D1498" s="33" t="s">
        <v>1968</v>
      </c>
      <c r="E1498" s="110" t="s">
        <v>1971</v>
      </c>
      <c r="F1498" s="33">
        <v>19</v>
      </c>
      <c r="G1498" s="108">
        <v>-105</v>
      </c>
      <c r="H1498" s="9" t="s">
        <v>36</v>
      </c>
      <c r="I14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18.095238095238095</v>
      </c>
      <c r="J14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499" spans="1:10" x14ac:dyDescent="0.25">
      <c r="A1499" s="35">
        <f t="shared" si="36"/>
        <v>180</v>
      </c>
      <c r="B1499" s="5">
        <v>43833</v>
      </c>
      <c r="C1499" s="9" t="s">
        <v>134</v>
      </c>
      <c r="D1499" s="33" t="s">
        <v>1969</v>
      </c>
      <c r="E1499" s="110" t="s">
        <v>1079</v>
      </c>
      <c r="F1499" s="33">
        <v>19</v>
      </c>
      <c r="G1499" s="108">
        <v>-110</v>
      </c>
      <c r="H1499" s="9" t="s">
        <v>6</v>
      </c>
      <c r="I14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</v>
      </c>
      <c r="J14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00" spans="1:10" x14ac:dyDescent="0.25">
      <c r="A1500" s="35">
        <f t="shared" si="36"/>
        <v>180</v>
      </c>
      <c r="B1500" s="5">
        <v>43833</v>
      </c>
      <c r="C1500" s="9" t="s">
        <v>134</v>
      </c>
      <c r="D1500" s="57" t="s">
        <v>1970</v>
      </c>
      <c r="E1500" s="7" t="s">
        <v>1972</v>
      </c>
      <c r="F1500" s="33">
        <v>19</v>
      </c>
      <c r="G1500" s="63">
        <v>-105</v>
      </c>
      <c r="H1500" s="9" t="s">
        <v>6</v>
      </c>
      <c r="I15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</v>
      </c>
      <c r="J15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01" spans="1:10" x14ac:dyDescent="0.25">
      <c r="A1501" s="35">
        <f t="shared" si="36"/>
        <v>180</v>
      </c>
      <c r="B1501" s="5">
        <v>43833</v>
      </c>
      <c r="C1501" s="9" t="s">
        <v>134</v>
      </c>
      <c r="D1501" s="57" t="s">
        <v>1035</v>
      </c>
      <c r="E1501" s="7" t="s">
        <v>1973</v>
      </c>
      <c r="F1501" s="33">
        <v>19</v>
      </c>
      <c r="G1501" s="63">
        <v>-125</v>
      </c>
      <c r="H1501" s="9" t="s">
        <v>6</v>
      </c>
      <c r="I15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</v>
      </c>
      <c r="J15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02" spans="1:10" x14ac:dyDescent="0.25">
      <c r="A1502" s="35">
        <f t="shared" si="36"/>
        <v>180</v>
      </c>
      <c r="B1502" s="5">
        <v>43833</v>
      </c>
      <c r="C1502" s="9" t="s">
        <v>134</v>
      </c>
      <c r="D1502" s="57" t="s">
        <v>181</v>
      </c>
      <c r="E1502" s="7" t="s">
        <v>1974</v>
      </c>
      <c r="F1502" s="33">
        <v>19</v>
      </c>
      <c r="G1502" s="63">
        <v>-118</v>
      </c>
      <c r="H1502" s="9" t="s">
        <v>6</v>
      </c>
      <c r="I15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-19</v>
      </c>
      <c r="J15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03" spans="1:10" x14ac:dyDescent="0.25">
      <c r="A1503" s="35">
        <f t="shared" si="36"/>
        <v>181</v>
      </c>
      <c r="B1503" s="5">
        <v>43834</v>
      </c>
      <c r="C1503" s="5" t="s">
        <v>133</v>
      </c>
      <c r="D1503" s="57" t="s">
        <v>1995</v>
      </c>
      <c r="E1503" s="7" t="s">
        <v>38</v>
      </c>
      <c r="F1503" s="33">
        <v>21.98</v>
      </c>
      <c r="G1503" s="63">
        <v>-110</v>
      </c>
      <c r="H1503" s="9" t="s">
        <v>36</v>
      </c>
      <c r="I15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19.981818181818181</v>
      </c>
      <c r="J15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04" spans="1:10" x14ac:dyDescent="0.25">
      <c r="A1504" s="35">
        <f t="shared" si="36"/>
        <v>181</v>
      </c>
      <c r="B1504" s="5">
        <v>43834</v>
      </c>
      <c r="C1504" s="5" t="s">
        <v>133</v>
      </c>
      <c r="D1504" s="57" t="s">
        <v>1995</v>
      </c>
      <c r="E1504" s="7" t="s">
        <v>1996</v>
      </c>
      <c r="F1504" s="33">
        <v>21.05</v>
      </c>
      <c r="G1504" s="63">
        <v>-106</v>
      </c>
      <c r="H1504" s="9" t="s">
        <v>6</v>
      </c>
      <c r="I15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-21.05</v>
      </c>
      <c r="J15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05" spans="1:10" x14ac:dyDescent="0.25">
      <c r="A1505" s="35">
        <f t="shared" si="36"/>
        <v>181</v>
      </c>
      <c r="B1505" s="5">
        <v>43834</v>
      </c>
      <c r="C1505" s="5" t="s">
        <v>133</v>
      </c>
      <c r="D1505" s="57" t="s">
        <v>1997</v>
      </c>
      <c r="E1505" s="7" t="s">
        <v>1998</v>
      </c>
      <c r="F1505" s="33">
        <v>40</v>
      </c>
      <c r="G1505" s="63">
        <v>100</v>
      </c>
      <c r="H1505" s="9" t="s">
        <v>6</v>
      </c>
      <c r="I15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-40</v>
      </c>
      <c r="J15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06" spans="1:10" x14ac:dyDescent="0.25">
      <c r="A1506" s="35">
        <f t="shared" si="36"/>
        <v>182</v>
      </c>
      <c r="B1506" s="5">
        <v>43835</v>
      </c>
      <c r="C1506" s="5" t="s">
        <v>133</v>
      </c>
      <c r="D1506" s="57" t="s">
        <v>1768</v>
      </c>
      <c r="E1506" s="7" t="s">
        <v>1992</v>
      </c>
      <c r="F1506" s="33">
        <v>21.98</v>
      </c>
      <c r="G1506" s="63">
        <v>-109</v>
      </c>
      <c r="H1506" s="9" t="s">
        <v>36</v>
      </c>
      <c r="I15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20.165137614678898</v>
      </c>
      <c r="J15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07" spans="1:10" x14ac:dyDescent="0.25">
      <c r="A1507" s="35">
        <f t="shared" si="36"/>
        <v>182</v>
      </c>
      <c r="B1507" s="5">
        <v>43835</v>
      </c>
      <c r="C1507" s="5" t="s">
        <v>133</v>
      </c>
      <c r="D1507" s="57" t="s">
        <v>1768</v>
      </c>
      <c r="E1507" s="7" t="s">
        <v>94</v>
      </c>
      <c r="F1507" s="33">
        <v>22</v>
      </c>
      <c r="G1507" s="63">
        <v>-110</v>
      </c>
      <c r="H1507" s="9" t="s">
        <v>6</v>
      </c>
      <c r="I15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-22</v>
      </c>
      <c r="J15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08" spans="1:10" x14ac:dyDescent="0.25">
      <c r="A1508" s="35">
        <f t="shared" si="36"/>
        <v>182</v>
      </c>
      <c r="B1508" s="5">
        <v>43835</v>
      </c>
      <c r="C1508" s="5" t="s">
        <v>133</v>
      </c>
      <c r="D1508" s="57" t="s">
        <v>1993</v>
      </c>
      <c r="E1508" s="7" t="s">
        <v>1994</v>
      </c>
      <c r="F1508" s="33">
        <v>21.05</v>
      </c>
      <c r="G1508" s="63">
        <v>-106</v>
      </c>
      <c r="H1508" s="9" t="s">
        <v>6</v>
      </c>
      <c r="I15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-21.05</v>
      </c>
      <c r="J15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09" spans="1:10" x14ac:dyDescent="0.25">
      <c r="A1509" s="35">
        <f t="shared" si="36"/>
        <v>183</v>
      </c>
      <c r="B1509" s="5">
        <v>43836</v>
      </c>
      <c r="C1509" s="5" t="s">
        <v>419</v>
      </c>
      <c r="D1509" s="57" t="s">
        <v>1977</v>
      </c>
      <c r="E1509" s="7" t="s">
        <v>1978</v>
      </c>
      <c r="F1509" s="33">
        <v>15</v>
      </c>
      <c r="G1509" s="63">
        <v>-110</v>
      </c>
      <c r="H1509" s="9" t="s">
        <v>6</v>
      </c>
      <c r="I15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</v>
      </c>
      <c r="J15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10" spans="1:10" x14ac:dyDescent="0.25">
      <c r="A1510" s="35">
        <f t="shared" si="36"/>
        <v>183</v>
      </c>
      <c r="B1510" s="5">
        <v>43836</v>
      </c>
      <c r="C1510" s="5" t="s">
        <v>419</v>
      </c>
      <c r="D1510" s="57" t="s">
        <v>1979</v>
      </c>
      <c r="E1510" s="7" t="s">
        <v>1989</v>
      </c>
      <c r="F1510" s="33">
        <v>15</v>
      </c>
      <c r="G1510" s="63">
        <v>-110</v>
      </c>
      <c r="H1510" s="9" t="s">
        <v>36</v>
      </c>
      <c r="I15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13.636363636363635</v>
      </c>
      <c r="J15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11" spans="1:10" x14ac:dyDescent="0.25">
      <c r="A1511" s="35">
        <f t="shared" si="36"/>
        <v>183</v>
      </c>
      <c r="B1511" s="5">
        <v>43836</v>
      </c>
      <c r="C1511" s="5" t="s">
        <v>419</v>
      </c>
      <c r="D1511" s="57" t="s">
        <v>1981</v>
      </c>
      <c r="E1511" s="7" t="s">
        <v>1982</v>
      </c>
      <c r="F1511" s="33">
        <v>15</v>
      </c>
      <c r="G1511" s="63">
        <v>-108</v>
      </c>
      <c r="H1511" s="9" t="s">
        <v>6</v>
      </c>
      <c r="I15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</v>
      </c>
      <c r="J15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12" spans="1:10" x14ac:dyDescent="0.25">
      <c r="A1512" s="35">
        <f t="shared" si="36"/>
        <v>183</v>
      </c>
      <c r="B1512" s="5">
        <v>43836</v>
      </c>
      <c r="C1512" s="5" t="s">
        <v>419</v>
      </c>
      <c r="D1512" s="57" t="s">
        <v>1981</v>
      </c>
      <c r="E1512" s="7" t="s">
        <v>1990</v>
      </c>
      <c r="F1512" s="33">
        <v>15</v>
      </c>
      <c r="G1512" s="63">
        <v>-107</v>
      </c>
      <c r="H1512" s="9" t="s">
        <v>36</v>
      </c>
      <c r="I15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14.018691588785046</v>
      </c>
      <c r="J15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13" spans="1:10" x14ac:dyDescent="0.25">
      <c r="A1513" s="35">
        <f t="shared" si="36"/>
        <v>183</v>
      </c>
      <c r="B1513" s="5">
        <v>43836</v>
      </c>
      <c r="C1513" s="5" t="s">
        <v>419</v>
      </c>
      <c r="D1513" s="57" t="s">
        <v>1983</v>
      </c>
      <c r="E1513" s="7" t="s">
        <v>470</v>
      </c>
      <c r="F1513" s="33">
        <v>15</v>
      </c>
      <c r="G1513" s="63">
        <v>-112</v>
      </c>
      <c r="H1513" s="9" t="s">
        <v>6</v>
      </c>
      <c r="I15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</v>
      </c>
      <c r="J15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14" spans="1:10" x14ac:dyDescent="0.25">
      <c r="A1514" s="35">
        <f t="shared" si="36"/>
        <v>183</v>
      </c>
      <c r="B1514" s="5">
        <v>43836</v>
      </c>
      <c r="C1514" s="5" t="s">
        <v>419</v>
      </c>
      <c r="D1514" s="57" t="s">
        <v>1984</v>
      </c>
      <c r="E1514" s="7" t="s">
        <v>468</v>
      </c>
      <c r="F1514" s="33">
        <v>15</v>
      </c>
      <c r="G1514" s="63">
        <v>-107</v>
      </c>
      <c r="H1514" s="9" t="s">
        <v>36</v>
      </c>
      <c r="I15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14.018691588785046</v>
      </c>
      <c r="J15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15" spans="1:10" x14ac:dyDescent="0.25">
      <c r="A1515" s="35">
        <f t="shared" si="36"/>
        <v>183</v>
      </c>
      <c r="B1515" s="5">
        <v>43836</v>
      </c>
      <c r="C1515" s="5" t="s">
        <v>419</v>
      </c>
      <c r="D1515" s="57" t="s">
        <v>1985</v>
      </c>
      <c r="E1515" s="7" t="s">
        <v>1991</v>
      </c>
      <c r="F1515" s="33">
        <v>15</v>
      </c>
      <c r="G1515" s="63">
        <v>-109</v>
      </c>
      <c r="H1515" s="9" t="s">
        <v>36</v>
      </c>
      <c r="I15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13.761467889908257</v>
      </c>
      <c r="J15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16" spans="1:10" x14ac:dyDescent="0.25">
      <c r="A1516" s="35">
        <f t="shared" si="36"/>
        <v>183</v>
      </c>
      <c r="B1516" s="5">
        <v>43836</v>
      </c>
      <c r="C1516" s="5" t="s">
        <v>419</v>
      </c>
      <c r="D1516" s="57" t="s">
        <v>1986</v>
      </c>
      <c r="E1516" s="7" t="s">
        <v>468</v>
      </c>
      <c r="F1516" s="33">
        <v>15</v>
      </c>
      <c r="G1516" s="63">
        <v>-112</v>
      </c>
      <c r="H1516" s="9" t="s">
        <v>36</v>
      </c>
      <c r="I15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13.392857142857142</v>
      </c>
      <c r="J15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17" spans="1:10" x14ac:dyDescent="0.25">
      <c r="A1517" s="35">
        <f t="shared" si="36"/>
        <v>183</v>
      </c>
      <c r="B1517" s="5">
        <v>43836</v>
      </c>
      <c r="C1517" s="5" t="s">
        <v>419</v>
      </c>
      <c r="D1517" s="57" t="s">
        <v>1987</v>
      </c>
      <c r="E1517" s="7" t="s">
        <v>1988</v>
      </c>
      <c r="F1517" s="33">
        <v>15</v>
      </c>
      <c r="G1517" s="63">
        <v>-110</v>
      </c>
      <c r="H1517" s="9" t="s">
        <v>6</v>
      </c>
      <c r="I15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-15</v>
      </c>
      <c r="J15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18" spans="1:10" x14ac:dyDescent="0.25">
      <c r="A1518" s="35">
        <f t="shared" si="36"/>
        <v>184</v>
      </c>
      <c r="B1518" s="5">
        <v>43837</v>
      </c>
      <c r="C1518" s="5" t="s">
        <v>419</v>
      </c>
      <c r="D1518" s="57" t="s">
        <v>1999</v>
      </c>
      <c r="E1518" s="7" t="s">
        <v>2015</v>
      </c>
      <c r="F1518" s="33">
        <v>10</v>
      </c>
      <c r="G1518" s="63">
        <v>-108</v>
      </c>
      <c r="H1518" s="9" t="s">
        <v>36</v>
      </c>
      <c r="I15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9.2592592592592595</v>
      </c>
      <c r="J15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19" spans="1:10" x14ac:dyDescent="0.25">
      <c r="A1519" s="35">
        <f t="shared" si="36"/>
        <v>184</v>
      </c>
      <c r="B1519" s="5">
        <v>43837</v>
      </c>
      <c r="C1519" s="5" t="s">
        <v>419</v>
      </c>
      <c r="D1519" s="57" t="s">
        <v>2000</v>
      </c>
      <c r="E1519" s="7" t="s">
        <v>2016</v>
      </c>
      <c r="F1519" s="33">
        <v>10</v>
      </c>
      <c r="G1519" s="63">
        <v>-112</v>
      </c>
      <c r="H1519" s="9" t="s">
        <v>6</v>
      </c>
      <c r="I15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20" spans="1:10" x14ac:dyDescent="0.25">
      <c r="A1520" s="35">
        <f t="shared" si="36"/>
        <v>184</v>
      </c>
      <c r="B1520" s="5">
        <v>43837</v>
      </c>
      <c r="C1520" s="5" t="s">
        <v>419</v>
      </c>
      <c r="D1520" s="57" t="s">
        <v>2001</v>
      </c>
      <c r="E1520" s="7" t="s">
        <v>2002</v>
      </c>
      <c r="F1520" s="33">
        <v>10</v>
      </c>
      <c r="G1520" s="63">
        <v>-113</v>
      </c>
      <c r="H1520" s="9" t="s">
        <v>6</v>
      </c>
      <c r="I15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21" spans="1:10" x14ac:dyDescent="0.25">
      <c r="A1521" s="35">
        <f t="shared" si="36"/>
        <v>184</v>
      </c>
      <c r="B1521" s="5">
        <v>43837</v>
      </c>
      <c r="C1521" s="5" t="s">
        <v>419</v>
      </c>
      <c r="D1521" s="57" t="s">
        <v>2003</v>
      </c>
      <c r="E1521" s="7" t="s">
        <v>2017</v>
      </c>
      <c r="F1521" s="33">
        <v>10</v>
      </c>
      <c r="G1521" s="63">
        <v>-112</v>
      </c>
      <c r="H1521" s="9" t="s">
        <v>36</v>
      </c>
      <c r="I15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8.9285714285714288</v>
      </c>
      <c r="J15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22" spans="1:10" x14ac:dyDescent="0.25">
      <c r="A1522" s="35">
        <f t="shared" si="36"/>
        <v>184</v>
      </c>
      <c r="B1522" s="5">
        <v>43837</v>
      </c>
      <c r="C1522" s="5" t="s">
        <v>419</v>
      </c>
      <c r="D1522" s="57" t="s">
        <v>2003</v>
      </c>
      <c r="E1522" s="7" t="s">
        <v>2018</v>
      </c>
      <c r="F1522" s="33">
        <v>10</v>
      </c>
      <c r="G1522" s="63">
        <v>-112</v>
      </c>
      <c r="H1522" s="9" t="s">
        <v>6</v>
      </c>
      <c r="I15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23" spans="1:10" x14ac:dyDescent="0.25">
      <c r="A1523" s="35">
        <f t="shared" si="36"/>
        <v>184</v>
      </c>
      <c r="B1523" s="5">
        <v>43837</v>
      </c>
      <c r="C1523" s="5" t="s">
        <v>419</v>
      </c>
      <c r="D1523" s="57" t="s">
        <v>1604</v>
      </c>
      <c r="E1523" s="7" t="s">
        <v>2019</v>
      </c>
      <c r="F1523" s="33">
        <v>10</v>
      </c>
      <c r="G1523" s="63">
        <v>-108</v>
      </c>
      <c r="H1523" s="9" t="s">
        <v>6</v>
      </c>
      <c r="I15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24" spans="1:10" x14ac:dyDescent="0.25">
      <c r="A1524" s="35">
        <f t="shared" si="36"/>
        <v>184</v>
      </c>
      <c r="B1524" s="5">
        <v>43837</v>
      </c>
      <c r="C1524" s="5" t="s">
        <v>419</v>
      </c>
      <c r="D1524" s="57" t="s">
        <v>2004</v>
      </c>
      <c r="E1524" s="7" t="s">
        <v>2005</v>
      </c>
      <c r="F1524" s="33">
        <v>10</v>
      </c>
      <c r="G1524" s="63">
        <v>-109</v>
      </c>
      <c r="H1524" s="9" t="s">
        <v>36</v>
      </c>
      <c r="I15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9.1743119266055047</v>
      </c>
      <c r="J15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25" spans="1:10" x14ac:dyDescent="0.25">
      <c r="A1525" s="35">
        <f t="shared" si="36"/>
        <v>184</v>
      </c>
      <c r="B1525" s="5">
        <v>43837</v>
      </c>
      <c r="C1525" s="5" t="s">
        <v>419</v>
      </c>
      <c r="D1525" s="57" t="s">
        <v>2004</v>
      </c>
      <c r="E1525" s="7" t="s">
        <v>2006</v>
      </c>
      <c r="F1525" s="33">
        <v>10</v>
      </c>
      <c r="G1525" s="63">
        <v>-112</v>
      </c>
      <c r="H1525" s="9" t="s">
        <v>36</v>
      </c>
      <c r="I15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8.9285714285714288</v>
      </c>
      <c r="J15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26" spans="1:10" x14ac:dyDescent="0.25">
      <c r="A1526" s="35">
        <f t="shared" si="36"/>
        <v>184</v>
      </c>
      <c r="B1526" s="5">
        <v>43837</v>
      </c>
      <c r="C1526" s="5" t="s">
        <v>419</v>
      </c>
      <c r="D1526" s="57" t="s">
        <v>2007</v>
      </c>
      <c r="E1526" s="7" t="s">
        <v>2020</v>
      </c>
      <c r="F1526" s="33">
        <v>10</v>
      </c>
      <c r="G1526" s="63">
        <v>-110</v>
      </c>
      <c r="H1526" s="9" t="s">
        <v>36</v>
      </c>
      <c r="I15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27" spans="1:10" x14ac:dyDescent="0.25">
      <c r="A1527" s="35">
        <f t="shared" si="36"/>
        <v>184</v>
      </c>
      <c r="B1527" s="5">
        <v>43837</v>
      </c>
      <c r="C1527" s="5" t="s">
        <v>419</v>
      </c>
      <c r="D1527" s="57" t="s">
        <v>2007</v>
      </c>
      <c r="E1527" s="7" t="s">
        <v>2021</v>
      </c>
      <c r="F1527" s="33">
        <v>10</v>
      </c>
      <c r="G1527" s="63">
        <v>-113</v>
      </c>
      <c r="H1527" s="9" t="s">
        <v>6</v>
      </c>
      <c r="I15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28" spans="1:10" x14ac:dyDescent="0.25">
      <c r="A1528" s="35">
        <f t="shared" si="36"/>
        <v>184</v>
      </c>
      <c r="B1528" s="5">
        <v>43837</v>
      </c>
      <c r="C1528" s="5" t="s">
        <v>419</v>
      </c>
      <c r="D1528" s="57" t="s">
        <v>2008</v>
      </c>
      <c r="E1528" s="7" t="s">
        <v>1967</v>
      </c>
      <c r="F1528" s="33">
        <v>10</v>
      </c>
      <c r="G1528" s="63">
        <v>-109</v>
      </c>
      <c r="H1528" s="9" t="s">
        <v>36</v>
      </c>
      <c r="I15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9.1743119266055047</v>
      </c>
      <c r="J15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29" spans="1:10" x14ac:dyDescent="0.25">
      <c r="A1529" s="35">
        <f t="shared" si="36"/>
        <v>184</v>
      </c>
      <c r="B1529" s="5">
        <v>43837</v>
      </c>
      <c r="C1529" s="5" t="s">
        <v>419</v>
      </c>
      <c r="D1529" s="57" t="s">
        <v>2009</v>
      </c>
      <c r="E1529" s="7" t="s">
        <v>2022</v>
      </c>
      <c r="F1529" s="33">
        <v>10</v>
      </c>
      <c r="G1529" s="63">
        <v>-108</v>
      </c>
      <c r="H1529" s="9" t="s">
        <v>36</v>
      </c>
      <c r="I15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9.2592592592592595</v>
      </c>
      <c r="J15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30" spans="1:10" x14ac:dyDescent="0.25">
      <c r="A1530" s="35">
        <f t="shared" si="36"/>
        <v>184</v>
      </c>
      <c r="B1530" s="5">
        <v>43837</v>
      </c>
      <c r="C1530" s="5" t="s">
        <v>419</v>
      </c>
      <c r="D1530" s="57" t="s">
        <v>2010</v>
      </c>
      <c r="E1530" s="7" t="s">
        <v>2011</v>
      </c>
      <c r="F1530" s="33">
        <v>9</v>
      </c>
      <c r="G1530" s="63">
        <v>-110</v>
      </c>
      <c r="H1530" s="9" t="s">
        <v>36</v>
      </c>
      <c r="I15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8.1818181818181817</v>
      </c>
      <c r="J15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31" spans="1:10" x14ac:dyDescent="0.25">
      <c r="A1531" s="35">
        <f t="shared" si="36"/>
        <v>184</v>
      </c>
      <c r="B1531" s="5">
        <v>43837</v>
      </c>
      <c r="C1531" s="5" t="s">
        <v>419</v>
      </c>
      <c r="D1531" s="57" t="s">
        <v>2012</v>
      </c>
      <c r="E1531" s="7" t="s">
        <v>1055</v>
      </c>
      <c r="F1531" s="33">
        <v>9</v>
      </c>
      <c r="G1531" s="63">
        <v>-113</v>
      </c>
      <c r="H1531" s="9" t="s">
        <v>36</v>
      </c>
      <c r="I15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7.9646017699115044</v>
      </c>
      <c r="J15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32" spans="1:10" x14ac:dyDescent="0.25">
      <c r="A1532" s="35">
        <f t="shared" si="36"/>
        <v>184</v>
      </c>
      <c r="B1532" s="5">
        <v>43837</v>
      </c>
      <c r="C1532" s="5" t="s">
        <v>419</v>
      </c>
      <c r="D1532" s="57" t="s">
        <v>2013</v>
      </c>
      <c r="E1532" s="7" t="s">
        <v>2014</v>
      </c>
      <c r="F1532" s="33">
        <v>8.92</v>
      </c>
      <c r="G1532" s="63">
        <v>-112</v>
      </c>
      <c r="H1532" s="9" t="s">
        <v>6</v>
      </c>
      <c r="I15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-8.92</v>
      </c>
      <c r="J15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33" spans="1:10" x14ac:dyDescent="0.25">
      <c r="A1533" s="35">
        <f t="shared" si="36"/>
        <v>185</v>
      </c>
      <c r="B1533" s="5">
        <v>43838</v>
      </c>
      <c r="C1533" s="5" t="s">
        <v>419</v>
      </c>
      <c r="D1533" s="57" t="s">
        <v>2023</v>
      </c>
      <c r="E1533" s="7" t="s">
        <v>536</v>
      </c>
      <c r="F1533" s="33">
        <v>10</v>
      </c>
      <c r="G1533" s="63">
        <v>-113</v>
      </c>
      <c r="H1533" s="9" t="s">
        <v>36</v>
      </c>
      <c r="I15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8.8495575221238933</v>
      </c>
      <c r="J15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34" spans="1:10" x14ac:dyDescent="0.25">
      <c r="A1534" s="35">
        <f t="shared" si="36"/>
        <v>185</v>
      </c>
      <c r="B1534" s="5">
        <v>43838</v>
      </c>
      <c r="C1534" s="5" t="s">
        <v>419</v>
      </c>
      <c r="D1534" s="57" t="s">
        <v>2024</v>
      </c>
      <c r="E1534" s="7" t="s">
        <v>622</v>
      </c>
      <c r="F1534" s="33">
        <v>10</v>
      </c>
      <c r="G1534" s="63">
        <v>-109</v>
      </c>
      <c r="H1534" s="9" t="s">
        <v>6</v>
      </c>
      <c r="I15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35" spans="1:10" x14ac:dyDescent="0.25">
      <c r="A1535" s="35">
        <f t="shared" si="36"/>
        <v>185</v>
      </c>
      <c r="B1535" s="5">
        <v>43838</v>
      </c>
      <c r="C1535" s="5" t="s">
        <v>419</v>
      </c>
      <c r="D1535" s="57" t="s">
        <v>2025</v>
      </c>
      <c r="E1535" s="7" t="s">
        <v>598</v>
      </c>
      <c r="F1535" s="33">
        <v>10</v>
      </c>
      <c r="G1535" s="63">
        <v>-108</v>
      </c>
      <c r="H1535" s="9" t="s">
        <v>6</v>
      </c>
      <c r="I15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36" spans="1:10" x14ac:dyDescent="0.25">
      <c r="A1536" s="35">
        <f t="shared" si="36"/>
        <v>185</v>
      </c>
      <c r="B1536" s="5">
        <v>43838</v>
      </c>
      <c r="C1536" s="5" t="s">
        <v>419</v>
      </c>
      <c r="D1536" s="57" t="s">
        <v>2026</v>
      </c>
      <c r="E1536" s="7" t="s">
        <v>2027</v>
      </c>
      <c r="F1536" s="33">
        <v>10</v>
      </c>
      <c r="G1536" s="63">
        <v>-110</v>
      </c>
      <c r="H1536" s="9" t="s">
        <v>6</v>
      </c>
      <c r="I15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37" spans="1:10" x14ac:dyDescent="0.25">
      <c r="A1537" s="35">
        <f t="shared" si="36"/>
        <v>185</v>
      </c>
      <c r="B1537" s="5">
        <v>43838</v>
      </c>
      <c r="C1537" s="5" t="s">
        <v>419</v>
      </c>
      <c r="D1537" s="57" t="s">
        <v>2028</v>
      </c>
      <c r="E1537" s="7" t="s">
        <v>598</v>
      </c>
      <c r="F1537" s="33">
        <v>10</v>
      </c>
      <c r="G1537" s="63">
        <v>-109</v>
      </c>
      <c r="H1537" s="9" t="s">
        <v>6</v>
      </c>
      <c r="I15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38" spans="1:10" x14ac:dyDescent="0.25">
      <c r="A1538" s="35">
        <f t="shared" si="36"/>
        <v>185</v>
      </c>
      <c r="B1538" s="5">
        <v>43838</v>
      </c>
      <c r="C1538" s="5" t="s">
        <v>419</v>
      </c>
      <c r="D1538" s="57" t="s">
        <v>2029</v>
      </c>
      <c r="E1538" s="7" t="s">
        <v>2030</v>
      </c>
      <c r="F1538" s="33">
        <v>10</v>
      </c>
      <c r="G1538" s="63">
        <v>-113</v>
      </c>
      <c r="H1538" s="9" t="s">
        <v>36</v>
      </c>
      <c r="I15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8.8495575221238933</v>
      </c>
      <c r="J15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39" spans="1:10" x14ac:dyDescent="0.25">
      <c r="A1539" s="35">
        <f t="shared" si="36"/>
        <v>185</v>
      </c>
      <c r="B1539" s="5">
        <v>43838</v>
      </c>
      <c r="C1539" s="5" t="s">
        <v>419</v>
      </c>
      <c r="D1539" s="57" t="s">
        <v>2031</v>
      </c>
      <c r="E1539" s="7" t="s">
        <v>646</v>
      </c>
      <c r="F1539" s="33">
        <v>10</v>
      </c>
      <c r="G1539" s="63">
        <v>-108</v>
      </c>
      <c r="H1539" s="9" t="s">
        <v>6</v>
      </c>
      <c r="I15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40" spans="1:10" x14ac:dyDescent="0.25">
      <c r="A1540" s="35">
        <f t="shared" ref="A1540:A1603" si="37">IF(B1540=B1539,A1539,A1539+1)</f>
        <v>185</v>
      </c>
      <c r="B1540" s="5">
        <v>43838</v>
      </c>
      <c r="C1540" s="5" t="s">
        <v>419</v>
      </c>
      <c r="D1540" s="57" t="s">
        <v>2032</v>
      </c>
      <c r="E1540" s="7" t="s">
        <v>2033</v>
      </c>
      <c r="F1540" s="33">
        <v>10</v>
      </c>
      <c r="G1540" s="63">
        <v>-109</v>
      </c>
      <c r="H1540" s="9" t="s">
        <v>6</v>
      </c>
      <c r="I15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41" spans="1:10" x14ac:dyDescent="0.25">
      <c r="A1541" s="35">
        <f t="shared" si="37"/>
        <v>185</v>
      </c>
      <c r="B1541" s="5">
        <v>43838</v>
      </c>
      <c r="C1541" s="5" t="s">
        <v>419</v>
      </c>
      <c r="D1541" s="57" t="s">
        <v>2034</v>
      </c>
      <c r="E1541" s="7" t="s">
        <v>2035</v>
      </c>
      <c r="F1541" s="33">
        <v>10</v>
      </c>
      <c r="G1541" s="63">
        <v>-112</v>
      </c>
      <c r="H1541" s="9" t="s">
        <v>6</v>
      </c>
      <c r="I15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42" spans="1:10" x14ac:dyDescent="0.25">
      <c r="A1542" s="35">
        <f t="shared" si="37"/>
        <v>185</v>
      </c>
      <c r="B1542" s="5">
        <v>43838</v>
      </c>
      <c r="C1542" s="5" t="s">
        <v>419</v>
      </c>
      <c r="D1542" s="57" t="s">
        <v>2036</v>
      </c>
      <c r="E1542" s="7" t="s">
        <v>2037</v>
      </c>
      <c r="F1542" s="33">
        <v>10</v>
      </c>
      <c r="G1542" s="63">
        <v>-112</v>
      </c>
      <c r="H1542" s="9" t="s">
        <v>6</v>
      </c>
      <c r="I15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43" spans="1:10" x14ac:dyDescent="0.25">
      <c r="A1543" s="35">
        <f t="shared" si="37"/>
        <v>185</v>
      </c>
      <c r="B1543" s="5">
        <v>43838</v>
      </c>
      <c r="C1543" s="5" t="s">
        <v>419</v>
      </c>
      <c r="D1543" s="57" t="s">
        <v>2023</v>
      </c>
      <c r="E1543" s="7" t="s">
        <v>2038</v>
      </c>
      <c r="F1543" s="33">
        <v>10</v>
      </c>
      <c r="G1543" s="63">
        <v>-110</v>
      </c>
      <c r="H1543" s="9" t="s">
        <v>6</v>
      </c>
      <c r="I15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44" spans="1:10" x14ac:dyDescent="0.25">
      <c r="A1544" s="35">
        <f t="shared" si="37"/>
        <v>185</v>
      </c>
      <c r="B1544" s="5">
        <v>43838</v>
      </c>
      <c r="C1544" s="5" t="s">
        <v>419</v>
      </c>
      <c r="D1544" s="57" t="s">
        <v>2039</v>
      </c>
      <c r="E1544" s="7" t="s">
        <v>1980</v>
      </c>
      <c r="F1544" s="33">
        <v>10</v>
      </c>
      <c r="G1544" s="63">
        <v>-114</v>
      </c>
      <c r="H1544" s="9" t="s">
        <v>6</v>
      </c>
      <c r="I15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45" spans="1:10" x14ac:dyDescent="0.25">
      <c r="A1545" s="35">
        <f t="shared" si="37"/>
        <v>185</v>
      </c>
      <c r="B1545" s="5">
        <v>43838</v>
      </c>
      <c r="C1545" s="5" t="s">
        <v>419</v>
      </c>
      <c r="D1545" s="57" t="s">
        <v>2040</v>
      </c>
      <c r="E1545" s="7" t="s">
        <v>2041</v>
      </c>
      <c r="F1545" s="33">
        <v>10</v>
      </c>
      <c r="G1545" s="63">
        <v>-113</v>
      </c>
      <c r="H1545" s="9" t="s">
        <v>36</v>
      </c>
      <c r="I15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8.8495575221238933</v>
      </c>
      <c r="J15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46" spans="1:10" x14ac:dyDescent="0.25">
      <c r="A1546" s="35">
        <f t="shared" si="37"/>
        <v>185</v>
      </c>
      <c r="B1546" s="5">
        <v>43838</v>
      </c>
      <c r="C1546" s="5" t="s">
        <v>419</v>
      </c>
      <c r="D1546" s="57" t="s">
        <v>2032</v>
      </c>
      <c r="E1546" s="7" t="s">
        <v>2042</v>
      </c>
      <c r="F1546" s="33">
        <v>10</v>
      </c>
      <c r="G1546" s="63">
        <v>-109</v>
      </c>
      <c r="H1546" s="9" t="s">
        <v>6</v>
      </c>
      <c r="I15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47" spans="1:10" x14ac:dyDescent="0.25">
      <c r="A1547" s="35">
        <f t="shared" si="37"/>
        <v>185</v>
      </c>
      <c r="B1547" s="5">
        <v>43838</v>
      </c>
      <c r="C1547" s="5" t="s">
        <v>419</v>
      </c>
      <c r="D1547" s="57" t="s">
        <v>2036</v>
      </c>
      <c r="E1547" s="7" t="s">
        <v>2043</v>
      </c>
      <c r="F1547" s="33">
        <v>10</v>
      </c>
      <c r="G1547" s="63">
        <v>-110</v>
      </c>
      <c r="H1547" s="9" t="s">
        <v>6</v>
      </c>
      <c r="I15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48" spans="1:10" x14ac:dyDescent="0.25">
      <c r="A1548" s="35">
        <f t="shared" si="37"/>
        <v>185</v>
      </c>
      <c r="B1548" s="5">
        <v>43838</v>
      </c>
      <c r="C1548" s="5" t="s">
        <v>419</v>
      </c>
      <c r="D1548" s="57" t="s">
        <v>2044</v>
      </c>
      <c r="E1548" s="7" t="s">
        <v>2045</v>
      </c>
      <c r="F1548" s="33">
        <v>10</v>
      </c>
      <c r="G1548" s="63">
        <v>-112</v>
      </c>
      <c r="H1548" s="9" t="s">
        <v>6</v>
      </c>
      <c r="I15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49" spans="1:10" x14ac:dyDescent="0.25">
      <c r="A1549" s="35">
        <f t="shared" si="37"/>
        <v>186</v>
      </c>
      <c r="B1549" s="5">
        <v>43839</v>
      </c>
      <c r="C1549" s="5" t="s">
        <v>419</v>
      </c>
      <c r="D1549" s="57" t="s">
        <v>2046</v>
      </c>
      <c r="E1549" s="7" t="s">
        <v>2063</v>
      </c>
      <c r="F1549" s="33">
        <v>5</v>
      </c>
      <c r="G1549" s="63">
        <v>-110</v>
      </c>
      <c r="H1549" s="9" t="s">
        <v>65</v>
      </c>
      <c r="I15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5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50" spans="1:10" x14ac:dyDescent="0.25">
      <c r="A1550" s="35">
        <f t="shared" si="37"/>
        <v>186</v>
      </c>
      <c r="B1550" s="5">
        <v>43839</v>
      </c>
      <c r="C1550" s="5" t="s">
        <v>419</v>
      </c>
      <c r="D1550" s="57" t="s">
        <v>2047</v>
      </c>
      <c r="E1550" s="7" t="s">
        <v>1888</v>
      </c>
      <c r="F1550" s="33">
        <v>5</v>
      </c>
      <c r="G1550" s="63">
        <v>-108</v>
      </c>
      <c r="H1550" s="9" t="s">
        <v>6</v>
      </c>
      <c r="I15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51" spans="1:10" x14ac:dyDescent="0.25">
      <c r="A1551" s="35">
        <f t="shared" si="37"/>
        <v>186</v>
      </c>
      <c r="B1551" s="5">
        <v>43839</v>
      </c>
      <c r="C1551" s="5" t="s">
        <v>419</v>
      </c>
      <c r="D1551" s="57" t="s">
        <v>2048</v>
      </c>
      <c r="E1551" s="7" t="s">
        <v>2049</v>
      </c>
      <c r="F1551" s="33">
        <v>5</v>
      </c>
      <c r="G1551" s="63">
        <v>-109</v>
      </c>
      <c r="H1551" s="9" t="s">
        <v>6</v>
      </c>
      <c r="I15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52" spans="1:10" x14ac:dyDescent="0.25">
      <c r="A1552" s="35">
        <f t="shared" si="37"/>
        <v>186</v>
      </c>
      <c r="B1552" s="5">
        <v>43839</v>
      </c>
      <c r="C1552" s="5" t="s">
        <v>419</v>
      </c>
      <c r="D1552" s="57" t="s">
        <v>2050</v>
      </c>
      <c r="E1552" s="7" t="s">
        <v>2051</v>
      </c>
      <c r="F1552" s="33">
        <v>5</v>
      </c>
      <c r="G1552" s="63">
        <v>-112</v>
      </c>
      <c r="H1552" s="9" t="s">
        <v>6</v>
      </c>
      <c r="I15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53" spans="1:10" x14ac:dyDescent="0.25">
      <c r="A1553" s="35">
        <f t="shared" si="37"/>
        <v>186</v>
      </c>
      <c r="B1553" s="5">
        <v>43839</v>
      </c>
      <c r="C1553" s="5" t="s">
        <v>419</v>
      </c>
      <c r="D1553" s="57" t="s">
        <v>2052</v>
      </c>
      <c r="E1553" s="7" t="s">
        <v>2053</v>
      </c>
      <c r="F1553" s="33">
        <v>5</v>
      </c>
      <c r="G1553" s="63">
        <v>-110</v>
      </c>
      <c r="H1553" s="9" t="s">
        <v>6</v>
      </c>
      <c r="I15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54" spans="1:10" x14ac:dyDescent="0.25">
      <c r="A1554" s="35">
        <f t="shared" si="37"/>
        <v>186</v>
      </c>
      <c r="B1554" s="5">
        <v>43839</v>
      </c>
      <c r="C1554" s="5" t="s">
        <v>419</v>
      </c>
      <c r="D1554" s="57" t="s">
        <v>2054</v>
      </c>
      <c r="E1554" s="7" t="s">
        <v>2055</v>
      </c>
      <c r="F1554" s="33">
        <v>5</v>
      </c>
      <c r="G1554" s="63">
        <v>-112</v>
      </c>
      <c r="H1554" s="9" t="s">
        <v>6</v>
      </c>
      <c r="I15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55" spans="1:10" x14ac:dyDescent="0.25">
      <c r="A1555" s="35">
        <f t="shared" si="37"/>
        <v>186</v>
      </c>
      <c r="B1555" s="5">
        <v>43839</v>
      </c>
      <c r="C1555" s="5" t="s">
        <v>419</v>
      </c>
      <c r="D1555" s="57" t="s">
        <v>2056</v>
      </c>
      <c r="E1555" s="7" t="s">
        <v>1990</v>
      </c>
      <c r="F1555" s="33">
        <v>5</v>
      </c>
      <c r="G1555" s="63">
        <v>-112</v>
      </c>
      <c r="H1555" s="9" t="s">
        <v>36</v>
      </c>
      <c r="I15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4.4642857142857144</v>
      </c>
      <c r="J15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56" spans="1:10" x14ac:dyDescent="0.25">
      <c r="A1556" s="35">
        <f t="shared" si="37"/>
        <v>186</v>
      </c>
      <c r="B1556" s="5">
        <v>43839</v>
      </c>
      <c r="C1556" s="5" t="s">
        <v>419</v>
      </c>
      <c r="D1556" s="57" t="s">
        <v>2057</v>
      </c>
      <c r="E1556" s="7" t="s">
        <v>2066</v>
      </c>
      <c r="F1556" s="33">
        <v>5</v>
      </c>
      <c r="G1556" s="63">
        <v>-112</v>
      </c>
      <c r="H1556" s="9" t="s">
        <v>6</v>
      </c>
      <c r="I15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57" spans="1:10" x14ac:dyDescent="0.25">
      <c r="A1557" s="35">
        <f t="shared" si="37"/>
        <v>186</v>
      </c>
      <c r="B1557" s="5">
        <v>43839</v>
      </c>
      <c r="C1557" s="5" t="s">
        <v>419</v>
      </c>
      <c r="D1557" s="57" t="s">
        <v>2058</v>
      </c>
      <c r="E1557" s="7" t="s">
        <v>2064</v>
      </c>
      <c r="F1557" s="33">
        <v>5</v>
      </c>
      <c r="G1557" s="63">
        <v>-108</v>
      </c>
      <c r="H1557" s="9" t="s">
        <v>36</v>
      </c>
      <c r="I15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4.6296296296296298</v>
      </c>
      <c r="J15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58" spans="1:10" x14ac:dyDescent="0.25">
      <c r="A1558" s="35">
        <f t="shared" si="37"/>
        <v>186</v>
      </c>
      <c r="B1558" s="5">
        <v>43839</v>
      </c>
      <c r="C1558" s="5" t="s">
        <v>419</v>
      </c>
      <c r="D1558" s="57" t="s">
        <v>2059</v>
      </c>
      <c r="E1558" s="7" t="s">
        <v>2065</v>
      </c>
      <c r="F1558" s="33">
        <v>5</v>
      </c>
      <c r="G1558" s="63">
        <v>-109</v>
      </c>
      <c r="H1558" s="9" t="s">
        <v>6</v>
      </c>
      <c r="I15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59" spans="1:10" x14ac:dyDescent="0.25">
      <c r="A1559" s="35">
        <f t="shared" si="37"/>
        <v>186</v>
      </c>
      <c r="B1559" s="5">
        <v>43839</v>
      </c>
      <c r="C1559" s="5" t="s">
        <v>419</v>
      </c>
      <c r="D1559" s="57" t="s">
        <v>2060</v>
      </c>
      <c r="E1559" s="7" t="s">
        <v>2061</v>
      </c>
      <c r="F1559" s="33">
        <v>5</v>
      </c>
      <c r="G1559" s="63">
        <v>-110</v>
      </c>
      <c r="H1559" s="9" t="s">
        <v>6</v>
      </c>
      <c r="I155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-5</v>
      </c>
      <c r="J15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60" spans="1:10" x14ac:dyDescent="0.25">
      <c r="A1560" s="35">
        <f t="shared" si="37"/>
        <v>186</v>
      </c>
      <c r="B1560" s="5">
        <v>43839</v>
      </c>
      <c r="C1560" s="5" t="s">
        <v>419</v>
      </c>
      <c r="D1560" s="57" t="s">
        <v>2062</v>
      </c>
      <c r="E1560" s="7" t="s">
        <v>2067</v>
      </c>
      <c r="F1560" s="33">
        <v>5</v>
      </c>
      <c r="G1560" s="63">
        <v>-109</v>
      </c>
      <c r="H1560" s="9" t="s">
        <v>36</v>
      </c>
      <c r="I156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4.5871559633027523</v>
      </c>
      <c r="J15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61" spans="1:10" ht="120" x14ac:dyDescent="0.25">
      <c r="A1561" s="35">
        <f t="shared" si="37"/>
        <v>187</v>
      </c>
      <c r="B1561" s="5">
        <v>43840</v>
      </c>
      <c r="C1561" s="5" t="s">
        <v>134</v>
      </c>
      <c r="D1561" s="58" t="s">
        <v>2068</v>
      </c>
      <c r="E1561" s="46" t="s">
        <v>2069</v>
      </c>
      <c r="F1561" s="33">
        <v>0.23</v>
      </c>
      <c r="G1561" s="63">
        <v>2540</v>
      </c>
      <c r="H1561" s="9" t="s">
        <v>6</v>
      </c>
      <c r="I156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-0.23</v>
      </c>
      <c r="J15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562" spans="1:10" x14ac:dyDescent="0.25">
      <c r="A1562" s="35">
        <f t="shared" si="37"/>
        <v>188</v>
      </c>
      <c r="B1562" s="5">
        <v>43841</v>
      </c>
      <c r="C1562" s="5" t="s">
        <v>133</v>
      </c>
      <c r="D1562" s="57" t="s">
        <v>2084</v>
      </c>
      <c r="E1562" s="7" t="s">
        <v>2085</v>
      </c>
      <c r="F1562" s="33">
        <v>20</v>
      </c>
      <c r="G1562" s="111">
        <v>-130</v>
      </c>
      <c r="H1562" s="9" t="s">
        <v>36</v>
      </c>
      <c r="I156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15.384615384615385</v>
      </c>
      <c r="J15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63" spans="1:10" x14ac:dyDescent="0.25">
      <c r="A1563" s="35">
        <f t="shared" si="37"/>
        <v>188</v>
      </c>
      <c r="B1563" s="5">
        <v>43841</v>
      </c>
      <c r="C1563" s="5" t="s">
        <v>133</v>
      </c>
      <c r="D1563" s="57" t="s">
        <v>2086</v>
      </c>
      <c r="E1563" s="7" t="s">
        <v>2087</v>
      </c>
      <c r="F1563" s="33">
        <v>18.75</v>
      </c>
      <c r="G1563" s="111">
        <v>-110</v>
      </c>
      <c r="H1563" s="9" t="s">
        <v>6</v>
      </c>
      <c r="I156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-18.75</v>
      </c>
      <c r="J15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64" spans="1:10" x14ac:dyDescent="0.25">
      <c r="A1564" s="35">
        <f t="shared" si="37"/>
        <v>189</v>
      </c>
      <c r="B1564" s="5">
        <v>43842</v>
      </c>
      <c r="C1564" s="5" t="s">
        <v>133</v>
      </c>
      <c r="D1564" s="57" t="s">
        <v>2088</v>
      </c>
      <c r="E1564" s="7" t="s">
        <v>2089</v>
      </c>
      <c r="F1564" s="33">
        <v>17</v>
      </c>
      <c r="G1564" s="111">
        <v>-110</v>
      </c>
      <c r="H1564" s="9" t="s">
        <v>6</v>
      </c>
      <c r="I156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</v>
      </c>
      <c r="J15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65" spans="1:10" x14ac:dyDescent="0.25">
      <c r="A1565" s="35">
        <f t="shared" si="37"/>
        <v>189</v>
      </c>
      <c r="B1565" s="5">
        <v>43842</v>
      </c>
      <c r="C1565" s="5" t="s">
        <v>133</v>
      </c>
      <c r="D1565" s="57" t="s">
        <v>2088</v>
      </c>
      <c r="E1565" s="7" t="s">
        <v>1514</v>
      </c>
      <c r="F1565" s="33">
        <v>17</v>
      </c>
      <c r="G1565" s="111">
        <v>-110</v>
      </c>
      <c r="H1565" s="9" t="s">
        <v>6</v>
      </c>
      <c r="I156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-17</v>
      </c>
      <c r="J15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66" spans="1:10" ht="30" x14ac:dyDescent="0.25">
      <c r="A1566" s="35">
        <f t="shared" si="37"/>
        <v>189</v>
      </c>
      <c r="B1566" s="5">
        <v>43842</v>
      </c>
      <c r="C1566" s="5" t="s">
        <v>133</v>
      </c>
      <c r="D1566" s="58" t="s">
        <v>2090</v>
      </c>
      <c r="E1566" s="46" t="s">
        <v>2091</v>
      </c>
      <c r="F1566" s="33">
        <v>1.4</v>
      </c>
      <c r="G1566" s="111">
        <v>255</v>
      </c>
      <c r="H1566" s="9" t="s">
        <v>6</v>
      </c>
      <c r="I156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-1.4</v>
      </c>
      <c r="J15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P</v>
      </c>
    </row>
    <row r="1567" spans="1:10" x14ac:dyDescent="0.25">
      <c r="A1567" s="35">
        <f t="shared" si="37"/>
        <v>190</v>
      </c>
      <c r="B1567" s="5">
        <v>43843</v>
      </c>
      <c r="C1567" s="5" t="s">
        <v>134</v>
      </c>
      <c r="D1567" s="57" t="s">
        <v>2072</v>
      </c>
      <c r="E1567" s="7" t="s">
        <v>2073</v>
      </c>
      <c r="F1567" s="33">
        <v>20</v>
      </c>
      <c r="G1567" s="111">
        <v>-111</v>
      </c>
      <c r="H1567" s="9" t="s">
        <v>36</v>
      </c>
      <c r="I156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18.018018018018019</v>
      </c>
      <c r="J156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68" spans="1:10" x14ac:dyDescent="0.25">
      <c r="A1568" s="35">
        <f t="shared" si="37"/>
        <v>190</v>
      </c>
      <c r="B1568" s="5">
        <v>43843</v>
      </c>
      <c r="C1568" s="5" t="s">
        <v>134</v>
      </c>
      <c r="D1568" s="57" t="s">
        <v>1009</v>
      </c>
      <c r="E1568" s="7" t="s">
        <v>2074</v>
      </c>
      <c r="F1568" s="33">
        <v>20</v>
      </c>
      <c r="G1568" s="111">
        <v>-118</v>
      </c>
      <c r="H1568" s="9" t="s">
        <v>6</v>
      </c>
      <c r="I156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56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69" spans="1:10" x14ac:dyDescent="0.25">
      <c r="A1569" s="35">
        <f t="shared" si="37"/>
        <v>190</v>
      </c>
      <c r="B1569" s="5">
        <v>43843</v>
      </c>
      <c r="C1569" s="5" t="s">
        <v>134</v>
      </c>
      <c r="D1569" s="57" t="s">
        <v>282</v>
      </c>
      <c r="E1569" s="7" t="s">
        <v>2075</v>
      </c>
      <c r="F1569" s="33">
        <v>20</v>
      </c>
      <c r="G1569" s="111">
        <v>-118</v>
      </c>
      <c r="H1569" s="9" t="s">
        <v>6</v>
      </c>
      <c r="I156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56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70" spans="1:10" x14ac:dyDescent="0.25">
      <c r="A1570" s="35">
        <f t="shared" si="37"/>
        <v>190</v>
      </c>
      <c r="B1570" s="5">
        <v>43843</v>
      </c>
      <c r="C1570" s="5" t="s">
        <v>134</v>
      </c>
      <c r="D1570" s="57" t="s">
        <v>2077</v>
      </c>
      <c r="E1570" s="7" t="s">
        <v>2078</v>
      </c>
      <c r="F1570" s="33">
        <v>20</v>
      </c>
      <c r="G1570" s="111">
        <v>-120</v>
      </c>
      <c r="H1570" s="9" t="s">
        <v>36</v>
      </c>
      <c r="I157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16.666666666666664</v>
      </c>
      <c r="J157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71" spans="1:10" x14ac:dyDescent="0.25">
      <c r="A1571" s="35">
        <f t="shared" si="37"/>
        <v>190</v>
      </c>
      <c r="B1571" s="5">
        <v>43843</v>
      </c>
      <c r="C1571" s="5" t="s">
        <v>419</v>
      </c>
      <c r="D1571" s="57" t="s">
        <v>2076</v>
      </c>
      <c r="E1571" s="7" t="s">
        <v>2011</v>
      </c>
      <c r="F1571" s="33">
        <v>20</v>
      </c>
      <c r="G1571" s="111">
        <v>-110</v>
      </c>
      <c r="H1571" s="9" t="s">
        <v>6</v>
      </c>
      <c r="I157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57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72" spans="1:10" x14ac:dyDescent="0.25">
      <c r="A1572" s="35">
        <f t="shared" si="37"/>
        <v>190</v>
      </c>
      <c r="B1572" s="5">
        <v>43843</v>
      </c>
      <c r="C1572" s="5" t="s">
        <v>1507</v>
      </c>
      <c r="D1572" s="57" t="s">
        <v>2070</v>
      </c>
      <c r="E1572" s="7" t="s">
        <v>2071</v>
      </c>
      <c r="F1572" s="33">
        <v>20</v>
      </c>
      <c r="G1572" s="111">
        <v>-110</v>
      </c>
      <c r="H1572" s="9" t="s">
        <v>6</v>
      </c>
      <c r="I157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57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73" spans="1:10" x14ac:dyDescent="0.25">
      <c r="A1573" s="35">
        <f t="shared" si="37"/>
        <v>191</v>
      </c>
      <c r="B1573" s="5">
        <v>43844</v>
      </c>
      <c r="C1573" s="5" t="s">
        <v>134</v>
      </c>
      <c r="D1573" s="57" t="s">
        <v>2079</v>
      </c>
      <c r="E1573" s="7" t="s">
        <v>2080</v>
      </c>
      <c r="F1573" s="33">
        <v>10</v>
      </c>
      <c r="G1573" s="111">
        <v>-105</v>
      </c>
      <c r="H1573" s="9" t="s">
        <v>6</v>
      </c>
      <c r="I157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7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74" spans="1:10" x14ac:dyDescent="0.25">
      <c r="A1574" s="35">
        <f t="shared" si="37"/>
        <v>191</v>
      </c>
      <c r="B1574" s="5">
        <v>43844</v>
      </c>
      <c r="C1574" s="5" t="s">
        <v>419</v>
      </c>
      <c r="D1574" s="57" t="s">
        <v>660</v>
      </c>
      <c r="E1574" s="7" t="s">
        <v>408</v>
      </c>
      <c r="F1574" s="33">
        <v>10</v>
      </c>
      <c r="G1574" s="111">
        <v>-118</v>
      </c>
      <c r="H1574" s="9" t="s">
        <v>36</v>
      </c>
      <c r="I157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8.4745762711864394</v>
      </c>
      <c r="J157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75" spans="1:10" x14ac:dyDescent="0.25">
      <c r="A1575" s="35">
        <f t="shared" si="37"/>
        <v>191</v>
      </c>
      <c r="B1575" s="5">
        <v>43844</v>
      </c>
      <c r="C1575" s="5" t="s">
        <v>419</v>
      </c>
      <c r="D1575" s="57" t="s">
        <v>2081</v>
      </c>
      <c r="E1575" s="7" t="s">
        <v>2082</v>
      </c>
      <c r="F1575" s="33">
        <v>10</v>
      </c>
      <c r="G1575" s="111">
        <v>-110</v>
      </c>
      <c r="H1575" s="9" t="s">
        <v>6</v>
      </c>
      <c r="I157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7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76" spans="1:10" x14ac:dyDescent="0.25">
      <c r="A1576" s="35">
        <f t="shared" si="37"/>
        <v>191</v>
      </c>
      <c r="B1576" s="5">
        <v>43844</v>
      </c>
      <c r="C1576" s="5" t="s">
        <v>419</v>
      </c>
      <c r="D1576" s="57" t="s">
        <v>2083</v>
      </c>
      <c r="E1576" s="7" t="s">
        <v>1980</v>
      </c>
      <c r="F1576" s="33">
        <v>10</v>
      </c>
      <c r="G1576" s="111">
        <v>-110</v>
      </c>
      <c r="H1576" s="9" t="s">
        <v>36</v>
      </c>
      <c r="I157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7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77" spans="1:10" x14ac:dyDescent="0.25">
      <c r="A1577" s="35">
        <f t="shared" si="37"/>
        <v>191</v>
      </c>
      <c r="B1577" s="5">
        <v>43844</v>
      </c>
      <c r="C1577" s="5" t="s">
        <v>419</v>
      </c>
      <c r="D1577" s="57" t="s">
        <v>2093</v>
      </c>
      <c r="E1577" s="7" t="s">
        <v>2094</v>
      </c>
      <c r="F1577" s="33">
        <v>10</v>
      </c>
      <c r="G1577" s="111">
        <v>-110</v>
      </c>
      <c r="H1577" s="9" t="s">
        <v>6</v>
      </c>
      <c r="I157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7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78" spans="1:10" x14ac:dyDescent="0.25">
      <c r="A1578" s="35">
        <f t="shared" si="37"/>
        <v>191</v>
      </c>
      <c r="B1578" s="5">
        <v>43844</v>
      </c>
      <c r="C1578" s="5" t="s">
        <v>1210</v>
      </c>
      <c r="D1578" s="57" t="s">
        <v>2095</v>
      </c>
      <c r="E1578" s="7" t="s">
        <v>2096</v>
      </c>
      <c r="F1578" s="33">
        <v>10</v>
      </c>
      <c r="G1578" s="111">
        <v>120</v>
      </c>
      <c r="H1578" s="9" t="s">
        <v>36</v>
      </c>
      <c r="I157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12</v>
      </c>
      <c r="J157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579" spans="1:10" x14ac:dyDescent="0.25">
      <c r="A1579" s="35">
        <f t="shared" si="37"/>
        <v>191</v>
      </c>
      <c r="B1579" s="5">
        <v>43844</v>
      </c>
      <c r="C1579" s="5" t="s">
        <v>134</v>
      </c>
      <c r="D1579" s="57" t="s">
        <v>198</v>
      </c>
      <c r="E1579" s="7" t="s">
        <v>2099</v>
      </c>
      <c r="F1579" s="33">
        <v>10</v>
      </c>
      <c r="G1579" s="63">
        <v>-118</v>
      </c>
      <c r="H1579" s="9" t="s">
        <v>6</v>
      </c>
      <c r="I157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7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80" spans="1:10" x14ac:dyDescent="0.25">
      <c r="A1580" s="35">
        <f t="shared" si="37"/>
        <v>192</v>
      </c>
      <c r="B1580" s="5">
        <v>43845</v>
      </c>
      <c r="C1580" s="5" t="s">
        <v>419</v>
      </c>
      <c r="D1580" s="57" t="s">
        <v>2097</v>
      </c>
      <c r="E1580" s="7" t="s">
        <v>2098</v>
      </c>
      <c r="F1580" s="33">
        <v>10</v>
      </c>
      <c r="G1580" s="63">
        <v>-110</v>
      </c>
      <c r="H1580" s="9" t="s">
        <v>6</v>
      </c>
      <c r="I158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8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81" spans="1:10" x14ac:dyDescent="0.25">
      <c r="A1581" s="35">
        <f t="shared" si="37"/>
        <v>192</v>
      </c>
      <c r="B1581" s="5">
        <v>43845</v>
      </c>
      <c r="C1581" s="5" t="s">
        <v>419</v>
      </c>
      <c r="D1581" s="57" t="s">
        <v>2100</v>
      </c>
      <c r="E1581" s="7" t="s">
        <v>2101</v>
      </c>
      <c r="F1581" s="33">
        <v>10</v>
      </c>
      <c r="G1581" s="63">
        <v>-105</v>
      </c>
      <c r="H1581" s="9" t="s">
        <v>36</v>
      </c>
      <c r="I158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58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82" spans="1:10" x14ac:dyDescent="0.25">
      <c r="A1582" s="35">
        <f t="shared" si="37"/>
        <v>192</v>
      </c>
      <c r="B1582" s="5">
        <v>43845</v>
      </c>
      <c r="C1582" s="5" t="s">
        <v>419</v>
      </c>
      <c r="D1582" s="57" t="s">
        <v>1021</v>
      </c>
      <c r="E1582" s="7" t="s">
        <v>2102</v>
      </c>
      <c r="F1582" s="33">
        <v>10</v>
      </c>
      <c r="G1582" s="63">
        <v>-110</v>
      </c>
      <c r="H1582" s="9" t="s">
        <v>36</v>
      </c>
      <c r="I158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8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83" spans="1:10" x14ac:dyDescent="0.25">
      <c r="A1583" s="35">
        <f t="shared" si="37"/>
        <v>192</v>
      </c>
      <c r="B1583" s="5">
        <v>43845</v>
      </c>
      <c r="C1583" s="5" t="s">
        <v>419</v>
      </c>
      <c r="D1583" s="57" t="s">
        <v>2103</v>
      </c>
      <c r="E1583" s="7" t="s">
        <v>2104</v>
      </c>
      <c r="F1583" s="33">
        <v>10</v>
      </c>
      <c r="G1583" s="63">
        <v>-105</v>
      </c>
      <c r="H1583" s="9" t="s">
        <v>36</v>
      </c>
      <c r="I158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58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584" spans="1:10" x14ac:dyDescent="0.25">
      <c r="A1584" s="35">
        <f t="shared" si="37"/>
        <v>192</v>
      </c>
      <c r="B1584" s="5">
        <v>43845</v>
      </c>
      <c r="C1584" s="5" t="s">
        <v>134</v>
      </c>
      <c r="D1584" s="57" t="s">
        <v>2105</v>
      </c>
      <c r="E1584" s="7" t="s">
        <v>2106</v>
      </c>
      <c r="F1584" s="33">
        <v>10</v>
      </c>
      <c r="G1584" s="63">
        <v>-111</v>
      </c>
      <c r="H1584" s="9" t="s">
        <v>6</v>
      </c>
      <c r="I158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8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85" spans="1:10" x14ac:dyDescent="0.25">
      <c r="A1585" s="35">
        <f t="shared" si="37"/>
        <v>193</v>
      </c>
      <c r="B1585" s="5">
        <v>43846</v>
      </c>
      <c r="C1585" s="5" t="s">
        <v>419</v>
      </c>
      <c r="D1585" s="57" t="s">
        <v>2107</v>
      </c>
      <c r="E1585" s="7" t="s">
        <v>1967</v>
      </c>
      <c r="F1585" s="33">
        <v>10</v>
      </c>
      <c r="G1585" s="63">
        <v>-110</v>
      </c>
      <c r="H1585" s="9" t="s">
        <v>36</v>
      </c>
      <c r="I158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8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86" spans="1:10" x14ac:dyDescent="0.25">
      <c r="A1586" s="35">
        <f t="shared" si="37"/>
        <v>193</v>
      </c>
      <c r="B1586" s="5">
        <v>43846</v>
      </c>
      <c r="C1586" s="5" t="s">
        <v>419</v>
      </c>
      <c r="D1586" s="57" t="s">
        <v>2108</v>
      </c>
      <c r="E1586" s="7" t="s">
        <v>2109</v>
      </c>
      <c r="F1586" s="33">
        <v>10</v>
      </c>
      <c r="G1586" s="63">
        <v>-110</v>
      </c>
      <c r="H1586" s="9" t="s">
        <v>36</v>
      </c>
      <c r="I158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8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87" spans="1:10" x14ac:dyDescent="0.25">
      <c r="A1587" s="35">
        <f t="shared" si="37"/>
        <v>193</v>
      </c>
      <c r="B1587" s="5">
        <v>43846</v>
      </c>
      <c r="C1587" s="5" t="s">
        <v>419</v>
      </c>
      <c r="D1587" s="57" t="s">
        <v>2110</v>
      </c>
      <c r="E1587" s="7" t="s">
        <v>2111</v>
      </c>
      <c r="F1587" s="33">
        <v>10</v>
      </c>
      <c r="G1587" s="63">
        <v>-110</v>
      </c>
      <c r="H1587" s="9" t="s">
        <v>6</v>
      </c>
      <c r="I158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8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88" spans="1:10" x14ac:dyDescent="0.25">
      <c r="A1588" s="35">
        <f t="shared" si="37"/>
        <v>193</v>
      </c>
      <c r="B1588" s="5">
        <v>43846</v>
      </c>
      <c r="C1588" s="5" t="s">
        <v>419</v>
      </c>
      <c r="D1588" s="57" t="s">
        <v>2112</v>
      </c>
      <c r="E1588" s="7" t="s">
        <v>629</v>
      </c>
      <c r="F1588" s="33">
        <v>10</v>
      </c>
      <c r="G1588" s="63">
        <v>-110</v>
      </c>
      <c r="H1588" s="9" t="s">
        <v>36</v>
      </c>
      <c r="I158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8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89" spans="1:10" x14ac:dyDescent="0.25">
      <c r="A1589" s="35">
        <f t="shared" si="37"/>
        <v>193</v>
      </c>
      <c r="B1589" s="5">
        <v>43846</v>
      </c>
      <c r="C1589" s="5" t="s">
        <v>419</v>
      </c>
      <c r="D1589" s="57" t="s">
        <v>2113</v>
      </c>
      <c r="E1589" s="7" t="s">
        <v>1875</v>
      </c>
      <c r="F1589" s="33">
        <v>10</v>
      </c>
      <c r="G1589" s="63">
        <v>-110</v>
      </c>
      <c r="H1589" s="9" t="s">
        <v>36</v>
      </c>
      <c r="I158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8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90" spans="1:10" x14ac:dyDescent="0.25">
      <c r="A1590" s="35">
        <f t="shared" si="37"/>
        <v>193</v>
      </c>
      <c r="B1590" s="5">
        <v>43846</v>
      </c>
      <c r="C1590" s="5" t="s">
        <v>419</v>
      </c>
      <c r="D1590" s="57" t="s">
        <v>2114</v>
      </c>
      <c r="E1590" s="7" t="s">
        <v>2115</v>
      </c>
      <c r="F1590" s="33">
        <v>10</v>
      </c>
      <c r="G1590" s="63">
        <v>-118</v>
      </c>
      <c r="H1590" s="9" t="s">
        <v>36</v>
      </c>
      <c r="I159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8.4745762711864394</v>
      </c>
      <c r="J159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1" spans="1:10" x14ac:dyDescent="0.25">
      <c r="A1591" s="35">
        <f t="shared" si="37"/>
        <v>193</v>
      </c>
      <c r="B1591" s="5">
        <v>43846</v>
      </c>
      <c r="C1591" s="5" t="s">
        <v>1210</v>
      </c>
      <c r="D1591" s="57" t="s">
        <v>2116</v>
      </c>
      <c r="E1591" s="7" t="s">
        <v>2117</v>
      </c>
      <c r="F1591" s="33">
        <v>10</v>
      </c>
      <c r="G1591" s="63">
        <v>115</v>
      </c>
      <c r="H1591" s="9" t="s">
        <v>6</v>
      </c>
      <c r="I159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9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592" spans="1:10" x14ac:dyDescent="0.25">
      <c r="A1592" s="35">
        <f t="shared" si="37"/>
        <v>193</v>
      </c>
      <c r="B1592" s="5">
        <v>43846</v>
      </c>
      <c r="C1592" s="5" t="s">
        <v>134</v>
      </c>
      <c r="D1592" s="57" t="s">
        <v>1184</v>
      </c>
      <c r="E1592" s="7" t="s">
        <v>1081</v>
      </c>
      <c r="F1592" s="33">
        <v>10</v>
      </c>
      <c r="G1592" s="63">
        <v>-110</v>
      </c>
      <c r="H1592" s="9" t="s">
        <v>36</v>
      </c>
      <c r="I159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9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3" spans="1:10" x14ac:dyDescent="0.25">
      <c r="A1593" s="35">
        <f t="shared" si="37"/>
        <v>193</v>
      </c>
      <c r="B1593" s="5">
        <v>43846</v>
      </c>
      <c r="C1593" s="5" t="s">
        <v>419</v>
      </c>
      <c r="D1593" s="57" t="s">
        <v>2118</v>
      </c>
      <c r="E1593" s="7" t="s">
        <v>1828</v>
      </c>
      <c r="F1593" s="33">
        <v>10</v>
      </c>
      <c r="G1593" s="63">
        <v>-110</v>
      </c>
      <c r="H1593" s="9" t="s">
        <v>36</v>
      </c>
      <c r="I159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59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594" spans="1:10" x14ac:dyDescent="0.25">
      <c r="A1594" s="35">
        <f t="shared" si="37"/>
        <v>194</v>
      </c>
      <c r="B1594" s="5">
        <v>43847</v>
      </c>
      <c r="C1594" s="5" t="s">
        <v>419</v>
      </c>
      <c r="D1594" s="57" t="s">
        <v>2119</v>
      </c>
      <c r="E1594" s="7" t="s">
        <v>2120</v>
      </c>
      <c r="F1594" s="33">
        <v>10</v>
      </c>
      <c r="G1594" s="63">
        <v>-118</v>
      </c>
      <c r="H1594" s="9" t="s">
        <v>36</v>
      </c>
      <c r="I159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8.4745762711864394</v>
      </c>
      <c r="J159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5" spans="1:10" x14ac:dyDescent="0.25">
      <c r="A1595" s="35">
        <f t="shared" si="37"/>
        <v>194</v>
      </c>
      <c r="B1595" s="5">
        <v>43847</v>
      </c>
      <c r="C1595" s="5" t="s">
        <v>419</v>
      </c>
      <c r="D1595" s="57" t="s">
        <v>2121</v>
      </c>
      <c r="E1595" s="7" t="s">
        <v>686</v>
      </c>
      <c r="F1595" s="33">
        <v>10</v>
      </c>
      <c r="G1595" s="63">
        <v>-105</v>
      </c>
      <c r="H1595" s="9" t="s">
        <v>6</v>
      </c>
      <c r="I159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9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596" spans="1:10" x14ac:dyDescent="0.25">
      <c r="A1596" s="35">
        <f t="shared" si="37"/>
        <v>194</v>
      </c>
      <c r="B1596" s="5">
        <v>43847</v>
      </c>
      <c r="C1596" s="5" t="s">
        <v>419</v>
      </c>
      <c r="D1596" s="57" t="s">
        <v>2122</v>
      </c>
      <c r="E1596" s="7" t="s">
        <v>2123</v>
      </c>
      <c r="F1596" s="33">
        <v>10</v>
      </c>
      <c r="G1596" s="63">
        <v>-111</v>
      </c>
      <c r="H1596" s="9" t="s">
        <v>6</v>
      </c>
      <c r="I159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9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7" spans="1:10" x14ac:dyDescent="0.25">
      <c r="A1597" s="35">
        <f t="shared" si="37"/>
        <v>194</v>
      </c>
      <c r="B1597" s="5">
        <v>43847</v>
      </c>
      <c r="C1597" s="5" t="s">
        <v>419</v>
      </c>
      <c r="D1597" s="57" t="s">
        <v>2124</v>
      </c>
      <c r="E1597" s="7" t="s">
        <v>2125</v>
      </c>
      <c r="F1597" s="33">
        <v>10</v>
      </c>
      <c r="G1597" s="63">
        <v>-118</v>
      </c>
      <c r="H1597" s="9" t="s">
        <v>6</v>
      </c>
      <c r="I159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9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8" spans="1:10" x14ac:dyDescent="0.25">
      <c r="A1598" s="35">
        <f t="shared" si="37"/>
        <v>194</v>
      </c>
      <c r="B1598" s="5">
        <v>43847</v>
      </c>
      <c r="C1598" s="5" t="s">
        <v>419</v>
      </c>
      <c r="D1598" s="57" t="s">
        <v>517</v>
      </c>
      <c r="E1598" s="7" t="s">
        <v>2126</v>
      </c>
      <c r="F1598" s="33">
        <v>10</v>
      </c>
      <c r="G1598" s="63">
        <v>-105</v>
      </c>
      <c r="H1598" s="9" t="s">
        <v>6</v>
      </c>
      <c r="I159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59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599" spans="1:10" x14ac:dyDescent="0.25">
      <c r="A1599" s="35">
        <f t="shared" si="37"/>
        <v>194</v>
      </c>
      <c r="B1599" s="5">
        <v>43847</v>
      </c>
      <c r="C1599" s="5" t="s">
        <v>1210</v>
      </c>
      <c r="D1599" s="57" t="s">
        <v>2127</v>
      </c>
      <c r="E1599" s="7" t="s">
        <v>2128</v>
      </c>
      <c r="F1599" s="33">
        <v>10</v>
      </c>
      <c r="G1599" s="63">
        <v>188</v>
      </c>
      <c r="H1599" s="9" t="s">
        <v>36</v>
      </c>
      <c r="I159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18.799999999999997</v>
      </c>
      <c r="J159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600" spans="1:10" x14ac:dyDescent="0.25">
      <c r="A1600" s="35">
        <f t="shared" si="37"/>
        <v>194</v>
      </c>
      <c r="B1600" s="5">
        <v>43847</v>
      </c>
      <c r="C1600" s="5" t="s">
        <v>134</v>
      </c>
      <c r="D1600" s="57" t="s">
        <v>2129</v>
      </c>
      <c r="E1600" s="7" t="s">
        <v>2130</v>
      </c>
      <c r="F1600" s="33">
        <v>10</v>
      </c>
      <c r="G1600" s="63">
        <v>-125</v>
      </c>
      <c r="H1600" s="9" t="s">
        <v>36</v>
      </c>
      <c r="I160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</v>
      </c>
      <c r="J160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01" spans="1:10" x14ac:dyDescent="0.25">
      <c r="A1601" s="35">
        <f t="shared" si="37"/>
        <v>194</v>
      </c>
      <c r="B1601" s="5">
        <v>43847</v>
      </c>
      <c r="C1601" s="5" t="s">
        <v>134</v>
      </c>
      <c r="D1601" s="57" t="s">
        <v>2129</v>
      </c>
      <c r="E1601" s="7" t="s">
        <v>2131</v>
      </c>
      <c r="F1601" s="33">
        <v>10</v>
      </c>
      <c r="G1601" s="63">
        <v>-120</v>
      </c>
      <c r="H1601" s="9" t="s">
        <v>36</v>
      </c>
      <c r="I160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8.3333333333333321</v>
      </c>
      <c r="J160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02" spans="1:10" x14ac:dyDescent="0.25">
      <c r="A1602" s="35">
        <f t="shared" si="37"/>
        <v>194</v>
      </c>
      <c r="B1602" s="5">
        <v>43847</v>
      </c>
      <c r="C1602" s="5" t="s">
        <v>1210</v>
      </c>
      <c r="D1602" s="57" t="s">
        <v>2132</v>
      </c>
      <c r="E1602" s="7" t="s">
        <v>1529</v>
      </c>
      <c r="F1602" s="33">
        <v>10</v>
      </c>
      <c r="G1602" s="63">
        <v>120</v>
      </c>
      <c r="H1602" s="9" t="s">
        <v>6</v>
      </c>
      <c r="I160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0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603" spans="1:10" x14ac:dyDescent="0.25">
      <c r="A1603" s="35">
        <f t="shared" si="37"/>
        <v>194</v>
      </c>
      <c r="B1603" s="5">
        <v>43847</v>
      </c>
      <c r="C1603" s="5" t="s">
        <v>134</v>
      </c>
      <c r="D1603" s="57" t="s">
        <v>2133</v>
      </c>
      <c r="E1603" s="7" t="s">
        <v>2134</v>
      </c>
      <c r="F1603" s="33">
        <v>10</v>
      </c>
      <c r="G1603" s="63">
        <v>100</v>
      </c>
      <c r="H1603" s="9" t="s">
        <v>36</v>
      </c>
      <c r="I160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</v>
      </c>
      <c r="J160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04" spans="1:10" x14ac:dyDescent="0.25">
      <c r="A1604" s="35">
        <f t="shared" ref="A1604:A1667" si="38">IF(B1604=B1603,A1603,A1603+1)</f>
        <v>195</v>
      </c>
      <c r="B1604" s="5">
        <v>43848</v>
      </c>
      <c r="C1604" s="5" t="s">
        <v>419</v>
      </c>
      <c r="D1604" s="57" t="s">
        <v>2135</v>
      </c>
      <c r="E1604" s="7" t="s">
        <v>2136</v>
      </c>
      <c r="F1604" s="33">
        <v>10</v>
      </c>
      <c r="G1604" s="63">
        <v>-105</v>
      </c>
      <c r="H1604" s="9" t="s">
        <v>36</v>
      </c>
      <c r="I160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0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05" spans="1:10" x14ac:dyDescent="0.25">
      <c r="A1605" s="35">
        <f t="shared" si="38"/>
        <v>195</v>
      </c>
      <c r="B1605" s="5">
        <v>43848</v>
      </c>
      <c r="C1605" s="5" t="s">
        <v>419</v>
      </c>
      <c r="D1605" s="57" t="s">
        <v>1756</v>
      </c>
      <c r="E1605" s="7" t="s">
        <v>2137</v>
      </c>
      <c r="F1605" s="33">
        <v>10</v>
      </c>
      <c r="G1605" s="63">
        <v>-105</v>
      </c>
      <c r="H1605" s="9" t="s">
        <v>36</v>
      </c>
      <c r="I160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0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06" spans="1:10" x14ac:dyDescent="0.25">
      <c r="A1606" s="35">
        <f t="shared" si="38"/>
        <v>195</v>
      </c>
      <c r="B1606" s="5">
        <v>43848</v>
      </c>
      <c r="C1606" s="5" t="s">
        <v>419</v>
      </c>
      <c r="D1606" s="57" t="s">
        <v>2138</v>
      </c>
      <c r="E1606" s="7" t="s">
        <v>2139</v>
      </c>
      <c r="F1606" s="33">
        <v>10</v>
      </c>
      <c r="G1606" s="63">
        <v>-110</v>
      </c>
      <c r="H1606" s="9" t="s">
        <v>36</v>
      </c>
      <c r="I160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0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07" spans="1:10" x14ac:dyDescent="0.25">
      <c r="A1607" s="35">
        <f t="shared" si="38"/>
        <v>195</v>
      </c>
      <c r="B1607" s="5">
        <v>43848</v>
      </c>
      <c r="C1607" s="5" t="s">
        <v>419</v>
      </c>
      <c r="D1607" s="57" t="s">
        <v>2140</v>
      </c>
      <c r="E1607" s="7" t="s">
        <v>2141</v>
      </c>
      <c r="F1607" s="33">
        <v>10</v>
      </c>
      <c r="G1607" s="63">
        <v>-110</v>
      </c>
      <c r="H1607" s="9" t="s">
        <v>6</v>
      </c>
      <c r="I160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0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08" spans="1:10" x14ac:dyDescent="0.25">
      <c r="A1608" s="35">
        <f t="shared" si="38"/>
        <v>195</v>
      </c>
      <c r="B1608" s="5">
        <v>43848</v>
      </c>
      <c r="C1608" s="5" t="s">
        <v>419</v>
      </c>
      <c r="D1608" s="57" t="s">
        <v>2142</v>
      </c>
      <c r="E1608" s="7" t="s">
        <v>2143</v>
      </c>
      <c r="F1608" s="33">
        <v>10</v>
      </c>
      <c r="G1608" s="63">
        <v>-105</v>
      </c>
      <c r="H1608" s="9" t="s">
        <v>36</v>
      </c>
      <c r="I160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0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09" spans="1:10" x14ac:dyDescent="0.25">
      <c r="A1609" s="35">
        <f t="shared" si="38"/>
        <v>195</v>
      </c>
      <c r="B1609" s="5">
        <v>43848</v>
      </c>
      <c r="C1609" s="5" t="s">
        <v>419</v>
      </c>
      <c r="D1609" s="57" t="s">
        <v>2144</v>
      </c>
      <c r="E1609" s="7" t="s">
        <v>2145</v>
      </c>
      <c r="F1609" s="33">
        <v>10</v>
      </c>
      <c r="G1609" s="63">
        <v>-110</v>
      </c>
      <c r="H1609" s="9" t="s">
        <v>36</v>
      </c>
      <c r="I160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0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10" spans="1:10" x14ac:dyDescent="0.25">
      <c r="A1610" s="35">
        <f t="shared" si="38"/>
        <v>195</v>
      </c>
      <c r="B1610" s="5">
        <v>43848</v>
      </c>
      <c r="C1610" s="5" t="s">
        <v>134</v>
      </c>
      <c r="D1610" s="57" t="s">
        <v>815</v>
      </c>
      <c r="E1610" s="7" t="s">
        <v>217</v>
      </c>
      <c r="F1610" s="33">
        <v>10</v>
      </c>
      <c r="G1610" s="63">
        <v>-110</v>
      </c>
      <c r="H1610" s="9" t="s">
        <v>6</v>
      </c>
      <c r="I161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1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11" spans="1:10" x14ac:dyDescent="0.25">
      <c r="A1611" s="35">
        <f t="shared" si="38"/>
        <v>195</v>
      </c>
      <c r="B1611" s="5">
        <v>43848</v>
      </c>
      <c r="C1611" s="5" t="s">
        <v>1210</v>
      </c>
      <c r="D1611" s="57" t="s">
        <v>2146</v>
      </c>
      <c r="E1611" s="7" t="s">
        <v>2147</v>
      </c>
      <c r="F1611" s="33">
        <v>10</v>
      </c>
      <c r="G1611" s="63">
        <v>175</v>
      </c>
      <c r="H1611" s="9" t="s">
        <v>6</v>
      </c>
      <c r="I161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1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612" spans="1:10" x14ac:dyDescent="0.25">
      <c r="A1612" s="35">
        <f t="shared" si="38"/>
        <v>196</v>
      </c>
      <c r="B1612" s="5">
        <v>43849</v>
      </c>
      <c r="C1612" s="5" t="s">
        <v>133</v>
      </c>
      <c r="D1612" s="57" t="s">
        <v>2148</v>
      </c>
      <c r="E1612" s="7" t="s">
        <v>2149</v>
      </c>
      <c r="F1612" s="33">
        <v>20</v>
      </c>
      <c r="G1612" s="63">
        <v>-110</v>
      </c>
      <c r="H1612" s="9" t="s">
        <v>6</v>
      </c>
      <c r="I161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61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13" spans="1:10" x14ac:dyDescent="0.25">
      <c r="A1613" s="35">
        <f t="shared" si="38"/>
        <v>196</v>
      </c>
      <c r="B1613" s="5">
        <v>43849</v>
      </c>
      <c r="C1613" s="5" t="s">
        <v>133</v>
      </c>
      <c r="D1613" s="57" t="s">
        <v>2148</v>
      </c>
      <c r="E1613" s="7" t="s">
        <v>2151</v>
      </c>
      <c r="F1613" s="33">
        <v>20</v>
      </c>
      <c r="G1613" s="63">
        <v>-110</v>
      </c>
      <c r="H1613" s="9" t="s">
        <v>6</v>
      </c>
      <c r="I161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61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14" spans="1:10" x14ac:dyDescent="0.25">
      <c r="A1614" s="35">
        <f t="shared" si="38"/>
        <v>196</v>
      </c>
      <c r="B1614" s="5">
        <v>43849</v>
      </c>
      <c r="C1614" s="5" t="s">
        <v>133</v>
      </c>
      <c r="D1614" s="57" t="s">
        <v>2150</v>
      </c>
      <c r="E1614" s="7" t="s">
        <v>1577</v>
      </c>
      <c r="F1614" s="33">
        <v>20</v>
      </c>
      <c r="G1614" s="63">
        <v>-110</v>
      </c>
      <c r="H1614" s="9" t="s">
        <v>6</v>
      </c>
      <c r="I161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61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15" spans="1:10" x14ac:dyDescent="0.25">
      <c r="A1615" s="35">
        <f t="shared" si="38"/>
        <v>196</v>
      </c>
      <c r="B1615" s="5">
        <v>43849</v>
      </c>
      <c r="C1615" s="5" t="s">
        <v>133</v>
      </c>
      <c r="D1615" s="57" t="s">
        <v>2150</v>
      </c>
      <c r="E1615" s="7" t="s">
        <v>2152</v>
      </c>
      <c r="F1615" s="33">
        <v>20</v>
      </c>
      <c r="G1615" s="63">
        <v>-110</v>
      </c>
      <c r="H1615" s="9" t="s">
        <v>6</v>
      </c>
      <c r="I161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-20</v>
      </c>
      <c r="J161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16" spans="1:10" x14ac:dyDescent="0.25">
      <c r="A1616" s="35">
        <f t="shared" si="38"/>
        <v>197</v>
      </c>
      <c r="B1616" s="5">
        <v>43850</v>
      </c>
      <c r="C1616" s="5" t="s">
        <v>134</v>
      </c>
      <c r="D1616" s="57" t="s">
        <v>733</v>
      </c>
      <c r="E1616" s="7" t="s">
        <v>1702</v>
      </c>
      <c r="F1616" s="33">
        <v>10</v>
      </c>
      <c r="G1616" s="63">
        <v>-105</v>
      </c>
      <c r="H1616" s="9" t="s">
        <v>36</v>
      </c>
      <c r="I161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1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17" spans="1:10" x14ac:dyDescent="0.25">
      <c r="A1617" s="35">
        <f t="shared" si="38"/>
        <v>197</v>
      </c>
      <c r="B1617" s="5">
        <v>43850</v>
      </c>
      <c r="C1617" s="5" t="s">
        <v>134</v>
      </c>
      <c r="D1617" s="57" t="s">
        <v>2153</v>
      </c>
      <c r="E1617" s="7" t="s">
        <v>2158</v>
      </c>
      <c r="F1617" s="33">
        <v>10</v>
      </c>
      <c r="G1617" s="63">
        <v>-105</v>
      </c>
      <c r="H1617" s="9" t="s">
        <v>36</v>
      </c>
      <c r="I161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1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18" spans="1:10" x14ac:dyDescent="0.25">
      <c r="A1618" s="35">
        <f t="shared" si="38"/>
        <v>197</v>
      </c>
      <c r="B1618" s="5">
        <v>43850</v>
      </c>
      <c r="C1618" s="5" t="s">
        <v>419</v>
      </c>
      <c r="D1618" s="57" t="s">
        <v>2154</v>
      </c>
      <c r="E1618" s="7" t="s">
        <v>2159</v>
      </c>
      <c r="F1618" s="33">
        <v>10</v>
      </c>
      <c r="G1618" s="63">
        <v>-110</v>
      </c>
      <c r="H1618" s="9" t="s">
        <v>36</v>
      </c>
      <c r="I161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1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19" spans="1:10" x14ac:dyDescent="0.25">
      <c r="A1619" s="35">
        <f t="shared" si="38"/>
        <v>197</v>
      </c>
      <c r="B1619" s="5">
        <v>43850</v>
      </c>
      <c r="C1619" s="5" t="s">
        <v>419</v>
      </c>
      <c r="D1619" s="57" t="s">
        <v>2155</v>
      </c>
      <c r="E1619" s="7" t="s">
        <v>2160</v>
      </c>
      <c r="F1619" s="33">
        <v>10</v>
      </c>
      <c r="G1619" s="63">
        <v>-105</v>
      </c>
      <c r="H1619" s="9" t="s">
        <v>36</v>
      </c>
      <c r="I161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9.5238095238095237</v>
      </c>
      <c r="J161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20" spans="1:10" x14ac:dyDescent="0.25">
      <c r="A1620" s="35">
        <f t="shared" si="38"/>
        <v>197</v>
      </c>
      <c r="B1620" s="5">
        <v>43850</v>
      </c>
      <c r="C1620" s="5" t="s">
        <v>419</v>
      </c>
      <c r="D1620" s="57" t="s">
        <v>2156</v>
      </c>
      <c r="E1620" s="7" t="s">
        <v>2161</v>
      </c>
      <c r="F1620" s="33">
        <v>10</v>
      </c>
      <c r="G1620" s="63">
        <v>-111</v>
      </c>
      <c r="H1620" s="9" t="s">
        <v>36</v>
      </c>
      <c r="I162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9.0090090090090094</v>
      </c>
      <c r="J162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21" spans="1:10" x14ac:dyDescent="0.25">
      <c r="A1621" s="35">
        <f t="shared" si="38"/>
        <v>197</v>
      </c>
      <c r="B1621" s="5">
        <v>43850</v>
      </c>
      <c r="C1621" s="5" t="s">
        <v>419</v>
      </c>
      <c r="D1621" s="57" t="s">
        <v>1754</v>
      </c>
      <c r="E1621" s="7" t="s">
        <v>772</v>
      </c>
      <c r="F1621" s="33">
        <v>10</v>
      </c>
      <c r="G1621" s="63">
        <v>-110</v>
      </c>
      <c r="H1621" s="9" t="s">
        <v>6</v>
      </c>
      <c r="I162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22" spans="1:10" x14ac:dyDescent="0.25">
      <c r="A1622" s="35">
        <f t="shared" si="38"/>
        <v>197</v>
      </c>
      <c r="B1622" s="5">
        <v>43850</v>
      </c>
      <c r="C1622" s="5" t="s">
        <v>134</v>
      </c>
      <c r="D1622" s="57" t="s">
        <v>2157</v>
      </c>
      <c r="E1622" s="7" t="s">
        <v>2162</v>
      </c>
      <c r="F1622" s="33">
        <v>10</v>
      </c>
      <c r="G1622" s="63">
        <v>-111</v>
      </c>
      <c r="H1622" s="9" t="s">
        <v>6</v>
      </c>
      <c r="I162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23" spans="1:10" x14ac:dyDescent="0.25">
      <c r="A1623" s="35">
        <f t="shared" si="38"/>
        <v>197</v>
      </c>
      <c r="B1623" s="5">
        <v>43850</v>
      </c>
      <c r="C1623" s="5" t="s">
        <v>134</v>
      </c>
      <c r="D1623" s="57" t="s">
        <v>826</v>
      </c>
      <c r="E1623" s="7" t="s">
        <v>2163</v>
      </c>
      <c r="F1623" s="33">
        <v>10</v>
      </c>
      <c r="G1623" s="63">
        <v>-105</v>
      </c>
      <c r="H1623" s="9" t="s">
        <v>6</v>
      </c>
      <c r="I162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24" spans="1:10" x14ac:dyDescent="0.25">
      <c r="A1624" s="35">
        <f t="shared" si="38"/>
        <v>198</v>
      </c>
      <c r="B1624" s="5">
        <v>43851</v>
      </c>
      <c r="C1624" s="5" t="s">
        <v>419</v>
      </c>
      <c r="D1624" s="57" t="s">
        <v>2164</v>
      </c>
      <c r="E1624" s="7" t="s">
        <v>2171</v>
      </c>
      <c r="F1624" s="33">
        <v>10</v>
      </c>
      <c r="G1624" s="63">
        <v>-105</v>
      </c>
      <c r="H1624" s="9" t="s">
        <v>6</v>
      </c>
      <c r="I162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25" spans="1:10" x14ac:dyDescent="0.25">
      <c r="A1625" s="35">
        <f t="shared" si="38"/>
        <v>198</v>
      </c>
      <c r="B1625" s="5">
        <v>43851</v>
      </c>
      <c r="C1625" s="5" t="s">
        <v>419</v>
      </c>
      <c r="D1625" s="57" t="s">
        <v>2165</v>
      </c>
      <c r="E1625" s="7" t="s">
        <v>1875</v>
      </c>
      <c r="F1625" s="33">
        <v>10</v>
      </c>
      <c r="G1625" s="63">
        <v>-110</v>
      </c>
      <c r="H1625" s="9" t="s">
        <v>6</v>
      </c>
      <c r="I162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26" spans="1:10" x14ac:dyDescent="0.25">
      <c r="A1626" s="35">
        <f t="shared" si="38"/>
        <v>198</v>
      </c>
      <c r="B1626" s="5">
        <v>43851</v>
      </c>
      <c r="C1626" s="5" t="s">
        <v>419</v>
      </c>
      <c r="D1626" s="57" t="s">
        <v>2165</v>
      </c>
      <c r="E1626" s="7" t="s">
        <v>2172</v>
      </c>
      <c r="F1626" s="33">
        <v>10</v>
      </c>
      <c r="G1626" s="63">
        <v>-109</v>
      </c>
      <c r="H1626" s="9" t="s">
        <v>36</v>
      </c>
      <c r="I162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9.1743119266055047</v>
      </c>
      <c r="J162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27" spans="1:10" x14ac:dyDescent="0.25">
      <c r="A1627" s="35">
        <f t="shared" si="38"/>
        <v>198</v>
      </c>
      <c r="B1627" s="5">
        <v>43851</v>
      </c>
      <c r="C1627" s="5" t="s">
        <v>419</v>
      </c>
      <c r="D1627" s="57" t="s">
        <v>2166</v>
      </c>
      <c r="E1627" s="7" t="s">
        <v>2173</v>
      </c>
      <c r="F1627" s="33">
        <v>10</v>
      </c>
      <c r="G1627" s="63">
        <v>-113</v>
      </c>
      <c r="H1627" s="9" t="s">
        <v>36</v>
      </c>
      <c r="I162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8.8495575221238933</v>
      </c>
      <c r="J162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28" spans="1:10" x14ac:dyDescent="0.25">
      <c r="A1628" s="35">
        <f t="shared" si="38"/>
        <v>198</v>
      </c>
      <c r="B1628" s="5">
        <v>43851</v>
      </c>
      <c r="C1628" s="5" t="s">
        <v>1210</v>
      </c>
      <c r="D1628" s="57" t="s">
        <v>2167</v>
      </c>
      <c r="E1628" s="7" t="s">
        <v>1529</v>
      </c>
      <c r="F1628" s="33">
        <v>10</v>
      </c>
      <c r="G1628" s="63">
        <v>-188</v>
      </c>
      <c r="H1628" s="9" t="s">
        <v>36</v>
      </c>
      <c r="I162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5.3191489361702127</v>
      </c>
      <c r="J162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629" spans="1:10" x14ac:dyDescent="0.25">
      <c r="A1629" s="35">
        <f t="shared" si="38"/>
        <v>198</v>
      </c>
      <c r="B1629" s="5">
        <v>43851</v>
      </c>
      <c r="C1629" s="5" t="s">
        <v>419</v>
      </c>
      <c r="D1629" s="57" t="s">
        <v>2168</v>
      </c>
      <c r="E1629" s="7" t="s">
        <v>2174</v>
      </c>
      <c r="F1629" s="33">
        <v>10</v>
      </c>
      <c r="G1629" s="63">
        <v>-109</v>
      </c>
      <c r="H1629" s="9" t="s">
        <v>6</v>
      </c>
      <c r="I162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2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30" spans="1:10" x14ac:dyDescent="0.25">
      <c r="A1630" s="35">
        <f t="shared" si="38"/>
        <v>198</v>
      </c>
      <c r="B1630" s="5">
        <v>43851</v>
      </c>
      <c r="C1630" s="5" t="s">
        <v>1210</v>
      </c>
      <c r="D1630" s="57" t="s">
        <v>2169</v>
      </c>
      <c r="E1630" s="7" t="s">
        <v>2175</v>
      </c>
      <c r="F1630" s="33">
        <v>10</v>
      </c>
      <c r="G1630" s="63">
        <v>105</v>
      </c>
      <c r="H1630" s="9" t="s">
        <v>36</v>
      </c>
      <c r="I163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10.5</v>
      </c>
      <c r="J163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631" spans="1:10" x14ac:dyDescent="0.25">
      <c r="A1631" s="35">
        <f t="shared" si="38"/>
        <v>198</v>
      </c>
      <c r="B1631" s="5">
        <v>43851</v>
      </c>
      <c r="C1631" s="5" t="s">
        <v>419</v>
      </c>
      <c r="D1631" s="57" t="s">
        <v>2170</v>
      </c>
      <c r="E1631" s="7" t="s">
        <v>698</v>
      </c>
      <c r="F1631" s="33">
        <v>10</v>
      </c>
      <c r="G1631" s="63">
        <v>-112</v>
      </c>
      <c r="H1631" s="9" t="s">
        <v>6</v>
      </c>
      <c r="I163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32" spans="1:10" x14ac:dyDescent="0.25">
      <c r="A1632" s="35">
        <f t="shared" si="38"/>
        <v>199</v>
      </c>
      <c r="B1632" s="5">
        <v>43852</v>
      </c>
      <c r="C1632" s="5" t="s">
        <v>419</v>
      </c>
      <c r="D1632" s="57" t="s">
        <v>2176</v>
      </c>
      <c r="E1632" s="7" t="s">
        <v>2184</v>
      </c>
      <c r="F1632" s="33">
        <v>10</v>
      </c>
      <c r="G1632" s="63">
        <v>-105</v>
      </c>
      <c r="H1632" s="9" t="s">
        <v>6</v>
      </c>
      <c r="I163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33" spans="1:10" x14ac:dyDescent="0.25">
      <c r="A1633" s="35">
        <f t="shared" si="38"/>
        <v>199</v>
      </c>
      <c r="B1633" s="5">
        <v>43852</v>
      </c>
      <c r="C1633" s="5" t="s">
        <v>419</v>
      </c>
      <c r="D1633" s="57" t="s">
        <v>2177</v>
      </c>
      <c r="E1633" s="7" t="s">
        <v>2185</v>
      </c>
      <c r="F1633" s="33">
        <v>10</v>
      </c>
      <c r="G1633" s="63">
        <v>-110</v>
      </c>
      <c r="H1633" s="9" t="s">
        <v>36</v>
      </c>
      <c r="I163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3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34" spans="1:10" x14ac:dyDescent="0.25">
      <c r="A1634" s="35">
        <f t="shared" si="38"/>
        <v>199</v>
      </c>
      <c r="B1634" s="5">
        <v>43852</v>
      </c>
      <c r="C1634" s="5" t="s">
        <v>419</v>
      </c>
      <c r="D1634" s="57" t="s">
        <v>2178</v>
      </c>
      <c r="E1634" s="7" t="s">
        <v>2192</v>
      </c>
      <c r="F1634" s="33">
        <v>10</v>
      </c>
      <c r="G1634" s="63">
        <v>-110</v>
      </c>
      <c r="H1634" s="9" t="s">
        <v>36</v>
      </c>
      <c r="I163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3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35" spans="1:10" x14ac:dyDescent="0.25">
      <c r="A1635" s="35">
        <f t="shared" si="38"/>
        <v>199</v>
      </c>
      <c r="B1635" s="5">
        <v>43852</v>
      </c>
      <c r="C1635" s="5" t="s">
        <v>419</v>
      </c>
      <c r="D1635" s="57" t="s">
        <v>2178</v>
      </c>
      <c r="E1635" s="7" t="s">
        <v>2186</v>
      </c>
      <c r="F1635" s="33">
        <v>10</v>
      </c>
      <c r="G1635" s="63">
        <v>-118</v>
      </c>
      <c r="H1635" s="9" t="s">
        <v>6</v>
      </c>
      <c r="I163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36" spans="1:10" x14ac:dyDescent="0.25">
      <c r="A1636" s="35">
        <f t="shared" si="38"/>
        <v>199</v>
      </c>
      <c r="B1636" s="5">
        <v>43852</v>
      </c>
      <c r="C1636" s="5" t="s">
        <v>419</v>
      </c>
      <c r="D1636" s="57" t="s">
        <v>2207</v>
      </c>
      <c r="E1636" s="7" t="s">
        <v>2187</v>
      </c>
      <c r="F1636" s="33">
        <v>10</v>
      </c>
      <c r="G1636" s="63">
        <v>-110</v>
      </c>
      <c r="H1636" s="9" t="s">
        <v>6</v>
      </c>
      <c r="I163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37" spans="1:10" x14ac:dyDescent="0.25">
      <c r="A1637" s="35">
        <f t="shared" si="38"/>
        <v>199</v>
      </c>
      <c r="B1637" s="5">
        <v>43852</v>
      </c>
      <c r="C1637" s="5" t="s">
        <v>419</v>
      </c>
      <c r="D1637" s="57" t="s">
        <v>2179</v>
      </c>
      <c r="E1637" s="7" t="s">
        <v>2159</v>
      </c>
      <c r="F1637" s="33">
        <v>10</v>
      </c>
      <c r="G1637" s="63">
        <v>-115</v>
      </c>
      <c r="H1637" s="9" t="s">
        <v>36</v>
      </c>
      <c r="I163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8.695652173913043</v>
      </c>
      <c r="J163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38" spans="1:10" x14ac:dyDescent="0.25">
      <c r="A1638" s="35">
        <f t="shared" si="38"/>
        <v>199</v>
      </c>
      <c r="B1638" s="5">
        <v>43852</v>
      </c>
      <c r="C1638" s="5" t="s">
        <v>419</v>
      </c>
      <c r="D1638" s="57" t="s">
        <v>2180</v>
      </c>
      <c r="E1638" s="7" t="s">
        <v>2188</v>
      </c>
      <c r="F1638" s="33">
        <v>10</v>
      </c>
      <c r="G1638" s="63">
        <v>-110</v>
      </c>
      <c r="H1638" s="9" t="s">
        <v>6</v>
      </c>
      <c r="I163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39" spans="1:10" x14ac:dyDescent="0.25">
      <c r="A1639" s="35">
        <f t="shared" si="38"/>
        <v>199</v>
      </c>
      <c r="B1639" s="5">
        <v>43852</v>
      </c>
      <c r="C1639" s="5" t="s">
        <v>419</v>
      </c>
      <c r="D1639" s="57" t="s">
        <v>2181</v>
      </c>
      <c r="E1639" s="7" t="s">
        <v>2189</v>
      </c>
      <c r="F1639" s="33">
        <v>10</v>
      </c>
      <c r="G1639" s="63">
        <v>-105</v>
      </c>
      <c r="H1639" s="9" t="s">
        <v>6</v>
      </c>
      <c r="I163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3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40" spans="1:10" x14ac:dyDescent="0.25">
      <c r="A1640" s="35">
        <f t="shared" si="38"/>
        <v>199</v>
      </c>
      <c r="B1640" s="5">
        <v>43852</v>
      </c>
      <c r="C1640" s="5" t="s">
        <v>419</v>
      </c>
      <c r="D1640" s="57" t="s">
        <v>2182</v>
      </c>
      <c r="E1640" s="7" t="s">
        <v>2190</v>
      </c>
      <c r="F1640" s="33">
        <v>10</v>
      </c>
      <c r="G1640" s="63">
        <v>-110</v>
      </c>
      <c r="H1640" s="9" t="s">
        <v>6</v>
      </c>
      <c r="I164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41" spans="1:10" x14ac:dyDescent="0.25">
      <c r="A1641" s="35">
        <f t="shared" si="38"/>
        <v>199</v>
      </c>
      <c r="B1641" s="5">
        <v>43852</v>
      </c>
      <c r="C1641" s="5" t="s">
        <v>419</v>
      </c>
      <c r="D1641" s="57" t="s">
        <v>2183</v>
      </c>
      <c r="E1641" s="7" t="s">
        <v>2191</v>
      </c>
      <c r="F1641" s="33">
        <v>10</v>
      </c>
      <c r="G1641" s="63">
        <v>-110</v>
      </c>
      <c r="H1641" s="9" t="s">
        <v>6</v>
      </c>
      <c r="I164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42" spans="1:10" x14ac:dyDescent="0.25">
      <c r="A1642" s="35">
        <f t="shared" si="38"/>
        <v>199</v>
      </c>
      <c r="B1642" s="5">
        <v>43852</v>
      </c>
      <c r="C1642" s="5" t="s">
        <v>134</v>
      </c>
      <c r="D1642" s="57" t="s">
        <v>272</v>
      </c>
      <c r="E1642" s="7" t="s">
        <v>2198</v>
      </c>
      <c r="F1642" s="33">
        <v>10</v>
      </c>
      <c r="G1642" s="63">
        <v>-110</v>
      </c>
      <c r="H1642" s="9" t="s">
        <v>6</v>
      </c>
      <c r="I164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43" spans="1:10" x14ac:dyDescent="0.25">
      <c r="A1643" s="35">
        <f t="shared" si="38"/>
        <v>199</v>
      </c>
      <c r="B1643" s="5">
        <v>43852</v>
      </c>
      <c r="C1643" s="5" t="s">
        <v>419</v>
      </c>
      <c r="D1643" s="57" t="s">
        <v>2193</v>
      </c>
      <c r="E1643" s="7" t="s">
        <v>1802</v>
      </c>
      <c r="F1643" s="33">
        <v>10</v>
      </c>
      <c r="G1643" s="63">
        <v>-110</v>
      </c>
      <c r="H1643" s="9" t="s">
        <v>36</v>
      </c>
      <c r="I164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4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44" spans="1:10" x14ac:dyDescent="0.25">
      <c r="A1644" s="35">
        <f t="shared" si="38"/>
        <v>199</v>
      </c>
      <c r="B1644" s="5">
        <v>43852</v>
      </c>
      <c r="C1644" s="5" t="s">
        <v>419</v>
      </c>
      <c r="D1644" s="57" t="s">
        <v>2194</v>
      </c>
      <c r="E1644" s="7" t="s">
        <v>450</v>
      </c>
      <c r="F1644" s="33">
        <v>10</v>
      </c>
      <c r="G1644" s="63">
        <v>-110</v>
      </c>
      <c r="H1644" s="9" t="s">
        <v>36</v>
      </c>
      <c r="I164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4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45" spans="1:10" x14ac:dyDescent="0.25">
      <c r="A1645" s="35">
        <f t="shared" si="38"/>
        <v>199</v>
      </c>
      <c r="B1645" s="5">
        <v>43852</v>
      </c>
      <c r="C1645" s="5" t="s">
        <v>134</v>
      </c>
      <c r="D1645" s="57" t="s">
        <v>2195</v>
      </c>
      <c r="E1645" s="7" t="s">
        <v>2199</v>
      </c>
      <c r="F1645" s="33">
        <v>10</v>
      </c>
      <c r="G1645" s="63">
        <v>-112</v>
      </c>
      <c r="H1645" s="9" t="s">
        <v>6</v>
      </c>
      <c r="I164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46" spans="1:10" x14ac:dyDescent="0.25">
      <c r="A1646" s="35">
        <f t="shared" si="38"/>
        <v>199</v>
      </c>
      <c r="B1646" s="5">
        <v>43852</v>
      </c>
      <c r="C1646" s="5" t="s">
        <v>419</v>
      </c>
      <c r="D1646" s="57" t="s">
        <v>2196</v>
      </c>
      <c r="E1646" s="7" t="s">
        <v>2200</v>
      </c>
      <c r="F1646" s="33">
        <v>10</v>
      </c>
      <c r="G1646" s="63">
        <v>-118</v>
      </c>
      <c r="H1646" s="9" t="s">
        <v>6</v>
      </c>
      <c r="I164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47" spans="1:10" x14ac:dyDescent="0.25">
      <c r="A1647" s="35">
        <f t="shared" si="38"/>
        <v>199</v>
      </c>
      <c r="B1647" s="5">
        <v>43852</v>
      </c>
      <c r="C1647" s="5" t="s">
        <v>134</v>
      </c>
      <c r="D1647" s="57" t="s">
        <v>2197</v>
      </c>
      <c r="E1647" s="7" t="s">
        <v>2201</v>
      </c>
      <c r="F1647" s="33">
        <v>10</v>
      </c>
      <c r="G1647" s="63">
        <v>-118</v>
      </c>
      <c r="H1647" s="9" t="s">
        <v>6</v>
      </c>
      <c r="I164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48" spans="1:10" x14ac:dyDescent="0.25">
      <c r="A1648" s="35">
        <f t="shared" si="38"/>
        <v>200</v>
      </c>
      <c r="B1648" s="5">
        <v>43853</v>
      </c>
      <c r="C1648" s="5" t="s">
        <v>419</v>
      </c>
      <c r="D1648" s="57" t="s">
        <v>2202</v>
      </c>
      <c r="E1648" s="7" t="s">
        <v>2208</v>
      </c>
      <c r="F1648" s="33">
        <v>10</v>
      </c>
      <c r="G1648" s="63">
        <v>-110</v>
      </c>
      <c r="H1648" s="9" t="s">
        <v>6</v>
      </c>
      <c r="I164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/>
      </c>
    </row>
    <row r="1649" spans="1:10" x14ac:dyDescent="0.25">
      <c r="A1649" s="35">
        <f t="shared" si="38"/>
        <v>200</v>
      </c>
      <c r="B1649" s="5">
        <v>43853</v>
      </c>
      <c r="C1649" s="5" t="s">
        <v>419</v>
      </c>
      <c r="D1649" s="57" t="s">
        <v>498</v>
      </c>
      <c r="E1649" s="7" t="s">
        <v>2011</v>
      </c>
      <c r="F1649" s="33">
        <v>10</v>
      </c>
      <c r="G1649" s="63">
        <v>-105</v>
      </c>
      <c r="H1649" s="9" t="s">
        <v>6</v>
      </c>
      <c r="I1649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4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50" spans="1:10" x14ac:dyDescent="0.25">
      <c r="A1650" s="35">
        <f t="shared" si="38"/>
        <v>200</v>
      </c>
      <c r="B1650" s="5">
        <v>43853</v>
      </c>
      <c r="C1650" s="5" t="s">
        <v>419</v>
      </c>
      <c r="D1650" s="57" t="s">
        <v>2203</v>
      </c>
      <c r="E1650" s="7" t="s">
        <v>572</v>
      </c>
      <c r="F1650" s="33">
        <v>10</v>
      </c>
      <c r="G1650" s="63">
        <v>-110</v>
      </c>
      <c r="H1650" s="9" t="s">
        <v>36</v>
      </c>
      <c r="I1650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51" spans="1:10" x14ac:dyDescent="0.25">
      <c r="A1651" s="35">
        <f t="shared" si="38"/>
        <v>200</v>
      </c>
      <c r="B1651" s="5">
        <v>43853</v>
      </c>
      <c r="C1651" s="5" t="s">
        <v>419</v>
      </c>
      <c r="D1651" s="57" t="s">
        <v>2204</v>
      </c>
      <c r="E1651" s="7" t="s">
        <v>2209</v>
      </c>
      <c r="F1651" s="33">
        <v>10</v>
      </c>
      <c r="G1651" s="63">
        <v>-110</v>
      </c>
      <c r="H1651" s="9" t="s">
        <v>36</v>
      </c>
      <c r="I1651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52" spans="1:10" x14ac:dyDescent="0.25">
      <c r="A1652" s="35">
        <f t="shared" si="38"/>
        <v>200</v>
      </c>
      <c r="B1652" s="5">
        <v>43853</v>
      </c>
      <c r="C1652" s="5" t="s">
        <v>419</v>
      </c>
      <c r="D1652" s="57" t="s">
        <v>2205</v>
      </c>
      <c r="E1652" s="7" t="s">
        <v>2210</v>
      </c>
      <c r="F1652" s="33">
        <v>10</v>
      </c>
      <c r="G1652" s="63">
        <v>-110</v>
      </c>
      <c r="H1652" s="9" t="s">
        <v>36</v>
      </c>
      <c r="I1652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53" spans="1:10" x14ac:dyDescent="0.25">
      <c r="A1653" s="35">
        <f t="shared" si="38"/>
        <v>200</v>
      </c>
      <c r="B1653" s="5">
        <v>43853</v>
      </c>
      <c r="C1653" s="5" t="s">
        <v>419</v>
      </c>
      <c r="D1653" s="57" t="s">
        <v>2206</v>
      </c>
      <c r="E1653" s="7" t="s">
        <v>1805</v>
      </c>
      <c r="F1653" s="33">
        <v>10</v>
      </c>
      <c r="G1653" s="63">
        <v>-111</v>
      </c>
      <c r="H1653" s="9" t="s">
        <v>6</v>
      </c>
      <c r="I1653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5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54" spans="1:10" x14ac:dyDescent="0.25">
      <c r="A1654" s="35">
        <f t="shared" si="38"/>
        <v>201</v>
      </c>
      <c r="B1654" s="5">
        <v>43854</v>
      </c>
      <c r="C1654" s="5" t="s">
        <v>419</v>
      </c>
      <c r="D1654" s="57" t="s">
        <v>2211</v>
      </c>
      <c r="E1654" s="7" t="s">
        <v>2214</v>
      </c>
      <c r="F1654" s="33">
        <v>10</v>
      </c>
      <c r="G1654" s="63">
        <v>-110</v>
      </c>
      <c r="H1654" s="9" t="s">
        <v>36</v>
      </c>
      <c r="I1654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55" spans="1:10" x14ac:dyDescent="0.25">
      <c r="A1655" s="35">
        <f t="shared" si="38"/>
        <v>201</v>
      </c>
      <c r="B1655" s="5">
        <v>43854</v>
      </c>
      <c r="C1655" s="5" t="s">
        <v>419</v>
      </c>
      <c r="D1655" s="57" t="s">
        <v>2212</v>
      </c>
      <c r="E1655" s="7" t="s">
        <v>2011</v>
      </c>
      <c r="F1655" s="33">
        <v>10</v>
      </c>
      <c r="G1655" s="63">
        <v>-110</v>
      </c>
      <c r="H1655" s="9" t="s">
        <v>36</v>
      </c>
      <c r="I1655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56" spans="1:10" x14ac:dyDescent="0.25">
      <c r="A1656" s="35">
        <f t="shared" si="38"/>
        <v>201</v>
      </c>
      <c r="B1656" s="5">
        <v>43854</v>
      </c>
      <c r="C1656" s="5" t="s">
        <v>419</v>
      </c>
      <c r="D1656" s="57" t="s">
        <v>2212</v>
      </c>
      <c r="E1656" s="7" t="s">
        <v>2215</v>
      </c>
      <c r="F1656" s="33">
        <v>10</v>
      </c>
      <c r="G1656" s="63">
        <v>-110</v>
      </c>
      <c r="H1656" s="9" t="s">
        <v>65</v>
      </c>
      <c r="I1656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0</v>
      </c>
      <c r="J165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57" spans="1:10" x14ac:dyDescent="0.25">
      <c r="A1657" s="35">
        <f t="shared" si="38"/>
        <v>201</v>
      </c>
      <c r="B1657" s="5">
        <v>43854</v>
      </c>
      <c r="C1657" s="5" t="s">
        <v>134</v>
      </c>
      <c r="D1657" s="57" t="s">
        <v>1157</v>
      </c>
      <c r="E1657" s="7" t="s">
        <v>163</v>
      </c>
      <c r="F1657" s="33">
        <v>10</v>
      </c>
      <c r="G1657" s="63">
        <v>-110</v>
      </c>
      <c r="H1657" s="9" t="s">
        <v>36</v>
      </c>
      <c r="I1657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9.0909090909090917</v>
      </c>
      <c r="J1657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58" spans="1:10" x14ac:dyDescent="0.25">
      <c r="A1658" s="35">
        <f t="shared" si="38"/>
        <v>201</v>
      </c>
      <c r="B1658" s="5">
        <v>43854</v>
      </c>
      <c r="C1658" s="5" t="s">
        <v>134</v>
      </c>
      <c r="D1658" s="57" t="s">
        <v>2213</v>
      </c>
      <c r="E1658" s="7" t="s">
        <v>2216</v>
      </c>
      <c r="F1658" s="33">
        <v>10</v>
      </c>
      <c r="G1658" s="63">
        <v>-110</v>
      </c>
      <c r="H1658" s="9" t="s">
        <v>6</v>
      </c>
      <c r="I1658" s="62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>-10</v>
      </c>
      <c r="J1658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O</v>
      </c>
    </row>
    <row r="1659" spans="1:10" x14ac:dyDescent="0.25">
      <c r="A1659" s="35">
        <f t="shared" si="38"/>
        <v>202</v>
      </c>
      <c r="B1659" s="5">
        <v>43857</v>
      </c>
      <c r="C1659" s="5" t="s">
        <v>419</v>
      </c>
      <c r="D1659" s="57" t="s">
        <v>2217</v>
      </c>
      <c r="E1659" s="7" t="s">
        <v>2223</v>
      </c>
      <c r="F1659" s="33">
        <v>10</v>
      </c>
      <c r="G1659" s="63">
        <v>-110</v>
      </c>
      <c r="H1659" s="9"/>
      <c r="I1659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59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60" spans="1:10" x14ac:dyDescent="0.25">
      <c r="A1660" s="35">
        <f t="shared" si="38"/>
        <v>202</v>
      </c>
      <c r="B1660" s="5">
        <v>43857</v>
      </c>
      <c r="C1660" s="5" t="s">
        <v>419</v>
      </c>
      <c r="D1660" s="57" t="s">
        <v>2218</v>
      </c>
      <c r="E1660" s="7" t="s">
        <v>2011</v>
      </c>
      <c r="F1660" s="33">
        <v>10</v>
      </c>
      <c r="G1660" s="63">
        <v>-110</v>
      </c>
      <c r="H1660" s="9"/>
      <c r="I1660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0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61" spans="1:10" x14ac:dyDescent="0.25">
      <c r="A1661" s="35">
        <f t="shared" si="38"/>
        <v>202</v>
      </c>
      <c r="B1661" s="5">
        <v>43857</v>
      </c>
      <c r="C1661" s="5" t="s">
        <v>419</v>
      </c>
      <c r="D1661" s="57" t="s">
        <v>1726</v>
      </c>
      <c r="E1661" s="7" t="s">
        <v>2224</v>
      </c>
      <c r="F1661" s="33">
        <v>10</v>
      </c>
      <c r="G1661" s="63">
        <v>-110</v>
      </c>
      <c r="H1661" s="9"/>
      <c r="I1661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1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F</v>
      </c>
    </row>
    <row r="1662" spans="1:10" x14ac:dyDescent="0.25">
      <c r="A1662" s="35">
        <f t="shared" si="38"/>
        <v>202</v>
      </c>
      <c r="B1662" s="5">
        <v>43857</v>
      </c>
      <c r="C1662" s="5" t="s">
        <v>419</v>
      </c>
      <c r="D1662" s="57" t="s">
        <v>2219</v>
      </c>
      <c r="E1662" s="7" t="s">
        <v>2223</v>
      </c>
      <c r="F1662" s="33">
        <v>10</v>
      </c>
      <c r="G1662" s="63">
        <v>-110</v>
      </c>
      <c r="H1662" s="9"/>
      <c r="I1662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2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U</v>
      </c>
    </row>
    <row r="1663" spans="1:10" x14ac:dyDescent="0.25">
      <c r="A1663" s="35">
        <f t="shared" si="38"/>
        <v>202</v>
      </c>
      <c r="B1663" s="5">
        <v>43857</v>
      </c>
      <c r="C1663" s="5" t="s">
        <v>134</v>
      </c>
      <c r="D1663" s="57" t="s">
        <v>1141</v>
      </c>
      <c r="E1663" s="7" t="s">
        <v>1240</v>
      </c>
      <c r="F1663" s="33">
        <v>10</v>
      </c>
      <c r="G1663" s="63">
        <v>-110</v>
      </c>
      <c r="H1663" s="9"/>
      <c r="I1663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3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64" spans="1:10" x14ac:dyDescent="0.25">
      <c r="A1664" s="35">
        <f t="shared" si="38"/>
        <v>202</v>
      </c>
      <c r="B1664" s="5">
        <v>43857</v>
      </c>
      <c r="C1664" s="5" t="s">
        <v>134</v>
      </c>
      <c r="D1664" s="57" t="s">
        <v>2220</v>
      </c>
      <c r="E1664" s="7" t="s">
        <v>2225</v>
      </c>
      <c r="F1664" s="33">
        <v>10</v>
      </c>
      <c r="G1664" s="63">
        <v>-110</v>
      </c>
      <c r="H1664" s="9"/>
      <c r="I1664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4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D</v>
      </c>
    </row>
    <row r="1665" spans="1:10" x14ac:dyDescent="0.25">
      <c r="A1665" s="35">
        <f t="shared" si="38"/>
        <v>202</v>
      </c>
      <c r="B1665" s="5">
        <v>43857</v>
      </c>
      <c r="C1665" s="5" t="s">
        <v>1210</v>
      </c>
      <c r="D1665" s="57" t="s">
        <v>2221</v>
      </c>
      <c r="E1665" s="7" t="s">
        <v>2128</v>
      </c>
      <c r="F1665" s="33">
        <v>10</v>
      </c>
      <c r="G1665" s="63">
        <v>120</v>
      </c>
      <c r="H1665" s="9"/>
      <c r="I1665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5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MD</v>
      </c>
    </row>
    <row r="1666" spans="1:10" x14ac:dyDescent="0.25">
      <c r="A1666" s="35">
        <f t="shared" si="38"/>
        <v>202</v>
      </c>
      <c r="B1666" s="5">
        <v>43857</v>
      </c>
      <c r="C1666" s="5" t="s">
        <v>1210</v>
      </c>
      <c r="D1666" s="57" t="s">
        <v>2222</v>
      </c>
      <c r="E1666" s="7" t="s">
        <v>2226</v>
      </c>
      <c r="F1666" s="33">
        <v>10</v>
      </c>
      <c r="G1666" s="63">
        <v>-118</v>
      </c>
      <c r="H1666" s="9"/>
      <c r="I1666" s="62" t="str">
        <f>IF(Bets[[#This Row],[Result]]="L",0-Bets[[#This Row],[Risk]],IF(Bets[[#This Row],[Result]]="Push",0,IF(Bets[[#This Row],[Result]]="No Action",0,IF(Bets[[#This Row],[Result]]="W",IF(Bets[[#This Row],[Odds]]&gt;0,Bets[[#This Row],[Odds]]/100*Bets[[#This Row],[Risk]],(Bets[[#This Row],[Risk]]/Bets[[#This Row],[Odds]]*-100)),""))))</f>
        <v/>
      </c>
      <c r="J1666" s="44" t="str">
        <f>IF(ISNUMBER(SEARCH(CHAR(10),Bets[[#This Row],[Bet]])),"P",IF(ISNUMBER(FIND("Under",Bets[[#This Row],[Bet]])),"U",IF(ISNUMBER(SEARCH("Over",Bets[[#This Row],[Bet]])),"O",IF(ISNUMBER(SEARCH("+",Bets[[#This Row],[Bet]])),"D",IF(ISNUMBER(SEARCH("-",Bets[[#This Row],[Bet]])),"F",IF(ISNUMBER(SEARCH("Moneyline",Bets[[#This Row],[Bet]])),IF(Bets[[#This Row],[Odds]]&lt;0,"MF","MD"),""))))))</f>
        <v>MF</v>
      </c>
    </row>
    <row r="1667" spans="1:10" x14ac:dyDescent="0.25">
      <c r="A1667" s="35">
        <f t="shared" si="38"/>
        <v>203</v>
      </c>
    </row>
    <row r="1668" spans="1:10" x14ac:dyDescent="0.25">
      <c r="A1668" s="35">
        <f t="shared" ref="A1668:A1731" si="39">IF(B1668=B1667,A1667,A1667+1)</f>
        <v>203</v>
      </c>
    </row>
    <row r="1669" spans="1:10" x14ac:dyDescent="0.25">
      <c r="A1669" s="35">
        <f t="shared" si="39"/>
        <v>203</v>
      </c>
    </row>
    <row r="1670" spans="1:10" x14ac:dyDescent="0.25">
      <c r="A1670" s="35">
        <f t="shared" si="39"/>
        <v>203</v>
      </c>
    </row>
    <row r="1671" spans="1:10" x14ac:dyDescent="0.25">
      <c r="A1671" s="35">
        <f t="shared" si="39"/>
        <v>203</v>
      </c>
    </row>
    <row r="1672" spans="1:10" x14ac:dyDescent="0.25">
      <c r="A1672" s="35">
        <f t="shared" si="39"/>
        <v>203</v>
      </c>
    </row>
    <row r="1673" spans="1:10" x14ac:dyDescent="0.25">
      <c r="A1673" s="35">
        <f t="shared" si="39"/>
        <v>203</v>
      </c>
    </row>
    <row r="1674" spans="1:10" x14ac:dyDescent="0.25">
      <c r="A1674" s="35">
        <f t="shared" si="39"/>
        <v>203</v>
      </c>
    </row>
    <row r="1675" spans="1:10" x14ac:dyDescent="0.25">
      <c r="A1675" s="35">
        <f t="shared" si="39"/>
        <v>203</v>
      </c>
    </row>
    <row r="1676" spans="1:10" x14ac:dyDescent="0.25">
      <c r="A1676" s="35">
        <f t="shared" si="39"/>
        <v>203</v>
      </c>
    </row>
    <row r="1677" spans="1:10" x14ac:dyDescent="0.25">
      <c r="A1677" s="35">
        <f t="shared" si="39"/>
        <v>203</v>
      </c>
    </row>
    <row r="1678" spans="1:10" x14ac:dyDescent="0.25">
      <c r="A1678" s="35">
        <f t="shared" si="39"/>
        <v>203</v>
      </c>
    </row>
    <row r="1679" spans="1:10" x14ac:dyDescent="0.25">
      <c r="A1679" s="35">
        <f t="shared" si="39"/>
        <v>203</v>
      </c>
    </row>
    <row r="1680" spans="1:10" x14ac:dyDescent="0.25">
      <c r="A1680" s="35">
        <f t="shared" si="39"/>
        <v>203</v>
      </c>
    </row>
    <row r="1681" spans="1:1" x14ac:dyDescent="0.25">
      <c r="A1681" s="35">
        <f t="shared" si="39"/>
        <v>203</v>
      </c>
    </row>
    <row r="1682" spans="1:1" x14ac:dyDescent="0.25">
      <c r="A1682" s="35">
        <f t="shared" si="39"/>
        <v>203</v>
      </c>
    </row>
    <row r="1683" spans="1:1" x14ac:dyDescent="0.25">
      <c r="A1683" s="35">
        <f t="shared" si="39"/>
        <v>203</v>
      </c>
    </row>
    <row r="1684" spans="1:1" x14ac:dyDescent="0.25">
      <c r="A1684" s="35">
        <f t="shared" si="39"/>
        <v>203</v>
      </c>
    </row>
    <row r="1685" spans="1:1" x14ac:dyDescent="0.25">
      <c r="A1685" s="35">
        <f t="shared" si="39"/>
        <v>203</v>
      </c>
    </row>
    <row r="1686" spans="1:1" x14ac:dyDescent="0.25">
      <c r="A1686" s="35">
        <f t="shared" si="39"/>
        <v>203</v>
      </c>
    </row>
    <row r="1687" spans="1:1" x14ac:dyDescent="0.25">
      <c r="A1687" s="35">
        <f t="shared" si="39"/>
        <v>203</v>
      </c>
    </row>
    <row r="1688" spans="1:1" x14ac:dyDescent="0.25">
      <c r="A1688" s="35">
        <f t="shared" si="39"/>
        <v>203</v>
      </c>
    </row>
    <row r="1689" spans="1:1" x14ac:dyDescent="0.25">
      <c r="A1689" s="35">
        <f t="shared" si="39"/>
        <v>203</v>
      </c>
    </row>
    <row r="1690" spans="1:1" x14ac:dyDescent="0.25">
      <c r="A1690" s="35">
        <f t="shared" si="39"/>
        <v>203</v>
      </c>
    </row>
    <row r="1691" spans="1:1" x14ac:dyDescent="0.25">
      <c r="A1691" s="35">
        <f t="shared" si="39"/>
        <v>203</v>
      </c>
    </row>
    <row r="1692" spans="1:1" x14ac:dyDescent="0.25">
      <c r="A1692" s="35">
        <f t="shared" si="39"/>
        <v>203</v>
      </c>
    </row>
    <row r="1693" spans="1:1" x14ac:dyDescent="0.25">
      <c r="A1693" s="35">
        <f t="shared" si="39"/>
        <v>203</v>
      </c>
    </row>
    <row r="1694" spans="1:1" x14ac:dyDescent="0.25">
      <c r="A1694" s="35">
        <f t="shared" si="39"/>
        <v>203</v>
      </c>
    </row>
    <row r="1695" spans="1:1" x14ac:dyDescent="0.25">
      <c r="A1695" s="35">
        <f t="shared" si="39"/>
        <v>203</v>
      </c>
    </row>
    <row r="1696" spans="1:1" x14ac:dyDescent="0.25">
      <c r="A1696" s="35">
        <f t="shared" si="39"/>
        <v>203</v>
      </c>
    </row>
    <row r="1697" spans="1:1" x14ac:dyDescent="0.25">
      <c r="A1697" s="35">
        <f t="shared" si="39"/>
        <v>203</v>
      </c>
    </row>
    <row r="1698" spans="1:1" x14ac:dyDescent="0.25">
      <c r="A1698" s="35">
        <f t="shared" si="39"/>
        <v>203</v>
      </c>
    </row>
    <row r="1699" spans="1:1" x14ac:dyDescent="0.25">
      <c r="A1699" s="35">
        <f t="shared" si="39"/>
        <v>203</v>
      </c>
    </row>
    <row r="1700" spans="1:1" x14ac:dyDescent="0.25">
      <c r="A1700" s="35">
        <f t="shared" si="39"/>
        <v>203</v>
      </c>
    </row>
    <row r="1701" spans="1:1" x14ac:dyDescent="0.25">
      <c r="A1701" s="35">
        <f t="shared" si="39"/>
        <v>203</v>
      </c>
    </row>
    <row r="1702" spans="1:1" x14ac:dyDescent="0.25">
      <c r="A1702" s="35">
        <f t="shared" si="39"/>
        <v>203</v>
      </c>
    </row>
    <row r="1703" spans="1:1" x14ac:dyDescent="0.25">
      <c r="A1703" s="35">
        <f t="shared" si="39"/>
        <v>203</v>
      </c>
    </row>
    <row r="1704" spans="1:1" x14ac:dyDescent="0.25">
      <c r="A1704" s="35">
        <f t="shared" si="39"/>
        <v>203</v>
      </c>
    </row>
    <row r="1705" spans="1:1" x14ac:dyDescent="0.25">
      <c r="A1705" s="35">
        <f t="shared" si="39"/>
        <v>203</v>
      </c>
    </row>
    <row r="1706" spans="1:1" x14ac:dyDescent="0.25">
      <c r="A1706" s="35">
        <f t="shared" si="39"/>
        <v>203</v>
      </c>
    </row>
    <row r="1707" spans="1:1" x14ac:dyDescent="0.25">
      <c r="A1707" s="35">
        <f t="shared" si="39"/>
        <v>203</v>
      </c>
    </row>
    <row r="1708" spans="1:1" x14ac:dyDescent="0.25">
      <c r="A1708" s="35">
        <f t="shared" si="39"/>
        <v>203</v>
      </c>
    </row>
    <row r="1709" spans="1:1" x14ac:dyDescent="0.25">
      <c r="A1709" s="35">
        <f t="shared" si="39"/>
        <v>203</v>
      </c>
    </row>
    <row r="1710" spans="1:1" x14ac:dyDescent="0.25">
      <c r="A1710" s="35">
        <f t="shared" si="39"/>
        <v>203</v>
      </c>
    </row>
    <row r="1711" spans="1:1" x14ac:dyDescent="0.25">
      <c r="A1711" s="35">
        <f t="shared" si="39"/>
        <v>203</v>
      </c>
    </row>
    <row r="1712" spans="1:1" x14ac:dyDescent="0.25">
      <c r="A1712" s="35">
        <f t="shared" si="39"/>
        <v>203</v>
      </c>
    </row>
    <row r="1713" spans="1:1" x14ac:dyDescent="0.25">
      <c r="A1713" s="35">
        <f t="shared" si="39"/>
        <v>203</v>
      </c>
    </row>
    <row r="1714" spans="1:1" x14ac:dyDescent="0.25">
      <c r="A1714" s="35">
        <f t="shared" si="39"/>
        <v>203</v>
      </c>
    </row>
    <row r="1715" spans="1:1" x14ac:dyDescent="0.25">
      <c r="A1715" s="35">
        <f t="shared" si="39"/>
        <v>203</v>
      </c>
    </row>
    <row r="1716" spans="1:1" x14ac:dyDescent="0.25">
      <c r="A1716" s="35">
        <f t="shared" si="39"/>
        <v>203</v>
      </c>
    </row>
    <row r="1717" spans="1:1" x14ac:dyDescent="0.25">
      <c r="A1717" s="35">
        <f t="shared" si="39"/>
        <v>203</v>
      </c>
    </row>
    <row r="1718" spans="1:1" x14ac:dyDescent="0.25">
      <c r="A1718" s="35">
        <f t="shared" si="39"/>
        <v>203</v>
      </c>
    </row>
    <row r="1719" spans="1:1" x14ac:dyDescent="0.25">
      <c r="A1719" s="35">
        <f t="shared" si="39"/>
        <v>203</v>
      </c>
    </row>
    <row r="1720" spans="1:1" x14ac:dyDescent="0.25">
      <c r="A1720" s="35">
        <f t="shared" si="39"/>
        <v>203</v>
      </c>
    </row>
    <row r="1721" spans="1:1" x14ac:dyDescent="0.25">
      <c r="A1721" s="35">
        <f t="shared" si="39"/>
        <v>203</v>
      </c>
    </row>
    <row r="1722" spans="1:1" x14ac:dyDescent="0.25">
      <c r="A1722" s="35">
        <f t="shared" si="39"/>
        <v>203</v>
      </c>
    </row>
    <row r="1723" spans="1:1" x14ac:dyDescent="0.25">
      <c r="A1723" s="35">
        <f t="shared" si="39"/>
        <v>203</v>
      </c>
    </row>
    <row r="1724" spans="1:1" x14ac:dyDescent="0.25">
      <c r="A1724" s="35">
        <f t="shared" si="39"/>
        <v>203</v>
      </c>
    </row>
    <row r="1725" spans="1:1" x14ac:dyDescent="0.25">
      <c r="A1725" s="35">
        <f t="shared" si="39"/>
        <v>203</v>
      </c>
    </row>
    <row r="1726" spans="1:1" x14ac:dyDescent="0.25">
      <c r="A1726" s="35">
        <f t="shared" si="39"/>
        <v>203</v>
      </c>
    </row>
    <row r="1727" spans="1:1" x14ac:dyDescent="0.25">
      <c r="A1727" s="35">
        <f t="shared" si="39"/>
        <v>203</v>
      </c>
    </row>
    <row r="1728" spans="1:1" x14ac:dyDescent="0.25">
      <c r="A1728" s="35">
        <f t="shared" si="39"/>
        <v>203</v>
      </c>
    </row>
    <row r="1729" spans="1:1" x14ac:dyDescent="0.25">
      <c r="A1729" s="35">
        <f t="shared" si="39"/>
        <v>203</v>
      </c>
    </row>
    <row r="1730" spans="1:1" x14ac:dyDescent="0.25">
      <c r="A1730" s="35">
        <f t="shared" si="39"/>
        <v>203</v>
      </c>
    </row>
    <row r="1731" spans="1:1" x14ac:dyDescent="0.25">
      <c r="A1731" s="35">
        <f t="shared" si="39"/>
        <v>203</v>
      </c>
    </row>
    <row r="1732" spans="1:1" x14ac:dyDescent="0.25">
      <c r="A1732" s="35">
        <f t="shared" ref="A1732:A1745" si="40">IF(B1732=B1731,A1731,A1731+1)</f>
        <v>203</v>
      </c>
    </row>
    <row r="1733" spans="1:1" x14ac:dyDescent="0.25">
      <c r="A1733" s="35">
        <f t="shared" si="40"/>
        <v>203</v>
      </c>
    </row>
    <row r="1734" spans="1:1" x14ac:dyDescent="0.25">
      <c r="A1734" s="35">
        <f t="shared" si="40"/>
        <v>203</v>
      </c>
    </row>
    <row r="1735" spans="1:1" x14ac:dyDescent="0.25">
      <c r="A1735" s="35">
        <f t="shared" si="40"/>
        <v>203</v>
      </c>
    </row>
    <row r="1736" spans="1:1" x14ac:dyDescent="0.25">
      <c r="A1736" s="35">
        <f t="shared" si="40"/>
        <v>203</v>
      </c>
    </row>
    <row r="1737" spans="1:1" x14ac:dyDescent="0.25">
      <c r="A1737" s="35">
        <f t="shared" si="40"/>
        <v>203</v>
      </c>
    </row>
    <row r="1738" spans="1:1" x14ac:dyDescent="0.25">
      <c r="A1738" s="35">
        <f t="shared" si="40"/>
        <v>203</v>
      </c>
    </row>
    <row r="1739" spans="1:1" x14ac:dyDescent="0.25">
      <c r="A1739" s="35">
        <f t="shared" si="40"/>
        <v>203</v>
      </c>
    </row>
    <row r="1740" spans="1:1" x14ac:dyDescent="0.25">
      <c r="A1740" s="35">
        <f t="shared" si="40"/>
        <v>203</v>
      </c>
    </row>
    <row r="1741" spans="1:1" x14ac:dyDescent="0.25">
      <c r="A1741" s="35">
        <f t="shared" si="40"/>
        <v>203</v>
      </c>
    </row>
    <row r="1742" spans="1:1" x14ac:dyDescent="0.25">
      <c r="A1742" s="35">
        <f t="shared" si="40"/>
        <v>203</v>
      </c>
    </row>
    <row r="1743" spans="1:1" x14ac:dyDescent="0.25">
      <c r="A1743" s="35">
        <f t="shared" si="40"/>
        <v>203</v>
      </c>
    </row>
    <row r="1744" spans="1:1" x14ac:dyDescent="0.25">
      <c r="A1744" s="35">
        <f t="shared" si="40"/>
        <v>203</v>
      </c>
    </row>
    <row r="1745" spans="1:1" x14ac:dyDescent="0.25">
      <c r="A1745" s="35">
        <f t="shared" si="40"/>
        <v>203</v>
      </c>
    </row>
  </sheetData>
  <mergeCells count="3">
    <mergeCell ref="O3:P3"/>
    <mergeCell ref="V3:W3"/>
    <mergeCell ref="M3:N3"/>
  </mergeCells>
  <conditionalFormatting sqref="B4:J1532 B1533:B1547 D1533:F1547 H1533:J1547 B1549:J1557 B1558:B1560 H1558:J1560 B1561:J10030">
    <cfRule type="expression" dxfId="18" priority="41">
      <formula>IF($B4=$B3,0,1)</formula>
    </cfRule>
  </conditionalFormatting>
  <conditionalFormatting sqref="K330:L872 K886:L897 L873:L885 O330:O897 K159:K329">
    <cfRule type="expression" dxfId="17" priority="39">
      <formula>IF($K159=0,0,1)</formula>
    </cfRule>
  </conditionalFormatting>
  <conditionalFormatting sqref="N898:N1211">
    <cfRule type="expression" dxfId="16" priority="38">
      <formula>IF(ISNUMBER(CODE($N898)),1,0)</formula>
    </cfRule>
  </conditionalFormatting>
  <conditionalFormatting sqref="M330:N897 L330:L464 O330:P464 L4:P329">
    <cfRule type="expression" dxfId="15" priority="66">
      <formula>IF($L4=0,1,0)</formula>
    </cfRule>
    <cfRule type="expression" dxfId="14" priority="68">
      <formula>IF($L4=0,0,1)</formula>
    </cfRule>
  </conditionalFormatting>
  <conditionalFormatting sqref="O4:P329">
    <cfRule type="expression" dxfId="13" priority="74">
      <formula>IF(ISNUMBER(CODE($P4)),1,0)</formula>
    </cfRule>
  </conditionalFormatting>
  <conditionalFormatting sqref="K330:L872 K886:L897 L873:L885 O330:O897 K159:K329">
    <cfRule type="expression" dxfId="12" priority="78">
      <formula>IF($K159=0,1,0)</formula>
    </cfRule>
  </conditionalFormatting>
  <conditionalFormatting sqref="O330:O897">
    <cfRule type="expression" dxfId="11" priority="89">
      <formula>IF(ISNUMBER(CODE($O330)),1,0)</formula>
    </cfRule>
  </conditionalFormatting>
  <conditionalFormatting sqref="L898:M1119 L1129:M1211">
    <cfRule type="expression" dxfId="10" priority="90">
      <formula>IF($K898=0,1,0)</formula>
    </cfRule>
    <cfRule type="expression" dxfId="9" priority="91">
      <formula>IF($K898=0,0,1)</formula>
    </cfRule>
  </conditionalFormatting>
  <conditionalFormatting sqref="N1113:N1211 K1113:K1119 K1129:K1211 K1212:N1222">
    <cfRule type="expression" dxfId="8" priority="97">
      <formula>IF($J1115=0,1,0)</formula>
    </cfRule>
  </conditionalFormatting>
  <conditionalFormatting sqref="K1223:N1227">
    <cfRule type="expression" dxfId="7" priority="104">
      <formula>IF($J1227=0,1,0)</formula>
    </cfRule>
  </conditionalFormatting>
  <conditionalFormatting sqref="B1444:E1462">
    <cfRule type="expression" dxfId="6" priority="7">
      <formula>IF($B1444=$B1443,0,1)</formula>
    </cfRule>
  </conditionalFormatting>
  <conditionalFormatting sqref="B1548 D1548:F1548 H1548:J1548">
    <cfRule type="expression" dxfId="5" priority="108">
      <formula>IF($B1548=#REF!,0,1)</formula>
    </cfRule>
  </conditionalFormatting>
  <conditionalFormatting sqref="C1533:C1548">
    <cfRule type="expression" dxfId="4" priority="6">
      <formula>IF($B1533=$B1532,0,1)</formula>
    </cfRule>
  </conditionalFormatting>
  <conditionalFormatting sqref="G1533:G1548">
    <cfRule type="expression" dxfId="3" priority="5">
      <formula>IF($B1533=$B1532,0,1)</formula>
    </cfRule>
  </conditionalFormatting>
  <conditionalFormatting sqref="C1558:G1560">
    <cfRule type="expression" dxfId="2" priority="1">
      <formula>IF($B1558=$B1557,0,1)</formula>
    </cfRule>
  </conditionalFormatting>
  <dataValidations count="1">
    <dataValidation type="list" allowBlank="1" showInputMessage="1" showErrorMessage="1" sqref="T1">
      <formula1>$Y$4:$Y$12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34"/>
  <sheetViews>
    <sheetView workbookViewId="0">
      <selection activeCell="K5" sqref="K5"/>
    </sheetView>
  </sheetViews>
  <sheetFormatPr defaultRowHeight="15" x14ac:dyDescent="0.25"/>
  <cols>
    <col min="1" max="1" width="9.140625" style="4"/>
    <col min="2" max="3" width="21.5703125" style="27" bestFit="1" customWidth="1"/>
    <col min="4" max="4" width="11.140625" style="27" bestFit="1" customWidth="1"/>
    <col min="5" max="7" width="9.140625" style="1"/>
    <col min="8" max="13" width="11.85546875" customWidth="1"/>
    <col min="14" max="14" width="9.140625" style="35"/>
    <col min="15" max="17" width="9.140625" style="53"/>
    <col min="18" max="23" width="9.140625" style="53" customWidth="1"/>
    <col min="24" max="28" width="9.140625" style="53"/>
    <col min="29" max="33" width="9.140625" style="35"/>
    <col min="34" max="34" width="9.140625" style="25"/>
  </cols>
  <sheetData>
    <row r="1" spans="1:28" ht="15.75" thickBot="1" x14ac:dyDescent="0.3">
      <c r="B1" s="10"/>
      <c r="C1" s="1"/>
      <c r="D1" s="1"/>
      <c r="I1" s="118" t="s">
        <v>49</v>
      </c>
      <c r="J1" s="118"/>
      <c r="K1" s="119">
        <v>0.55000000000000004</v>
      </c>
      <c r="L1" s="119"/>
      <c r="M1" s="41" t="s">
        <v>396</v>
      </c>
      <c r="O1" s="54">
        <v>0.75</v>
      </c>
    </row>
    <row r="2" spans="1:28" ht="15.75" thickBot="1" x14ac:dyDescent="0.3">
      <c r="B2" s="3" t="s">
        <v>3</v>
      </c>
      <c r="C2" s="3" t="s">
        <v>1</v>
      </c>
      <c r="D2" s="3" t="s">
        <v>107</v>
      </c>
      <c r="H2" s="120" t="s">
        <v>40</v>
      </c>
      <c r="I2" s="121"/>
      <c r="J2" s="122" t="s">
        <v>41</v>
      </c>
      <c r="K2" s="122"/>
      <c r="L2" s="123" t="s">
        <v>42</v>
      </c>
      <c r="M2" s="124"/>
      <c r="O2" s="53" t="s">
        <v>50</v>
      </c>
      <c r="AA2" s="53" t="str">
        <f>IF(ISNUMBER(SEARCH("@",Y2)),Y3,"")</f>
        <v/>
      </c>
    </row>
    <row r="3" spans="1:28" ht="15.75" thickTop="1" x14ac:dyDescent="0.25">
      <c r="A3" s="4">
        <f>IF(ISNUMBER(CODE(B3)),1,0)</f>
        <v>1</v>
      </c>
      <c r="B3" s="3" t="str">
        <f>IFERROR(VLOOKUP(ROW()-2,$X$3:$AA$290,3,0),"")</f>
        <v>Raptors @ Magic</v>
      </c>
      <c r="C3" s="3" t="str">
        <f>IFERROR(VLOOKUP(ROW()-2,$X$3:$AA$290,4,0),"")</f>
        <v>Over 210.5</v>
      </c>
      <c r="D3" s="29">
        <f>IFERROR(VLOOKUP(ROW()-2,$X$3:$AB$290,5,0),"")</f>
        <v>0.68220000000000003</v>
      </c>
      <c r="H3" s="11" t="s">
        <v>1131</v>
      </c>
      <c r="I3" s="12" t="s">
        <v>1200</v>
      </c>
      <c r="J3" s="13" t="s">
        <v>43</v>
      </c>
      <c r="K3" s="13" t="s">
        <v>44</v>
      </c>
      <c r="L3" s="14" t="s">
        <v>1131</v>
      </c>
      <c r="M3" s="12" t="s">
        <v>1200</v>
      </c>
      <c r="O3" s="53" t="str">
        <f>IF(J3="under",IF(HLOOKUP("Under",J3:K5,3,0)&gt;=$K$1,I3&amp;" @ "&amp;H3,IF(HLOOKUP("Over",J3:K5,3,0)&gt;=$K$1,I3&amp;" @ "&amp;H3,"")),"")</f>
        <v>Raptors @ Magic</v>
      </c>
      <c r="P3" s="53" t="str">
        <f>IF(J3="under",IF(HLOOKUP("Under",J3:K5,3,0)&gt;=$K$1,"Under "&amp;J4,IF(HLOOKUP("Over",J3:K5,3,0)&gt;=$K$1,"Over "&amp;J4,"")),"")</f>
        <v>Over 210.5</v>
      </c>
      <c r="Q3" s="53">
        <f t="shared" ref="Q3:Q67" si="0">IF(J3="under",IF(HLOOKUP("Under",J3:K5,3,0)&gt;=$K$1,J5,IF(HLOOKUP("Over",J3:K5,3,0)&gt;=$K$1,K5,"")),"")</f>
        <v>0.68220000000000003</v>
      </c>
      <c r="R3" s="53" t="str">
        <f>IF(MOD(ROW(),3)=0,IF(L5&gt;=$K$1,I3&amp;" @ "&amp;H3,IF(M5&gt;=$K$1,I3&amp;" @ "&amp;H3,"")),"")</f>
        <v>Raptors @ Magic</v>
      </c>
      <c r="S3" s="53" t="str">
        <f>IF(MOD(ROW(),3)=0,IF(L5&gt;=$K$1,L3&amp;" "&amp;L4,IF(M5&gt;=$K$1,M3&amp;" "&amp;M4,"")),"")</f>
        <v>Magic +5</v>
      </c>
      <c r="T3" s="53">
        <f>IF(MOD(ROW(),3)=0,IF(L5&gt;=$K$1,L5,IF(M5&gt;=$K$1,M5,"")),"")</f>
        <v>0.60214000000000001</v>
      </c>
      <c r="U3" s="53" t="str">
        <f>IF(MOD(ROW(),3)=0,IF(H5&gt;=$O$1,I3&amp;" @ "&amp;H3,IF(I5&gt;=$O$1,I3&amp;" @ "&amp;H3,"")),"")</f>
        <v/>
      </c>
      <c r="V3" s="53" t="str">
        <f>IF(MOD(ROW(),3)=0,IF(H5&gt;$O$1,H3&amp;" Moneyline",IF(I5&gt;=$O$1,I3&amp;" Moneyline","")),"")</f>
        <v/>
      </c>
      <c r="W3" s="53" t="str">
        <f>IF(MOD(ROW(),3)=0,IF(H5&gt;=$O$1,H5,IF(I5&gt;=$O$1,I5,"")),"")</f>
        <v/>
      </c>
      <c r="X3" s="53">
        <f>IF(ISNUMBER(CODE(Z3)),X2+1,X2)</f>
        <v>1</v>
      </c>
      <c r="Y3" s="53" t="str">
        <f>INDEX($O$3:$W$50,1+INT((ROW(A1)-1)/COLUMNS($O$3:$W$50)),MOD(ROW(A1)-1+COLUMNS($O$3:$W$50),COLUMNS($O$3:$W$50))+1)</f>
        <v>Raptors @ Magic</v>
      </c>
      <c r="Z3" s="53" t="str">
        <f>IF(ISNUMBER(SEARCH("@",Y3)),Y3,"")</f>
        <v>Raptors @ Magic</v>
      </c>
      <c r="AA3" s="53" t="str">
        <f>IF(ISNUMBER(SEARCH("@",Y3)),Y4,"")</f>
        <v>Over 210.5</v>
      </c>
      <c r="AB3" s="53">
        <f>IF(ISNUMBER(SEARCH("@",Y3)),Y5,"")</f>
        <v>0.68220000000000003</v>
      </c>
    </row>
    <row r="4" spans="1:28" x14ac:dyDescent="0.25">
      <c r="A4" s="4">
        <f t="shared" ref="A4:A67" si="1">IF(ISNUMBER(CODE(B4)),1,0)</f>
        <v>1</v>
      </c>
      <c r="B4" s="3" t="str">
        <f t="shared" ref="B4:B67" si="2">IFERROR(VLOOKUP(ROW()-2,$X$3:$AA$290,3,0),"")</f>
        <v>Raptors @ Magic</v>
      </c>
      <c r="C4" s="3" t="str">
        <f t="shared" ref="C4:C67" si="3">IFERROR(VLOOKUP(ROW()-2,$X$3:$AA$290,4,0),"")</f>
        <v>Magic +5</v>
      </c>
      <c r="D4" s="29">
        <f t="shared" ref="D4:D67" si="4">IFERROR(VLOOKUP(ROW()-2,$X$3:$AB$290,5,0),"")</f>
        <v>0.60214000000000001</v>
      </c>
      <c r="H4" s="15" t="s">
        <v>46</v>
      </c>
      <c r="I4" s="16" t="s">
        <v>45</v>
      </c>
      <c r="J4" s="17">
        <v>210.5</v>
      </c>
      <c r="K4" s="17">
        <v>210.5</v>
      </c>
      <c r="L4" s="18" t="s">
        <v>322</v>
      </c>
      <c r="M4" s="19">
        <v>-5</v>
      </c>
      <c r="O4" s="53" t="str">
        <f t="shared" ref="O4:O50" si="5">IF(J4="under",IF(HLOOKUP("Under",J4:K6,3,0)&gt;=$K$1,I4&amp;" @ "&amp;H4,IF(HLOOKUP("Over",J4:K6,3,0)&gt;=$K$1,I4&amp;" @ "&amp;H4,"")),"")</f>
        <v/>
      </c>
      <c r="P4" s="53" t="str">
        <f t="shared" ref="P4:P67" si="6">IF(J4="under",IF(HLOOKUP("Under",J4:K6,3,0)&gt;=$K$1,"Under "&amp;J5,IF(HLOOKUP("Over",J4:K6,3,0)&gt;=$K$1,"Over "&amp;J5,"")),"")</f>
        <v/>
      </c>
      <c r="Q4" s="53" t="str">
        <f t="shared" si="0"/>
        <v/>
      </c>
      <c r="R4" s="53" t="str">
        <f t="shared" ref="R4:R67" si="7">IF(MOD(ROW(),3)=0,IF(L6&gt;=$K$1,I4&amp;" @ "&amp;H4,IF(M6&gt;=$K$1,I4&amp;" @ "&amp;H4,"")),"")</f>
        <v/>
      </c>
      <c r="S4" s="53" t="str">
        <f t="shared" ref="S4:S50" si="8">IF(MOD(ROW(),3)=0,IF(L6&gt;=$K$1,L4&amp;" "&amp;L5,IF(M6&gt;=$K$1,M4&amp;" "&amp;M5,"")),"")</f>
        <v/>
      </c>
      <c r="T4" s="53" t="str">
        <f t="shared" ref="T4:T67" si="9">IF(MOD(ROW(),3)=0,IF(L6&gt;=$K$1,L6,IF(M6&gt;=$K$1,M6,"")),"")</f>
        <v/>
      </c>
      <c r="U4" s="53" t="str">
        <f>IF(MOD(ROW(),3)=0,IF(H6&gt;=$O$1,I4&amp;" @ "&amp;H4,IF(I6&gt;=$O$1,I4&amp;" @ "&amp;H4,"")),"")</f>
        <v/>
      </c>
      <c r="V4" s="53" t="str">
        <f t="shared" ref="V4:V67" si="10">IF(MOD(ROW(),3)=0,IF(H6&gt;$O$1,H4&amp;" Moneyline",IF(I6&gt;=$O$1,I4&amp;" Moneyline","")),"")</f>
        <v/>
      </c>
      <c r="W4" s="53" t="str">
        <f t="shared" ref="W4:W67" si="11">IF(MOD(ROW(),3)=0,IF(H6&gt;=$O$1,H6,IF(I6&gt;=$O$1,I6,"")),"")</f>
        <v/>
      </c>
      <c r="X4" s="53">
        <f t="shared" ref="X4:X67" si="12">IF(ISNUMBER(CODE(Z4)),X3+1,X3)</f>
        <v>1</v>
      </c>
      <c r="Y4" s="53" t="str">
        <f t="shared" ref="Y4:Y67" si="13">INDEX($O$3:$W$50,1+INT((ROW(A2)-1)/COLUMNS($O$3:$W$50)),MOD(ROW(A2)-1+COLUMNS($O$3:$W$50),COLUMNS($O$3:$W$50))+1)</f>
        <v>Over 210.5</v>
      </c>
      <c r="Z4" s="53" t="str">
        <f t="shared" ref="Z4:Z67" si="14">IF(ISNUMBER(SEARCH("@",Y4)),Y4,"")</f>
        <v/>
      </c>
      <c r="AA4" s="53" t="str">
        <f t="shared" ref="AA4:AA67" si="15">IF(ISNUMBER(SEARCH("@",Y4)),Y5,"")</f>
        <v/>
      </c>
      <c r="AB4" s="53" t="str">
        <f t="shared" ref="AB4:AB67" si="16">IF(ISNUMBER(SEARCH("@",Y4)),Y6,"")</f>
        <v/>
      </c>
    </row>
    <row r="5" spans="1:28" ht="15.75" thickBot="1" x14ac:dyDescent="0.3">
      <c r="A5" s="4">
        <f t="shared" si="1"/>
        <v>1</v>
      </c>
      <c r="B5" s="3" t="str">
        <f t="shared" si="2"/>
        <v>Celtics @ Pacers</v>
      </c>
      <c r="C5" s="3" t="str">
        <f t="shared" si="3"/>
        <v>Over 204</v>
      </c>
      <c r="D5" s="29">
        <f t="shared" si="4"/>
        <v>0.7954</v>
      </c>
      <c r="H5" s="20">
        <v>0.48753000000000002</v>
      </c>
      <c r="I5" s="21">
        <v>0.51246999999999998</v>
      </c>
      <c r="J5" s="22">
        <v>0.31780000000000003</v>
      </c>
      <c r="K5" s="22">
        <v>0.68220000000000003</v>
      </c>
      <c r="L5" s="23">
        <v>0.60214000000000001</v>
      </c>
      <c r="M5" s="24">
        <v>0.39785999999999999</v>
      </c>
      <c r="O5" s="53" t="str">
        <f t="shared" si="5"/>
        <v/>
      </c>
      <c r="P5" s="53" t="str">
        <f t="shared" si="6"/>
        <v/>
      </c>
      <c r="Q5" s="53" t="str">
        <f t="shared" si="0"/>
        <v/>
      </c>
      <c r="R5" s="53" t="str">
        <f t="shared" si="7"/>
        <v/>
      </c>
      <c r="S5" s="53" t="str">
        <f t="shared" si="8"/>
        <v/>
      </c>
      <c r="T5" s="53" t="str">
        <f t="shared" si="9"/>
        <v/>
      </c>
      <c r="U5" s="53" t="str">
        <f t="shared" ref="U5:U68" si="17">IF(MOD(ROW(),3)=0,IF(H7&gt;=$O$1,I5&amp;" @ "&amp;H5,IF(I7&gt;=$O$1,I5&amp;" @ "&amp;H5,"")),"")</f>
        <v/>
      </c>
      <c r="V5" s="53" t="str">
        <f t="shared" si="10"/>
        <v/>
      </c>
      <c r="W5" s="53" t="str">
        <f t="shared" si="11"/>
        <v/>
      </c>
      <c r="X5" s="53">
        <f t="shared" si="12"/>
        <v>1</v>
      </c>
      <c r="Y5" s="53">
        <f t="shared" si="13"/>
        <v>0.68220000000000003</v>
      </c>
      <c r="Z5" s="53" t="str">
        <f t="shared" si="14"/>
        <v/>
      </c>
      <c r="AA5" s="53" t="str">
        <f t="shared" si="15"/>
        <v/>
      </c>
      <c r="AB5" s="53" t="str">
        <f t="shared" si="16"/>
        <v/>
      </c>
    </row>
    <row r="6" spans="1:28" x14ac:dyDescent="0.25">
      <c r="A6" s="4">
        <f t="shared" si="1"/>
        <v>1</v>
      </c>
      <c r="B6" s="3" t="str">
        <f t="shared" si="2"/>
        <v>Trailblazers @ Thunder</v>
      </c>
      <c r="C6" s="3" t="str">
        <f t="shared" si="3"/>
        <v>Trailblazers +7.5</v>
      </c>
      <c r="D6" s="29">
        <f t="shared" si="4"/>
        <v>0.69379999999999997</v>
      </c>
      <c r="H6" s="11" t="s">
        <v>1150</v>
      </c>
      <c r="I6" s="12" t="s">
        <v>1199</v>
      </c>
      <c r="J6" s="13" t="s">
        <v>43</v>
      </c>
      <c r="K6" s="13" t="s">
        <v>44</v>
      </c>
      <c r="L6" s="14" t="s">
        <v>1150</v>
      </c>
      <c r="M6" s="12" t="s">
        <v>1199</v>
      </c>
      <c r="O6" s="53" t="str">
        <f t="shared" si="5"/>
        <v>Celtics @ Pacers</v>
      </c>
      <c r="P6" s="53" t="str">
        <f t="shared" si="6"/>
        <v>Over 204</v>
      </c>
      <c r="Q6" s="53">
        <f t="shared" si="0"/>
        <v>0.7954</v>
      </c>
      <c r="R6" s="53" t="str">
        <f t="shared" si="7"/>
        <v/>
      </c>
      <c r="S6" s="53" t="str">
        <f t="shared" si="8"/>
        <v/>
      </c>
      <c r="T6" s="53" t="str">
        <f t="shared" si="9"/>
        <v/>
      </c>
      <c r="U6" s="53" t="str">
        <f t="shared" si="17"/>
        <v/>
      </c>
      <c r="V6" s="53" t="str">
        <f t="shared" si="10"/>
        <v/>
      </c>
      <c r="W6" s="53" t="str">
        <f t="shared" si="11"/>
        <v/>
      </c>
      <c r="X6" s="53">
        <f t="shared" si="12"/>
        <v>2</v>
      </c>
      <c r="Y6" s="53" t="str">
        <f t="shared" si="13"/>
        <v>Raptors @ Magic</v>
      </c>
      <c r="Z6" s="53" t="str">
        <f t="shared" si="14"/>
        <v>Raptors @ Magic</v>
      </c>
      <c r="AA6" s="53" t="str">
        <f t="shared" si="15"/>
        <v>Magic +5</v>
      </c>
      <c r="AB6" s="53">
        <f t="shared" si="16"/>
        <v>0.60214000000000001</v>
      </c>
    </row>
    <row r="7" spans="1:28" x14ac:dyDescent="0.25">
      <c r="A7" s="4">
        <f t="shared" si="1"/>
        <v>0</v>
      </c>
      <c r="B7" s="3" t="str">
        <f t="shared" si="2"/>
        <v/>
      </c>
      <c r="C7" s="3" t="str">
        <f t="shared" si="3"/>
        <v/>
      </c>
      <c r="D7" s="29" t="str">
        <f t="shared" si="4"/>
        <v/>
      </c>
      <c r="H7" s="15" t="s">
        <v>45</v>
      </c>
      <c r="I7" s="16" t="s">
        <v>46</v>
      </c>
      <c r="J7" s="17">
        <v>204</v>
      </c>
      <c r="K7" s="17">
        <v>204</v>
      </c>
      <c r="L7" s="18">
        <v>-2.5</v>
      </c>
      <c r="M7" s="19" t="s">
        <v>1201</v>
      </c>
      <c r="O7" s="53" t="str">
        <f t="shared" si="5"/>
        <v/>
      </c>
      <c r="P7" s="53" t="str">
        <f t="shared" si="6"/>
        <v/>
      </c>
      <c r="Q7" s="53" t="str">
        <f t="shared" si="0"/>
        <v/>
      </c>
      <c r="R7" s="53" t="str">
        <f t="shared" si="7"/>
        <v/>
      </c>
      <c r="S7" s="53" t="str">
        <f t="shared" si="8"/>
        <v/>
      </c>
      <c r="T7" s="53" t="str">
        <f t="shared" si="9"/>
        <v/>
      </c>
      <c r="U7" s="53" t="str">
        <f t="shared" si="17"/>
        <v/>
      </c>
      <c r="V7" s="53" t="str">
        <f t="shared" si="10"/>
        <v/>
      </c>
      <c r="W7" s="53" t="str">
        <f t="shared" si="11"/>
        <v/>
      </c>
      <c r="X7" s="53">
        <f t="shared" si="12"/>
        <v>2</v>
      </c>
      <c r="Y7" s="53" t="str">
        <f t="shared" si="13"/>
        <v>Magic +5</v>
      </c>
      <c r="Z7" s="53" t="str">
        <f t="shared" si="14"/>
        <v/>
      </c>
      <c r="AA7" s="53" t="str">
        <f t="shared" si="15"/>
        <v/>
      </c>
      <c r="AB7" s="53" t="str">
        <f t="shared" si="16"/>
        <v/>
      </c>
    </row>
    <row r="8" spans="1:28" ht="15.75" thickBot="1" x14ac:dyDescent="0.3">
      <c r="A8" s="4">
        <f t="shared" si="1"/>
        <v>0</v>
      </c>
      <c r="B8" s="3" t="str">
        <f t="shared" si="2"/>
        <v/>
      </c>
      <c r="C8" s="3" t="str">
        <f t="shared" si="3"/>
        <v/>
      </c>
      <c r="D8" s="29" t="str">
        <f t="shared" si="4"/>
        <v/>
      </c>
      <c r="H8" s="20">
        <v>0.54798999999999998</v>
      </c>
      <c r="I8" s="21">
        <v>0.45201000000000002</v>
      </c>
      <c r="J8" s="22">
        <v>0.2046</v>
      </c>
      <c r="K8" s="22">
        <v>0.7954</v>
      </c>
      <c r="L8" s="23">
        <v>0.47677999999999998</v>
      </c>
      <c r="M8" s="24">
        <v>0.52322000000000002</v>
      </c>
      <c r="O8" s="53" t="str">
        <f t="shared" si="5"/>
        <v/>
      </c>
      <c r="P8" s="53" t="str">
        <f t="shared" si="6"/>
        <v/>
      </c>
      <c r="Q8" s="53" t="str">
        <f t="shared" si="0"/>
        <v/>
      </c>
      <c r="R8" s="53" t="str">
        <f t="shared" si="7"/>
        <v/>
      </c>
      <c r="S8" s="53" t="str">
        <f t="shared" si="8"/>
        <v/>
      </c>
      <c r="T8" s="53" t="str">
        <f t="shared" si="9"/>
        <v/>
      </c>
      <c r="U8" s="53" t="str">
        <f t="shared" si="17"/>
        <v/>
      </c>
      <c r="V8" s="53" t="str">
        <f t="shared" si="10"/>
        <v/>
      </c>
      <c r="W8" s="53" t="str">
        <f t="shared" si="11"/>
        <v/>
      </c>
      <c r="X8" s="53">
        <f t="shared" si="12"/>
        <v>2</v>
      </c>
      <c r="Y8" s="53">
        <f t="shared" si="13"/>
        <v>0.60214000000000001</v>
      </c>
      <c r="Z8" s="53" t="str">
        <f t="shared" si="14"/>
        <v/>
      </c>
      <c r="AA8" s="53" t="str">
        <f t="shared" si="15"/>
        <v/>
      </c>
      <c r="AB8" s="53" t="str">
        <f t="shared" si="16"/>
        <v/>
      </c>
    </row>
    <row r="9" spans="1:28" x14ac:dyDescent="0.25">
      <c r="A9" s="4">
        <f t="shared" si="1"/>
        <v>0</v>
      </c>
      <c r="B9" s="3" t="str">
        <f t="shared" si="2"/>
        <v/>
      </c>
      <c r="C9" s="3" t="str">
        <f t="shared" si="3"/>
        <v/>
      </c>
      <c r="D9" s="29" t="str">
        <f t="shared" si="4"/>
        <v/>
      </c>
      <c r="H9" s="11" t="s">
        <v>1232</v>
      </c>
      <c r="I9" s="12" t="s">
        <v>1202</v>
      </c>
      <c r="J9" s="13" t="s">
        <v>43</v>
      </c>
      <c r="K9" s="13" t="s">
        <v>44</v>
      </c>
      <c r="L9" s="14" t="s">
        <v>1232</v>
      </c>
      <c r="M9" s="12" t="s">
        <v>1202</v>
      </c>
      <c r="O9" s="53" t="str">
        <f t="shared" si="5"/>
        <v/>
      </c>
      <c r="P9" s="53" t="str">
        <f t="shared" si="6"/>
        <v/>
      </c>
      <c r="Q9" s="53" t="str">
        <f t="shared" si="0"/>
        <v/>
      </c>
      <c r="R9" s="53" t="str">
        <f t="shared" si="7"/>
        <v>Trailblazers @ Thunder</v>
      </c>
      <c r="S9" s="53" t="str">
        <f t="shared" si="8"/>
        <v>Trailblazers +7.5</v>
      </c>
      <c r="T9" s="53">
        <f t="shared" si="9"/>
        <v>0.69379999999999997</v>
      </c>
      <c r="U9" s="53" t="str">
        <f t="shared" si="17"/>
        <v/>
      </c>
      <c r="V9" s="53" t="str">
        <f t="shared" si="10"/>
        <v/>
      </c>
      <c r="W9" s="53" t="str">
        <f t="shared" si="11"/>
        <v/>
      </c>
      <c r="X9" s="53">
        <f t="shared" si="12"/>
        <v>2</v>
      </c>
      <c r="Y9" s="53" t="str">
        <f t="shared" si="13"/>
        <v/>
      </c>
      <c r="Z9" s="53" t="str">
        <f t="shared" si="14"/>
        <v/>
      </c>
      <c r="AA9" s="53" t="str">
        <f t="shared" si="15"/>
        <v/>
      </c>
      <c r="AB9" s="53" t="str">
        <f t="shared" si="16"/>
        <v/>
      </c>
    </row>
    <row r="10" spans="1:28" x14ac:dyDescent="0.25">
      <c r="A10" s="4">
        <f t="shared" si="1"/>
        <v>0</v>
      </c>
      <c r="B10" s="3" t="str">
        <f t="shared" si="2"/>
        <v/>
      </c>
      <c r="C10" s="3" t="str">
        <f t="shared" si="3"/>
        <v/>
      </c>
      <c r="D10" s="29" t="str">
        <f t="shared" si="4"/>
        <v/>
      </c>
      <c r="H10" s="15" t="s">
        <v>45</v>
      </c>
      <c r="I10" s="16" t="s">
        <v>46</v>
      </c>
      <c r="J10" s="17">
        <v>221.5</v>
      </c>
      <c r="K10" s="17">
        <v>221.5</v>
      </c>
      <c r="L10" s="18">
        <v>-7.5</v>
      </c>
      <c r="M10" s="19" t="s">
        <v>1233</v>
      </c>
      <c r="O10" s="53" t="str">
        <f t="shared" si="5"/>
        <v/>
      </c>
      <c r="P10" s="53" t="str">
        <f t="shared" si="6"/>
        <v/>
      </c>
      <c r="Q10" s="53" t="str">
        <f t="shared" si="0"/>
        <v/>
      </c>
      <c r="R10" s="53" t="str">
        <f t="shared" si="7"/>
        <v/>
      </c>
      <c r="S10" s="53" t="str">
        <f t="shared" si="8"/>
        <v/>
      </c>
      <c r="T10" s="53" t="str">
        <f t="shared" si="9"/>
        <v/>
      </c>
      <c r="U10" s="53" t="str">
        <f t="shared" si="17"/>
        <v/>
      </c>
      <c r="V10" s="53" t="str">
        <f t="shared" si="10"/>
        <v/>
      </c>
      <c r="W10" s="53" t="str">
        <f t="shared" si="11"/>
        <v/>
      </c>
      <c r="X10" s="53">
        <f t="shared" si="12"/>
        <v>2</v>
      </c>
      <c r="Y10" s="53" t="str">
        <f t="shared" si="13"/>
        <v/>
      </c>
      <c r="Z10" s="53" t="str">
        <f t="shared" si="14"/>
        <v/>
      </c>
      <c r="AA10" s="53" t="str">
        <f t="shared" si="15"/>
        <v/>
      </c>
      <c r="AB10" s="53" t="str">
        <f t="shared" si="16"/>
        <v/>
      </c>
    </row>
    <row r="11" spans="1:28" ht="15.75" thickBot="1" x14ac:dyDescent="0.3">
      <c r="A11" s="4">
        <f t="shared" si="1"/>
        <v>0</v>
      </c>
      <c r="B11" s="3" t="str">
        <f t="shared" si="2"/>
        <v/>
      </c>
      <c r="C11" s="3" t="str">
        <f t="shared" si="3"/>
        <v/>
      </c>
      <c r="D11" s="29" t="str">
        <f t="shared" si="4"/>
        <v/>
      </c>
      <c r="H11" s="20">
        <v>0.49042999999999998</v>
      </c>
      <c r="I11" s="21">
        <v>0.50956999999999997</v>
      </c>
      <c r="J11" s="22">
        <v>0.48720000000000002</v>
      </c>
      <c r="K11" s="22">
        <v>0.51280000000000003</v>
      </c>
      <c r="L11" s="23">
        <v>0.30620000000000003</v>
      </c>
      <c r="M11" s="24">
        <v>0.69379999999999997</v>
      </c>
      <c r="O11" s="53" t="str">
        <f t="shared" si="5"/>
        <v/>
      </c>
      <c r="P11" s="53" t="str">
        <f t="shared" si="6"/>
        <v/>
      </c>
      <c r="Q11" s="53" t="str">
        <f t="shared" si="0"/>
        <v/>
      </c>
      <c r="R11" s="53" t="str">
        <f t="shared" si="7"/>
        <v/>
      </c>
      <c r="S11" s="53" t="str">
        <f t="shared" si="8"/>
        <v/>
      </c>
      <c r="T11" s="53" t="str">
        <f t="shared" si="9"/>
        <v/>
      </c>
      <c r="U11" s="53" t="str">
        <f t="shared" si="17"/>
        <v/>
      </c>
      <c r="V11" s="53" t="str">
        <f t="shared" si="10"/>
        <v/>
      </c>
      <c r="W11" s="53" t="str">
        <f t="shared" si="11"/>
        <v/>
      </c>
      <c r="X11" s="53">
        <f t="shared" si="12"/>
        <v>2</v>
      </c>
      <c r="Y11" s="53" t="str">
        <f t="shared" si="13"/>
        <v/>
      </c>
      <c r="Z11" s="53" t="str">
        <f t="shared" si="14"/>
        <v/>
      </c>
      <c r="AA11" s="53" t="str">
        <f t="shared" si="15"/>
        <v/>
      </c>
      <c r="AB11" s="53" t="str">
        <f t="shared" si="16"/>
        <v/>
      </c>
    </row>
    <row r="12" spans="1:28" x14ac:dyDescent="0.25">
      <c r="A12" s="4">
        <f t="shared" si="1"/>
        <v>0</v>
      </c>
      <c r="B12" s="3" t="str">
        <f t="shared" si="2"/>
        <v/>
      </c>
      <c r="C12" s="3" t="str">
        <f t="shared" si="3"/>
        <v/>
      </c>
      <c r="D12" s="29" t="str">
        <f t="shared" si="4"/>
        <v/>
      </c>
      <c r="O12" s="53" t="str">
        <f t="shared" si="5"/>
        <v/>
      </c>
      <c r="P12" s="53" t="str">
        <f t="shared" si="6"/>
        <v/>
      </c>
      <c r="Q12" s="53" t="str">
        <f t="shared" si="0"/>
        <v/>
      </c>
      <c r="R12" s="53" t="str">
        <f t="shared" si="7"/>
        <v/>
      </c>
      <c r="S12" s="53" t="str">
        <f t="shared" si="8"/>
        <v/>
      </c>
      <c r="T12" s="53" t="str">
        <f t="shared" si="9"/>
        <v/>
      </c>
      <c r="U12" s="53" t="str">
        <f t="shared" si="17"/>
        <v/>
      </c>
      <c r="V12" s="53" t="str">
        <f t="shared" si="10"/>
        <v/>
      </c>
      <c r="W12" s="53" t="str">
        <f t="shared" si="11"/>
        <v/>
      </c>
      <c r="X12" s="53">
        <f t="shared" si="12"/>
        <v>2</v>
      </c>
      <c r="Y12" s="53" t="str">
        <f t="shared" si="13"/>
        <v/>
      </c>
      <c r="Z12" s="53" t="str">
        <f t="shared" si="14"/>
        <v/>
      </c>
      <c r="AA12" s="53" t="str">
        <f t="shared" si="15"/>
        <v/>
      </c>
      <c r="AB12" s="53" t="str">
        <f t="shared" si="16"/>
        <v/>
      </c>
    </row>
    <row r="13" spans="1:28" x14ac:dyDescent="0.25">
      <c r="A13" s="4">
        <f t="shared" si="1"/>
        <v>0</v>
      </c>
      <c r="B13" s="3" t="str">
        <f t="shared" si="2"/>
        <v/>
      </c>
      <c r="C13" s="3" t="str">
        <f t="shared" si="3"/>
        <v/>
      </c>
      <c r="D13" s="29" t="str">
        <f t="shared" si="4"/>
        <v/>
      </c>
      <c r="O13" s="53" t="str">
        <f t="shared" si="5"/>
        <v/>
      </c>
      <c r="P13" s="53" t="str">
        <f t="shared" si="6"/>
        <v/>
      </c>
      <c r="Q13" s="53" t="str">
        <f t="shared" si="0"/>
        <v/>
      </c>
      <c r="R13" s="53" t="str">
        <f t="shared" si="7"/>
        <v/>
      </c>
      <c r="S13" s="53" t="str">
        <f t="shared" si="8"/>
        <v/>
      </c>
      <c r="T13" s="53" t="str">
        <f t="shared" si="9"/>
        <v/>
      </c>
      <c r="U13" s="53" t="str">
        <f t="shared" si="17"/>
        <v/>
      </c>
      <c r="V13" s="53" t="str">
        <f t="shared" si="10"/>
        <v/>
      </c>
      <c r="W13" s="53" t="str">
        <f t="shared" si="11"/>
        <v/>
      </c>
      <c r="X13" s="53">
        <f t="shared" si="12"/>
        <v>2</v>
      </c>
      <c r="Y13" s="53" t="str">
        <f t="shared" si="13"/>
        <v/>
      </c>
      <c r="Z13" s="53" t="str">
        <f t="shared" si="14"/>
        <v/>
      </c>
      <c r="AA13" s="53" t="str">
        <f t="shared" si="15"/>
        <v/>
      </c>
      <c r="AB13" s="53" t="str">
        <f t="shared" si="16"/>
        <v/>
      </c>
    </row>
    <row r="14" spans="1:28" x14ac:dyDescent="0.25">
      <c r="A14" s="4">
        <f t="shared" si="1"/>
        <v>0</v>
      </c>
      <c r="B14" s="3" t="str">
        <f t="shared" si="2"/>
        <v/>
      </c>
      <c r="C14" s="3" t="str">
        <f t="shared" si="3"/>
        <v/>
      </c>
      <c r="D14" s="29" t="str">
        <f t="shared" si="4"/>
        <v/>
      </c>
      <c r="O14" s="53" t="str">
        <f t="shared" si="5"/>
        <v/>
      </c>
      <c r="P14" s="53" t="str">
        <f t="shared" si="6"/>
        <v/>
      </c>
      <c r="Q14" s="53" t="str">
        <f t="shared" si="0"/>
        <v/>
      </c>
      <c r="R14" s="53" t="str">
        <f t="shared" si="7"/>
        <v/>
      </c>
      <c r="S14" s="53" t="str">
        <f t="shared" si="8"/>
        <v/>
      </c>
      <c r="T14" s="53" t="str">
        <f t="shared" si="9"/>
        <v/>
      </c>
      <c r="U14" s="53" t="str">
        <f t="shared" si="17"/>
        <v/>
      </c>
      <c r="V14" s="53" t="str">
        <f t="shared" si="10"/>
        <v/>
      </c>
      <c r="W14" s="53" t="str">
        <f t="shared" si="11"/>
        <v/>
      </c>
      <c r="X14" s="53">
        <f t="shared" si="12"/>
        <v>2</v>
      </c>
      <c r="Y14" s="53" t="str">
        <f t="shared" si="13"/>
        <v/>
      </c>
      <c r="Z14" s="53" t="str">
        <f t="shared" si="14"/>
        <v/>
      </c>
      <c r="AA14" s="53" t="str">
        <f t="shared" si="15"/>
        <v/>
      </c>
      <c r="AB14" s="53" t="str">
        <f t="shared" si="16"/>
        <v/>
      </c>
    </row>
    <row r="15" spans="1:28" x14ac:dyDescent="0.25">
      <c r="A15" s="4">
        <f t="shared" si="1"/>
        <v>0</v>
      </c>
      <c r="B15" s="3" t="str">
        <f t="shared" si="2"/>
        <v/>
      </c>
      <c r="C15" s="3" t="str">
        <f t="shared" si="3"/>
        <v/>
      </c>
      <c r="D15" s="29" t="str">
        <f t="shared" si="4"/>
        <v/>
      </c>
      <c r="O15" s="53" t="str">
        <f t="shared" si="5"/>
        <v/>
      </c>
      <c r="P15" s="53" t="str">
        <f t="shared" si="6"/>
        <v/>
      </c>
      <c r="Q15" s="53" t="str">
        <f t="shared" si="0"/>
        <v/>
      </c>
      <c r="R15" s="53" t="str">
        <f t="shared" si="7"/>
        <v/>
      </c>
      <c r="S15" s="53" t="str">
        <f t="shared" si="8"/>
        <v/>
      </c>
      <c r="T15" s="53" t="str">
        <f t="shared" si="9"/>
        <v/>
      </c>
      <c r="U15" s="53" t="str">
        <f t="shared" si="17"/>
        <v/>
      </c>
      <c r="V15" s="53" t="str">
        <f t="shared" si="10"/>
        <v/>
      </c>
      <c r="W15" s="53" t="str">
        <f t="shared" si="11"/>
        <v/>
      </c>
      <c r="X15" s="53">
        <f t="shared" si="12"/>
        <v>2</v>
      </c>
      <c r="Y15" s="53" t="str">
        <f t="shared" si="13"/>
        <v/>
      </c>
      <c r="Z15" s="53" t="str">
        <f t="shared" si="14"/>
        <v/>
      </c>
      <c r="AA15" s="53" t="str">
        <f t="shared" si="15"/>
        <v/>
      </c>
      <c r="AB15" s="53" t="str">
        <f t="shared" si="16"/>
        <v/>
      </c>
    </row>
    <row r="16" spans="1:28" x14ac:dyDescent="0.25">
      <c r="A16" s="4">
        <f t="shared" si="1"/>
        <v>0</v>
      </c>
      <c r="B16" s="3" t="str">
        <f t="shared" si="2"/>
        <v/>
      </c>
      <c r="C16" s="3" t="str">
        <f t="shared" si="3"/>
        <v/>
      </c>
      <c r="D16" s="29" t="str">
        <f t="shared" si="4"/>
        <v/>
      </c>
      <c r="O16" s="53" t="str">
        <f t="shared" si="5"/>
        <v/>
      </c>
      <c r="P16" s="53" t="str">
        <f t="shared" si="6"/>
        <v/>
      </c>
      <c r="Q16" s="53" t="str">
        <f t="shared" si="0"/>
        <v/>
      </c>
      <c r="R16" s="53" t="str">
        <f t="shared" si="7"/>
        <v/>
      </c>
      <c r="S16" s="53" t="str">
        <f t="shared" si="8"/>
        <v/>
      </c>
      <c r="T16" s="53" t="str">
        <f t="shared" si="9"/>
        <v/>
      </c>
      <c r="U16" s="53" t="str">
        <f t="shared" si="17"/>
        <v/>
      </c>
      <c r="V16" s="53" t="str">
        <f t="shared" si="10"/>
        <v/>
      </c>
      <c r="W16" s="53" t="str">
        <f t="shared" si="11"/>
        <v/>
      </c>
      <c r="X16" s="53">
        <f t="shared" si="12"/>
        <v>2</v>
      </c>
      <c r="Y16" s="53" t="str">
        <f t="shared" si="13"/>
        <v/>
      </c>
      <c r="Z16" s="53" t="str">
        <f t="shared" si="14"/>
        <v/>
      </c>
      <c r="AA16" s="53" t="str">
        <f t="shared" si="15"/>
        <v/>
      </c>
      <c r="AB16" s="53" t="str">
        <f t="shared" si="16"/>
        <v/>
      </c>
    </row>
    <row r="17" spans="1:28" x14ac:dyDescent="0.25">
      <c r="A17" s="4">
        <f t="shared" si="1"/>
        <v>0</v>
      </c>
      <c r="B17" s="3" t="str">
        <f t="shared" si="2"/>
        <v/>
      </c>
      <c r="C17" s="3" t="str">
        <f t="shared" si="3"/>
        <v/>
      </c>
      <c r="D17" s="29" t="str">
        <f t="shared" si="4"/>
        <v/>
      </c>
      <c r="O17" s="53" t="str">
        <f t="shared" si="5"/>
        <v/>
      </c>
      <c r="P17" s="53" t="str">
        <f t="shared" si="6"/>
        <v/>
      </c>
      <c r="Q17" s="53" t="str">
        <f t="shared" si="0"/>
        <v/>
      </c>
      <c r="R17" s="53" t="str">
        <f t="shared" si="7"/>
        <v/>
      </c>
      <c r="S17" s="53" t="str">
        <f t="shared" si="8"/>
        <v/>
      </c>
      <c r="T17" s="53" t="str">
        <f t="shared" si="9"/>
        <v/>
      </c>
      <c r="U17" s="53" t="str">
        <f t="shared" si="17"/>
        <v/>
      </c>
      <c r="V17" s="53" t="str">
        <f t="shared" si="10"/>
        <v/>
      </c>
      <c r="W17" s="53" t="str">
        <f t="shared" si="11"/>
        <v/>
      </c>
      <c r="X17" s="53">
        <f t="shared" si="12"/>
        <v>2</v>
      </c>
      <c r="Y17" s="53" t="str">
        <f t="shared" si="13"/>
        <v/>
      </c>
      <c r="Z17" s="53" t="str">
        <f t="shared" si="14"/>
        <v/>
      </c>
      <c r="AA17" s="53" t="str">
        <f t="shared" si="15"/>
        <v/>
      </c>
      <c r="AB17" s="53" t="str">
        <f t="shared" si="16"/>
        <v/>
      </c>
    </row>
    <row r="18" spans="1:28" x14ac:dyDescent="0.25">
      <c r="A18" s="4">
        <f t="shared" si="1"/>
        <v>0</v>
      </c>
      <c r="B18" s="3" t="str">
        <f t="shared" si="2"/>
        <v/>
      </c>
      <c r="C18" s="3" t="str">
        <f t="shared" si="3"/>
        <v/>
      </c>
      <c r="D18" s="29" t="str">
        <f t="shared" si="4"/>
        <v/>
      </c>
      <c r="O18" s="53" t="str">
        <f t="shared" si="5"/>
        <v/>
      </c>
      <c r="P18" s="53" t="str">
        <f t="shared" si="6"/>
        <v/>
      </c>
      <c r="Q18" s="53" t="str">
        <f t="shared" si="0"/>
        <v/>
      </c>
      <c r="R18" s="53" t="str">
        <f t="shared" si="7"/>
        <v/>
      </c>
      <c r="S18" s="53" t="str">
        <f t="shared" si="8"/>
        <v/>
      </c>
      <c r="T18" s="53" t="str">
        <f t="shared" si="9"/>
        <v/>
      </c>
      <c r="U18" s="53" t="str">
        <f t="shared" si="17"/>
        <v/>
      </c>
      <c r="V18" s="53" t="str">
        <f t="shared" si="10"/>
        <v/>
      </c>
      <c r="W18" s="53" t="str">
        <f t="shared" si="11"/>
        <v/>
      </c>
      <c r="X18" s="53">
        <f t="shared" si="12"/>
        <v>2</v>
      </c>
      <c r="Y18" s="53" t="str">
        <f t="shared" si="13"/>
        <v/>
      </c>
      <c r="Z18" s="53" t="str">
        <f t="shared" si="14"/>
        <v/>
      </c>
      <c r="AA18" s="53" t="str">
        <f t="shared" si="15"/>
        <v/>
      </c>
      <c r="AB18" s="53" t="str">
        <f t="shared" si="16"/>
        <v/>
      </c>
    </row>
    <row r="19" spans="1:28" x14ac:dyDescent="0.25">
      <c r="A19" s="4">
        <f t="shared" si="1"/>
        <v>0</v>
      </c>
      <c r="B19" s="3" t="str">
        <f t="shared" si="2"/>
        <v/>
      </c>
      <c r="C19" s="3" t="str">
        <f t="shared" si="3"/>
        <v/>
      </c>
      <c r="D19" s="29" t="str">
        <f t="shared" si="4"/>
        <v/>
      </c>
      <c r="O19" s="53" t="str">
        <f t="shared" si="5"/>
        <v/>
      </c>
      <c r="P19" s="53" t="str">
        <f t="shared" si="6"/>
        <v/>
      </c>
      <c r="Q19" s="53" t="str">
        <f t="shared" si="0"/>
        <v/>
      </c>
      <c r="R19" s="53" t="str">
        <f t="shared" si="7"/>
        <v/>
      </c>
      <c r="S19" s="53" t="str">
        <f t="shared" si="8"/>
        <v/>
      </c>
      <c r="T19" s="53" t="str">
        <f t="shared" si="9"/>
        <v/>
      </c>
      <c r="U19" s="53" t="str">
        <f t="shared" si="17"/>
        <v/>
      </c>
      <c r="V19" s="53" t="str">
        <f t="shared" si="10"/>
        <v/>
      </c>
      <c r="W19" s="53" t="str">
        <f t="shared" si="11"/>
        <v/>
      </c>
      <c r="X19" s="53">
        <f t="shared" si="12"/>
        <v>2</v>
      </c>
      <c r="Y19" s="53" t="str">
        <f t="shared" si="13"/>
        <v/>
      </c>
      <c r="Z19" s="53" t="str">
        <f t="shared" si="14"/>
        <v/>
      </c>
      <c r="AA19" s="53" t="str">
        <f t="shared" si="15"/>
        <v/>
      </c>
      <c r="AB19" s="53" t="str">
        <f t="shared" si="16"/>
        <v/>
      </c>
    </row>
    <row r="20" spans="1:28" x14ac:dyDescent="0.25">
      <c r="A20" s="4">
        <f t="shared" si="1"/>
        <v>0</v>
      </c>
      <c r="B20" s="3" t="str">
        <f t="shared" si="2"/>
        <v/>
      </c>
      <c r="C20" s="3" t="str">
        <f t="shared" si="3"/>
        <v/>
      </c>
      <c r="D20" s="29" t="str">
        <f t="shared" si="4"/>
        <v/>
      </c>
      <c r="O20" s="53" t="str">
        <f t="shared" si="5"/>
        <v/>
      </c>
      <c r="P20" s="53" t="str">
        <f t="shared" si="6"/>
        <v/>
      </c>
      <c r="Q20" s="53" t="str">
        <f t="shared" si="0"/>
        <v/>
      </c>
      <c r="R20" s="53" t="str">
        <f t="shared" si="7"/>
        <v/>
      </c>
      <c r="S20" s="53" t="str">
        <f t="shared" si="8"/>
        <v/>
      </c>
      <c r="T20" s="53" t="str">
        <f t="shared" si="9"/>
        <v/>
      </c>
      <c r="U20" s="53" t="str">
        <f t="shared" si="17"/>
        <v/>
      </c>
      <c r="V20" s="53" t="str">
        <f t="shared" si="10"/>
        <v/>
      </c>
      <c r="W20" s="53" t="str">
        <f t="shared" si="11"/>
        <v/>
      </c>
      <c r="X20" s="53">
        <f t="shared" si="12"/>
        <v>2</v>
      </c>
      <c r="Y20" s="53" t="str">
        <f t="shared" si="13"/>
        <v/>
      </c>
      <c r="Z20" s="53" t="str">
        <f t="shared" si="14"/>
        <v/>
      </c>
      <c r="AA20" s="53" t="str">
        <f t="shared" si="15"/>
        <v/>
      </c>
      <c r="AB20" s="53" t="str">
        <f t="shared" si="16"/>
        <v/>
      </c>
    </row>
    <row r="21" spans="1:28" x14ac:dyDescent="0.25">
      <c r="A21" s="4">
        <f t="shared" si="1"/>
        <v>0</v>
      </c>
      <c r="B21" s="3" t="str">
        <f t="shared" si="2"/>
        <v/>
      </c>
      <c r="C21" s="3" t="str">
        <f t="shared" si="3"/>
        <v/>
      </c>
      <c r="D21" s="29" t="str">
        <f t="shared" si="4"/>
        <v/>
      </c>
      <c r="O21" s="53" t="str">
        <f t="shared" si="5"/>
        <v/>
      </c>
      <c r="P21" s="53" t="str">
        <f t="shared" si="6"/>
        <v/>
      </c>
      <c r="Q21" s="53" t="str">
        <f t="shared" si="0"/>
        <v/>
      </c>
      <c r="R21" s="53" t="str">
        <f t="shared" si="7"/>
        <v/>
      </c>
      <c r="S21" s="53" t="str">
        <f t="shared" si="8"/>
        <v/>
      </c>
      <c r="T21" s="53" t="str">
        <f t="shared" si="9"/>
        <v/>
      </c>
      <c r="U21" s="53" t="str">
        <f t="shared" si="17"/>
        <v/>
      </c>
      <c r="V21" s="53" t="str">
        <f t="shared" si="10"/>
        <v/>
      </c>
      <c r="W21" s="53" t="str">
        <f t="shared" si="11"/>
        <v/>
      </c>
      <c r="X21" s="53">
        <f t="shared" si="12"/>
        <v>2</v>
      </c>
      <c r="Y21" s="53" t="str">
        <f t="shared" si="13"/>
        <v/>
      </c>
      <c r="Z21" s="53" t="str">
        <f t="shared" si="14"/>
        <v/>
      </c>
      <c r="AA21" s="53" t="str">
        <f t="shared" si="15"/>
        <v/>
      </c>
      <c r="AB21" s="53" t="str">
        <f t="shared" si="16"/>
        <v/>
      </c>
    </row>
    <row r="22" spans="1:28" x14ac:dyDescent="0.25">
      <c r="A22" s="4">
        <f t="shared" si="1"/>
        <v>0</v>
      </c>
      <c r="B22" s="3" t="str">
        <f t="shared" si="2"/>
        <v/>
      </c>
      <c r="C22" s="3" t="str">
        <f t="shared" si="3"/>
        <v/>
      </c>
      <c r="D22" s="29" t="str">
        <f t="shared" si="4"/>
        <v/>
      </c>
      <c r="O22" s="53" t="str">
        <f t="shared" si="5"/>
        <v/>
      </c>
      <c r="P22" s="53" t="str">
        <f t="shared" si="6"/>
        <v/>
      </c>
      <c r="Q22" s="53" t="str">
        <f t="shared" si="0"/>
        <v/>
      </c>
      <c r="R22" s="53" t="str">
        <f t="shared" si="7"/>
        <v/>
      </c>
      <c r="S22" s="53" t="str">
        <f t="shared" si="8"/>
        <v/>
      </c>
      <c r="T22" s="53" t="str">
        <f t="shared" si="9"/>
        <v/>
      </c>
      <c r="U22" s="53" t="str">
        <f t="shared" si="17"/>
        <v/>
      </c>
      <c r="V22" s="53" t="str">
        <f t="shared" si="10"/>
        <v/>
      </c>
      <c r="W22" s="53" t="str">
        <f t="shared" si="11"/>
        <v/>
      </c>
      <c r="X22" s="53">
        <f t="shared" si="12"/>
        <v>2</v>
      </c>
      <c r="Y22" s="53" t="str">
        <f t="shared" si="13"/>
        <v/>
      </c>
      <c r="Z22" s="53" t="str">
        <f t="shared" si="14"/>
        <v/>
      </c>
      <c r="AA22" s="53" t="str">
        <f t="shared" si="15"/>
        <v/>
      </c>
      <c r="AB22" s="53" t="str">
        <f t="shared" si="16"/>
        <v/>
      </c>
    </row>
    <row r="23" spans="1:28" x14ac:dyDescent="0.25">
      <c r="A23" s="4">
        <f t="shared" si="1"/>
        <v>0</v>
      </c>
      <c r="B23" s="3" t="str">
        <f t="shared" si="2"/>
        <v/>
      </c>
      <c r="C23" s="3" t="str">
        <f t="shared" si="3"/>
        <v/>
      </c>
      <c r="D23" s="29" t="str">
        <f t="shared" si="4"/>
        <v/>
      </c>
      <c r="O23" s="53" t="str">
        <f t="shared" si="5"/>
        <v/>
      </c>
      <c r="P23" s="53" t="str">
        <f t="shared" si="6"/>
        <v/>
      </c>
      <c r="Q23" s="53" t="str">
        <f t="shared" si="0"/>
        <v/>
      </c>
      <c r="R23" s="53" t="str">
        <f t="shared" si="7"/>
        <v/>
      </c>
      <c r="S23" s="53" t="str">
        <f t="shared" si="8"/>
        <v/>
      </c>
      <c r="T23" s="53" t="str">
        <f t="shared" si="9"/>
        <v/>
      </c>
      <c r="U23" s="53" t="str">
        <f t="shared" si="17"/>
        <v/>
      </c>
      <c r="V23" s="53" t="str">
        <f t="shared" si="10"/>
        <v/>
      </c>
      <c r="W23" s="53" t="str">
        <f t="shared" si="11"/>
        <v/>
      </c>
      <c r="X23" s="53">
        <f t="shared" si="12"/>
        <v>2</v>
      </c>
      <c r="Y23" s="53" t="str">
        <f t="shared" si="13"/>
        <v/>
      </c>
      <c r="Z23" s="53" t="str">
        <f t="shared" si="14"/>
        <v/>
      </c>
      <c r="AA23" s="53" t="str">
        <f t="shared" si="15"/>
        <v/>
      </c>
      <c r="AB23" s="53" t="str">
        <f t="shared" si="16"/>
        <v/>
      </c>
    </row>
    <row r="24" spans="1:28" x14ac:dyDescent="0.25">
      <c r="A24" s="4">
        <f t="shared" si="1"/>
        <v>0</v>
      </c>
      <c r="B24" s="3" t="str">
        <f t="shared" si="2"/>
        <v/>
      </c>
      <c r="C24" s="3" t="str">
        <f t="shared" si="3"/>
        <v/>
      </c>
      <c r="D24" s="29" t="str">
        <f t="shared" si="4"/>
        <v/>
      </c>
      <c r="E24" s="10"/>
      <c r="O24" s="53" t="str">
        <f t="shared" si="5"/>
        <v/>
      </c>
      <c r="P24" s="53" t="str">
        <f t="shared" si="6"/>
        <v/>
      </c>
      <c r="Q24" s="53" t="str">
        <f t="shared" si="0"/>
        <v/>
      </c>
      <c r="R24" s="53" t="str">
        <f t="shared" si="7"/>
        <v/>
      </c>
      <c r="S24" s="53" t="str">
        <f t="shared" si="8"/>
        <v/>
      </c>
      <c r="T24" s="53" t="str">
        <f t="shared" si="9"/>
        <v/>
      </c>
      <c r="U24" s="53" t="str">
        <f t="shared" si="17"/>
        <v/>
      </c>
      <c r="V24" s="53" t="str">
        <f t="shared" si="10"/>
        <v/>
      </c>
      <c r="W24" s="53" t="str">
        <f t="shared" si="11"/>
        <v/>
      </c>
      <c r="X24" s="53">
        <f t="shared" si="12"/>
        <v>2</v>
      </c>
      <c r="Y24" s="53" t="str">
        <f t="shared" si="13"/>
        <v/>
      </c>
      <c r="Z24" s="53" t="str">
        <f t="shared" si="14"/>
        <v/>
      </c>
      <c r="AA24" s="53" t="str">
        <f t="shared" si="15"/>
        <v/>
      </c>
      <c r="AB24" s="53" t="str">
        <f t="shared" si="16"/>
        <v/>
      </c>
    </row>
    <row r="25" spans="1:28" x14ac:dyDescent="0.25">
      <c r="A25" s="4">
        <f t="shared" si="1"/>
        <v>0</v>
      </c>
      <c r="B25" s="3" t="str">
        <f t="shared" si="2"/>
        <v/>
      </c>
      <c r="C25" s="3" t="str">
        <f t="shared" si="3"/>
        <v/>
      </c>
      <c r="D25" s="29" t="str">
        <f t="shared" si="4"/>
        <v/>
      </c>
      <c r="O25" s="53" t="str">
        <f t="shared" si="5"/>
        <v/>
      </c>
      <c r="P25" s="53" t="str">
        <f t="shared" si="6"/>
        <v/>
      </c>
      <c r="Q25" s="53" t="str">
        <f t="shared" si="0"/>
        <v/>
      </c>
      <c r="R25" s="53" t="str">
        <f t="shared" si="7"/>
        <v/>
      </c>
      <c r="S25" s="53" t="str">
        <f t="shared" si="8"/>
        <v/>
      </c>
      <c r="T25" s="53" t="str">
        <f t="shared" si="9"/>
        <v/>
      </c>
      <c r="U25" s="53" t="str">
        <f t="shared" si="17"/>
        <v/>
      </c>
      <c r="V25" s="53" t="str">
        <f t="shared" si="10"/>
        <v/>
      </c>
      <c r="W25" s="53" t="str">
        <f t="shared" si="11"/>
        <v/>
      </c>
      <c r="X25" s="53">
        <f t="shared" si="12"/>
        <v>2</v>
      </c>
      <c r="Y25" s="53" t="str">
        <f t="shared" si="13"/>
        <v/>
      </c>
      <c r="Z25" s="53" t="str">
        <f t="shared" si="14"/>
        <v/>
      </c>
      <c r="AA25" s="53" t="str">
        <f t="shared" si="15"/>
        <v/>
      </c>
      <c r="AB25" s="53" t="str">
        <f t="shared" si="16"/>
        <v/>
      </c>
    </row>
    <row r="26" spans="1:28" x14ac:dyDescent="0.25">
      <c r="A26" s="4">
        <f t="shared" si="1"/>
        <v>0</v>
      </c>
      <c r="B26" s="3" t="str">
        <f t="shared" si="2"/>
        <v/>
      </c>
      <c r="C26" s="3" t="str">
        <f t="shared" si="3"/>
        <v/>
      </c>
      <c r="D26" s="28" t="str">
        <f t="shared" si="4"/>
        <v/>
      </c>
      <c r="O26" s="53" t="str">
        <f t="shared" si="5"/>
        <v/>
      </c>
      <c r="P26" s="53" t="str">
        <f t="shared" si="6"/>
        <v/>
      </c>
      <c r="Q26" s="53" t="str">
        <f t="shared" si="0"/>
        <v/>
      </c>
      <c r="R26" s="53" t="str">
        <f t="shared" si="7"/>
        <v/>
      </c>
      <c r="S26" s="53" t="str">
        <f t="shared" si="8"/>
        <v/>
      </c>
      <c r="T26" s="53" t="str">
        <f t="shared" si="9"/>
        <v/>
      </c>
      <c r="U26" s="53" t="str">
        <f t="shared" si="17"/>
        <v/>
      </c>
      <c r="V26" s="53" t="str">
        <f t="shared" si="10"/>
        <v/>
      </c>
      <c r="W26" s="53" t="str">
        <f t="shared" si="11"/>
        <v/>
      </c>
      <c r="X26" s="53">
        <f t="shared" si="12"/>
        <v>2</v>
      </c>
      <c r="Y26" s="53" t="str">
        <f t="shared" si="13"/>
        <v/>
      </c>
      <c r="Z26" s="53" t="str">
        <f t="shared" si="14"/>
        <v/>
      </c>
      <c r="AA26" s="53" t="str">
        <f t="shared" si="15"/>
        <v/>
      </c>
      <c r="AB26" s="53" t="str">
        <f t="shared" si="16"/>
        <v/>
      </c>
    </row>
    <row r="27" spans="1:28" x14ac:dyDescent="0.25">
      <c r="A27" s="4">
        <f t="shared" si="1"/>
        <v>0</v>
      </c>
      <c r="B27" s="3" t="str">
        <f t="shared" si="2"/>
        <v/>
      </c>
      <c r="C27" s="3" t="str">
        <f t="shared" si="3"/>
        <v/>
      </c>
      <c r="D27" s="28" t="str">
        <f t="shared" si="4"/>
        <v/>
      </c>
      <c r="O27" s="53" t="str">
        <f t="shared" si="5"/>
        <v/>
      </c>
      <c r="P27" s="53" t="str">
        <f t="shared" si="6"/>
        <v/>
      </c>
      <c r="Q27" s="53" t="str">
        <f t="shared" si="0"/>
        <v/>
      </c>
      <c r="R27" s="53" t="str">
        <f t="shared" si="7"/>
        <v/>
      </c>
      <c r="S27" s="53" t="str">
        <f t="shared" si="8"/>
        <v/>
      </c>
      <c r="T27" s="53" t="str">
        <f t="shared" si="9"/>
        <v/>
      </c>
      <c r="U27" s="53" t="str">
        <f t="shared" si="17"/>
        <v/>
      </c>
      <c r="V27" s="53" t="str">
        <f t="shared" si="10"/>
        <v/>
      </c>
      <c r="W27" s="53" t="str">
        <f t="shared" si="11"/>
        <v/>
      </c>
      <c r="X27" s="53">
        <f t="shared" si="12"/>
        <v>2</v>
      </c>
      <c r="Y27" s="53" t="str">
        <f t="shared" si="13"/>
        <v/>
      </c>
      <c r="Z27" s="53" t="str">
        <f t="shared" si="14"/>
        <v/>
      </c>
      <c r="AA27" s="53" t="str">
        <f t="shared" si="15"/>
        <v/>
      </c>
      <c r="AB27" s="53" t="str">
        <f t="shared" si="16"/>
        <v/>
      </c>
    </row>
    <row r="28" spans="1:28" x14ac:dyDescent="0.25">
      <c r="A28" s="4">
        <f t="shared" si="1"/>
        <v>0</v>
      </c>
      <c r="B28" s="3" t="str">
        <f t="shared" si="2"/>
        <v/>
      </c>
      <c r="C28" s="3" t="str">
        <f t="shared" si="3"/>
        <v/>
      </c>
      <c r="D28" s="28" t="str">
        <f t="shared" si="4"/>
        <v/>
      </c>
      <c r="O28" s="53" t="str">
        <f t="shared" si="5"/>
        <v/>
      </c>
      <c r="P28" s="53" t="str">
        <f t="shared" si="6"/>
        <v/>
      </c>
      <c r="Q28" s="53" t="str">
        <f t="shared" si="0"/>
        <v/>
      </c>
      <c r="R28" s="53" t="str">
        <f t="shared" si="7"/>
        <v/>
      </c>
      <c r="S28" s="53" t="str">
        <f t="shared" si="8"/>
        <v/>
      </c>
      <c r="T28" s="53" t="str">
        <f t="shared" si="9"/>
        <v/>
      </c>
      <c r="U28" s="53" t="str">
        <f t="shared" si="17"/>
        <v/>
      </c>
      <c r="V28" s="53" t="str">
        <f t="shared" si="10"/>
        <v/>
      </c>
      <c r="W28" s="53" t="str">
        <f t="shared" si="11"/>
        <v/>
      </c>
      <c r="X28" s="53">
        <f t="shared" si="12"/>
        <v>2</v>
      </c>
      <c r="Y28" s="53" t="str">
        <f t="shared" si="13"/>
        <v/>
      </c>
      <c r="Z28" s="53" t="str">
        <f t="shared" si="14"/>
        <v/>
      </c>
      <c r="AA28" s="53" t="str">
        <f t="shared" si="15"/>
        <v/>
      </c>
      <c r="AB28" s="53" t="str">
        <f t="shared" si="16"/>
        <v/>
      </c>
    </row>
    <row r="29" spans="1:28" x14ac:dyDescent="0.25">
      <c r="A29" s="4">
        <f t="shared" si="1"/>
        <v>0</v>
      </c>
      <c r="B29" s="3" t="str">
        <f t="shared" si="2"/>
        <v/>
      </c>
      <c r="C29" s="3" t="str">
        <f t="shared" si="3"/>
        <v/>
      </c>
      <c r="D29" s="28" t="str">
        <f t="shared" si="4"/>
        <v/>
      </c>
      <c r="O29" s="53" t="str">
        <f t="shared" si="5"/>
        <v/>
      </c>
      <c r="P29" s="53" t="str">
        <f t="shared" si="6"/>
        <v/>
      </c>
      <c r="Q29" s="53" t="str">
        <f t="shared" si="0"/>
        <v/>
      </c>
      <c r="R29" s="53" t="str">
        <f t="shared" si="7"/>
        <v/>
      </c>
      <c r="S29" s="53" t="str">
        <f t="shared" si="8"/>
        <v/>
      </c>
      <c r="T29" s="53" t="str">
        <f t="shared" si="9"/>
        <v/>
      </c>
      <c r="U29" s="53" t="str">
        <f t="shared" si="17"/>
        <v/>
      </c>
      <c r="V29" s="53" t="str">
        <f t="shared" si="10"/>
        <v/>
      </c>
      <c r="W29" s="53" t="str">
        <f t="shared" si="11"/>
        <v/>
      </c>
      <c r="X29" s="53">
        <f t="shared" si="12"/>
        <v>2</v>
      </c>
      <c r="Y29" s="53" t="str">
        <f t="shared" si="13"/>
        <v/>
      </c>
      <c r="Z29" s="53" t="str">
        <f t="shared" si="14"/>
        <v/>
      </c>
      <c r="AA29" s="53" t="str">
        <f t="shared" si="15"/>
        <v/>
      </c>
      <c r="AB29" s="53" t="str">
        <f t="shared" si="16"/>
        <v/>
      </c>
    </row>
    <row r="30" spans="1:28" x14ac:dyDescent="0.25">
      <c r="A30" s="4">
        <f t="shared" si="1"/>
        <v>0</v>
      </c>
      <c r="B30" s="3" t="str">
        <f t="shared" si="2"/>
        <v/>
      </c>
      <c r="C30" s="3" t="str">
        <f t="shared" si="3"/>
        <v/>
      </c>
      <c r="D30" s="28" t="str">
        <f t="shared" si="4"/>
        <v/>
      </c>
      <c r="O30" s="53" t="str">
        <f t="shared" si="5"/>
        <v/>
      </c>
      <c r="P30" s="53" t="str">
        <f t="shared" si="6"/>
        <v/>
      </c>
      <c r="Q30" s="53" t="str">
        <f t="shared" si="0"/>
        <v/>
      </c>
      <c r="R30" s="53" t="str">
        <f t="shared" si="7"/>
        <v/>
      </c>
      <c r="S30" s="53" t="str">
        <f t="shared" si="8"/>
        <v/>
      </c>
      <c r="T30" s="53" t="str">
        <f t="shared" si="9"/>
        <v/>
      </c>
      <c r="U30" s="53" t="str">
        <f t="shared" si="17"/>
        <v/>
      </c>
      <c r="V30" s="53" t="str">
        <f t="shared" si="10"/>
        <v/>
      </c>
      <c r="W30" s="53" t="str">
        <f t="shared" si="11"/>
        <v/>
      </c>
      <c r="X30" s="53">
        <f t="shared" si="12"/>
        <v>3</v>
      </c>
      <c r="Y30" s="53" t="str">
        <f t="shared" si="13"/>
        <v>Celtics @ Pacers</v>
      </c>
      <c r="Z30" s="53" t="str">
        <f t="shared" si="14"/>
        <v>Celtics @ Pacers</v>
      </c>
      <c r="AA30" s="53" t="str">
        <f t="shared" si="15"/>
        <v>Over 204</v>
      </c>
      <c r="AB30" s="53">
        <f t="shared" si="16"/>
        <v>0.7954</v>
      </c>
    </row>
    <row r="31" spans="1:28" x14ac:dyDescent="0.25">
      <c r="A31" s="4">
        <f t="shared" si="1"/>
        <v>0</v>
      </c>
      <c r="B31" s="3" t="str">
        <f t="shared" si="2"/>
        <v/>
      </c>
      <c r="C31" s="3" t="str">
        <f t="shared" si="3"/>
        <v/>
      </c>
      <c r="D31" s="28" t="str">
        <f t="shared" si="4"/>
        <v/>
      </c>
      <c r="O31" s="53" t="str">
        <f t="shared" si="5"/>
        <v/>
      </c>
      <c r="P31" s="53" t="str">
        <f t="shared" si="6"/>
        <v/>
      </c>
      <c r="Q31" s="53" t="str">
        <f t="shared" si="0"/>
        <v/>
      </c>
      <c r="R31" s="53" t="str">
        <f t="shared" si="7"/>
        <v/>
      </c>
      <c r="S31" s="53" t="str">
        <f t="shared" si="8"/>
        <v/>
      </c>
      <c r="T31" s="53" t="str">
        <f t="shared" si="9"/>
        <v/>
      </c>
      <c r="U31" s="53" t="str">
        <f t="shared" si="17"/>
        <v/>
      </c>
      <c r="V31" s="53" t="str">
        <f t="shared" si="10"/>
        <v/>
      </c>
      <c r="W31" s="53" t="str">
        <f t="shared" si="11"/>
        <v/>
      </c>
      <c r="X31" s="53">
        <f t="shared" si="12"/>
        <v>3</v>
      </c>
      <c r="Y31" s="53" t="str">
        <f t="shared" si="13"/>
        <v>Over 204</v>
      </c>
      <c r="Z31" s="53" t="str">
        <f t="shared" si="14"/>
        <v/>
      </c>
      <c r="AA31" s="53" t="str">
        <f t="shared" si="15"/>
        <v/>
      </c>
      <c r="AB31" s="53" t="str">
        <f t="shared" si="16"/>
        <v/>
      </c>
    </row>
    <row r="32" spans="1:28" x14ac:dyDescent="0.25">
      <c r="A32" s="4">
        <f t="shared" si="1"/>
        <v>0</v>
      </c>
      <c r="B32" s="3" t="str">
        <f t="shared" si="2"/>
        <v/>
      </c>
      <c r="C32" s="3" t="str">
        <f t="shared" si="3"/>
        <v/>
      </c>
      <c r="D32" s="28" t="str">
        <f t="shared" si="4"/>
        <v/>
      </c>
      <c r="O32" s="53" t="str">
        <f t="shared" si="5"/>
        <v/>
      </c>
      <c r="P32" s="53" t="str">
        <f t="shared" si="6"/>
        <v/>
      </c>
      <c r="Q32" s="53" t="str">
        <f t="shared" si="0"/>
        <v/>
      </c>
      <c r="R32" s="53" t="str">
        <f t="shared" si="7"/>
        <v/>
      </c>
      <c r="S32" s="53" t="str">
        <f t="shared" si="8"/>
        <v/>
      </c>
      <c r="T32" s="53" t="str">
        <f t="shared" si="9"/>
        <v/>
      </c>
      <c r="U32" s="53" t="str">
        <f t="shared" si="17"/>
        <v/>
      </c>
      <c r="V32" s="53" t="str">
        <f t="shared" si="10"/>
        <v/>
      </c>
      <c r="W32" s="53" t="str">
        <f t="shared" si="11"/>
        <v/>
      </c>
      <c r="X32" s="53">
        <f t="shared" si="12"/>
        <v>3</v>
      </c>
      <c r="Y32" s="53">
        <f t="shared" si="13"/>
        <v>0.7954</v>
      </c>
      <c r="Z32" s="53" t="str">
        <f t="shared" si="14"/>
        <v/>
      </c>
      <c r="AA32" s="53" t="str">
        <f t="shared" si="15"/>
        <v/>
      </c>
      <c r="AB32" s="53" t="str">
        <f t="shared" si="16"/>
        <v/>
      </c>
    </row>
    <row r="33" spans="1:28" x14ac:dyDescent="0.25">
      <c r="A33" s="4">
        <f t="shared" si="1"/>
        <v>0</v>
      </c>
      <c r="B33" s="3" t="str">
        <f t="shared" si="2"/>
        <v/>
      </c>
      <c r="C33" s="3" t="str">
        <f t="shared" si="3"/>
        <v/>
      </c>
      <c r="D33" s="28" t="str">
        <f t="shared" si="4"/>
        <v/>
      </c>
      <c r="O33" s="53" t="str">
        <f t="shared" si="5"/>
        <v/>
      </c>
      <c r="P33" s="53" t="str">
        <f t="shared" si="6"/>
        <v/>
      </c>
      <c r="Q33" s="53" t="str">
        <f t="shared" si="0"/>
        <v/>
      </c>
      <c r="R33" s="53" t="str">
        <f t="shared" si="7"/>
        <v/>
      </c>
      <c r="S33" s="53" t="str">
        <f t="shared" si="8"/>
        <v/>
      </c>
      <c r="T33" s="53" t="str">
        <f t="shared" si="9"/>
        <v/>
      </c>
      <c r="U33" s="53" t="str">
        <f t="shared" si="17"/>
        <v/>
      </c>
      <c r="V33" s="53" t="str">
        <f t="shared" si="10"/>
        <v/>
      </c>
      <c r="W33" s="53" t="str">
        <f t="shared" si="11"/>
        <v/>
      </c>
      <c r="X33" s="53">
        <f t="shared" si="12"/>
        <v>3</v>
      </c>
      <c r="Y33" s="53" t="str">
        <f t="shared" si="13"/>
        <v/>
      </c>
      <c r="Z33" s="53" t="str">
        <f t="shared" si="14"/>
        <v/>
      </c>
      <c r="AA33" s="53" t="str">
        <f t="shared" si="15"/>
        <v/>
      </c>
      <c r="AB33" s="53" t="str">
        <f t="shared" si="16"/>
        <v/>
      </c>
    </row>
    <row r="34" spans="1:28" x14ac:dyDescent="0.25">
      <c r="A34" s="4">
        <f t="shared" si="1"/>
        <v>0</v>
      </c>
      <c r="B34" s="3" t="str">
        <f t="shared" si="2"/>
        <v/>
      </c>
      <c r="C34" s="3" t="str">
        <f t="shared" si="3"/>
        <v/>
      </c>
      <c r="D34" s="28" t="str">
        <f t="shared" si="4"/>
        <v/>
      </c>
      <c r="O34" s="53" t="str">
        <f t="shared" si="5"/>
        <v/>
      </c>
      <c r="P34" s="53" t="str">
        <f t="shared" si="6"/>
        <v/>
      </c>
      <c r="Q34" s="53" t="str">
        <f t="shared" si="0"/>
        <v/>
      </c>
      <c r="R34" s="53" t="str">
        <f t="shared" si="7"/>
        <v/>
      </c>
      <c r="S34" s="53" t="str">
        <f t="shared" si="8"/>
        <v/>
      </c>
      <c r="T34" s="53" t="str">
        <f t="shared" si="9"/>
        <v/>
      </c>
      <c r="U34" s="53" t="str">
        <f t="shared" si="17"/>
        <v/>
      </c>
      <c r="V34" s="53" t="str">
        <f t="shared" si="10"/>
        <v/>
      </c>
      <c r="W34" s="53" t="str">
        <f t="shared" si="11"/>
        <v/>
      </c>
      <c r="X34" s="53">
        <f t="shared" si="12"/>
        <v>3</v>
      </c>
      <c r="Y34" s="53" t="str">
        <f t="shared" si="13"/>
        <v/>
      </c>
      <c r="Z34" s="53" t="str">
        <f t="shared" si="14"/>
        <v/>
      </c>
      <c r="AA34" s="53" t="str">
        <f t="shared" si="15"/>
        <v/>
      </c>
      <c r="AB34" s="53" t="str">
        <f t="shared" si="16"/>
        <v/>
      </c>
    </row>
    <row r="35" spans="1:28" x14ac:dyDescent="0.25">
      <c r="A35" s="4">
        <f t="shared" si="1"/>
        <v>0</v>
      </c>
      <c r="B35" s="3" t="str">
        <f t="shared" si="2"/>
        <v/>
      </c>
      <c r="C35" s="3" t="str">
        <f t="shared" si="3"/>
        <v/>
      </c>
      <c r="D35" s="28" t="str">
        <f t="shared" si="4"/>
        <v/>
      </c>
      <c r="O35" s="53" t="str">
        <f t="shared" si="5"/>
        <v/>
      </c>
      <c r="P35" s="53" t="str">
        <f t="shared" si="6"/>
        <v/>
      </c>
      <c r="Q35" s="53" t="str">
        <f t="shared" si="0"/>
        <v/>
      </c>
      <c r="R35" s="53" t="str">
        <f t="shared" si="7"/>
        <v/>
      </c>
      <c r="S35" s="53" t="str">
        <f t="shared" si="8"/>
        <v/>
      </c>
      <c r="T35" s="53" t="str">
        <f t="shared" si="9"/>
        <v/>
      </c>
      <c r="U35" s="53" t="str">
        <f t="shared" si="17"/>
        <v/>
      </c>
      <c r="V35" s="53" t="str">
        <f t="shared" si="10"/>
        <v/>
      </c>
      <c r="W35" s="53" t="str">
        <f t="shared" si="11"/>
        <v/>
      </c>
      <c r="X35" s="53">
        <f t="shared" si="12"/>
        <v>3</v>
      </c>
      <c r="Y35" s="53" t="str">
        <f t="shared" si="13"/>
        <v/>
      </c>
      <c r="Z35" s="53" t="str">
        <f t="shared" si="14"/>
        <v/>
      </c>
      <c r="AA35" s="53" t="str">
        <f t="shared" si="15"/>
        <v/>
      </c>
      <c r="AB35" s="53" t="str">
        <f t="shared" si="16"/>
        <v/>
      </c>
    </row>
    <row r="36" spans="1:28" x14ac:dyDescent="0.25">
      <c r="A36" s="4">
        <f t="shared" si="1"/>
        <v>0</v>
      </c>
      <c r="B36" s="3" t="str">
        <f t="shared" si="2"/>
        <v/>
      </c>
      <c r="C36" s="3" t="str">
        <f t="shared" si="3"/>
        <v/>
      </c>
      <c r="D36" s="28" t="str">
        <f t="shared" si="4"/>
        <v/>
      </c>
      <c r="O36" s="53" t="str">
        <f t="shared" si="5"/>
        <v/>
      </c>
      <c r="P36" s="53" t="str">
        <f t="shared" si="6"/>
        <v/>
      </c>
      <c r="Q36" s="53" t="str">
        <f t="shared" si="0"/>
        <v/>
      </c>
      <c r="R36" s="53" t="str">
        <f t="shared" si="7"/>
        <v/>
      </c>
      <c r="S36" s="53" t="str">
        <f t="shared" si="8"/>
        <v/>
      </c>
      <c r="T36" s="53" t="str">
        <f t="shared" si="9"/>
        <v/>
      </c>
      <c r="U36" s="53" t="str">
        <f t="shared" si="17"/>
        <v/>
      </c>
      <c r="V36" s="53" t="str">
        <f t="shared" si="10"/>
        <v/>
      </c>
      <c r="W36" s="53" t="str">
        <f t="shared" si="11"/>
        <v/>
      </c>
      <c r="X36" s="53">
        <f t="shared" si="12"/>
        <v>3</v>
      </c>
      <c r="Y36" s="53" t="str">
        <f t="shared" si="13"/>
        <v/>
      </c>
      <c r="Z36" s="53" t="str">
        <f t="shared" si="14"/>
        <v/>
      </c>
      <c r="AA36" s="53" t="str">
        <f t="shared" si="15"/>
        <v/>
      </c>
      <c r="AB36" s="53" t="str">
        <f t="shared" si="16"/>
        <v/>
      </c>
    </row>
    <row r="37" spans="1:28" x14ac:dyDescent="0.25">
      <c r="A37" s="4">
        <f t="shared" si="1"/>
        <v>0</v>
      </c>
      <c r="B37" s="3" t="str">
        <f t="shared" si="2"/>
        <v/>
      </c>
      <c r="C37" s="3" t="str">
        <f t="shared" si="3"/>
        <v/>
      </c>
      <c r="D37" s="28" t="str">
        <f t="shared" si="4"/>
        <v/>
      </c>
      <c r="O37" s="53" t="str">
        <f t="shared" si="5"/>
        <v/>
      </c>
      <c r="P37" s="53" t="str">
        <f t="shared" si="6"/>
        <v/>
      </c>
      <c r="Q37" s="53" t="str">
        <f t="shared" si="0"/>
        <v/>
      </c>
      <c r="R37" s="53" t="str">
        <f t="shared" si="7"/>
        <v/>
      </c>
      <c r="S37" s="53" t="str">
        <f t="shared" si="8"/>
        <v/>
      </c>
      <c r="T37" s="53" t="str">
        <f t="shared" si="9"/>
        <v/>
      </c>
      <c r="U37" s="53" t="str">
        <f t="shared" si="17"/>
        <v/>
      </c>
      <c r="V37" s="53" t="str">
        <f t="shared" si="10"/>
        <v/>
      </c>
      <c r="W37" s="53" t="str">
        <f t="shared" si="11"/>
        <v/>
      </c>
      <c r="X37" s="53">
        <f t="shared" si="12"/>
        <v>3</v>
      </c>
      <c r="Y37" s="53" t="str">
        <f t="shared" si="13"/>
        <v/>
      </c>
      <c r="Z37" s="53" t="str">
        <f t="shared" si="14"/>
        <v/>
      </c>
      <c r="AA37" s="53" t="str">
        <f t="shared" si="15"/>
        <v/>
      </c>
      <c r="AB37" s="53" t="str">
        <f t="shared" si="16"/>
        <v/>
      </c>
    </row>
    <row r="38" spans="1:28" x14ac:dyDescent="0.25">
      <c r="A38" s="4">
        <f t="shared" si="1"/>
        <v>0</v>
      </c>
      <c r="B38" s="3" t="str">
        <f t="shared" si="2"/>
        <v/>
      </c>
      <c r="C38" s="3" t="str">
        <f t="shared" si="3"/>
        <v/>
      </c>
      <c r="D38" s="28" t="str">
        <f t="shared" si="4"/>
        <v/>
      </c>
      <c r="O38" s="53" t="str">
        <f t="shared" si="5"/>
        <v/>
      </c>
      <c r="P38" s="53" t="str">
        <f t="shared" si="6"/>
        <v/>
      </c>
      <c r="Q38" s="53" t="str">
        <f t="shared" si="0"/>
        <v/>
      </c>
      <c r="R38" s="53" t="str">
        <f t="shared" si="7"/>
        <v/>
      </c>
      <c r="S38" s="53" t="str">
        <f t="shared" si="8"/>
        <v/>
      </c>
      <c r="T38" s="53" t="str">
        <f t="shared" si="9"/>
        <v/>
      </c>
      <c r="U38" s="53" t="str">
        <f t="shared" si="17"/>
        <v/>
      </c>
      <c r="V38" s="53" t="str">
        <f t="shared" si="10"/>
        <v/>
      </c>
      <c r="W38" s="53" t="str">
        <f t="shared" si="11"/>
        <v/>
      </c>
      <c r="X38" s="53">
        <f t="shared" si="12"/>
        <v>3</v>
      </c>
      <c r="Y38" s="53" t="str">
        <f t="shared" si="13"/>
        <v/>
      </c>
      <c r="Z38" s="53" t="str">
        <f t="shared" si="14"/>
        <v/>
      </c>
      <c r="AA38" s="53" t="str">
        <f t="shared" si="15"/>
        <v/>
      </c>
      <c r="AB38" s="53" t="str">
        <f t="shared" si="16"/>
        <v/>
      </c>
    </row>
    <row r="39" spans="1:28" x14ac:dyDescent="0.25">
      <c r="A39" s="4">
        <f t="shared" si="1"/>
        <v>0</v>
      </c>
      <c r="B39" s="3" t="str">
        <f t="shared" si="2"/>
        <v/>
      </c>
      <c r="C39" s="3" t="str">
        <f t="shared" si="3"/>
        <v/>
      </c>
      <c r="D39" s="28" t="str">
        <f t="shared" si="4"/>
        <v/>
      </c>
      <c r="O39" s="53" t="str">
        <f t="shared" si="5"/>
        <v/>
      </c>
      <c r="P39" s="53" t="str">
        <f t="shared" si="6"/>
        <v/>
      </c>
      <c r="Q39" s="53" t="str">
        <f t="shared" si="0"/>
        <v/>
      </c>
      <c r="R39" s="53" t="str">
        <f t="shared" si="7"/>
        <v/>
      </c>
      <c r="S39" s="53" t="str">
        <f t="shared" si="8"/>
        <v/>
      </c>
      <c r="T39" s="53" t="str">
        <f t="shared" si="9"/>
        <v/>
      </c>
      <c r="U39" s="53" t="str">
        <f t="shared" si="17"/>
        <v/>
      </c>
      <c r="V39" s="53" t="str">
        <f t="shared" si="10"/>
        <v/>
      </c>
      <c r="W39" s="53" t="str">
        <f t="shared" si="11"/>
        <v/>
      </c>
      <c r="X39" s="53">
        <f t="shared" si="12"/>
        <v>3</v>
      </c>
      <c r="Y39" s="53" t="str">
        <f t="shared" si="13"/>
        <v/>
      </c>
      <c r="Z39" s="53" t="str">
        <f t="shared" si="14"/>
        <v/>
      </c>
      <c r="AA39" s="53" t="str">
        <f t="shared" si="15"/>
        <v/>
      </c>
      <c r="AB39" s="53" t="str">
        <f t="shared" si="16"/>
        <v/>
      </c>
    </row>
    <row r="40" spans="1:28" x14ac:dyDescent="0.25">
      <c r="A40" s="4">
        <f t="shared" si="1"/>
        <v>0</v>
      </c>
      <c r="B40" s="3" t="str">
        <f t="shared" si="2"/>
        <v/>
      </c>
      <c r="C40" s="3" t="str">
        <f t="shared" si="3"/>
        <v/>
      </c>
      <c r="D40" s="28" t="str">
        <f t="shared" si="4"/>
        <v/>
      </c>
      <c r="O40" s="53" t="str">
        <f t="shared" si="5"/>
        <v/>
      </c>
      <c r="P40" s="53" t="str">
        <f t="shared" si="6"/>
        <v/>
      </c>
      <c r="Q40" s="53" t="str">
        <f t="shared" si="0"/>
        <v/>
      </c>
      <c r="R40" s="53" t="str">
        <f t="shared" si="7"/>
        <v/>
      </c>
      <c r="S40" s="53" t="str">
        <f t="shared" si="8"/>
        <v/>
      </c>
      <c r="T40" s="53" t="str">
        <f t="shared" si="9"/>
        <v/>
      </c>
      <c r="U40" s="53" t="str">
        <f t="shared" si="17"/>
        <v/>
      </c>
      <c r="V40" s="53" t="str">
        <f t="shared" si="10"/>
        <v/>
      </c>
      <c r="W40" s="53" t="str">
        <f t="shared" si="11"/>
        <v/>
      </c>
      <c r="X40" s="53">
        <f t="shared" si="12"/>
        <v>3</v>
      </c>
      <c r="Y40" s="53" t="str">
        <f t="shared" si="13"/>
        <v/>
      </c>
      <c r="Z40" s="53" t="str">
        <f t="shared" si="14"/>
        <v/>
      </c>
      <c r="AA40" s="53" t="str">
        <f t="shared" si="15"/>
        <v/>
      </c>
      <c r="AB40" s="53" t="str">
        <f t="shared" si="16"/>
        <v/>
      </c>
    </row>
    <row r="41" spans="1:28" x14ac:dyDescent="0.25">
      <c r="A41" s="4">
        <f t="shared" si="1"/>
        <v>0</v>
      </c>
      <c r="B41" s="3" t="str">
        <f t="shared" si="2"/>
        <v/>
      </c>
      <c r="C41" s="3" t="str">
        <f t="shared" si="3"/>
        <v/>
      </c>
      <c r="D41" s="28" t="str">
        <f t="shared" si="4"/>
        <v/>
      </c>
      <c r="O41" s="53" t="str">
        <f t="shared" si="5"/>
        <v/>
      </c>
      <c r="P41" s="53" t="str">
        <f t="shared" si="6"/>
        <v/>
      </c>
      <c r="Q41" s="53" t="str">
        <f t="shared" si="0"/>
        <v/>
      </c>
      <c r="R41" s="53" t="str">
        <f t="shared" si="7"/>
        <v/>
      </c>
      <c r="S41" s="53" t="str">
        <f t="shared" si="8"/>
        <v/>
      </c>
      <c r="T41" s="53" t="str">
        <f t="shared" si="9"/>
        <v/>
      </c>
      <c r="U41" s="53" t="str">
        <f t="shared" si="17"/>
        <v/>
      </c>
      <c r="V41" s="53" t="str">
        <f t="shared" si="10"/>
        <v/>
      </c>
      <c r="W41" s="53" t="str">
        <f t="shared" si="11"/>
        <v/>
      </c>
      <c r="X41" s="53">
        <f t="shared" si="12"/>
        <v>3</v>
      </c>
      <c r="Y41" s="53" t="str">
        <f t="shared" si="13"/>
        <v/>
      </c>
      <c r="Z41" s="53" t="str">
        <f t="shared" si="14"/>
        <v/>
      </c>
      <c r="AA41" s="53" t="str">
        <f t="shared" si="15"/>
        <v/>
      </c>
      <c r="AB41" s="53" t="str">
        <f t="shared" si="16"/>
        <v/>
      </c>
    </row>
    <row r="42" spans="1:28" x14ac:dyDescent="0.25">
      <c r="A42" s="4">
        <f t="shared" si="1"/>
        <v>0</v>
      </c>
      <c r="B42" s="3" t="str">
        <f t="shared" si="2"/>
        <v/>
      </c>
      <c r="C42" s="3" t="str">
        <f t="shared" si="3"/>
        <v/>
      </c>
      <c r="D42" s="28" t="str">
        <f t="shared" si="4"/>
        <v/>
      </c>
      <c r="O42" s="53" t="str">
        <f t="shared" si="5"/>
        <v/>
      </c>
      <c r="P42" s="53" t="str">
        <f t="shared" si="6"/>
        <v/>
      </c>
      <c r="Q42" s="53" t="str">
        <f t="shared" si="0"/>
        <v/>
      </c>
      <c r="R42" s="53" t="str">
        <f t="shared" si="7"/>
        <v/>
      </c>
      <c r="S42" s="53" t="str">
        <f t="shared" si="8"/>
        <v/>
      </c>
      <c r="T42" s="53" t="str">
        <f t="shared" si="9"/>
        <v/>
      </c>
      <c r="U42" s="53" t="str">
        <f t="shared" si="17"/>
        <v/>
      </c>
      <c r="V42" s="53" t="str">
        <f t="shared" si="10"/>
        <v/>
      </c>
      <c r="W42" s="53" t="str">
        <f t="shared" si="11"/>
        <v/>
      </c>
      <c r="X42" s="53">
        <f t="shared" si="12"/>
        <v>3</v>
      </c>
      <c r="Y42" s="53" t="str">
        <f t="shared" si="13"/>
        <v/>
      </c>
      <c r="Z42" s="53" t="str">
        <f t="shared" si="14"/>
        <v/>
      </c>
      <c r="AA42" s="53" t="str">
        <f t="shared" si="15"/>
        <v/>
      </c>
      <c r="AB42" s="53" t="str">
        <f t="shared" si="16"/>
        <v/>
      </c>
    </row>
    <row r="43" spans="1:28" x14ac:dyDescent="0.25">
      <c r="A43" s="4">
        <f t="shared" si="1"/>
        <v>0</v>
      </c>
      <c r="B43" s="3" t="str">
        <f t="shared" si="2"/>
        <v/>
      </c>
      <c r="C43" s="3" t="str">
        <f t="shared" si="3"/>
        <v/>
      </c>
      <c r="D43" s="28" t="str">
        <f t="shared" si="4"/>
        <v/>
      </c>
      <c r="O43" s="53" t="str">
        <f t="shared" si="5"/>
        <v/>
      </c>
      <c r="P43" s="53" t="str">
        <f t="shared" si="6"/>
        <v/>
      </c>
      <c r="Q43" s="53" t="str">
        <f t="shared" si="0"/>
        <v/>
      </c>
      <c r="R43" s="53" t="str">
        <f t="shared" si="7"/>
        <v/>
      </c>
      <c r="S43" s="53" t="str">
        <f t="shared" si="8"/>
        <v/>
      </c>
      <c r="T43" s="53" t="str">
        <f t="shared" si="9"/>
        <v/>
      </c>
      <c r="U43" s="53" t="str">
        <f t="shared" si="17"/>
        <v/>
      </c>
      <c r="V43" s="53" t="str">
        <f t="shared" si="10"/>
        <v/>
      </c>
      <c r="W43" s="53" t="str">
        <f t="shared" si="11"/>
        <v/>
      </c>
      <c r="X43" s="53">
        <f t="shared" si="12"/>
        <v>3</v>
      </c>
      <c r="Y43" s="53" t="str">
        <f t="shared" si="13"/>
        <v/>
      </c>
      <c r="Z43" s="53" t="str">
        <f t="shared" si="14"/>
        <v/>
      </c>
      <c r="AA43" s="53" t="str">
        <f t="shared" si="15"/>
        <v/>
      </c>
      <c r="AB43" s="53" t="str">
        <f t="shared" si="16"/>
        <v/>
      </c>
    </row>
    <row r="44" spans="1:28" x14ac:dyDescent="0.25">
      <c r="A44" s="4">
        <f t="shared" si="1"/>
        <v>0</v>
      </c>
      <c r="B44" s="3" t="str">
        <f t="shared" si="2"/>
        <v/>
      </c>
      <c r="C44" s="3" t="str">
        <f t="shared" si="3"/>
        <v/>
      </c>
      <c r="D44" s="28" t="str">
        <f t="shared" si="4"/>
        <v/>
      </c>
      <c r="O44" s="53" t="str">
        <f t="shared" si="5"/>
        <v/>
      </c>
      <c r="P44" s="53" t="str">
        <f t="shared" si="6"/>
        <v/>
      </c>
      <c r="Q44" s="53" t="str">
        <f t="shared" si="0"/>
        <v/>
      </c>
      <c r="R44" s="53" t="str">
        <f t="shared" si="7"/>
        <v/>
      </c>
      <c r="S44" s="53" t="str">
        <f t="shared" si="8"/>
        <v/>
      </c>
      <c r="T44" s="53" t="str">
        <f t="shared" si="9"/>
        <v/>
      </c>
      <c r="U44" s="53" t="str">
        <f t="shared" si="17"/>
        <v/>
      </c>
      <c r="V44" s="53" t="str">
        <f t="shared" si="10"/>
        <v/>
      </c>
      <c r="W44" s="53" t="str">
        <f t="shared" si="11"/>
        <v/>
      </c>
      <c r="X44" s="53">
        <f t="shared" si="12"/>
        <v>3</v>
      </c>
      <c r="Y44" s="53" t="str">
        <f t="shared" si="13"/>
        <v/>
      </c>
      <c r="Z44" s="53" t="str">
        <f t="shared" si="14"/>
        <v/>
      </c>
      <c r="AA44" s="53" t="str">
        <f t="shared" si="15"/>
        <v/>
      </c>
      <c r="AB44" s="53" t="str">
        <f t="shared" si="16"/>
        <v/>
      </c>
    </row>
    <row r="45" spans="1:28" x14ac:dyDescent="0.25">
      <c r="A45" s="4">
        <f t="shared" si="1"/>
        <v>0</v>
      </c>
      <c r="B45" s="3" t="str">
        <f t="shared" si="2"/>
        <v/>
      </c>
      <c r="C45" s="3" t="str">
        <f t="shared" si="3"/>
        <v/>
      </c>
      <c r="D45" s="28" t="str">
        <f t="shared" si="4"/>
        <v/>
      </c>
      <c r="O45" s="53" t="str">
        <f t="shared" si="5"/>
        <v/>
      </c>
      <c r="P45" s="53" t="str">
        <f t="shared" si="6"/>
        <v/>
      </c>
      <c r="Q45" s="53" t="str">
        <f t="shared" si="0"/>
        <v/>
      </c>
      <c r="R45" s="53" t="str">
        <f t="shared" si="7"/>
        <v/>
      </c>
      <c r="S45" s="53" t="str">
        <f t="shared" si="8"/>
        <v/>
      </c>
      <c r="T45" s="53" t="str">
        <f t="shared" si="9"/>
        <v/>
      </c>
      <c r="U45" s="53" t="str">
        <f t="shared" si="17"/>
        <v/>
      </c>
      <c r="V45" s="53" t="str">
        <f t="shared" si="10"/>
        <v/>
      </c>
      <c r="W45" s="53" t="str">
        <f t="shared" si="11"/>
        <v/>
      </c>
      <c r="X45" s="53">
        <f t="shared" si="12"/>
        <v>3</v>
      </c>
      <c r="Y45" s="53" t="str">
        <f t="shared" si="13"/>
        <v/>
      </c>
      <c r="Z45" s="53" t="str">
        <f t="shared" si="14"/>
        <v/>
      </c>
      <c r="AA45" s="53" t="str">
        <f t="shared" si="15"/>
        <v/>
      </c>
      <c r="AB45" s="53" t="str">
        <f t="shared" si="16"/>
        <v/>
      </c>
    </row>
    <row r="46" spans="1:28" x14ac:dyDescent="0.25">
      <c r="A46" s="4">
        <f t="shared" si="1"/>
        <v>0</v>
      </c>
      <c r="B46" s="3" t="str">
        <f t="shared" si="2"/>
        <v/>
      </c>
      <c r="C46" s="3" t="str">
        <f t="shared" si="3"/>
        <v/>
      </c>
      <c r="D46" s="28" t="str">
        <f t="shared" si="4"/>
        <v/>
      </c>
      <c r="O46" s="53" t="str">
        <f t="shared" si="5"/>
        <v/>
      </c>
      <c r="P46" s="53" t="str">
        <f t="shared" si="6"/>
        <v/>
      </c>
      <c r="Q46" s="53" t="str">
        <f t="shared" si="0"/>
        <v/>
      </c>
      <c r="R46" s="53" t="str">
        <f t="shared" si="7"/>
        <v/>
      </c>
      <c r="S46" s="53" t="str">
        <f t="shared" si="8"/>
        <v/>
      </c>
      <c r="T46" s="53" t="str">
        <f t="shared" si="9"/>
        <v/>
      </c>
      <c r="U46" s="53" t="str">
        <f t="shared" si="17"/>
        <v/>
      </c>
      <c r="V46" s="53" t="str">
        <f t="shared" si="10"/>
        <v/>
      </c>
      <c r="W46" s="53" t="str">
        <f t="shared" si="11"/>
        <v/>
      </c>
      <c r="X46" s="53">
        <f t="shared" si="12"/>
        <v>3</v>
      </c>
      <c r="Y46" s="53" t="str">
        <f t="shared" si="13"/>
        <v/>
      </c>
      <c r="Z46" s="53" t="str">
        <f t="shared" si="14"/>
        <v/>
      </c>
      <c r="AA46" s="53" t="str">
        <f t="shared" si="15"/>
        <v/>
      </c>
      <c r="AB46" s="53" t="str">
        <f t="shared" si="16"/>
        <v/>
      </c>
    </row>
    <row r="47" spans="1:28" x14ac:dyDescent="0.25">
      <c r="A47" s="4">
        <f t="shared" si="1"/>
        <v>0</v>
      </c>
      <c r="B47" s="3" t="str">
        <f t="shared" si="2"/>
        <v/>
      </c>
      <c r="C47" s="3" t="str">
        <f t="shared" si="3"/>
        <v/>
      </c>
      <c r="D47" s="28" t="str">
        <f t="shared" si="4"/>
        <v/>
      </c>
      <c r="O47" s="53" t="str">
        <f t="shared" si="5"/>
        <v/>
      </c>
      <c r="P47" s="53" t="str">
        <f t="shared" si="6"/>
        <v/>
      </c>
      <c r="Q47" s="53" t="str">
        <f t="shared" si="0"/>
        <v/>
      </c>
      <c r="R47" s="53" t="str">
        <f t="shared" si="7"/>
        <v/>
      </c>
      <c r="S47" s="53" t="str">
        <f t="shared" si="8"/>
        <v/>
      </c>
      <c r="T47" s="53" t="str">
        <f t="shared" si="9"/>
        <v/>
      </c>
      <c r="U47" s="53" t="str">
        <f t="shared" si="17"/>
        <v/>
      </c>
      <c r="V47" s="53" t="str">
        <f t="shared" si="10"/>
        <v/>
      </c>
      <c r="W47" s="53" t="str">
        <f t="shared" si="11"/>
        <v/>
      </c>
      <c r="X47" s="53">
        <f t="shared" si="12"/>
        <v>3</v>
      </c>
      <c r="Y47" s="53" t="str">
        <f t="shared" si="13"/>
        <v/>
      </c>
      <c r="Z47" s="53" t="str">
        <f t="shared" si="14"/>
        <v/>
      </c>
      <c r="AA47" s="53" t="str">
        <f t="shared" si="15"/>
        <v/>
      </c>
      <c r="AB47" s="53" t="str">
        <f t="shared" si="16"/>
        <v/>
      </c>
    </row>
    <row r="48" spans="1:28" x14ac:dyDescent="0.25">
      <c r="A48" s="4">
        <f t="shared" si="1"/>
        <v>0</v>
      </c>
      <c r="B48" s="3" t="str">
        <f t="shared" si="2"/>
        <v/>
      </c>
      <c r="C48" s="3" t="str">
        <f t="shared" si="3"/>
        <v/>
      </c>
      <c r="D48" s="28" t="str">
        <f t="shared" si="4"/>
        <v/>
      </c>
      <c r="O48" s="53" t="str">
        <f t="shared" si="5"/>
        <v/>
      </c>
      <c r="P48" s="53" t="str">
        <f t="shared" si="6"/>
        <v/>
      </c>
      <c r="Q48" s="53" t="str">
        <f t="shared" si="0"/>
        <v/>
      </c>
      <c r="R48" s="53" t="str">
        <f t="shared" si="7"/>
        <v/>
      </c>
      <c r="S48" s="53" t="str">
        <f t="shared" si="8"/>
        <v/>
      </c>
      <c r="T48" s="53" t="str">
        <f t="shared" si="9"/>
        <v/>
      </c>
      <c r="U48" s="53" t="str">
        <f t="shared" si="17"/>
        <v/>
      </c>
      <c r="V48" s="53" t="str">
        <f t="shared" si="10"/>
        <v/>
      </c>
      <c r="W48" s="53" t="str">
        <f t="shared" si="11"/>
        <v/>
      </c>
      <c r="X48" s="53">
        <f t="shared" si="12"/>
        <v>3</v>
      </c>
      <c r="Y48" s="53" t="str">
        <f t="shared" si="13"/>
        <v/>
      </c>
      <c r="Z48" s="53" t="str">
        <f t="shared" si="14"/>
        <v/>
      </c>
      <c r="AA48" s="53" t="str">
        <f t="shared" si="15"/>
        <v/>
      </c>
      <c r="AB48" s="53" t="str">
        <f t="shared" si="16"/>
        <v/>
      </c>
    </row>
    <row r="49" spans="1:28" x14ac:dyDescent="0.25">
      <c r="A49" s="4">
        <f t="shared" si="1"/>
        <v>0</v>
      </c>
      <c r="B49" s="3" t="str">
        <f t="shared" si="2"/>
        <v/>
      </c>
      <c r="C49" s="3" t="str">
        <f t="shared" si="3"/>
        <v/>
      </c>
      <c r="D49" s="28" t="str">
        <f t="shared" si="4"/>
        <v/>
      </c>
      <c r="O49" s="53" t="str">
        <f t="shared" si="5"/>
        <v/>
      </c>
      <c r="P49" s="53" t="str">
        <f t="shared" si="6"/>
        <v/>
      </c>
      <c r="Q49" s="53" t="str">
        <f t="shared" si="0"/>
        <v/>
      </c>
      <c r="R49" s="53" t="str">
        <f t="shared" si="7"/>
        <v/>
      </c>
      <c r="S49" s="53" t="str">
        <f t="shared" si="8"/>
        <v/>
      </c>
      <c r="T49" s="53" t="str">
        <f t="shared" si="9"/>
        <v/>
      </c>
      <c r="U49" s="53" t="str">
        <f t="shared" si="17"/>
        <v/>
      </c>
      <c r="V49" s="53" t="str">
        <f t="shared" si="10"/>
        <v/>
      </c>
      <c r="W49" s="53" t="str">
        <f t="shared" si="11"/>
        <v/>
      </c>
      <c r="X49" s="53">
        <f t="shared" si="12"/>
        <v>3</v>
      </c>
      <c r="Y49" s="53" t="str">
        <f t="shared" si="13"/>
        <v/>
      </c>
      <c r="Z49" s="53" t="str">
        <f t="shared" si="14"/>
        <v/>
      </c>
      <c r="AA49" s="53" t="str">
        <f t="shared" si="15"/>
        <v/>
      </c>
      <c r="AB49" s="53" t="str">
        <f t="shared" si="16"/>
        <v/>
      </c>
    </row>
    <row r="50" spans="1:28" x14ac:dyDescent="0.25">
      <c r="A50" s="4">
        <f t="shared" si="1"/>
        <v>0</v>
      </c>
      <c r="B50" s="3" t="str">
        <f t="shared" si="2"/>
        <v/>
      </c>
      <c r="C50" s="3" t="str">
        <f t="shared" si="3"/>
        <v/>
      </c>
      <c r="D50" s="28" t="str">
        <f t="shared" si="4"/>
        <v/>
      </c>
      <c r="O50" s="53" t="str">
        <f t="shared" si="5"/>
        <v/>
      </c>
      <c r="P50" s="53" t="str">
        <f t="shared" si="6"/>
        <v/>
      </c>
      <c r="Q50" s="53" t="str">
        <f t="shared" si="0"/>
        <v/>
      </c>
      <c r="R50" s="53" t="str">
        <f t="shared" si="7"/>
        <v/>
      </c>
      <c r="S50" s="53" t="str">
        <f t="shared" si="8"/>
        <v/>
      </c>
      <c r="T50" s="53" t="str">
        <f t="shared" si="9"/>
        <v/>
      </c>
      <c r="U50" s="53" t="str">
        <f t="shared" si="17"/>
        <v/>
      </c>
      <c r="V50" s="53" t="str">
        <f t="shared" si="10"/>
        <v/>
      </c>
      <c r="W50" s="53" t="str">
        <f t="shared" si="11"/>
        <v/>
      </c>
      <c r="X50" s="53">
        <f t="shared" si="12"/>
        <v>3</v>
      </c>
      <c r="Y50" s="53" t="str">
        <f t="shared" si="13"/>
        <v/>
      </c>
      <c r="Z50" s="53" t="str">
        <f t="shared" si="14"/>
        <v/>
      </c>
      <c r="AA50" s="53" t="str">
        <f t="shared" si="15"/>
        <v/>
      </c>
      <c r="AB50" s="53" t="str">
        <f t="shared" si="16"/>
        <v/>
      </c>
    </row>
    <row r="51" spans="1:28" x14ac:dyDescent="0.25">
      <c r="A51" s="4">
        <f t="shared" si="1"/>
        <v>0</v>
      </c>
      <c r="B51" s="3" t="str">
        <f t="shared" si="2"/>
        <v/>
      </c>
      <c r="C51" s="3" t="str">
        <f t="shared" si="3"/>
        <v/>
      </c>
      <c r="D51" s="28" t="str">
        <f t="shared" si="4"/>
        <v/>
      </c>
      <c r="P51" s="53" t="str">
        <f t="shared" si="6"/>
        <v/>
      </c>
      <c r="Q51" s="53" t="str">
        <f t="shared" si="0"/>
        <v/>
      </c>
      <c r="R51" s="53" t="str">
        <f t="shared" si="7"/>
        <v/>
      </c>
      <c r="T51" s="53" t="str">
        <f t="shared" si="9"/>
        <v/>
      </c>
      <c r="U51" s="53" t="str">
        <f t="shared" si="17"/>
        <v/>
      </c>
      <c r="V51" s="53" t="str">
        <f t="shared" si="10"/>
        <v/>
      </c>
      <c r="W51" s="53" t="str">
        <f t="shared" si="11"/>
        <v/>
      </c>
      <c r="X51" s="53">
        <f t="shared" si="12"/>
        <v>3</v>
      </c>
      <c r="Y51" s="53" t="str">
        <f t="shared" si="13"/>
        <v/>
      </c>
      <c r="Z51" s="53" t="str">
        <f t="shared" si="14"/>
        <v/>
      </c>
      <c r="AA51" s="53" t="str">
        <f t="shared" si="15"/>
        <v/>
      </c>
      <c r="AB51" s="53" t="str">
        <f t="shared" si="16"/>
        <v/>
      </c>
    </row>
    <row r="52" spans="1:28" x14ac:dyDescent="0.25">
      <c r="A52" s="4">
        <f t="shared" si="1"/>
        <v>0</v>
      </c>
      <c r="B52" s="3" t="str">
        <f t="shared" si="2"/>
        <v/>
      </c>
      <c r="C52" s="3" t="str">
        <f t="shared" si="3"/>
        <v/>
      </c>
      <c r="D52" s="28" t="str">
        <f t="shared" si="4"/>
        <v/>
      </c>
      <c r="P52" s="53" t="str">
        <f t="shared" si="6"/>
        <v/>
      </c>
      <c r="Q52" s="53" t="str">
        <f t="shared" si="0"/>
        <v/>
      </c>
      <c r="R52" s="53" t="str">
        <f t="shared" si="7"/>
        <v/>
      </c>
      <c r="T52" s="53" t="str">
        <f t="shared" si="9"/>
        <v/>
      </c>
      <c r="U52" s="53" t="str">
        <f t="shared" si="17"/>
        <v/>
      </c>
      <c r="V52" s="53" t="str">
        <f t="shared" si="10"/>
        <v/>
      </c>
      <c r="W52" s="53" t="str">
        <f t="shared" si="11"/>
        <v/>
      </c>
      <c r="X52" s="53">
        <f t="shared" si="12"/>
        <v>3</v>
      </c>
      <c r="Y52" s="53" t="str">
        <f t="shared" si="13"/>
        <v/>
      </c>
      <c r="Z52" s="53" t="str">
        <f t="shared" si="14"/>
        <v/>
      </c>
      <c r="AA52" s="53" t="str">
        <f t="shared" si="15"/>
        <v/>
      </c>
      <c r="AB52" s="53" t="str">
        <f t="shared" si="16"/>
        <v/>
      </c>
    </row>
    <row r="53" spans="1:28" x14ac:dyDescent="0.25">
      <c r="A53" s="4">
        <f t="shared" si="1"/>
        <v>0</v>
      </c>
      <c r="B53" s="3" t="str">
        <f t="shared" si="2"/>
        <v/>
      </c>
      <c r="C53" s="3" t="str">
        <f t="shared" si="3"/>
        <v/>
      </c>
      <c r="D53" s="28" t="str">
        <f t="shared" si="4"/>
        <v/>
      </c>
      <c r="P53" s="53" t="str">
        <f t="shared" si="6"/>
        <v/>
      </c>
      <c r="Q53" s="53" t="str">
        <f t="shared" si="0"/>
        <v/>
      </c>
      <c r="R53" s="53" t="str">
        <f t="shared" si="7"/>
        <v/>
      </c>
      <c r="T53" s="53" t="str">
        <f t="shared" si="9"/>
        <v/>
      </c>
      <c r="U53" s="53" t="str">
        <f t="shared" si="17"/>
        <v/>
      </c>
      <c r="V53" s="53" t="str">
        <f t="shared" si="10"/>
        <v/>
      </c>
      <c r="W53" s="53" t="str">
        <f t="shared" si="11"/>
        <v/>
      </c>
      <c r="X53" s="53">
        <f t="shared" si="12"/>
        <v>3</v>
      </c>
      <c r="Y53" s="53" t="str">
        <f t="shared" si="13"/>
        <v/>
      </c>
      <c r="Z53" s="53" t="str">
        <f t="shared" si="14"/>
        <v/>
      </c>
      <c r="AA53" s="53" t="str">
        <f t="shared" si="15"/>
        <v/>
      </c>
      <c r="AB53" s="53" t="str">
        <f t="shared" si="16"/>
        <v/>
      </c>
    </row>
    <row r="54" spans="1:28" x14ac:dyDescent="0.25">
      <c r="A54" s="4">
        <f t="shared" si="1"/>
        <v>0</v>
      </c>
      <c r="B54" s="3" t="str">
        <f t="shared" si="2"/>
        <v/>
      </c>
      <c r="C54" s="3" t="str">
        <f t="shared" si="3"/>
        <v/>
      </c>
      <c r="D54" s="28" t="str">
        <f t="shared" si="4"/>
        <v/>
      </c>
      <c r="P54" s="53" t="str">
        <f t="shared" si="6"/>
        <v/>
      </c>
      <c r="Q54" s="53" t="str">
        <f t="shared" si="0"/>
        <v/>
      </c>
      <c r="R54" s="53" t="str">
        <f t="shared" si="7"/>
        <v/>
      </c>
      <c r="T54" s="53" t="str">
        <f t="shared" si="9"/>
        <v/>
      </c>
      <c r="U54" s="53" t="str">
        <f t="shared" si="17"/>
        <v/>
      </c>
      <c r="V54" s="53" t="str">
        <f t="shared" si="10"/>
        <v/>
      </c>
      <c r="W54" s="53" t="str">
        <f t="shared" si="11"/>
        <v/>
      </c>
      <c r="X54" s="53">
        <f t="shared" si="12"/>
        <v>3</v>
      </c>
      <c r="Y54" s="53" t="str">
        <f t="shared" si="13"/>
        <v/>
      </c>
      <c r="Z54" s="53" t="str">
        <f t="shared" si="14"/>
        <v/>
      </c>
      <c r="AA54" s="53" t="str">
        <f t="shared" si="15"/>
        <v/>
      </c>
      <c r="AB54" s="53" t="str">
        <f t="shared" si="16"/>
        <v/>
      </c>
    </row>
    <row r="55" spans="1:28" x14ac:dyDescent="0.25">
      <c r="A55" s="4">
        <f t="shared" si="1"/>
        <v>0</v>
      </c>
      <c r="B55" s="3" t="str">
        <f t="shared" si="2"/>
        <v/>
      </c>
      <c r="C55" s="3" t="str">
        <f t="shared" si="3"/>
        <v/>
      </c>
      <c r="D55" s="28" t="str">
        <f t="shared" si="4"/>
        <v/>
      </c>
      <c r="P55" s="53" t="str">
        <f t="shared" si="6"/>
        <v/>
      </c>
      <c r="Q55" s="53" t="str">
        <f t="shared" si="0"/>
        <v/>
      </c>
      <c r="R55" s="53" t="str">
        <f t="shared" si="7"/>
        <v/>
      </c>
      <c r="T55" s="53" t="str">
        <f t="shared" si="9"/>
        <v/>
      </c>
      <c r="U55" s="53" t="str">
        <f t="shared" si="17"/>
        <v/>
      </c>
      <c r="V55" s="53" t="str">
        <f t="shared" si="10"/>
        <v/>
      </c>
      <c r="W55" s="53" t="str">
        <f t="shared" si="11"/>
        <v/>
      </c>
      <c r="X55" s="53">
        <f t="shared" si="12"/>
        <v>3</v>
      </c>
      <c r="Y55" s="53" t="str">
        <f t="shared" si="13"/>
        <v/>
      </c>
      <c r="Z55" s="53" t="str">
        <f t="shared" si="14"/>
        <v/>
      </c>
      <c r="AA55" s="53" t="str">
        <f t="shared" si="15"/>
        <v/>
      </c>
      <c r="AB55" s="53" t="str">
        <f t="shared" si="16"/>
        <v/>
      </c>
    </row>
    <row r="56" spans="1:28" x14ac:dyDescent="0.25">
      <c r="A56" s="4">
        <f t="shared" si="1"/>
        <v>0</v>
      </c>
      <c r="B56" s="3" t="str">
        <f t="shared" si="2"/>
        <v/>
      </c>
      <c r="C56" s="3" t="str">
        <f t="shared" si="3"/>
        <v/>
      </c>
      <c r="D56" s="28" t="str">
        <f t="shared" si="4"/>
        <v/>
      </c>
      <c r="P56" s="53" t="str">
        <f t="shared" si="6"/>
        <v/>
      </c>
      <c r="Q56" s="53" t="str">
        <f t="shared" si="0"/>
        <v/>
      </c>
      <c r="R56" s="53" t="str">
        <f t="shared" si="7"/>
        <v/>
      </c>
      <c r="T56" s="53" t="str">
        <f t="shared" si="9"/>
        <v/>
      </c>
      <c r="U56" s="53" t="str">
        <f t="shared" si="17"/>
        <v/>
      </c>
      <c r="V56" s="53" t="str">
        <f t="shared" si="10"/>
        <v/>
      </c>
      <c r="W56" s="53" t="str">
        <f t="shared" si="11"/>
        <v/>
      </c>
      <c r="X56" s="53">
        <f t="shared" si="12"/>
        <v>3</v>
      </c>
      <c r="Y56" s="53" t="str">
        <f t="shared" si="13"/>
        <v/>
      </c>
      <c r="Z56" s="53" t="str">
        <f t="shared" si="14"/>
        <v/>
      </c>
      <c r="AA56" s="53" t="str">
        <f t="shared" si="15"/>
        <v/>
      </c>
      <c r="AB56" s="53" t="str">
        <f t="shared" si="16"/>
        <v/>
      </c>
    </row>
    <row r="57" spans="1:28" x14ac:dyDescent="0.25">
      <c r="A57" s="4">
        <f t="shared" si="1"/>
        <v>0</v>
      </c>
      <c r="B57" s="3" t="str">
        <f t="shared" si="2"/>
        <v/>
      </c>
      <c r="C57" s="3" t="str">
        <f t="shared" si="3"/>
        <v/>
      </c>
      <c r="D57" s="28" t="str">
        <f t="shared" si="4"/>
        <v/>
      </c>
      <c r="P57" s="53" t="str">
        <f t="shared" si="6"/>
        <v/>
      </c>
      <c r="Q57" s="53" t="str">
        <f t="shared" si="0"/>
        <v/>
      </c>
      <c r="R57" s="53" t="str">
        <f t="shared" si="7"/>
        <v/>
      </c>
      <c r="T57" s="53" t="str">
        <f t="shared" si="9"/>
        <v/>
      </c>
      <c r="U57" s="53" t="str">
        <f t="shared" si="17"/>
        <v/>
      </c>
      <c r="V57" s="53" t="str">
        <f t="shared" si="10"/>
        <v/>
      </c>
      <c r="W57" s="53" t="str">
        <f t="shared" si="11"/>
        <v/>
      </c>
      <c r="X57" s="53">
        <f t="shared" si="12"/>
        <v>3</v>
      </c>
      <c r="Y57" s="53" t="str">
        <f t="shared" si="13"/>
        <v/>
      </c>
      <c r="Z57" s="53" t="str">
        <f t="shared" si="14"/>
        <v/>
      </c>
      <c r="AA57" s="53" t="str">
        <f t="shared" si="15"/>
        <v/>
      </c>
      <c r="AB57" s="53" t="str">
        <f t="shared" si="16"/>
        <v/>
      </c>
    </row>
    <row r="58" spans="1:28" x14ac:dyDescent="0.25">
      <c r="A58" s="4">
        <f t="shared" si="1"/>
        <v>0</v>
      </c>
      <c r="B58" s="3" t="str">
        <f t="shared" si="2"/>
        <v/>
      </c>
      <c r="C58" s="3" t="str">
        <f t="shared" si="3"/>
        <v/>
      </c>
      <c r="D58" s="28" t="str">
        <f t="shared" si="4"/>
        <v/>
      </c>
      <c r="P58" s="53" t="str">
        <f t="shared" si="6"/>
        <v/>
      </c>
      <c r="Q58" s="53" t="str">
        <f t="shared" si="0"/>
        <v/>
      </c>
      <c r="R58" s="53" t="str">
        <f t="shared" si="7"/>
        <v/>
      </c>
      <c r="T58" s="53" t="str">
        <f t="shared" si="9"/>
        <v/>
      </c>
      <c r="U58" s="53" t="str">
        <f t="shared" si="17"/>
        <v/>
      </c>
      <c r="V58" s="53" t="str">
        <f t="shared" si="10"/>
        <v/>
      </c>
      <c r="W58" s="53" t="str">
        <f t="shared" si="11"/>
        <v/>
      </c>
      <c r="X58" s="53">
        <f t="shared" si="12"/>
        <v>3</v>
      </c>
      <c r="Y58" s="53" t="str">
        <f t="shared" si="13"/>
        <v/>
      </c>
      <c r="Z58" s="53" t="str">
        <f t="shared" si="14"/>
        <v/>
      </c>
      <c r="AA58" s="53" t="str">
        <f t="shared" si="15"/>
        <v/>
      </c>
      <c r="AB58" s="53" t="str">
        <f t="shared" si="16"/>
        <v/>
      </c>
    </row>
    <row r="59" spans="1:28" x14ac:dyDescent="0.25">
      <c r="A59" s="4">
        <f t="shared" si="1"/>
        <v>0</v>
      </c>
      <c r="B59" s="3" t="str">
        <f t="shared" si="2"/>
        <v/>
      </c>
      <c r="C59" s="3" t="str">
        <f t="shared" si="3"/>
        <v/>
      </c>
      <c r="D59" s="28" t="str">
        <f t="shared" si="4"/>
        <v/>
      </c>
      <c r="P59" s="53" t="str">
        <f t="shared" si="6"/>
        <v/>
      </c>
      <c r="Q59" s="53" t="str">
        <f t="shared" si="0"/>
        <v/>
      </c>
      <c r="R59" s="53" t="str">
        <f t="shared" si="7"/>
        <v/>
      </c>
      <c r="T59" s="53" t="str">
        <f t="shared" si="9"/>
        <v/>
      </c>
      <c r="U59" s="53" t="str">
        <f t="shared" si="17"/>
        <v/>
      </c>
      <c r="V59" s="53" t="str">
        <f t="shared" si="10"/>
        <v/>
      </c>
      <c r="W59" s="53" t="str">
        <f t="shared" si="11"/>
        <v/>
      </c>
      <c r="X59" s="53">
        <f t="shared" si="12"/>
        <v>3</v>
      </c>
      <c r="Y59" s="53" t="str">
        <f t="shared" si="13"/>
        <v/>
      </c>
      <c r="Z59" s="53" t="str">
        <f t="shared" si="14"/>
        <v/>
      </c>
      <c r="AA59" s="53" t="str">
        <f t="shared" si="15"/>
        <v/>
      </c>
      <c r="AB59" s="53" t="str">
        <f t="shared" si="16"/>
        <v/>
      </c>
    </row>
    <row r="60" spans="1:28" x14ac:dyDescent="0.25">
      <c r="A60" s="4">
        <f t="shared" si="1"/>
        <v>0</v>
      </c>
      <c r="B60" s="3" t="str">
        <f t="shared" si="2"/>
        <v/>
      </c>
      <c r="C60" s="3" t="str">
        <f t="shared" si="3"/>
        <v/>
      </c>
      <c r="D60" s="28" t="str">
        <f t="shared" si="4"/>
        <v/>
      </c>
      <c r="P60" s="53" t="str">
        <f t="shared" si="6"/>
        <v/>
      </c>
      <c r="Q60" s="53" t="str">
        <f t="shared" si="0"/>
        <v/>
      </c>
      <c r="R60" s="53" t="str">
        <f t="shared" si="7"/>
        <v/>
      </c>
      <c r="T60" s="53" t="str">
        <f t="shared" si="9"/>
        <v/>
      </c>
      <c r="U60" s="53" t="str">
        <f t="shared" si="17"/>
        <v/>
      </c>
      <c r="V60" s="53" t="str">
        <f t="shared" si="10"/>
        <v/>
      </c>
      <c r="W60" s="53" t="str">
        <f t="shared" si="11"/>
        <v/>
      </c>
      <c r="X60" s="53">
        <f t="shared" si="12"/>
        <v>4</v>
      </c>
      <c r="Y60" s="53" t="str">
        <f t="shared" si="13"/>
        <v>Trailblazers @ Thunder</v>
      </c>
      <c r="Z60" s="53" t="str">
        <f t="shared" si="14"/>
        <v>Trailblazers @ Thunder</v>
      </c>
      <c r="AA60" s="53" t="str">
        <f t="shared" si="15"/>
        <v>Trailblazers +7.5</v>
      </c>
      <c r="AB60" s="53">
        <f t="shared" si="16"/>
        <v>0.69379999999999997</v>
      </c>
    </row>
    <row r="61" spans="1:28" x14ac:dyDescent="0.25">
      <c r="A61" s="4">
        <f t="shared" si="1"/>
        <v>0</v>
      </c>
      <c r="B61" s="3" t="str">
        <f t="shared" si="2"/>
        <v/>
      </c>
      <c r="C61" s="3" t="str">
        <f t="shared" si="3"/>
        <v/>
      </c>
      <c r="D61" s="28" t="str">
        <f t="shared" si="4"/>
        <v/>
      </c>
      <c r="P61" s="53" t="str">
        <f t="shared" si="6"/>
        <v/>
      </c>
      <c r="Q61" s="53" t="str">
        <f t="shared" si="0"/>
        <v/>
      </c>
      <c r="R61" s="53" t="str">
        <f t="shared" si="7"/>
        <v/>
      </c>
      <c r="T61" s="53" t="str">
        <f t="shared" si="9"/>
        <v/>
      </c>
      <c r="U61" s="53" t="str">
        <f t="shared" si="17"/>
        <v/>
      </c>
      <c r="V61" s="53" t="str">
        <f t="shared" si="10"/>
        <v/>
      </c>
      <c r="W61" s="53" t="str">
        <f t="shared" si="11"/>
        <v/>
      </c>
      <c r="X61" s="53">
        <f t="shared" si="12"/>
        <v>4</v>
      </c>
      <c r="Y61" s="53" t="str">
        <f t="shared" si="13"/>
        <v>Trailblazers +7.5</v>
      </c>
      <c r="Z61" s="53" t="str">
        <f t="shared" si="14"/>
        <v/>
      </c>
      <c r="AA61" s="53" t="str">
        <f t="shared" si="15"/>
        <v/>
      </c>
      <c r="AB61" s="53" t="str">
        <f t="shared" si="16"/>
        <v/>
      </c>
    </row>
    <row r="62" spans="1:28" x14ac:dyDescent="0.25">
      <c r="A62" s="4">
        <f t="shared" si="1"/>
        <v>0</v>
      </c>
      <c r="B62" s="3" t="str">
        <f t="shared" si="2"/>
        <v/>
      </c>
      <c r="C62" s="3" t="str">
        <f t="shared" si="3"/>
        <v/>
      </c>
      <c r="D62" s="28" t="str">
        <f t="shared" si="4"/>
        <v/>
      </c>
      <c r="P62" s="53" t="str">
        <f t="shared" si="6"/>
        <v/>
      </c>
      <c r="Q62" s="53" t="str">
        <f t="shared" si="0"/>
        <v/>
      </c>
      <c r="R62" s="53" t="str">
        <f t="shared" si="7"/>
        <v/>
      </c>
      <c r="T62" s="53" t="str">
        <f t="shared" si="9"/>
        <v/>
      </c>
      <c r="U62" s="53" t="str">
        <f t="shared" si="17"/>
        <v/>
      </c>
      <c r="V62" s="53" t="str">
        <f t="shared" si="10"/>
        <v/>
      </c>
      <c r="W62" s="53" t="str">
        <f t="shared" si="11"/>
        <v/>
      </c>
      <c r="X62" s="53">
        <f t="shared" si="12"/>
        <v>4</v>
      </c>
      <c r="Y62" s="53">
        <f t="shared" si="13"/>
        <v>0.69379999999999997</v>
      </c>
      <c r="Z62" s="53" t="str">
        <f t="shared" si="14"/>
        <v/>
      </c>
      <c r="AA62" s="53" t="str">
        <f t="shared" si="15"/>
        <v/>
      </c>
      <c r="AB62" s="53" t="str">
        <f t="shared" si="16"/>
        <v/>
      </c>
    </row>
    <row r="63" spans="1:28" x14ac:dyDescent="0.25">
      <c r="A63" s="4">
        <f t="shared" si="1"/>
        <v>0</v>
      </c>
      <c r="B63" s="3" t="str">
        <f t="shared" si="2"/>
        <v/>
      </c>
      <c r="C63" s="3" t="str">
        <f t="shared" si="3"/>
        <v/>
      </c>
      <c r="D63" s="28" t="str">
        <f t="shared" si="4"/>
        <v/>
      </c>
      <c r="P63" s="53" t="str">
        <f t="shared" si="6"/>
        <v/>
      </c>
      <c r="Q63" s="53" t="str">
        <f t="shared" si="0"/>
        <v/>
      </c>
      <c r="R63" s="53" t="str">
        <f t="shared" si="7"/>
        <v/>
      </c>
      <c r="T63" s="53" t="str">
        <f t="shared" si="9"/>
        <v/>
      </c>
      <c r="U63" s="53" t="str">
        <f t="shared" si="17"/>
        <v/>
      </c>
      <c r="V63" s="53" t="str">
        <f t="shared" si="10"/>
        <v/>
      </c>
      <c r="W63" s="53" t="str">
        <f t="shared" si="11"/>
        <v/>
      </c>
      <c r="X63" s="53">
        <f t="shared" si="12"/>
        <v>4</v>
      </c>
      <c r="Y63" s="53" t="str">
        <f t="shared" si="13"/>
        <v/>
      </c>
      <c r="Z63" s="53" t="str">
        <f t="shared" si="14"/>
        <v/>
      </c>
      <c r="AA63" s="53" t="str">
        <f t="shared" si="15"/>
        <v/>
      </c>
      <c r="AB63" s="53" t="str">
        <f t="shared" si="16"/>
        <v/>
      </c>
    </row>
    <row r="64" spans="1:28" x14ac:dyDescent="0.25">
      <c r="A64" s="4">
        <f t="shared" si="1"/>
        <v>0</v>
      </c>
      <c r="B64" s="3" t="str">
        <f t="shared" si="2"/>
        <v/>
      </c>
      <c r="C64" s="3" t="str">
        <f t="shared" si="3"/>
        <v/>
      </c>
      <c r="D64" s="28" t="str">
        <f t="shared" si="4"/>
        <v/>
      </c>
      <c r="P64" s="53" t="str">
        <f t="shared" si="6"/>
        <v/>
      </c>
      <c r="Q64" s="53" t="str">
        <f t="shared" si="0"/>
        <v/>
      </c>
      <c r="R64" s="53" t="str">
        <f t="shared" si="7"/>
        <v/>
      </c>
      <c r="T64" s="53" t="str">
        <f t="shared" si="9"/>
        <v/>
      </c>
      <c r="U64" s="53" t="str">
        <f t="shared" si="17"/>
        <v/>
      </c>
      <c r="V64" s="53" t="str">
        <f t="shared" si="10"/>
        <v/>
      </c>
      <c r="W64" s="53" t="str">
        <f t="shared" si="11"/>
        <v/>
      </c>
      <c r="X64" s="53">
        <f t="shared" si="12"/>
        <v>4</v>
      </c>
      <c r="Y64" s="53" t="str">
        <f t="shared" si="13"/>
        <v/>
      </c>
      <c r="Z64" s="53" t="str">
        <f t="shared" si="14"/>
        <v/>
      </c>
      <c r="AA64" s="53" t="str">
        <f t="shared" si="15"/>
        <v/>
      </c>
      <c r="AB64" s="53" t="str">
        <f t="shared" si="16"/>
        <v/>
      </c>
    </row>
    <row r="65" spans="1:28" x14ac:dyDescent="0.25">
      <c r="A65" s="4">
        <f t="shared" si="1"/>
        <v>0</v>
      </c>
      <c r="B65" s="3" t="str">
        <f t="shared" si="2"/>
        <v/>
      </c>
      <c r="C65" s="3" t="str">
        <f t="shared" si="3"/>
        <v/>
      </c>
      <c r="D65" s="28" t="str">
        <f t="shared" si="4"/>
        <v/>
      </c>
      <c r="P65" s="53" t="str">
        <f t="shared" si="6"/>
        <v/>
      </c>
      <c r="Q65" s="53" t="str">
        <f t="shared" si="0"/>
        <v/>
      </c>
      <c r="R65" s="53" t="str">
        <f t="shared" si="7"/>
        <v/>
      </c>
      <c r="T65" s="53" t="str">
        <f t="shared" si="9"/>
        <v/>
      </c>
      <c r="U65" s="53" t="str">
        <f t="shared" si="17"/>
        <v/>
      </c>
      <c r="V65" s="53" t="str">
        <f t="shared" si="10"/>
        <v/>
      </c>
      <c r="W65" s="53" t="str">
        <f t="shared" si="11"/>
        <v/>
      </c>
      <c r="X65" s="53">
        <f t="shared" si="12"/>
        <v>4</v>
      </c>
      <c r="Y65" s="53" t="str">
        <f t="shared" si="13"/>
        <v/>
      </c>
      <c r="Z65" s="53" t="str">
        <f t="shared" si="14"/>
        <v/>
      </c>
      <c r="AA65" s="53" t="str">
        <f t="shared" si="15"/>
        <v/>
      </c>
      <c r="AB65" s="53" t="str">
        <f t="shared" si="16"/>
        <v/>
      </c>
    </row>
    <row r="66" spans="1:28" x14ac:dyDescent="0.25">
      <c r="A66" s="4">
        <f t="shared" si="1"/>
        <v>0</v>
      </c>
      <c r="B66" s="3" t="str">
        <f t="shared" si="2"/>
        <v/>
      </c>
      <c r="C66" s="3" t="str">
        <f t="shared" si="3"/>
        <v/>
      </c>
      <c r="D66" s="28" t="str">
        <f t="shared" si="4"/>
        <v/>
      </c>
      <c r="P66" s="53" t="str">
        <f t="shared" si="6"/>
        <v/>
      </c>
      <c r="Q66" s="53" t="str">
        <f t="shared" si="0"/>
        <v/>
      </c>
      <c r="R66" s="53" t="str">
        <f t="shared" si="7"/>
        <v/>
      </c>
      <c r="T66" s="53" t="str">
        <f t="shared" si="9"/>
        <v/>
      </c>
      <c r="U66" s="53" t="str">
        <f t="shared" si="17"/>
        <v/>
      </c>
      <c r="V66" s="53" t="str">
        <f t="shared" si="10"/>
        <v/>
      </c>
      <c r="W66" s="53" t="str">
        <f t="shared" si="11"/>
        <v/>
      </c>
      <c r="X66" s="53">
        <f t="shared" si="12"/>
        <v>4</v>
      </c>
      <c r="Y66" s="53" t="str">
        <f t="shared" si="13"/>
        <v/>
      </c>
      <c r="Z66" s="53" t="str">
        <f t="shared" si="14"/>
        <v/>
      </c>
      <c r="AA66" s="53" t="str">
        <f t="shared" si="15"/>
        <v/>
      </c>
      <c r="AB66" s="53" t="str">
        <f t="shared" si="16"/>
        <v/>
      </c>
    </row>
    <row r="67" spans="1:28" x14ac:dyDescent="0.25">
      <c r="A67" s="4">
        <f t="shared" si="1"/>
        <v>0</v>
      </c>
      <c r="B67" s="3" t="str">
        <f t="shared" si="2"/>
        <v/>
      </c>
      <c r="C67" s="3" t="str">
        <f t="shared" si="3"/>
        <v/>
      </c>
      <c r="D67" s="28" t="str">
        <f t="shared" si="4"/>
        <v/>
      </c>
      <c r="P67" s="53" t="str">
        <f t="shared" si="6"/>
        <v/>
      </c>
      <c r="Q67" s="53" t="str">
        <f t="shared" si="0"/>
        <v/>
      </c>
      <c r="R67" s="53" t="str">
        <f t="shared" si="7"/>
        <v/>
      </c>
      <c r="T67" s="53" t="str">
        <f t="shared" si="9"/>
        <v/>
      </c>
      <c r="U67" s="53" t="str">
        <f t="shared" si="17"/>
        <v/>
      </c>
      <c r="V67" s="53" t="str">
        <f t="shared" si="10"/>
        <v/>
      </c>
      <c r="W67" s="53" t="str">
        <f t="shared" si="11"/>
        <v/>
      </c>
      <c r="X67" s="53">
        <f t="shared" si="12"/>
        <v>4</v>
      </c>
      <c r="Y67" s="53" t="str">
        <f t="shared" si="13"/>
        <v/>
      </c>
      <c r="Z67" s="53" t="str">
        <f t="shared" si="14"/>
        <v/>
      </c>
      <c r="AA67" s="53" t="str">
        <f t="shared" si="15"/>
        <v/>
      </c>
      <c r="AB67" s="53" t="str">
        <f t="shared" si="16"/>
        <v/>
      </c>
    </row>
    <row r="68" spans="1:28" x14ac:dyDescent="0.25">
      <c r="A68" s="4">
        <f t="shared" ref="A68:A101" si="18">IF(ISNUMBER(CODE(B68)),1,0)</f>
        <v>0</v>
      </c>
      <c r="B68" s="3" t="str">
        <f t="shared" ref="B68:B101" si="19">IFERROR(VLOOKUP(ROW()-2,$X$3:$AA$290,3,0),"")</f>
        <v/>
      </c>
      <c r="C68" s="3" t="str">
        <f t="shared" ref="C68:C101" si="20">IFERROR(VLOOKUP(ROW()-2,$X$3:$AA$290,4,0),"")</f>
        <v/>
      </c>
      <c r="D68" s="28" t="str">
        <f t="shared" ref="D68:D101" si="21">IFERROR(VLOOKUP(ROW()-2,$X$3:$AB$290,5,0),"")</f>
        <v/>
      </c>
      <c r="P68" s="53" t="str">
        <f t="shared" ref="P68:P98" si="22">IF(J68="under",IF(HLOOKUP("Under",J68:K70,3,0)&gt;=$K$1,"Under "&amp;J69,IF(HLOOKUP("Over",J68:K70,3,0)&gt;=$K$1,"Over "&amp;J69,"")),"")</f>
        <v/>
      </c>
      <c r="Q68" s="53" t="str">
        <f t="shared" ref="Q68:Q98" si="23">IF(J68="under",IF(HLOOKUP("Under",J68:K70,3,0)&gt;=$K$1,J70,IF(HLOOKUP("Over",J68:K70,3,0)&gt;=$K$1,K70,"")),"")</f>
        <v/>
      </c>
      <c r="R68" s="53" t="str">
        <f t="shared" ref="R68:R98" si="24">IF(MOD(ROW(),3)=0,IF(L70&gt;=$K$1,I68&amp;" @ "&amp;H68,IF(M70&gt;=$K$1,I68&amp;" @ "&amp;H68,"")),"")</f>
        <v/>
      </c>
      <c r="T68" s="53" t="str">
        <f t="shared" ref="T68:T131" si="25">IF(MOD(ROW(),3)=0,IF(L70&gt;=$K$1,L70,IF(M70&gt;=$K$1,M70,"")),"")</f>
        <v/>
      </c>
      <c r="U68" s="53" t="str">
        <f t="shared" si="17"/>
        <v/>
      </c>
      <c r="V68" s="53" t="str">
        <f t="shared" ref="V68:V131" si="26">IF(MOD(ROW(),3)=0,IF(H70&gt;$O$1,H68&amp;" Moneyline",IF(I70&gt;=$O$1,I68&amp;" Moneyline","")),"")</f>
        <v/>
      </c>
      <c r="W68" s="53" t="str">
        <f t="shared" ref="W68:W131" si="27">IF(MOD(ROW(),3)=0,IF(H70&gt;=$O$1,H70,IF(I70&gt;=$O$1,I70,"")),"")</f>
        <v/>
      </c>
      <c r="X68" s="53">
        <f t="shared" ref="X68:X131" si="28">IF(ISNUMBER(CODE(Z68)),X67+1,X67)</f>
        <v>4</v>
      </c>
      <c r="Y68" s="53" t="str">
        <f t="shared" ref="Y68:Y131" si="29">INDEX($O$3:$W$50,1+INT((ROW(A66)-1)/COLUMNS($O$3:$W$50)),MOD(ROW(A66)-1+COLUMNS($O$3:$W$50),COLUMNS($O$3:$W$50))+1)</f>
        <v/>
      </c>
      <c r="Z68" s="53" t="str">
        <f t="shared" ref="Z68:Z131" si="30">IF(ISNUMBER(SEARCH("@",Y68)),Y68,"")</f>
        <v/>
      </c>
      <c r="AA68" s="53" t="str">
        <f t="shared" ref="AA68:AA131" si="31">IF(ISNUMBER(SEARCH("@",Y68)),Y69,"")</f>
        <v/>
      </c>
      <c r="AB68" s="53" t="str">
        <f t="shared" ref="AB68:AB131" si="32">IF(ISNUMBER(SEARCH("@",Y68)),Y70,"")</f>
        <v/>
      </c>
    </row>
    <row r="69" spans="1:28" x14ac:dyDescent="0.25">
      <c r="A69" s="4">
        <f t="shared" si="18"/>
        <v>0</v>
      </c>
      <c r="B69" s="3" t="str">
        <f t="shared" si="19"/>
        <v/>
      </c>
      <c r="C69" s="3" t="str">
        <f t="shared" si="20"/>
        <v/>
      </c>
      <c r="D69" s="28" t="str">
        <f t="shared" si="21"/>
        <v/>
      </c>
      <c r="P69" s="53" t="str">
        <f t="shared" si="22"/>
        <v/>
      </c>
      <c r="Q69" s="53" t="str">
        <f t="shared" si="23"/>
        <v/>
      </c>
      <c r="R69" s="53" t="str">
        <f t="shared" si="24"/>
        <v/>
      </c>
      <c r="T69" s="53" t="str">
        <f t="shared" si="25"/>
        <v/>
      </c>
      <c r="U69" s="53" t="str">
        <f t="shared" ref="U69:U132" si="33">IF(MOD(ROW(),3)=0,IF(H71&gt;=$O$1,I69&amp;" @ "&amp;H69,IF(I71&gt;=$O$1,I69&amp;" @ "&amp;H69,"")),"")</f>
        <v/>
      </c>
      <c r="V69" s="53" t="str">
        <f t="shared" si="26"/>
        <v/>
      </c>
      <c r="W69" s="53" t="str">
        <f t="shared" si="27"/>
        <v/>
      </c>
      <c r="X69" s="53">
        <f t="shared" si="28"/>
        <v>4</v>
      </c>
      <c r="Y69" s="53" t="str">
        <f t="shared" si="29"/>
        <v/>
      </c>
      <c r="Z69" s="53" t="str">
        <f t="shared" si="30"/>
        <v/>
      </c>
      <c r="AA69" s="53" t="str">
        <f t="shared" si="31"/>
        <v/>
      </c>
      <c r="AB69" s="53" t="str">
        <f t="shared" si="32"/>
        <v/>
      </c>
    </row>
    <row r="70" spans="1:28" x14ac:dyDescent="0.25">
      <c r="A70" s="4">
        <f t="shared" si="18"/>
        <v>0</v>
      </c>
      <c r="B70" s="3" t="str">
        <f t="shared" si="19"/>
        <v/>
      </c>
      <c r="C70" s="3" t="str">
        <f t="shared" si="20"/>
        <v/>
      </c>
      <c r="D70" s="28" t="str">
        <f t="shared" si="21"/>
        <v/>
      </c>
      <c r="P70" s="53" t="str">
        <f t="shared" si="22"/>
        <v/>
      </c>
      <c r="Q70" s="53" t="str">
        <f t="shared" si="23"/>
        <v/>
      </c>
      <c r="R70" s="53" t="str">
        <f t="shared" si="24"/>
        <v/>
      </c>
      <c r="T70" s="53" t="str">
        <f t="shared" si="25"/>
        <v/>
      </c>
      <c r="U70" s="53" t="str">
        <f t="shared" si="33"/>
        <v/>
      </c>
      <c r="V70" s="53" t="str">
        <f t="shared" si="26"/>
        <v/>
      </c>
      <c r="W70" s="53" t="str">
        <f t="shared" si="27"/>
        <v/>
      </c>
      <c r="X70" s="53">
        <f t="shared" si="28"/>
        <v>4</v>
      </c>
      <c r="Y70" s="53" t="str">
        <f t="shared" si="29"/>
        <v/>
      </c>
      <c r="Z70" s="53" t="str">
        <f t="shared" si="30"/>
        <v/>
      </c>
      <c r="AA70" s="53" t="str">
        <f t="shared" si="31"/>
        <v/>
      </c>
      <c r="AB70" s="53" t="str">
        <f t="shared" si="32"/>
        <v/>
      </c>
    </row>
    <row r="71" spans="1:28" x14ac:dyDescent="0.25">
      <c r="A71" s="4">
        <f t="shared" si="18"/>
        <v>0</v>
      </c>
      <c r="B71" s="3" t="str">
        <f t="shared" si="19"/>
        <v/>
      </c>
      <c r="C71" s="3" t="str">
        <f t="shared" si="20"/>
        <v/>
      </c>
      <c r="D71" s="28" t="str">
        <f t="shared" si="21"/>
        <v/>
      </c>
      <c r="P71" s="53" t="str">
        <f t="shared" si="22"/>
        <v/>
      </c>
      <c r="Q71" s="53" t="str">
        <f t="shared" si="23"/>
        <v/>
      </c>
      <c r="R71" s="53" t="str">
        <f t="shared" si="24"/>
        <v/>
      </c>
      <c r="T71" s="53" t="str">
        <f t="shared" si="25"/>
        <v/>
      </c>
      <c r="U71" s="53" t="str">
        <f t="shared" si="33"/>
        <v/>
      </c>
      <c r="V71" s="53" t="str">
        <f t="shared" si="26"/>
        <v/>
      </c>
      <c r="W71" s="53" t="str">
        <f t="shared" si="27"/>
        <v/>
      </c>
      <c r="X71" s="53">
        <f t="shared" si="28"/>
        <v>4</v>
      </c>
      <c r="Y71" s="53" t="str">
        <f t="shared" si="29"/>
        <v/>
      </c>
      <c r="Z71" s="53" t="str">
        <f t="shared" si="30"/>
        <v/>
      </c>
      <c r="AA71" s="53" t="str">
        <f t="shared" si="31"/>
        <v/>
      </c>
      <c r="AB71" s="53" t="str">
        <f t="shared" si="32"/>
        <v/>
      </c>
    </row>
    <row r="72" spans="1:28" x14ac:dyDescent="0.25">
      <c r="A72" s="4">
        <f t="shared" si="18"/>
        <v>0</v>
      </c>
      <c r="B72" s="3" t="str">
        <f t="shared" si="19"/>
        <v/>
      </c>
      <c r="C72" s="3" t="str">
        <f t="shared" si="20"/>
        <v/>
      </c>
      <c r="D72" s="28" t="str">
        <f t="shared" si="21"/>
        <v/>
      </c>
      <c r="P72" s="53" t="str">
        <f t="shared" si="22"/>
        <v/>
      </c>
      <c r="Q72" s="53" t="str">
        <f t="shared" si="23"/>
        <v/>
      </c>
      <c r="R72" s="53" t="str">
        <f t="shared" si="24"/>
        <v/>
      </c>
      <c r="T72" s="53" t="str">
        <f t="shared" si="25"/>
        <v/>
      </c>
      <c r="U72" s="53" t="str">
        <f t="shared" si="33"/>
        <v/>
      </c>
      <c r="V72" s="53" t="str">
        <f t="shared" si="26"/>
        <v/>
      </c>
      <c r="W72" s="53" t="str">
        <f t="shared" si="27"/>
        <v/>
      </c>
      <c r="X72" s="53">
        <f t="shared" si="28"/>
        <v>4</v>
      </c>
      <c r="Y72" s="53" t="str">
        <f t="shared" si="29"/>
        <v/>
      </c>
      <c r="Z72" s="53" t="str">
        <f t="shared" si="30"/>
        <v/>
      </c>
      <c r="AA72" s="53" t="str">
        <f t="shared" si="31"/>
        <v/>
      </c>
      <c r="AB72" s="53" t="str">
        <f t="shared" si="32"/>
        <v/>
      </c>
    </row>
    <row r="73" spans="1:28" x14ac:dyDescent="0.25">
      <c r="A73" s="4">
        <f t="shared" si="18"/>
        <v>0</v>
      </c>
      <c r="B73" s="3" t="str">
        <f t="shared" si="19"/>
        <v/>
      </c>
      <c r="C73" s="3" t="str">
        <f t="shared" si="20"/>
        <v/>
      </c>
      <c r="D73" s="28" t="str">
        <f t="shared" si="21"/>
        <v/>
      </c>
      <c r="P73" s="53" t="str">
        <f t="shared" si="22"/>
        <v/>
      </c>
      <c r="Q73" s="53" t="str">
        <f t="shared" si="23"/>
        <v/>
      </c>
      <c r="R73" s="53" t="str">
        <f t="shared" si="24"/>
        <v/>
      </c>
      <c r="T73" s="53" t="str">
        <f t="shared" si="25"/>
        <v/>
      </c>
      <c r="U73" s="53" t="str">
        <f t="shared" si="33"/>
        <v/>
      </c>
      <c r="V73" s="53" t="str">
        <f t="shared" si="26"/>
        <v/>
      </c>
      <c r="W73" s="53" t="str">
        <f t="shared" si="27"/>
        <v/>
      </c>
      <c r="X73" s="53">
        <f t="shared" si="28"/>
        <v>4</v>
      </c>
      <c r="Y73" s="53" t="str">
        <f t="shared" si="29"/>
        <v/>
      </c>
      <c r="Z73" s="53" t="str">
        <f t="shared" si="30"/>
        <v/>
      </c>
      <c r="AA73" s="53" t="str">
        <f t="shared" si="31"/>
        <v/>
      </c>
      <c r="AB73" s="53" t="str">
        <f t="shared" si="32"/>
        <v/>
      </c>
    </row>
    <row r="74" spans="1:28" x14ac:dyDescent="0.25">
      <c r="A74" s="4">
        <f t="shared" si="18"/>
        <v>0</v>
      </c>
      <c r="B74" s="3" t="str">
        <f t="shared" si="19"/>
        <v/>
      </c>
      <c r="C74" s="3" t="str">
        <f t="shared" si="20"/>
        <v/>
      </c>
      <c r="D74" s="28" t="str">
        <f t="shared" si="21"/>
        <v/>
      </c>
      <c r="P74" s="53" t="str">
        <f t="shared" si="22"/>
        <v/>
      </c>
      <c r="Q74" s="53" t="str">
        <f t="shared" si="23"/>
        <v/>
      </c>
      <c r="R74" s="53" t="str">
        <f t="shared" si="24"/>
        <v/>
      </c>
      <c r="T74" s="53" t="str">
        <f t="shared" si="25"/>
        <v/>
      </c>
      <c r="U74" s="53" t="str">
        <f t="shared" si="33"/>
        <v/>
      </c>
      <c r="V74" s="53" t="str">
        <f t="shared" si="26"/>
        <v/>
      </c>
      <c r="W74" s="53" t="str">
        <f t="shared" si="27"/>
        <v/>
      </c>
      <c r="X74" s="53">
        <f t="shared" si="28"/>
        <v>4</v>
      </c>
      <c r="Y74" s="53" t="str">
        <f t="shared" si="29"/>
        <v/>
      </c>
      <c r="Z74" s="53" t="str">
        <f t="shared" si="30"/>
        <v/>
      </c>
      <c r="AA74" s="53" t="str">
        <f t="shared" si="31"/>
        <v/>
      </c>
      <c r="AB74" s="53" t="str">
        <f t="shared" si="32"/>
        <v/>
      </c>
    </row>
    <row r="75" spans="1:28" x14ac:dyDescent="0.25">
      <c r="A75" s="4">
        <f t="shared" si="18"/>
        <v>0</v>
      </c>
      <c r="B75" s="3" t="str">
        <f t="shared" si="19"/>
        <v/>
      </c>
      <c r="C75" s="3" t="str">
        <f t="shared" si="20"/>
        <v/>
      </c>
      <c r="D75" s="28" t="str">
        <f t="shared" si="21"/>
        <v/>
      </c>
      <c r="P75" s="53" t="str">
        <f t="shared" si="22"/>
        <v/>
      </c>
      <c r="Q75" s="53" t="str">
        <f t="shared" si="23"/>
        <v/>
      </c>
      <c r="R75" s="53" t="str">
        <f t="shared" si="24"/>
        <v/>
      </c>
      <c r="T75" s="53" t="str">
        <f t="shared" si="25"/>
        <v/>
      </c>
      <c r="U75" s="53" t="str">
        <f t="shared" si="33"/>
        <v/>
      </c>
      <c r="V75" s="53" t="str">
        <f t="shared" si="26"/>
        <v/>
      </c>
      <c r="W75" s="53" t="str">
        <f t="shared" si="27"/>
        <v/>
      </c>
      <c r="X75" s="53">
        <f t="shared" si="28"/>
        <v>4</v>
      </c>
      <c r="Y75" s="53" t="str">
        <f t="shared" si="29"/>
        <v/>
      </c>
      <c r="Z75" s="53" t="str">
        <f t="shared" si="30"/>
        <v/>
      </c>
      <c r="AA75" s="53" t="str">
        <f t="shared" si="31"/>
        <v/>
      </c>
      <c r="AB75" s="53" t="str">
        <f t="shared" si="32"/>
        <v/>
      </c>
    </row>
    <row r="76" spans="1:28" x14ac:dyDescent="0.25">
      <c r="A76" s="4">
        <f t="shared" si="18"/>
        <v>0</v>
      </c>
      <c r="B76" s="3" t="str">
        <f t="shared" si="19"/>
        <v/>
      </c>
      <c r="C76" s="3" t="str">
        <f t="shared" si="20"/>
        <v/>
      </c>
      <c r="D76" s="28" t="str">
        <f t="shared" si="21"/>
        <v/>
      </c>
      <c r="P76" s="53" t="str">
        <f t="shared" si="22"/>
        <v/>
      </c>
      <c r="Q76" s="53" t="str">
        <f t="shared" si="23"/>
        <v/>
      </c>
      <c r="R76" s="53" t="str">
        <f t="shared" si="24"/>
        <v/>
      </c>
      <c r="T76" s="53" t="str">
        <f t="shared" si="25"/>
        <v/>
      </c>
      <c r="U76" s="53" t="str">
        <f t="shared" si="33"/>
        <v/>
      </c>
      <c r="V76" s="53" t="str">
        <f t="shared" si="26"/>
        <v/>
      </c>
      <c r="W76" s="53" t="str">
        <f t="shared" si="27"/>
        <v/>
      </c>
      <c r="X76" s="53">
        <f t="shared" si="28"/>
        <v>4</v>
      </c>
      <c r="Y76" s="53" t="str">
        <f t="shared" si="29"/>
        <v/>
      </c>
      <c r="Z76" s="53" t="str">
        <f t="shared" si="30"/>
        <v/>
      </c>
      <c r="AA76" s="53" t="str">
        <f t="shared" si="31"/>
        <v/>
      </c>
      <c r="AB76" s="53" t="str">
        <f t="shared" si="32"/>
        <v/>
      </c>
    </row>
    <row r="77" spans="1:28" x14ac:dyDescent="0.25">
      <c r="A77" s="4">
        <f t="shared" si="18"/>
        <v>0</v>
      </c>
      <c r="B77" s="3" t="str">
        <f t="shared" si="19"/>
        <v/>
      </c>
      <c r="C77" s="3" t="str">
        <f t="shared" si="20"/>
        <v/>
      </c>
      <c r="D77" s="28" t="str">
        <f t="shared" si="21"/>
        <v/>
      </c>
      <c r="P77" s="53" t="str">
        <f t="shared" si="22"/>
        <v/>
      </c>
      <c r="Q77" s="53" t="str">
        <f t="shared" si="23"/>
        <v/>
      </c>
      <c r="R77" s="53" t="str">
        <f t="shared" si="24"/>
        <v/>
      </c>
      <c r="T77" s="53" t="str">
        <f t="shared" si="25"/>
        <v/>
      </c>
      <c r="U77" s="53" t="str">
        <f t="shared" si="33"/>
        <v/>
      </c>
      <c r="V77" s="53" t="str">
        <f t="shared" si="26"/>
        <v/>
      </c>
      <c r="W77" s="53" t="str">
        <f t="shared" si="27"/>
        <v/>
      </c>
      <c r="X77" s="53">
        <f t="shared" si="28"/>
        <v>4</v>
      </c>
      <c r="Y77" s="53" t="str">
        <f t="shared" si="29"/>
        <v/>
      </c>
      <c r="Z77" s="53" t="str">
        <f t="shared" si="30"/>
        <v/>
      </c>
      <c r="AA77" s="53" t="str">
        <f t="shared" si="31"/>
        <v/>
      </c>
      <c r="AB77" s="53" t="str">
        <f t="shared" si="32"/>
        <v/>
      </c>
    </row>
    <row r="78" spans="1:28" x14ac:dyDescent="0.25">
      <c r="A78" s="4">
        <f t="shared" si="18"/>
        <v>0</v>
      </c>
      <c r="B78" s="3" t="str">
        <f t="shared" si="19"/>
        <v/>
      </c>
      <c r="C78" s="3" t="str">
        <f t="shared" si="20"/>
        <v/>
      </c>
      <c r="D78" s="28" t="str">
        <f t="shared" si="21"/>
        <v/>
      </c>
      <c r="P78" s="53" t="str">
        <f t="shared" si="22"/>
        <v/>
      </c>
      <c r="Q78" s="53" t="str">
        <f t="shared" si="23"/>
        <v/>
      </c>
      <c r="R78" s="53" t="str">
        <f t="shared" si="24"/>
        <v/>
      </c>
      <c r="T78" s="53" t="str">
        <f t="shared" si="25"/>
        <v/>
      </c>
      <c r="U78" s="53" t="str">
        <f t="shared" si="33"/>
        <v/>
      </c>
      <c r="V78" s="53" t="str">
        <f t="shared" si="26"/>
        <v/>
      </c>
      <c r="W78" s="53" t="str">
        <f t="shared" si="27"/>
        <v/>
      </c>
      <c r="X78" s="53">
        <f t="shared" si="28"/>
        <v>4</v>
      </c>
      <c r="Y78" s="53" t="str">
        <f t="shared" si="29"/>
        <v/>
      </c>
      <c r="Z78" s="53" t="str">
        <f t="shared" si="30"/>
        <v/>
      </c>
      <c r="AA78" s="53" t="str">
        <f t="shared" si="31"/>
        <v/>
      </c>
      <c r="AB78" s="53" t="str">
        <f t="shared" si="32"/>
        <v/>
      </c>
    </row>
    <row r="79" spans="1:28" x14ac:dyDescent="0.25">
      <c r="A79" s="4">
        <f t="shared" si="18"/>
        <v>0</v>
      </c>
      <c r="B79" s="3" t="str">
        <f t="shared" si="19"/>
        <v/>
      </c>
      <c r="C79" s="3" t="str">
        <f t="shared" si="20"/>
        <v/>
      </c>
      <c r="D79" s="28" t="str">
        <f t="shared" si="21"/>
        <v/>
      </c>
      <c r="P79" s="53" t="str">
        <f t="shared" si="22"/>
        <v/>
      </c>
      <c r="Q79" s="53" t="str">
        <f t="shared" si="23"/>
        <v/>
      </c>
      <c r="R79" s="53" t="str">
        <f t="shared" si="24"/>
        <v/>
      </c>
      <c r="T79" s="53" t="str">
        <f t="shared" si="25"/>
        <v/>
      </c>
      <c r="U79" s="53" t="str">
        <f t="shared" si="33"/>
        <v/>
      </c>
      <c r="V79" s="53" t="str">
        <f t="shared" si="26"/>
        <v/>
      </c>
      <c r="W79" s="53" t="str">
        <f t="shared" si="27"/>
        <v/>
      </c>
      <c r="X79" s="53">
        <f t="shared" si="28"/>
        <v>4</v>
      </c>
      <c r="Y79" s="53" t="str">
        <f t="shared" si="29"/>
        <v/>
      </c>
      <c r="Z79" s="53" t="str">
        <f t="shared" si="30"/>
        <v/>
      </c>
      <c r="AA79" s="53" t="str">
        <f t="shared" si="31"/>
        <v/>
      </c>
      <c r="AB79" s="53" t="str">
        <f t="shared" si="32"/>
        <v/>
      </c>
    </row>
    <row r="80" spans="1:28" x14ac:dyDescent="0.25">
      <c r="A80" s="4">
        <f t="shared" si="18"/>
        <v>0</v>
      </c>
      <c r="B80" s="3" t="str">
        <f t="shared" si="19"/>
        <v/>
      </c>
      <c r="C80" s="3" t="str">
        <f t="shared" si="20"/>
        <v/>
      </c>
      <c r="D80" s="28" t="str">
        <f t="shared" si="21"/>
        <v/>
      </c>
      <c r="P80" s="53" t="str">
        <f t="shared" si="22"/>
        <v/>
      </c>
      <c r="Q80" s="53" t="str">
        <f t="shared" si="23"/>
        <v/>
      </c>
      <c r="R80" s="53" t="str">
        <f t="shared" si="24"/>
        <v/>
      </c>
      <c r="T80" s="53" t="str">
        <f t="shared" si="25"/>
        <v/>
      </c>
      <c r="U80" s="53" t="str">
        <f t="shared" si="33"/>
        <v/>
      </c>
      <c r="V80" s="53" t="str">
        <f t="shared" si="26"/>
        <v/>
      </c>
      <c r="W80" s="53" t="str">
        <f t="shared" si="27"/>
        <v/>
      </c>
      <c r="X80" s="53">
        <f t="shared" si="28"/>
        <v>4</v>
      </c>
      <c r="Y80" s="53" t="str">
        <f t="shared" si="29"/>
        <v/>
      </c>
      <c r="Z80" s="53" t="str">
        <f t="shared" si="30"/>
        <v/>
      </c>
      <c r="AA80" s="53" t="str">
        <f t="shared" si="31"/>
        <v/>
      </c>
      <c r="AB80" s="53" t="str">
        <f t="shared" si="32"/>
        <v/>
      </c>
    </row>
    <row r="81" spans="1:28" x14ac:dyDescent="0.25">
      <c r="A81" s="4">
        <f t="shared" si="18"/>
        <v>0</v>
      </c>
      <c r="B81" s="3" t="str">
        <f t="shared" si="19"/>
        <v/>
      </c>
      <c r="C81" s="3" t="str">
        <f t="shared" si="20"/>
        <v/>
      </c>
      <c r="D81" s="28" t="str">
        <f t="shared" si="21"/>
        <v/>
      </c>
      <c r="P81" s="53" t="str">
        <f t="shared" si="22"/>
        <v/>
      </c>
      <c r="Q81" s="53" t="str">
        <f t="shared" si="23"/>
        <v/>
      </c>
      <c r="R81" s="53" t="str">
        <f t="shared" si="24"/>
        <v/>
      </c>
      <c r="T81" s="53" t="str">
        <f t="shared" si="25"/>
        <v/>
      </c>
      <c r="U81" s="53" t="str">
        <f t="shared" si="33"/>
        <v/>
      </c>
      <c r="V81" s="53" t="str">
        <f t="shared" si="26"/>
        <v/>
      </c>
      <c r="W81" s="53" t="str">
        <f t="shared" si="27"/>
        <v/>
      </c>
      <c r="X81" s="53">
        <f t="shared" si="28"/>
        <v>4</v>
      </c>
      <c r="Y81" s="53" t="str">
        <f t="shared" si="29"/>
        <v/>
      </c>
      <c r="Z81" s="53" t="str">
        <f t="shared" si="30"/>
        <v/>
      </c>
      <c r="AA81" s="53" t="str">
        <f t="shared" si="31"/>
        <v/>
      </c>
      <c r="AB81" s="53" t="str">
        <f t="shared" si="32"/>
        <v/>
      </c>
    </row>
    <row r="82" spans="1:28" x14ac:dyDescent="0.25">
      <c r="A82" s="4">
        <f t="shared" si="18"/>
        <v>0</v>
      </c>
      <c r="B82" s="3" t="str">
        <f t="shared" si="19"/>
        <v/>
      </c>
      <c r="C82" s="3" t="str">
        <f t="shared" si="20"/>
        <v/>
      </c>
      <c r="D82" s="28" t="str">
        <f t="shared" si="21"/>
        <v/>
      </c>
      <c r="P82" s="53" t="str">
        <f t="shared" si="22"/>
        <v/>
      </c>
      <c r="Q82" s="53" t="str">
        <f t="shared" si="23"/>
        <v/>
      </c>
      <c r="R82" s="53" t="str">
        <f t="shared" si="24"/>
        <v/>
      </c>
      <c r="T82" s="53" t="str">
        <f t="shared" si="25"/>
        <v/>
      </c>
      <c r="U82" s="53" t="str">
        <f t="shared" si="33"/>
        <v/>
      </c>
      <c r="V82" s="53" t="str">
        <f t="shared" si="26"/>
        <v/>
      </c>
      <c r="W82" s="53" t="str">
        <f t="shared" si="27"/>
        <v/>
      </c>
      <c r="X82" s="53">
        <f t="shared" si="28"/>
        <v>4</v>
      </c>
      <c r="Y82" s="53" t="str">
        <f t="shared" si="29"/>
        <v/>
      </c>
      <c r="Z82" s="53" t="str">
        <f t="shared" si="30"/>
        <v/>
      </c>
      <c r="AA82" s="53" t="str">
        <f t="shared" si="31"/>
        <v/>
      </c>
      <c r="AB82" s="53" t="str">
        <f t="shared" si="32"/>
        <v/>
      </c>
    </row>
    <row r="83" spans="1:28" x14ac:dyDescent="0.25">
      <c r="A83" s="4">
        <f t="shared" si="18"/>
        <v>0</v>
      </c>
      <c r="B83" s="3" t="str">
        <f t="shared" si="19"/>
        <v/>
      </c>
      <c r="C83" s="3" t="str">
        <f t="shared" si="20"/>
        <v/>
      </c>
      <c r="D83" s="28" t="str">
        <f t="shared" si="21"/>
        <v/>
      </c>
      <c r="P83" s="53" t="str">
        <f t="shared" si="22"/>
        <v/>
      </c>
      <c r="Q83" s="53" t="str">
        <f t="shared" si="23"/>
        <v/>
      </c>
      <c r="R83" s="53" t="str">
        <f t="shared" si="24"/>
        <v/>
      </c>
      <c r="T83" s="53" t="str">
        <f t="shared" si="25"/>
        <v/>
      </c>
      <c r="U83" s="53" t="str">
        <f t="shared" si="33"/>
        <v/>
      </c>
      <c r="V83" s="53" t="str">
        <f t="shared" si="26"/>
        <v/>
      </c>
      <c r="W83" s="53" t="str">
        <f t="shared" si="27"/>
        <v/>
      </c>
      <c r="X83" s="53">
        <f t="shared" si="28"/>
        <v>4</v>
      </c>
      <c r="Y83" s="53" t="str">
        <f t="shared" si="29"/>
        <v/>
      </c>
      <c r="Z83" s="53" t="str">
        <f t="shared" si="30"/>
        <v/>
      </c>
      <c r="AA83" s="53" t="str">
        <f t="shared" si="31"/>
        <v/>
      </c>
      <c r="AB83" s="53" t="str">
        <f t="shared" si="32"/>
        <v/>
      </c>
    </row>
    <row r="84" spans="1:28" x14ac:dyDescent="0.25">
      <c r="A84" s="4">
        <f t="shared" si="18"/>
        <v>0</v>
      </c>
      <c r="B84" s="3" t="str">
        <f t="shared" si="19"/>
        <v/>
      </c>
      <c r="C84" s="3" t="str">
        <f t="shared" si="20"/>
        <v/>
      </c>
      <c r="D84" s="28" t="str">
        <f t="shared" si="21"/>
        <v/>
      </c>
      <c r="P84" s="53" t="str">
        <f t="shared" si="22"/>
        <v/>
      </c>
      <c r="Q84" s="53" t="str">
        <f t="shared" si="23"/>
        <v/>
      </c>
      <c r="R84" s="53" t="str">
        <f t="shared" si="24"/>
        <v/>
      </c>
      <c r="T84" s="53" t="str">
        <f t="shared" si="25"/>
        <v/>
      </c>
      <c r="U84" s="53" t="str">
        <f t="shared" si="33"/>
        <v/>
      </c>
      <c r="V84" s="53" t="str">
        <f t="shared" si="26"/>
        <v/>
      </c>
      <c r="W84" s="53" t="str">
        <f t="shared" si="27"/>
        <v/>
      </c>
      <c r="X84" s="53">
        <f t="shared" si="28"/>
        <v>4</v>
      </c>
      <c r="Y84" s="53" t="str">
        <f t="shared" si="29"/>
        <v/>
      </c>
      <c r="Z84" s="53" t="str">
        <f t="shared" si="30"/>
        <v/>
      </c>
      <c r="AA84" s="53" t="str">
        <f t="shared" si="31"/>
        <v/>
      </c>
      <c r="AB84" s="53" t="str">
        <f t="shared" si="32"/>
        <v/>
      </c>
    </row>
    <row r="85" spans="1:28" x14ac:dyDescent="0.25">
      <c r="A85" s="4">
        <f t="shared" si="18"/>
        <v>0</v>
      </c>
      <c r="B85" s="3" t="str">
        <f t="shared" si="19"/>
        <v/>
      </c>
      <c r="C85" s="3" t="str">
        <f t="shared" si="20"/>
        <v/>
      </c>
      <c r="D85" s="28" t="str">
        <f t="shared" si="21"/>
        <v/>
      </c>
      <c r="P85" s="53" t="str">
        <f t="shared" si="22"/>
        <v/>
      </c>
      <c r="Q85" s="53" t="str">
        <f t="shared" si="23"/>
        <v/>
      </c>
      <c r="R85" s="53" t="str">
        <f t="shared" si="24"/>
        <v/>
      </c>
      <c r="T85" s="53" t="str">
        <f t="shared" si="25"/>
        <v/>
      </c>
      <c r="U85" s="53" t="str">
        <f t="shared" si="33"/>
        <v/>
      </c>
      <c r="V85" s="53" t="str">
        <f t="shared" si="26"/>
        <v/>
      </c>
      <c r="W85" s="53" t="str">
        <f t="shared" si="27"/>
        <v/>
      </c>
      <c r="X85" s="53">
        <f t="shared" si="28"/>
        <v>4</v>
      </c>
      <c r="Y85" s="53" t="str">
        <f t="shared" si="29"/>
        <v/>
      </c>
      <c r="Z85" s="53" t="str">
        <f t="shared" si="30"/>
        <v/>
      </c>
      <c r="AA85" s="53" t="str">
        <f t="shared" si="31"/>
        <v/>
      </c>
      <c r="AB85" s="53" t="str">
        <f t="shared" si="32"/>
        <v/>
      </c>
    </row>
    <row r="86" spans="1:28" x14ac:dyDescent="0.25">
      <c r="A86" s="4">
        <f t="shared" si="18"/>
        <v>0</v>
      </c>
      <c r="B86" s="3" t="str">
        <f t="shared" si="19"/>
        <v/>
      </c>
      <c r="C86" s="3" t="str">
        <f t="shared" si="20"/>
        <v/>
      </c>
      <c r="D86" s="28" t="str">
        <f t="shared" si="21"/>
        <v/>
      </c>
      <c r="P86" s="53" t="str">
        <f t="shared" si="22"/>
        <v/>
      </c>
      <c r="Q86" s="53" t="str">
        <f t="shared" si="23"/>
        <v/>
      </c>
      <c r="R86" s="53" t="str">
        <f t="shared" si="24"/>
        <v/>
      </c>
      <c r="T86" s="53" t="str">
        <f t="shared" si="25"/>
        <v/>
      </c>
      <c r="U86" s="53" t="str">
        <f t="shared" si="33"/>
        <v/>
      </c>
      <c r="V86" s="53" t="str">
        <f t="shared" si="26"/>
        <v/>
      </c>
      <c r="W86" s="53" t="str">
        <f t="shared" si="27"/>
        <v/>
      </c>
      <c r="X86" s="53">
        <f t="shared" si="28"/>
        <v>4</v>
      </c>
      <c r="Y86" s="53" t="str">
        <f t="shared" si="29"/>
        <v/>
      </c>
      <c r="Z86" s="53" t="str">
        <f t="shared" si="30"/>
        <v/>
      </c>
      <c r="AA86" s="53" t="str">
        <f t="shared" si="31"/>
        <v/>
      </c>
      <c r="AB86" s="53" t="str">
        <f t="shared" si="32"/>
        <v/>
      </c>
    </row>
    <row r="87" spans="1:28" x14ac:dyDescent="0.25">
      <c r="A87" s="4">
        <f t="shared" si="18"/>
        <v>0</v>
      </c>
      <c r="B87" s="3" t="str">
        <f t="shared" si="19"/>
        <v/>
      </c>
      <c r="C87" s="3" t="str">
        <f t="shared" si="20"/>
        <v/>
      </c>
      <c r="D87" s="28" t="str">
        <f t="shared" si="21"/>
        <v/>
      </c>
      <c r="P87" s="53" t="str">
        <f t="shared" si="22"/>
        <v/>
      </c>
      <c r="Q87" s="53" t="str">
        <f t="shared" si="23"/>
        <v/>
      </c>
      <c r="R87" s="53" t="str">
        <f t="shared" si="24"/>
        <v/>
      </c>
      <c r="T87" s="53" t="str">
        <f t="shared" si="25"/>
        <v/>
      </c>
      <c r="U87" s="53" t="str">
        <f t="shared" si="33"/>
        <v/>
      </c>
      <c r="V87" s="53" t="str">
        <f t="shared" si="26"/>
        <v/>
      </c>
      <c r="W87" s="53" t="str">
        <f t="shared" si="27"/>
        <v/>
      </c>
      <c r="X87" s="53">
        <f t="shared" si="28"/>
        <v>4</v>
      </c>
      <c r="Y87" s="53" t="str">
        <f t="shared" si="29"/>
        <v/>
      </c>
      <c r="Z87" s="53" t="str">
        <f t="shared" si="30"/>
        <v/>
      </c>
      <c r="AA87" s="53" t="str">
        <f t="shared" si="31"/>
        <v/>
      </c>
      <c r="AB87" s="53" t="str">
        <f t="shared" si="32"/>
        <v/>
      </c>
    </row>
    <row r="88" spans="1:28" x14ac:dyDescent="0.25">
      <c r="A88" s="4">
        <f t="shared" si="18"/>
        <v>0</v>
      </c>
      <c r="B88" s="3" t="str">
        <f t="shared" si="19"/>
        <v/>
      </c>
      <c r="C88" s="3" t="str">
        <f t="shared" si="20"/>
        <v/>
      </c>
      <c r="D88" s="28" t="str">
        <f t="shared" si="21"/>
        <v/>
      </c>
      <c r="P88" s="53" t="str">
        <f t="shared" si="22"/>
        <v/>
      </c>
      <c r="Q88" s="53" t="str">
        <f t="shared" si="23"/>
        <v/>
      </c>
      <c r="R88" s="53" t="str">
        <f t="shared" si="24"/>
        <v/>
      </c>
      <c r="T88" s="53" t="str">
        <f t="shared" si="25"/>
        <v/>
      </c>
      <c r="U88" s="53" t="str">
        <f t="shared" si="33"/>
        <v/>
      </c>
      <c r="V88" s="53" t="str">
        <f t="shared" si="26"/>
        <v/>
      </c>
      <c r="W88" s="53" t="str">
        <f t="shared" si="27"/>
        <v/>
      </c>
      <c r="X88" s="53">
        <f t="shared" si="28"/>
        <v>4</v>
      </c>
      <c r="Y88" s="53" t="str">
        <f t="shared" si="29"/>
        <v/>
      </c>
      <c r="Z88" s="53" t="str">
        <f t="shared" si="30"/>
        <v/>
      </c>
      <c r="AA88" s="53" t="str">
        <f t="shared" si="31"/>
        <v/>
      </c>
      <c r="AB88" s="53" t="str">
        <f t="shared" si="32"/>
        <v/>
      </c>
    </row>
    <row r="89" spans="1:28" x14ac:dyDescent="0.25">
      <c r="A89" s="4">
        <f t="shared" si="18"/>
        <v>0</v>
      </c>
      <c r="B89" s="3" t="str">
        <f t="shared" si="19"/>
        <v/>
      </c>
      <c r="C89" s="3" t="str">
        <f t="shared" si="20"/>
        <v/>
      </c>
      <c r="D89" s="28" t="str">
        <f t="shared" si="21"/>
        <v/>
      </c>
      <c r="P89" s="53" t="str">
        <f t="shared" si="22"/>
        <v/>
      </c>
      <c r="Q89" s="53" t="str">
        <f t="shared" si="23"/>
        <v/>
      </c>
      <c r="R89" s="53" t="str">
        <f t="shared" si="24"/>
        <v/>
      </c>
      <c r="T89" s="53" t="str">
        <f t="shared" si="25"/>
        <v/>
      </c>
      <c r="U89" s="53" t="str">
        <f t="shared" si="33"/>
        <v/>
      </c>
      <c r="V89" s="53" t="str">
        <f t="shared" si="26"/>
        <v/>
      </c>
      <c r="W89" s="53" t="str">
        <f t="shared" si="27"/>
        <v/>
      </c>
      <c r="X89" s="53">
        <f t="shared" si="28"/>
        <v>4</v>
      </c>
      <c r="Y89" s="53" t="str">
        <f t="shared" si="29"/>
        <v/>
      </c>
      <c r="Z89" s="53" t="str">
        <f t="shared" si="30"/>
        <v/>
      </c>
      <c r="AA89" s="53" t="str">
        <f t="shared" si="31"/>
        <v/>
      </c>
      <c r="AB89" s="53" t="str">
        <f t="shared" si="32"/>
        <v/>
      </c>
    </row>
    <row r="90" spans="1:28" x14ac:dyDescent="0.25">
      <c r="A90" s="4">
        <f t="shared" si="18"/>
        <v>0</v>
      </c>
      <c r="B90" s="3" t="str">
        <f t="shared" si="19"/>
        <v/>
      </c>
      <c r="C90" s="3" t="str">
        <f t="shared" si="20"/>
        <v/>
      </c>
      <c r="D90" s="28" t="str">
        <f t="shared" si="21"/>
        <v/>
      </c>
      <c r="P90" s="53" t="str">
        <f t="shared" si="22"/>
        <v/>
      </c>
      <c r="Q90" s="53" t="str">
        <f t="shared" si="23"/>
        <v/>
      </c>
      <c r="R90" s="53" t="str">
        <f t="shared" si="24"/>
        <v/>
      </c>
      <c r="T90" s="53" t="str">
        <f t="shared" si="25"/>
        <v/>
      </c>
      <c r="U90" s="53" t="str">
        <f t="shared" si="33"/>
        <v/>
      </c>
      <c r="V90" s="53" t="str">
        <f t="shared" si="26"/>
        <v/>
      </c>
      <c r="W90" s="53" t="str">
        <f t="shared" si="27"/>
        <v/>
      </c>
      <c r="X90" s="53">
        <f t="shared" si="28"/>
        <v>4</v>
      </c>
      <c r="Y90" s="53" t="str">
        <f t="shared" si="29"/>
        <v/>
      </c>
      <c r="Z90" s="53" t="str">
        <f t="shared" si="30"/>
        <v/>
      </c>
      <c r="AA90" s="53" t="str">
        <f t="shared" si="31"/>
        <v/>
      </c>
      <c r="AB90" s="53" t="str">
        <f t="shared" si="32"/>
        <v/>
      </c>
    </row>
    <row r="91" spans="1:28" x14ac:dyDescent="0.25">
      <c r="A91" s="4">
        <f t="shared" si="18"/>
        <v>0</v>
      </c>
      <c r="B91" s="3" t="str">
        <f t="shared" si="19"/>
        <v/>
      </c>
      <c r="C91" s="3" t="str">
        <f t="shared" si="20"/>
        <v/>
      </c>
      <c r="D91" s="28" t="str">
        <f t="shared" si="21"/>
        <v/>
      </c>
      <c r="P91" s="53" t="str">
        <f t="shared" si="22"/>
        <v/>
      </c>
      <c r="Q91" s="53" t="str">
        <f t="shared" si="23"/>
        <v/>
      </c>
      <c r="R91" s="53" t="str">
        <f t="shared" si="24"/>
        <v/>
      </c>
      <c r="T91" s="53" t="str">
        <f t="shared" si="25"/>
        <v/>
      </c>
      <c r="U91" s="53" t="str">
        <f t="shared" si="33"/>
        <v/>
      </c>
      <c r="V91" s="53" t="str">
        <f t="shared" si="26"/>
        <v/>
      </c>
      <c r="W91" s="53" t="str">
        <f t="shared" si="27"/>
        <v/>
      </c>
      <c r="X91" s="53">
        <f t="shared" si="28"/>
        <v>4</v>
      </c>
      <c r="Y91" s="53" t="str">
        <f t="shared" si="29"/>
        <v/>
      </c>
      <c r="Z91" s="53" t="str">
        <f t="shared" si="30"/>
        <v/>
      </c>
      <c r="AA91" s="53" t="str">
        <f t="shared" si="31"/>
        <v/>
      </c>
      <c r="AB91" s="53" t="str">
        <f t="shared" si="32"/>
        <v/>
      </c>
    </row>
    <row r="92" spans="1:28" x14ac:dyDescent="0.25">
      <c r="A92" s="4">
        <f t="shared" si="18"/>
        <v>0</v>
      </c>
      <c r="B92" s="3" t="str">
        <f t="shared" si="19"/>
        <v/>
      </c>
      <c r="C92" s="3" t="str">
        <f t="shared" si="20"/>
        <v/>
      </c>
      <c r="D92" s="28" t="str">
        <f t="shared" si="21"/>
        <v/>
      </c>
      <c r="P92" s="53" t="str">
        <f t="shared" si="22"/>
        <v/>
      </c>
      <c r="Q92" s="53" t="str">
        <f t="shared" si="23"/>
        <v/>
      </c>
      <c r="R92" s="53" t="str">
        <f t="shared" si="24"/>
        <v/>
      </c>
      <c r="T92" s="53" t="str">
        <f t="shared" si="25"/>
        <v/>
      </c>
      <c r="U92" s="53" t="str">
        <f t="shared" si="33"/>
        <v/>
      </c>
      <c r="V92" s="53" t="str">
        <f t="shared" si="26"/>
        <v/>
      </c>
      <c r="W92" s="53" t="str">
        <f t="shared" si="27"/>
        <v/>
      </c>
      <c r="X92" s="53">
        <f t="shared" si="28"/>
        <v>4</v>
      </c>
      <c r="Y92" s="53" t="str">
        <f t="shared" si="29"/>
        <v/>
      </c>
      <c r="Z92" s="53" t="str">
        <f t="shared" si="30"/>
        <v/>
      </c>
      <c r="AA92" s="53" t="str">
        <f t="shared" si="31"/>
        <v/>
      </c>
      <c r="AB92" s="53" t="str">
        <f t="shared" si="32"/>
        <v/>
      </c>
    </row>
    <row r="93" spans="1:28" x14ac:dyDescent="0.25">
      <c r="A93" s="4">
        <f t="shared" si="18"/>
        <v>0</v>
      </c>
      <c r="B93" s="3" t="str">
        <f t="shared" si="19"/>
        <v/>
      </c>
      <c r="C93" s="3" t="str">
        <f t="shared" si="20"/>
        <v/>
      </c>
      <c r="D93" s="28" t="str">
        <f t="shared" si="21"/>
        <v/>
      </c>
      <c r="P93" s="53" t="str">
        <f t="shared" si="22"/>
        <v/>
      </c>
      <c r="Q93" s="53" t="str">
        <f t="shared" si="23"/>
        <v/>
      </c>
      <c r="R93" s="53" t="str">
        <f t="shared" si="24"/>
        <v/>
      </c>
      <c r="T93" s="53" t="str">
        <f t="shared" si="25"/>
        <v/>
      </c>
      <c r="U93" s="53" t="str">
        <f t="shared" si="33"/>
        <v/>
      </c>
      <c r="V93" s="53" t="str">
        <f t="shared" si="26"/>
        <v/>
      </c>
      <c r="W93" s="53" t="str">
        <f t="shared" si="27"/>
        <v/>
      </c>
      <c r="X93" s="53">
        <f t="shared" si="28"/>
        <v>4</v>
      </c>
      <c r="Y93" s="53" t="str">
        <f t="shared" si="29"/>
        <v/>
      </c>
      <c r="Z93" s="53" t="str">
        <f t="shared" si="30"/>
        <v/>
      </c>
      <c r="AA93" s="53" t="str">
        <f t="shared" si="31"/>
        <v/>
      </c>
      <c r="AB93" s="53" t="str">
        <f t="shared" si="32"/>
        <v/>
      </c>
    </row>
    <row r="94" spans="1:28" x14ac:dyDescent="0.25">
      <c r="A94" s="4">
        <f t="shared" si="18"/>
        <v>0</v>
      </c>
      <c r="B94" s="3" t="str">
        <f t="shared" si="19"/>
        <v/>
      </c>
      <c r="C94" s="3" t="str">
        <f t="shared" si="20"/>
        <v/>
      </c>
      <c r="D94" s="28" t="str">
        <f t="shared" si="21"/>
        <v/>
      </c>
      <c r="P94" s="53" t="str">
        <f t="shared" si="22"/>
        <v/>
      </c>
      <c r="Q94" s="53" t="str">
        <f t="shared" si="23"/>
        <v/>
      </c>
      <c r="R94" s="53" t="str">
        <f t="shared" si="24"/>
        <v/>
      </c>
      <c r="T94" s="53" t="str">
        <f t="shared" si="25"/>
        <v/>
      </c>
      <c r="U94" s="53" t="str">
        <f t="shared" si="33"/>
        <v/>
      </c>
      <c r="V94" s="53" t="str">
        <f t="shared" si="26"/>
        <v/>
      </c>
      <c r="W94" s="53" t="str">
        <f t="shared" si="27"/>
        <v/>
      </c>
      <c r="X94" s="53">
        <f t="shared" si="28"/>
        <v>4</v>
      </c>
      <c r="Y94" s="53" t="str">
        <f t="shared" si="29"/>
        <v/>
      </c>
      <c r="Z94" s="53" t="str">
        <f t="shared" si="30"/>
        <v/>
      </c>
      <c r="AA94" s="53" t="str">
        <f t="shared" si="31"/>
        <v/>
      </c>
      <c r="AB94" s="53" t="str">
        <f t="shared" si="32"/>
        <v/>
      </c>
    </row>
    <row r="95" spans="1:28" x14ac:dyDescent="0.25">
      <c r="A95" s="4">
        <f t="shared" si="18"/>
        <v>0</v>
      </c>
      <c r="B95" s="3" t="str">
        <f t="shared" si="19"/>
        <v/>
      </c>
      <c r="C95" s="3" t="str">
        <f t="shared" si="20"/>
        <v/>
      </c>
      <c r="D95" s="28" t="str">
        <f t="shared" si="21"/>
        <v/>
      </c>
      <c r="P95" s="53" t="str">
        <f t="shared" si="22"/>
        <v/>
      </c>
      <c r="Q95" s="53" t="str">
        <f t="shared" si="23"/>
        <v/>
      </c>
      <c r="R95" s="53" t="str">
        <f t="shared" si="24"/>
        <v/>
      </c>
      <c r="T95" s="53" t="str">
        <f t="shared" si="25"/>
        <v/>
      </c>
      <c r="U95" s="53" t="str">
        <f t="shared" si="33"/>
        <v/>
      </c>
      <c r="V95" s="53" t="str">
        <f t="shared" si="26"/>
        <v/>
      </c>
      <c r="W95" s="53" t="str">
        <f t="shared" si="27"/>
        <v/>
      </c>
      <c r="X95" s="53">
        <f t="shared" si="28"/>
        <v>4</v>
      </c>
      <c r="Y95" s="53" t="str">
        <f t="shared" si="29"/>
        <v/>
      </c>
      <c r="Z95" s="53" t="str">
        <f t="shared" si="30"/>
        <v/>
      </c>
      <c r="AA95" s="53" t="str">
        <f t="shared" si="31"/>
        <v/>
      </c>
      <c r="AB95" s="53" t="str">
        <f t="shared" si="32"/>
        <v/>
      </c>
    </row>
    <row r="96" spans="1:28" x14ac:dyDescent="0.25">
      <c r="A96" s="4">
        <f t="shared" si="18"/>
        <v>0</v>
      </c>
      <c r="B96" s="3" t="str">
        <f t="shared" si="19"/>
        <v/>
      </c>
      <c r="C96" s="3" t="str">
        <f t="shared" si="20"/>
        <v/>
      </c>
      <c r="D96" s="28" t="str">
        <f t="shared" si="21"/>
        <v/>
      </c>
      <c r="P96" s="53" t="str">
        <f t="shared" si="22"/>
        <v/>
      </c>
      <c r="Q96" s="53" t="str">
        <f t="shared" si="23"/>
        <v/>
      </c>
      <c r="R96" s="53" t="str">
        <f t="shared" si="24"/>
        <v/>
      </c>
      <c r="T96" s="53" t="str">
        <f t="shared" si="25"/>
        <v/>
      </c>
      <c r="U96" s="53" t="str">
        <f t="shared" si="33"/>
        <v/>
      </c>
      <c r="V96" s="53" t="str">
        <f t="shared" si="26"/>
        <v/>
      </c>
      <c r="W96" s="53" t="str">
        <f t="shared" si="27"/>
        <v/>
      </c>
      <c r="X96" s="53">
        <f t="shared" si="28"/>
        <v>4</v>
      </c>
      <c r="Y96" s="53" t="str">
        <f t="shared" si="29"/>
        <v/>
      </c>
      <c r="Z96" s="53" t="str">
        <f t="shared" si="30"/>
        <v/>
      </c>
      <c r="AA96" s="53" t="str">
        <f t="shared" si="31"/>
        <v/>
      </c>
      <c r="AB96" s="53" t="str">
        <f t="shared" si="32"/>
        <v/>
      </c>
    </row>
    <row r="97" spans="1:28" x14ac:dyDescent="0.25">
      <c r="A97" s="4">
        <f t="shared" si="18"/>
        <v>0</v>
      </c>
      <c r="B97" s="3" t="str">
        <f t="shared" si="19"/>
        <v/>
      </c>
      <c r="C97" s="3" t="str">
        <f t="shared" si="20"/>
        <v/>
      </c>
      <c r="D97" s="28" t="str">
        <f t="shared" si="21"/>
        <v/>
      </c>
      <c r="P97" s="53" t="str">
        <f t="shared" si="22"/>
        <v/>
      </c>
      <c r="Q97" s="53" t="str">
        <f t="shared" si="23"/>
        <v/>
      </c>
      <c r="R97" s="53" t="str">
        <f t="shared" si="24"/>
        <v/>
      </c>
      <c r="T97" s="53" t="str">
        <f t="shared" si="25"/>
        <v/>
      </c>
      <c r="U97" s="53" t="str">
        <f t="shared" si="33"/>
        <v/>
      </c>
      <c r="V97" s="53" t="str">
        <f t="shared" si="26"/>
        <v/>
      </c>
      <c r="W97" s="53" t="str">
        <f t="shared" si="27"/>
        <v/>
      </c>
      <c r="X97" s="53">
        <f t="shared" si="28"/>
        <v>4</v>
      </c>
      <c r="Y97" s="53" t="str">
        <f t="shared" si="29"/>
        <v/>
      </c>
      <c r="Z97" s="53" t="str">
        <f t="shared" si="30"/>
        <v/>
      </c>
      <c r="AA97" s="53" t="str">
        <f t="shared" si="31"/>
        <v/>
      </c>
      <c r="AB97" s="53" t="str">
        <f t="shared" si="32"/>
        <v/>
      </c>
    </row>
    <row r="98" spans="1:28" x14ac:dyDescent="0.25">
      <c r="A98" s="4">
        <f t="shared" si="18"/>
        <v>0</v>
      </c>
      <c r="B98" s="3" t="str">
        <f t="shared" si="19"/>
        <v/>
      </c>
      <c r="C98" s="3" t="str">
        <f t="shared" si="20"/>
        <v/>
      </c>
      <c r="D98" s="28" t="str">
        <f t="shared" si="21"/>
        <v/>
      </c>
      <c r="P98" s="53" t="str">
        <f t="shared" si="22"/>
        <v/>
      </c>
      <c r="Q98" s="53" t="str">
        <f t="shared" si="23"/>
        <v/>
      </c>
      <c r="R98" s="53" t="str">
        <f t="shared" si="24"/>
        <v/>
      </c>
      <c r="T98" s="53" t="str">
        <f t="shared" si="25"/>
        <v/>
      </c>
      <c r="U98" s="53" t="str">
        <f t="shared" si="33"/>
        <v/>
      </c>
      <c r="V98" s="53" t="str">
        <f t="shared" si="26"/>
        <v/>
      </c>
      <c r="W98" s="53" t="str">
        <f t="shared" si="27"/>
        <v/>
      </c>
      <c r="X98" s="53">
        <f t="shared" si="28"/>
        <v>4</v>
      </c>
      <c r="Y98" s="53" t="str">
        <f t="shared" si="29"/>
        <v/>
      </c>
      <c r="Z98" s="53" t="str">
        <f t="shared" si="30"/>
        <v/>
      </c>
      <c r="AA98" s="53" t="str">
        <f t="shared" si="31"/>
        <v/>
      </c>
      <c r="AB98" s="53" t="str">
        <f t="shared" si="32"/>
        <v/>
      </c>
    </row>
    <row r="99" spans="1:28" x14ac:dyDescent="0.25">
      <c r="A99" s="4">
        <f t="shared" si="18"/>
        <v>0</v>
      </c>
      <c r="B99" s="3" t="str">
        <f t="shared" si="19"/>
        <v/>
      </c>
      <c r="C99" s="3" t="str">
        <f t="shared" si="20"/>
        <v/>
      </c>
      <c r="D99" s="28" t="str">
        <f t="shared" si="21"/>
        <v/>
      </c>
      <c r="T99" s="53" t="str">
        <f t="shared" si="25"/>
        <v/>
      </c>
      <c r="U99" s="53" t="str">
        <f t="shared" si="33"/>
        <v/>
      </c>
      <c r="V99" s="53" t="str">
        <f t="shared" si="26"/>
        <v/>
      </c>
      <c r="W99" s="53" t="str">
        <f t="shared" si="27"/>
        <v/>
      </c>
      <c r="X99" s="53">
        <f t="shared" si="28"/>
        <v>4</v>
      </c>
      <c r="Y99" s="53" t="str">
        <f t="shared" si="29"/>
        <v/>
      </c>
      <c r="Z99" s="53" t="str">
        <f t="shared" si="30"/>
        <v/>
      </c>
      <c r="AA99" s="53" t="str">
        <f t="shared" si="31"/>
        <v/>
      </c>
      <c r="AB99" s="53" t="str">
        <f t="shared" si="32"/>
        <v/>
      </c>
    </row>
    <row r="100" spans="1:28" x14ac:dyDescent="0.25">
      <c r="A100" s="4">
        <f t="shared" si="18"/>
        <v>0</v>
      </c>
      <c r="B100" s="3" t="str">
        <f t="shared" si="19"/>
        <v/>
      </c>
      <c r="C100" s="3" t="str">
        <f t="shared" si="20"/>
        <v/>
      </c>
      <c r="D100" s="28" t="str">
        <f t="shared" si="21"/>
        <v/>
      </c>
      <c r="T100" s="53" t="str">
        <f t="shared" si="25"/>
        <v/>
      </c>
      <c r="U100" s="53" t="str">
        <f t="shared" si="33"/>
        <v/>
      </c>
      <c r="V100" s="53" t="str">
        <f t="shared" si="26"/>
        <v/>
      </c>
      <c r="W100" s="53" t="str">
        <f t="shared" si="27"/>
        <v/>
      </c>
      <c r="X100" s="53">
        <f t="shared" si="28"/>
        <v>4</v>
      </c>
      <c r="Y100" s="53" t="str">
        <f t="shared" si="29"/>
        <v/>
      </c>
      <c r="Z100" s="53" t="str">
        <f t="shared" si="30"/>
        <v/>
      </c>
      <c r="AA100" s="53" t="str">
        <f t="shared" si="31"/>
        <v/>
      </c>
      <c r="AB100" s="53" t="str">
        <f t="shared" si="32"/>
        <v/>
      </c>
    </row>
    <row r="101" spans="1:28" x14ac:dyDescent="0.25">
      <c r="A101" s="4">
        <f t="shared" si="18"/>
        <v>0</v>
      </c>
      <c r="B101" s="3" t="str">
        <f t="shared" si="19"/>
        <v/>
      </c>
      <c r="C101" s="3" t="str">
        <f t="shared" si="20"/>
        <v/>
      </c>
      <c r="D101" s="28" t="str">
        <f t="shared" si="21"/>
        <v/>
      </c>
      <c r="T101" s="53" t="str">
        <f t="shared" si="25"/>
        <v/>
      </c>
      <c r="U101" s="53" t="str">
        <f t="shared" si="33"/>
        <v/>
      </c>
      <c r="V101" s="53" t="str">
        <f t="shared" si="26"/>
        <v/>
      </c>
      <c r="W101" s="53" t="str">
        <f t="shared" si="27"/>
        <v/>
      </c>
      <c r="X101" s="53">
        <f t="shared" si="28"/>
        <v>4</v>
      </c>
      <c r="Y101" s="53" t="str">
        <f t="shared" si="29"/>
        <v/>
      </c>
      <c r="Z101" s="53" t="str">
        <f t="shared" si="30"/>
        <v/>
      </c>
      <c r="AA101" s="53" t="str">
        <f t="shared" si="31"/>
        <v/>
      </c>
      <c r="AB101" s="53" t="str">
        <f t="shared" si="32"/>
        <v/>
      </c>
    </row>
    <row r="102" spans="1:28" x14ac:dyDescent="0.25">
      <c r="T102" s="53" t="str">
        <f t="shared" si="25"/>
        <v/>
      </c>
      <c r="U102" s="53" t="str">
        <f t="shared" si="33"/>
        <v/>
      </c>
      <c r="V102" s="53" t="str">
        <f t="shared" si="26"/>
        <v/>
      </c>
      <c r="W102" s="53" t="str">
        <f t="shared" si="27"/>
        <v/>
      </c>
      <c r="X102" s="53">
        <f t="shared" si="28"/>
        <v>4</v>
      </c>
      <c r="Y102" s="53" t="str">
        <f t="shared" si="29"/>
        <v/>
      </c>
      <c r="Z102" s="53" t="str">
        <f t="shared" si="30"/>
        <v/>
      </c>
      <c r="AA102" s="53" t="str">
        <f t="shared" si="31"/>
        <v/>
      </c>
      <c r="AB102" s="53" t="str">
        <f t="shared" si="32"/>
        <v/>
      </c>
    </row>
    <row r="103" spans="1:28" x14ac:dyDescent="0.25">
      <c r="T103" s="53" t="str">
        <f t="shared" si="25"/>
        <v/>
      </c>
      <c r="U103" s="53" t="str">
        <f t="shared" si="33"/>
        <v/>
      </c>
      <c r="V103" s="53" t="str">
        <f t="shared" si="26"/>
        <v/>
      </c>
      <c r="W103" s="53" t="str">
        <f t="shared" si="27"/>
        <v/>
      </c>
      <c r="X103" s="53">
        <f t="shared" si="28"/>
        <v>4</v>
      </c>
      <c r="Y103" s="53" t="str">
        <f t="shared" si="29"/>
        <v/>
      </c>
      <c r="Z103" s="53" t="str">
        <f t="shared" si="30"/>
        <v/>
      </c>
      <c r="AA103" s="53" t="str">
        <f t="shared" si="31"/>
        <v/>
      </c>
      <c r="AB103" s="53" t="str">
        <f t="shared" si="32"/>
        <v/>
      </c>
    </row>
    <row r="104" spans="1:28" x14ac:dyDescent="0.25">
      <c r="T104" s="53" t="str">
        <f t="shared" si="25"/>
        <v/>
      </c>
      <c r="U104" s="53" t="str">
        <f t="shared" si="33"/>
        <v/>
      </c>
      <c r="V104" s="53" t="str">
        <f t="shared" si="26"/>
        <v/>
      </c>
      <c r="W104" s="53" t="str">
        <f t="shared" si="27"/>
        <v/>
      </c>
      <c r="X104" s="53">
        <f t="shared" si="28"/>
        <v>4</v>
      </c>
      <c r="Y104" s="53" t="str">
        <f t="shared" si="29"/>
        <v/>
      </c>
      <c r="Z104" s="53" t="str">
        <f t="shared" si="30"/>
        <v/>
      </c>
      <c r="AA104" s="53" t="str">
        <f t="shared" si="31"/>
        <v/>
      </c>
      <c r="AB104" s="53" t="str">
        <f t="shared" si="32"/>
        <v/>
      </c>
    </row>
    <row r="105" spans="1:28" x14ac:dyDescent="0.25">
      <c r="T105" s="53" t="str">
        <f t="shared" si="25"/>
        <v/>
      </c>
      <c r="U105" s="53" t="str">
        <f t="shared" si="33"/>
        <v/>
      </c>
      <c r="V105" s="53" t="str">
        <f t="shared" si="26"/>
        <v/>
      </c>
      <c r="W105" s="53" t="str">
        <f t="shared" si="27"/>
        <v/>
      </c>
      <c r="X105" s="53">
        <f t="shared" si="28"/>
        <v>4</v>
      </c>
      <c r="Y105" s="53" t="str">
        <f t="shared" si="29"/>
        <v/>
      </c>
      <c r="Z105" s="53" t="str">
        <f t="shared" si="30"/>
        <v/>
      </c>
      <c r="AA105" s="53" t="str">
        <f t="shared" si="31"/>
        <v/>
      </c>
      <c r="AB105" s="53" t="str">
        <f t="shared" si="32"/>
        <v/>
      </c>
    </row>
    <row r="106" spans="1:28" x14ac:dyDescent="0.25">
      <c r="T106" s="53" t="str">
        <f t="shared" si="25"/>
        <v/>
      </c>
      <c r="U106" s="53" t="str">
        <f t="shared" si="33"/>
        <v/>
      </c>
      <c r="V106" s="53" t="str">
        <f t="shared" si="26"/>
        <v/>
      </c>
      <c r="W106" s="53" t="str">
        <f t="shared" si="27"/>
        <v/>
      </c>
      <c r="X106" s="53">
        <f t="shared" si="28"/>
        <v>4</v>
      </c>
      <c r="Y106" s="53" t="str">
        <f t="shared" si="29"/>
        <v/>
      </c>
      <c r="Z106" s="53" t="str">
        <f t="shared" si="30"/>
        <v/>
      </c>
      <c r="AA106" s="53" t="str">
        <f t="shared" si="31"/>
        <v/>
      </c>
      <c r="AB106" s="53" t="str">
        <f t="shared" si="32"/>
        <v/>
      </c>
    </row>
    <row r="107" spans="1:28" x14ac:dyDescent="0.25">
      <c r="T107" s="53" t="str">
        <f t="shared" si="25"/>
        <v/>
      </c>
      <c r="U107" s="53" t="str">
        <f t="shared" si="33"/>
        <v/>
      </c>
      <c r="V107" s="53" t="str">
        <f t="shared" si="26"/>
        <v/>
      </c>
      <c r="W107" s="53" t="str">
        <f t="shared" si="27"/>
        <v/>
      </c>
      <c r="X107" s="53">
        <f t="shared" si="28"/>
        <v>4</v>
      </c>
      <c r="Y107" s="53" t="str">
        <f t="shared" si="29"/>
        <v/>
      </c>
      <c r="Z107" s="53" t="str">
        <f t="shared" si="30"/>
        <v/>
      </c>
      <c r="AA107" s="53" t="str">
        <f t="shared" si="31"/>
        <v/>
      </c>
      <c r="AB107" s="53" t="str">
        <f t="shared" si="32"/>
        <v/>
      </c>
    </row>
    <row r="108" spans="1:28" x14ac:dyDescent="0.25">
      <c r="T108" s="53" t="str">
        <f t="shared" si="25"/>
        <v/>
      </c>
      <c r="U108" s="53" t="str">
        <f t="shared" si="33"/>
        <v/>
      </c>
      <c r="V108" s="53" t="str">
        <f t="shared" si="26"/>
        <v/>
      </c>
      <c r="W108" s="53" t="str">
        <f t="shared" si="27"/>
        <v/>
      </c>
      <c r="X108" s="53">
        <f t="shared" si="28"/>
        <v>4</v>
      </c>
      <c r="Y108" s="53" t="str">
        <f t="shared" si="29"/>
        <v/>
      </c>
      <c r="Z108" s="53" t="str">
        <f t="shared" si="30"/>
        <v/>
      </c>
      <c r="AA108" s="53" t="str">
        <f t="shared" si="31"/>
        <v/>
      </c>
      <c r="AB108" s="53" t="str">
        <f t="shared" si="32"/>
        <v/>
      </c>
    </row>
    <row r="109" spans="1:28" x14ac:dyDescent="0.25">
      <c r="T109" s="53" t="str">
        <f t="shared" si="25"/>
        <v/>
      </c>
      <c r="U109" s="53" t="str">
        <f t="shared" si="33"/>
        <v/>
      </c>
      <c r="V109" s="53" t="str">
        <f t="shared" si="26"/>
        <v/>
      </c>
      <c r="W109" s="53" t="str">
        <f t="shared" si="27"/>
        <v/>
      </c>
      <c r="X109" s="53">
        <f t="shared" si="28"/>
        <v>4</v>
      </c>
      <c r="Y109" s="53" t="str">
        <f t="shared" si="29"/>
        <v/>
      </c>
      <c r="Z109" s="53" t="str">
        <f t="shared" si="30"/>
        <v/>
      </c>
      <c r="AA109" s="53" t="str">
        <f t="shared" si="31"/>
        <v/>
      </c>
      <c r="AB109" s="53" t="str">
        <f t="shared" si="32"/>
        <v/>
      </c>
    </row>
    <row r="110" spans="1:28" x14ac:dyDescent="0.25">
      <c r="T110" s="53" t="str">
        <f t="shared" si="25"/>
        <v/>
      </c>
      <c r="U110" s="53" t="str">
        <f t="shared" si="33"/>
        <v/>
      </c>
      <c r="V110" s="53" t="str">
        <f t="shared" si="26"/>
        <v/>
      </c>
      <c r="W110" s="53" t="str">
        <f t="shared" si="27"/>
        <v/>
      </c>
      <c r="X110" s="53">
        <f t="shared" si="28"/>
        <v>4</v>
      </c>
      <c r="Y110" s="53" t="str">
        <f t="shared" si="29"/>
        <v/>
      </c>
      <c r="Z110" s="53" t="str">
        <f t="shared" si="30"/>
        <v/>
      </c>
      <c r="AA110" s="53" t="str">
        <f t="shared" si="31"/>
        <v/>
      </c>
      <c r="AB110" s="53" t="str">
        <f t="shared" si="32"/>
        <v/>
      </c>
    </row>
    <row r="111" spans="1:28" x14ac:dyDescent="0.25">
      <c r="T111" s="53" t="str">
        <f t="shared" si="25"/>
        <v/>
      </c>
      <c r="U111" s="53" t="str">
        <f t="shared" si="33"/>
        <v/>
      </c>
      <c r="V111" s="53" t="str">
        <f t="shared" si="26"/>
        <v/>
      </c>
      <c r="W111" s="53" t="str">
        <f t="shared" si="27"/>
        <v/>
      </c>
      <c r="X111" s="53">
        <f t="shared" si="28"/>
        <v>4</v>
      </c>
      <c r="Y111" s="53" t="str">
        <f t="shared" si="29"/>
        <v/>
      </c>
      <c r="Z111" s="53" t="str">
        <f t="shared" si="30"/>
        <v/>
      </c>
      <c r="AA111" s="53" t="str">
        <f t="shared" si="31"/>
        <v/>
      </c>
      <c r="AB111" s="53" t="str">
        <f t="shared" si="32"/>
        <v/>
      </c>
    </row>
    <row r="112" spans="1:28" x14ac:dyDescent="0.25">
      <c r="T112" s="53" t="str">
        <f t="shared" si="25"/>
        <v/>
      </c>
      <c r="U112" s="53" t="str">
        <f t="shared" si="33"/>
        <v/>
      </c>
      <c r="V112" s="53" t="str">
        <f t="shared" si="26"/>
        <v/>
      </c>
      <c r="W112" s="53" t="str">
        <f t="shared" si="27"/>
        <v/>
      </c>
      <c r="X112" s="53">
        <f t="shared" si="28"/>
        <v>4</v>
      </c>
      <c r="Y112" s="53" t="str">
        <f t="shared" si="29"/>
        <v/>
      </c>
      <c r="Z112" s="53" t="str">
        <f t="shared" si="30"/>
        <v/>
      </c>
      <c r="AA112" s="53" t="str">
        <f t="shared" si="31"/>
        <v/>
      </c>
      <c r="AB112" s="53" t="str">
        <f t="shared" si="32"/>
        <v/>
      </c>
    </row>
    <row r="113" spans="20:28" x14ac:dyDescent="0.25">
      <c r="T113" s="53" t="str">
        <f t="shared" si="25"/>
        <v/>
      </c>
      <c r="U113" s="53" t="str">
        <f t="shared" si="33"/>
        <v/>
      </c>
      <c r="V113" s="53" t="str">
        <f t="shared" si="26"/>
        <v/>
      </c>
      <c r="W113" s="53" t="str">
        <f t="shared" si="27"/>
        <v/>
      </c>
      <c r="X113" s="53">
        <f t="shared" si="28"/>
        <v>4</v>
      </c>
      <c r="Y113" s="53" t="str">
        <f t="shared" si="29"/>
        <v/>
      </c>
      <c r="Z113" s="53" t="str">
        <f t="shared" si="30"/>
        <v/>
      </c>
      <c r="AA113" s="53" t="str">
        <f t="shared" si="31"/>
        <v/>
      </c>
      <c r="AB113" s="53" t="str">
        <f t="shared" si="32"/>
        <v/>
      </c>
    </row>
    <row r="114" spans="20:28" x14ac:dyDescent="0.25">
      <c r="T114" s="53" t="str">
        <f t="shared" si="25"/>
        <v/>
      </c>
      <c r="U114" s="53" t="str">
        <f t="shared" si="33"/>
        <v/>
      </c>
      <c r="V114" s="53" t="str">
        <f t="shared" si="26"/>
        <v/>
      </c>
      <c r="W114" s="53" t="str">
        <f t="shared" si="27"/>
        <v/>
      </c>
      <c r="X114" s="53">
        <f t="shared" si="28"/>
        <v>4</v>
      </c>
      <c r="Y114" s="53" t="str">
        <f t="shared" si="29"/>
        <v/>
      </c>
      <c r="Z114" s="53" t="str">
        <f t="shared" si="30"/>
        <v/>
      </c>
      <c r="AA114" s="53" t="str">
        <f t="shared" si="31"/>
        <v/>
      </c>
      <c r="AB114" s="53" t="str">
        <f t="shared" si="32"/>
        <v/>
      </c>
    </row>
    <row r="115" spans="20:28" x14ac:dyDescent="0.25">
      <c r="T115" s="53" t="str">
        <f t="shared" si="25"/>
        <v/>
      </c>
      <c r="U115" s="53" t="str">
        <f t="shared" si="33"/>
        <v/>
      </c>
      <c r="V115" s="53" t="str">
        <f t="shared" si="26"/>
        <v/>
      </c>
      <c r="W115" s="53" t="str">
        <f t="shared" si="27"/>
        <v/>
      </c>
      <c r="X115" s="53">
        <f t="shared" si="28"/>
        <v>4</v>
      </c>
      <c r="Y115" s="53" t="str">
        <f t="shared" si="29"/>
        <v/>
      </c>
      <c r="Z115" s="53" t="str">
        <f t="shared" si="30"/>
        <v/>
      </c>
      <c r="AA115" s="53" t="str">
        <f t="shared" si="31"/>
        <v/>
      </c>
      <c r="AB115" s="53" t="str">
        <f t="shared" si="32"/>
        <v/>
      </c>
    </row>
    <row r="116" spans="20:28" x14ac:dyDescent="0.25">
      <c r="T116" s="53" t="str">
        <f t="shared" si="25"/>
        <v/>
      </c>
      <c r="U116" s="53" t="str">
        <f t="shared" si="33"/>
        <v/>
      </c>
      <c r="V116" s="53" t="str">
        <f t="shared" si="26"/>
        <v/>
      </c>
      <c r="W116" s="53" t="str">
        <f t="shared" si="27"/>
        <v/>
      </c>
      <c r="X116" s="53">
        <f t="shared" si="28"/>
        <v>4</v>
      </c>
      <c r="Y116" s="53" t="str">
        <f t="shared" si="29"/>
        <v/>
      </c>
      <c r="Z116" s="53" t="str">
        <f t="shared" si="30"/>
        <v/>
      </c>
      <c r="AA116" s="53" t="str">
        <f t="shared" si="31"/>
        <v/>
      </c>
      <c r="AB116" s="53" t="str">
        <f t="shared" si="32"/>
        <v/>
      </c>
    </row>
    <row r="117" spans="20:28" x14ac:dyDescent="0.25">
      <c r="T117" s="53" t="str">
        <f t="shared" si="25"/>
        <v/>
      </c>
      <c r="U117" s="53" t="str">
        <f t="shared" si="33"/>
        <v/>
      </c>
      <c r="V117" s="53" t="str">
        <f t="shared" si="26"/>
        <v/>
      </c>
      <c r="W117" s="53" t="str">
        <f t="shared" si="27"/>
        <v/>
      </c>
      <c r="X117" s="53">
        <f t="shared" si="28"/>
        <v>4</v>
      </c>
      <c r="Y117" s="53" t="str">
        <f t="shared" si="29"/>
        <v/>
      </c>
      <c r="Z117" s="53" t="str">
        <f t="shared" si="30"/>
        <v/>
      </c>
      <c r="AA117" s="53" t="str">
        <f t="shared" si="31"/>
        <v/>
      </c>
      <c r="AB117" s="53" t="str">
        <f t="shared" si="32"/>
        <v/>
      </c>
    </row>
    <row r="118" spans="20:28" x14ac:dyDescent="0.25">
      <c r="T118" s="53" t="str">
        <f t="shared" si="25"/>
        <v/>
      </c>
      <c r="U118" s="53" t="str">
        <f t="shared" si="33"/>
        <v/>
      </c>
      <c r="V118" s="53" t="str">
        <f t="shared" si="26"/>
        <v/>
      </c>
      <c r="W118" s="53" t="str">
        <f t="shared" si="27"/>
        <v/>
      </c>
      <c r="X118" s="53">
        <f t="shared" si="28"/>
        <v>4</v>
      </c>
      <c r="Y118" s="53" t="str">
        <f t="shared" si="29"/>
        <v/>
      </c>
      <c r="Z118" s="53" t="str">
        <f t="shared" si="30"/>
        <v/>
      </c>
      <c r="AA118" s="53" t="str">
        <f t="shared" si="31"/>
        <v/>
      </c>
      <c r="AB118" s="53" t="str">
        <f t="shared" si="32"/>
        <v/>
      </c>
    </row>
    <row r="119" spans="20:28" x14ac:dyDescent="0.25">
      <c r="T119" s="53" t="str">
        <f t="shared" si="25"/>
        <v/>
      </c>
      <c r="U119" s="53" t="str">
        <f t="shared" si="33"/>
        <v/>
      </c>
      <c r="V119" s="53" t="str">
        <f t="shared" si="26"/>
        <v/>
      </c>
      <c r="W119" s="53" t="str">
        <f t="shared" si="27"/>
        <v/>
      </c>
      <c r="X119" s="53">
        <f t="shared" si="28"/>
        <v>4</v>
      </c>
      <c r="Y119" s="53" t="str">
        <f t="shared" si="29"/>
        <v/>
      </c>
      <c r="Z119" s="53" t="str">
        <f t="shared" si="30"/>
        <v/>
      </c>
      <c r="AA119" s="53" t="str">
        <f t="shared" si="31"/>
        <v/>
      </c>
      <c r="AB119" s="53" t="str">
        <f t="shared" si="32"/>
        <v/>
      </c>
    </row>
    <row r="120" spans="20:28" x14ac:dyDescent="0.25">
      <c r="T120" s="53" t="str">
        <f t="shared" si="25"/>
        <v/>
      </c>
      <c r="U120" s="53" t="str">
        <f t="shared" si="33"/>
        <v/>
      </c>
      <c r="V120" s="53" t="str">
        <f t="shared" si="26"/>
        <v/>
      </c>
      <c r="W120" s="53" t="str">
        <f t="shared" si="27"/>
        <v/>
      </c>
      <c r="X120" s="53">
        <f t="shared" si="28"/>
        <v>4</v>
      </c>
      <c r="Y120" s="53" t="str">
        <f t="shared" si="29"/>
        <v/>
      </c>
      <c r="Z120" s="53" t="str">
        <f t="shared" si="30"/>
        <v/>
      </c>
      <c r="AA120" s="53" t="str">
        <f t="shared" si="31"/>
        <v/>
      </c>
      <c r="AB120" s="53" t="str">
        <f t="shared" si="32"/>
        <v/>
      </c>
    </row>
    <row r="121" spans="20:28" x14ac:dyDescent="0.25">
      <c r="T121" s="53" t="str">
        <f t="shared" si="25"/>
        <v/>
      </c>
      <c r="U121" s="53" t="str">
        <f t="shared" si="33"/>
        <v/>
      </c>
      <c r="V121" s="53" t="str">
        <f t="shared" si="26"/>
        <v/>
      </c>
      <c r="W121" s="53" t="str">
        <f t="shared" si="27"/>
        <v/>
      </c>
      <c r="X121" s="53">
        <f t="shared" si="28"/>
        <v>4</v>
      </c>
      <c r="Y121" s="53" t="str">
        <f t="shared" si="29"/>
        <v/>
      </c>
      <c r="Z121" s="53" t="str">
        <f t="shared" si="30"/>
        <v/>
      </c>
      <c r="AA121" s="53" t="str">
        <f t="shared" si="31"/>
        <v/>
      </c>
      <c r="AB121" s="53" t="str">
        <f t="shared" si="32"/>
        <v/>
      </c>
    </row>
    <row r="122" spans="20:28" x14ac:dyDescent="0.25">
      <c r="T122" s="53" t="str">
        <f t="shared" si="25"/>
        <v/>
      </c>
      <c r="U122" s="53" t="str">
        <f t="shared" si="33"/>
        <v/>
      </c>
      <c r="V122" s="53" t="str">
        <f t="shared" si="26"/>
        <v/>
      </c>
      <c r="W122" s="53" t="str">
        <f t="shared" si="27"/>
        <v/>
      </c>
      <c r="X122" s="53">
        <f t="shared" si="28"/>
        <v>4</v>
      </c>
      <c r="Y122" s="53" t="str">
        <f t="shared" si="29"/>
        <v/>
      </c>
      <c r="Z122" s="53" t="str">
        <f t="shared" si="30"/>
        <v/>
      </c>
      <c r="AA122" s="53" t="str">
        <f t="shared" si="31"/>
        <v/>
      </c>
      <c r="AB122" s="53" t="str">
        <f t="shared" si="32"/>
        <v/>
      </c>
    </row>
    <row r="123" spans="20:28" x14ac:dyDescent="0.25">
      <c r="T123" s="53" t="str">
        <f t="shared" si="25"/>
        <v/>
      </c>
      <c r="U123" s="53" t="str">
        <f t="shared" si="33"/>
        <v/>
      </c>
      <c r="V123" s="53" t="str">
        <f t="shared" si="26"/>
        <v/>
      </c>
      <c r="W123" s="53" t="str">
        <f t="shared" si="27"/>
        <v/>
      </c>
      <c r="X123" s="53">
        <f t="shared" si="28"/>
        <v>4</v>
      </c>
      <c r="Y123" s="53" t="str">
        <f t="shared" si="29"/>
        <v/>
      </c>
      <c r="Z123" s="53" t="str">
        <f t="shared" si="30"/>
        <v/>
      </c>
      <c r="AA123" s="53" t="str">
        <f t="shared" si="31"/>
        <v/>
      </c>
      <c r="AB123" s="53" t="str">
        <f t="shared" si="32"/>
        <v/>
      </c>
    </row>
    <row r="124" spans="20:28" x14ac:dyDescent="0.25">
      <c r="T124" s="53" t="str">
        <f t="shared" si="25"/>
        <v/>
      </c>
      <c r="U124" s="53" t="str">
        <f t="shared" si="33"/>
        <v/>
      </c>
      <c r="V124" s="53" t="str">
        <f t="shared" si="26"/>
        <v/>
      </c>
      <c r="W124" s="53" t="str">
        <f t="shared" si="27"/>
        <v/>
      </c>
      <c r="X124" s="53">
        <f t="shared" si="28"/>
        <v>4</v>
      </c>
      <c r="Y124" s="53" t="str">
        <f t="shared" si="29"/>
        <v/>
      </c>
      <c r="Z124" s="53" t="str">
        <f t="shared" si="30"/>
        <v/>
      </c>
      <c r="AA124" s="53" t="str">
        <f t="shared" si="31"/>
        <v/>
      </c>
      <c r="AB124" s="53" t="str">
        <f t="shared" si="32"/>
        <v/>
      </c>
    </row>
    <row r="125" spans="20:28" x14ac:dyDescent="0.25">
      <c r="T125" s="53" t="str">
        <f t="shared" si="25"/>
        <v/>
      </c>
      <c r="U125" s="53" t="str">
        <f t="shared" si="33"/>
        <v/>
      </c>
      <c r="V125" s="53" t="str">
        <f t="shared" si="26"/>
        <v/>
      </c>
      <c r="W125" s="53" t="str">
        <f t="shared" si="27"/>
        <v/>
      </c>
      <c r="X125" s="53">
        <f t="shared" si="28"/>
        <v>4</v>
      </c>
      <c r="Y125" s="53" t="str">
        <f t="shared" si="29"/>
        <v/>
      </c>
      <c r="Z125" s="53" t="str">
        <f t="shared" si="30"/>
        <v/>
      </c>
      <c r="AA125" s="53" t="str">
        <f t="shared" si="31"/>
        <v/>
      </c>
      <c r="AB125" s="53" t="str">
        <f t="shared" si="32"/>
        <v/>
      </c>
    </row>
    <row r="126" spans="20:28" x14ac:dyDescent="0.25">
      <c r="T126" s="53" t="str">
        <f t="shared" si="25"/>
        <v/>
      </c>
      <c r="U126" s="53" t="str">
        <f t="shared" si="33"/>
        <v/>
      </c>
      <c r="V126" s="53" t="str">
        <f t="shared" si="26"/>
        <v/>
      </c>
      <c r="W126" s="53" t="str">
        <f t="shared" si="27"/>
        <v/>
      </c>
      <c r="X126" s="53">
        <f t="shared" si="28"/>
        <v>4</v>
      </c>
      <c r="Y126" s="53" t="str">
        <f t="shared" si="29"/>
        <v/>
      </c>
      <c r="Z126" s="53" t="str">
        <f t="shared" si="30"/>
        <v/>
      </c>
      <c r="AA126" s="53" t="str">
        <f t="shared" si="31"/>
        <v/>
      </c>
      <c r="AB126" s="53" t="str">
        <f t="shared" si="32"/>
        <v/>
      </c>
    </row>
    <row r="127" spans="20:28" x14ac:dyDescent="0.25">
      <c r="T127" s="53" t="str">
        <f t="shared" si="25"/>
        <v/>
      </c>
      <c r="U127" s="53" t="str">
        <f t="shared" si="33"/>
        <v/>
      </c>
      <c r="V127" s="53" t="str">
        <f t="shared" si="26"/>
        <v/>
      </c>
      <c r="W127" s="53" t="str">
        <f t="shared" si="27"/>
        <v/>
      </c>
      <c r="X127" s="53">
        <f t="shared" si="28"/>
        <v>4</v>
      </c>
      <c r="Y127" s="53" t="str">
        <f t="shared" si="29"/>
        <v/>
      </c>
      <c r="Z127" s="53" t="str">
        <f t="shared" si="30"/>
        <v/>
      </c>
      <c r="AA127" s="53" t="str">
        <f t="shared" si="31"/>
        <v/>
      </c>
      <c r="AB127" s="53" t="str">
        <f t="shared" si="32"/>
        <v/>
      </c>
    </row>
    <row r="128" spans="20:28" x14ac:dyDescent="0.25">
      <c r="T128" s="53" t="str">
        <f t="shared" si="25"/>
        <v/>
      </c>
      <c r="U128" s="53" t="str">
        <f t="shared" si="33"/>
        <v/>
      </c>
      <c r="V128" s="53" t="str">
        <f t="shared" si="26"/>
        <v/>
      </c>
      <c r="W128" s="53" t="str">
        <f t="shared" si="27"/>
        <v/>
      </c>
      <c r="X128" s="53">
        <f t="shared" si="28"/>
        <v>4</v>
      </c>
      <c r="Y128" s="53" t="str">
        <f t="shared" si="29"/>
        <v/>
      </c>
      <c r="Z128" s="53" t="str">
        <f t="shared" si="30"/>
        <v/>
      </c>
      <c r="AA128" s="53" t="str">
        <f t="shared" si="31"/>
        <v/>
      </c>
      <c r="AB128" s="53" t="str">
        <f t="shared" si="32"/>
        <v/>
      </c>
    </row>
    <row r="129" spans="20:28" x14ac:dyDescent="0.25">
      <c r="T129" s="53" t="str">
        <f t="shared" si="25"/>
        <v/>
      </c>
      <c r="U129" s="53" t="str">
        <f t="shared" si="33"/>
        <v/>
      </c>
      <c r="V129" s="53" t="str">
        <f t="shared" si="26"/>
        <v/>
      </c>
      <c r="W129" s="53" t="str">
        <f t="shared" si="27"/>
        <v/>
      </c>
      <c r="X129" s="53">
        <f t="shared" si="28"/>
        <v>4</v>
      </c>
      <c r="Y129" s="53" t="str">
        <f t="shared" si="29"/>
        <v/>
      </c>
      <c r="Z129" s="53" t="str">
        <f t="shared" si="30"/>
        <v/>
      </c>
      <c r="AA129" s="53" t="str">
        <f t="shared" si="31"/>
        <v/>
      </c>
      <c r="AB129" s="53" t="str">
        <f t="shared" si="32"/>
        <v/>
      </c>
    </row>
    <row r="130" spans="20:28" x14ac:dyDescent="0.25">
      <c r="T130" s="53" t="str">
        <f t="shared" si="25"/>
        <v/>
      </c>
      <c r="U130" s="53" t="str">
        <f t="shared" si="33"/>
        <v/>
      </c>
      <c r="V130" s="53" t="str">
        <f t="shared" si="26"/>
        <v/>
      </c>
      <c r="W130" s="53" t="str">
        <f t="shared" si="27"/>
        <v/>
      </c>
      <c r="X130" s="53">
        <f t="shared" si="28"/>
        <v>4</v>
      </c>
      <c r="Y130" s="53" t="str">
        <f t="shared" si="29"/>
        <v/>
      </c>
      <c r="Z130" s="53" t="str">
        <f t="shared" si="30"/>
        <v/>
      </c>
      <c r="AA130" s="53" t="str">
        <f t="shared" si="31"/>
        <v/>
      </c>
      <c r="AB130" s="53" t="str">
        <f t="shared" si="32"/>
        <v/>
      </c>
    </row>
    <row r="131" spans="20:28" x14ac:dyDescent="0.25">
      <c r="T131" s="53" t="str">
        <f t="shared" si="25"/>
        <v/>
      </c>
      <c r="U131" s="53" t="str">
        <f t="shared" si="33"/>
        <v/>
      </c>
      <c r="V131" s="53" t="str">
        <f t="shared" si="26"/>
        <v/>
      </c>
      <c r="W131" s="53" t="str">
        <f t="shared" si="27"/>
        <v/>
      </c>
      <c r="X131" s="53">
        <f t="shared" si="28"/>
        <v>4</v>
      </c>
      <c r="Y131" s="53" t="str">
        <f t="shared" si="29"/>
        <v/>
      </c>
      <c r="Z131" s="53" t="str">
        <f t="shared" si="30"/>
        <v/>
      </c>
      <c r="AA131" s="53" t="str">
        <f t="shared" si="31"/>
        <v/>
      </c>
      <c r="AB131" s="53" t="str">
        <f t="shared" si="32"/>
        <v/>
      </c>
    </row>
    <row r="132" spans="20:28" x14ac:dyDescent="0.25">
      <c r="T132" s="53" t="str">
        <f t="shared" ref="T132:T194" si="34">IF(MOD(ROW(),3)=0,IF(L134&gt;=$K$1,L134,IF(M134&gt;=$K$1,M134,"")),"")</f>
        <v/>
      </c>
      <c r="U132" s="53" t="str">
        <f t="shared" si="33"/>
        <v/>
      </c>
      <c r="V132" s="53" t="str">
        <f t="shared" ref="V132:V194" si="35">IF(MOD(ROW(),3)=0,IF(H134&gt;$O$1,H132&amp;" Moneyline",IF(I134&gt;=$O$1,I132&amp;" Moneyline","")),"")</f>
        <v/>
      </c>
      <c r="W132" s="53" t="str">
        <f t="shared" ref="W132:W195" si="36">IF(MOD(ROW(),3)=0,IF(H134&gt;=$O$1,H134,IF(I134&gt;=$O$1,I134,"")),"")</f>
        <v/>
      </c>
      <c r="X132" s="53">
        <f t="shared" ref="X132:X195" si="37">IF(ISNUMBER(CODE(Z132)),X131+1,X131)</f>
        <v>4</v>
      </c>
      <c r="Y132" s="53" t="str">
        <f t="shared" ref="Y132:Y195" si="38">INDEX($O$3:$W$50,1+INT((ROW(A130)-1)/COLUMNS($O$3:$W$50)),MOD(ROW(A130)-1+COLUMNS($O$3:$W$50),COLUMNS($O$3:$W$50))+1)</f>
        <v/>
      </c>
      <c r="Z132" s="53" t="str">
        <f t="shared" ref="Z132:Z195" si="39">IF(ISNUMBER(SEARCH("@",Y132)),Y132,"")</f>
        <v/>
      </c>
      <c r="AA132" s="53" t="str">
        <f t="shared" ref="AA132:AA195" si="40">IF(ISNUMBER(SEARCH("@",Y132)),Y133,"")</f>
        <v/>
      </c>
      <c r="AB132" s="53" t="str">
        <f t="shared" ref="AB132:AB195" si="41">IF(ISNUMBER(SEARCH("@",Y132)),Y134,"")</f>
        <v/>
      </c>
    </row>
    <row r="133" spans="20:28" x14ac:dyDescent="0.25">
      <c r="T133" s="53" t="str">
        <f t="shared" si="34"/>
        <v/>
      </c>
      <c r="U133" s="53" t="str">
        <f t="shared" ref="U133:U194" si="42">IF(MOD(ROW(),3)=0,IF(H135&gt;=$O$1,I133&amp;" @ "&amp;H133,IF(I135&gt;=$O$1,I133&amp;" @ "&amp;H133,"")),"")</f>
        <v/>
      </c>
      <c r="V133" s="53" t="str">
        <f t="shared" si="35"/>
        <v/>
      </c>
      <c r="W133" s="53" t="str">
        <f t="shared" si="36"/>
        <v/>
      </c>
      <c r="X133" s="53">
        <f t="shared" si="37"/>
        <v>4</v>
      </c>
      <c r="Y133" s="53" t="str">
        <f t="shared" si="38"/>
        <v/>
      </c>
      <c r="Z133" s="53" t="str">
        <f t="shared" si="39"/>
        <v/>
      </c>
      <c r="AA133" s="53" t="str">
        <f t="shared" si="40"/>
        <v/>
      </c>
      <c r="AB133" s="53" t="str">
        <f t="shared" si="41"/>
        <v/>
      </c>
    </row>
    <row r="134" spans="20:28" x14ac:dyDescent="0.25">
      <c r="T134" s="53" t="str">
        <f t="shared" si="34"/>
        <v/>
      </c>
      <c r="U134" s="53" t="str">
        <f t="shared" si="42"/>
        <v/>
      </c>
      <c r="V134" s="53" t="str">
        <f t="shared" si="35"/>
        <v/>
      </c>
      <c r="W134" s="53" t="str">
        <f t="shared" si="36"/>
        <v/>
      </c>
      <c r="X134" s="53">
        <f t="shared" si="37"/>
        <v>4</v>
      </c>
      <c r="Y134" s="53" t="str">
        <f t="shared" si="38"/>
        <v/>
      </c>
      <c r="Z134" s="53" t="str">
        <f t="shared" si="39"/>
        <v/>
      </c>
      <c r="AA134" s="53" t="str">
        <f t="shared" si="40"/>
        <v/>
      </c>
      <c r="AB134" s="53" t="str">
        <f t="shared" si="41"/>
        <v/>
      </c>
    </row>
    <row r="135" spans="20:28" x14ac:dyDescent="0.25">
      <c r="T135" s="53" t="str">
        <f t="shared" si="34"/>
        <v/>
      </c>
      <c r="U135" s="53" t="str">
        <f t="shared" si="42"/>
        <v/>
      </c>
      <c r="V135" s="53" t="str">
        <f t="shared" si="35"/>
        <v/>
      </c>
      <c r="W135" s="53" t="str">
        <f t="shared" si="36"/>
        <v/>
      </c>
      <c r="X135" s="53">
        <f t="shared" si="37"/>
        <v>4</v>
      </c>
      <c r="Y135" s="53" t="str">
        <f t="shared" si="38"/>
        <v/>
      </c>
      <c r="Z135" s="53" t="str">
        <f t="shared" si="39"/>
        <v/>
      </c>
      <c r="AA135" s="53" t="str">
        <f t="shared" si="40"/>
        <v/>
      </c>
      <c r="AB135" s="53" t="str">
        <f t="shared" si="41"/>
        <v/>
      </c>
    </row>
    <row r="136" spans="20:28" x14ac:dyDescent="0.25">
      <c r="T136" s="53" t="str">
        <f t="shared" si="34"/>
        <v/>
      </c>
      <c r="U136" s="53" t="str">
        <f t="shared" si="42"/>
        <v/>
      </c>
      <c r="V136" s="53" t="str">
        <f t="shared" si="35"/>
        <v/>
      </c>
      <c r="W136" s="53" t="str">
        <f t="shared" si="36"/>
        <v/>
      </c>
      <c r="X136" s="53">
        <f t="shared" si="37"/>
        <v>4</v>
      </c>
      <c r="Y136" s="53" t="str">
        <f t="shared" si="38"/>
        <v/>
      </c>
      <c r="Z136" s="53" t="str">
        <f t="shared" si="39"/>
        <v/>
      </c>
      <c r="AA136" s="53" t="str">
        <f t="shared" si="40"/>
        <v/>
      </c>
      <c r="AB136" s="53" t="str">
        <f t="shared" si="41"/>
        <v/>
      </c>
    </row>
    <row r="137" spans="20:28" x14ac:dyDescent="0.25">
      <c r="T137" s="53" t="str">
        <f t="shared" si="34"/>
        <v/>
      </c>
      <c r="U137" s="53" t="str">
        <f t="shared" si="42"/>
        <v/>
      </c>
      <c r="V137" s="53" t="str">
        <f t="shared" si="35"/>
        <v/>
      </c>
      <c r="W137" s="53" t="str">
        <f t="shared" si="36"/>
        <v/>
      </c>
      <c r="X137" s="53">
        <f t="shared" si="37"/>
        <v>4</v>
      </c>
      <c r="Y137" s="53" t="str">
        <f t="shared" si="38"/>
        <v/>
      </c>
      <c r="Z137" s="53" t="str">
        <f t="shared" si="39"/>
        <v/>
      </c>
      <c r="AA137" s="53" t="str">
        <f t="shared" si="40"/>
        <v/>
      </c>
      <c r="AB137" s="53" t="str">
        <f t="shared" si="41"/>
        <v/>
      </c>
    </row>
    <row r="138" spans="20:28" x14ac:dyDescent="0.25">
      <c r="T138" s="53" t="str">
        <f t="shared" si="34"/>
        <v/>
      </c>
      <c r="U138" s="53" t="str">
        <f t="shared" si="42"/>
        <v/>
      </c>
      <c r="V138" s="53" t="str">
        <f t="shared" si="35"/>
        <v/>
      </c>
      <c r="W138" s="53" t="str">
        <f t="shared" si="36"/>
        <v/>
      </c>
      <c r="X138" s="53">
        <f t="shared" si="37"/>
        <v>4</v>
      </c>
      <c r="Y138" s="53" t="str">
        <f t="shared" si="38"/>
        <v/>
      </c>
      <c r="Z138" s="53" t="str">
        <f t="shared" si="39"/>
        <v/>
      </c>
      <c r="AA138" s="53" t="str">
        <f t="shared" si="40"/>
        <v/>
      </c>
      <c r="AB138" s="53" t="str">
        <f t="shared" si="41"/>
        <v/>
      </c>
    </row>
    <row r="139" spans="20:28" x14ac:dyDescent="0.25">
      <c r="T139" s="53" t="str">
        <f t="shared" si="34"/>
        <v/>
      </c>
      <c r="U139" s="53" t="str">
        <f t="shared" si="42"/>
        <v/>
      </c>
      <c r="V139" s="53" t="str">
        <f t="shared" si="35"/>
        <v/>
      </c>
      <c r="W139" s="53" t="str">
        <f t="shared" si="36"/>
        <v/>
      </c>
      <c r="X139" s="53">
        <f t="shared" si="37"/>
        <v>4</v>
      </c>
      <c r="Y139" s="53" t="str">
        <f t="shared" si="38"/>
        <v/>
      </c>
      <c r="Z139" s="53" t="str">
        <f t="shared" si="39"/>
        <v/>
      </c>
      <c r="AA139" s="53" t="str">
        <f t="shared" si="40"/>
        <v/>
      </c>
      <c r="AB139" s="53" t="str">
        <f t="shared" si="41"/>
        <v/>
      </c>
    </row>
    <row r="140" spans="20:28" x14ac:dyDescent="0.25">
      <c r="T140" s="53" t="str">
        <f t="shared" si="34"/>
        <v/>
      </c>
      <c r="U140" s="53" t="str">
        <f t="shared" si="42"/>
        <v/>
      </c>
      <c r="V140" s="53" t="str">
        <f t="shared" si="35"/>
        <v/>
      </c>
      <c r="W140" s="53" t="str">
        <f t="shared" si="36"/>
        <v/>
      </c>
      <c r="X140" s="53">
        <f t="shared" si="37"/>
        <v>4</v>
      </c>
      <c r="Y140" s="53" t="str">
        <f t="shared" si="38"/>
        <v/>
      </c>
      <c r="Z140" s="53" t="str">
        <f t="shared" si="39"/>
        <v/>
      </c>
      <c r="AA140" s="53" t="str">
        <f t="shared" si="40"/>
        <v/>
      </c>
      <c r="AB140" s="53" t="str">
        <f t="shared" si="41"/>
        <v/>
      </c>
    </row>
    <row r="141" spans="20:28" x14ac:dyDescent="0.25">
      <c r="T141" s="53" t="str">
        <f t="shared" si="34"/>
        <v/>
      </c>
      <c r="U141" s="53" t="str">
        <f t="shared" si="42"/>
        <v/>
      </c>
      <c r="V141" s="53" t="str">
        <f t="shared" si="35"/>
        <v/>
      </c>
      <c r="W141" s="53" t="str">
        <f t="shared" si="36"/>
        <v/>
      </c>
      <c r="X141" s="53">
        <f t="shared" si="37"/>
        <v>4</v>
      </c>
      <c r="Y141" s="53" t="str">
        <f t="shared" si="38"/>
        <v/>
      </c>
      <c r="Z141" s="53" t="str">
        <f t="shared" si="39"/>
        <v/>
      </c>
      <c r="AA141" s="53" t="str">
        <f t="shared" si="40"/>
        <v/>
      </c>
      <c r="AB141" s="53" t="str">
        <f t="shared" si="41"/>
        <v/>
      </c>
    </row>
    <row r="142" spans="20:28" x14ac:dyDescent="0.25">
      <c r="T142" s="53" t="str">
        <f t="shared" si="34"/>
        <v/>
      </c>
      <c r="U142" s="53" t="str">
        <f t="shared" si="42"/>
        <v/>
      </c>
      <c r="V142" s="53" t="str">
        <f t="shared" si="35"/>
        <v/>
      </c>
      <c r="W142" s="53" t="str">
        <f t="shared" si="36"/>
        <v/>
      </c>
      <c r="X142" s="53">
        <f t="shared" si="37"/>
        <v>4</v>
      </c>
      <c r="Y142" s="53" t="str">
        <f t="shared" si="38"/>
        <v/>
      </c>
      <c r="Z142" s="53" t="str">
        <f t="shared" si="39"/>
        <v/>
      </c>
      <c r="AA142" s="53" t="str">
        <f t="shared" si="40"/>
        <v/>
      </c>
      <c r="AB142" s="53" t="str">
        <f t="shared" si="41"/>
        <v/>
      </c>
    </row>
    <row r="143" spans="20:28" x14ac:dyDescent="0.25">
      <c r="T143" s="53" t="str">
        <f t="shared" si="34"/>
        <v/>
      </c>
      <c r="U143" s="53" t="str">
        <f t="shared" si="42"/>
        <v/>
      </c>
      <c r="V143" s="53" t="str">
        <f t="shared" si="35"/>
        <v/>
      </c>
      <c r="W143" s="53" t="str">
        <f t="shared" si="36"/>
        <v/>
      </c>
      <c r="X143" s="53">
        <f t="shared" si="37"/>
        <v>4</v>
      </c>
      <c r="Y143" s="53" t="str">
        <f t="shared" si="38"/>
        <v/>
      </c>
      <c r="Z143" s="53" t="str">
        <f t="shared" si="39"/>
        <v/>
      </c>
      <c r="AA143" s="53" t="str">
        <f t="shared" si="40"/>
        <v/>
      </c>
      <c r="AB143" s="53" t="str">
        <f t="shared" si="41"/>
        <v/>
      </c>
    </row>
    <row r="144" spans="20:28" x14ac:dyDescent="0.25">
      <c r="T144" s="53" t="str">
        <f t="shared" si="34"/>
        <v/>
      </c>
      <c r="U144" s="53" t="str">
        <f t="shared" si="42"/>
        <v/>
      </c>
      <c r="V144" s="53" t="str">
        <f t="shared" si="35"/>
        <v/>
      </c>
      <c r="W144" s="53" t="str">
        <f t="shared" si="36"/>
        <v/>
      </c>
      <c r="X144" s="53">
        <f t="shared" si="37"/>
        <v>4</v>
      </c>
      <c r="Y144" s="53" t="str">
        <f t="shared" si="38"/>
        <v/>
      </c>
      <c r="Z144" s="53" t="str">
        <f t="shared" si="39"/>
        <v/>
      </c>
      <c r="AA144" s="53" t="str">
        <f t="shared" si="40"/>
        <v/>
      </c>
      <c r="AB144" s="53" t="str">
        <f t="shared" si="41"/>
        <v/>
      </c>
    </row>
    <row r="145" spans="20:28" x14ac:dyDescent="0.25">
      <c r="T145" s="53" t="str">
        <f t="shared" si="34"/>
        <v/>
      </c>
      <c r="U145" s="53" t="str">
        <f t="shared" si="42"/>
        <v/>
      </c>
      <c r="V145" s="53" t="str">
        <f t="shared" si="35"/>
        <v/>
      </c>
      <c r="W145" s="53" t="str">
        <f t="shared" si="36"/>
        <v/>
      </c>
      <c r="X145" s="53">
        <f t="shared" si="37"/>
        <v>4</v>
      </c>
      <c r="Y145" s="53" t="str">
        <f t="shared" si="38"/>
        <v/>
      </c>
      <c r="Z145" s="53" t="str">
        <f t="shared" si="39"/>
        <v/>
      </c>
      <c r="AA145" s="53" t="str">
        <f t="shared" si="40"/>
        <v/>
      </c>
      <c r="AB145" s="53" t="str">
        <f t="shared" si="41"/>
        <v/>
      </c>
    </row>
    <row r="146" spans="20:28" x14ac:dyDescent="0.25">
      <c r="T146" s="53" t="str">
        <f t="shared" si="34"/>
        <v/>
      </c>
      <c r="U146" s="53" t="str">
        <f t="shared" si="42"/>
        <v/>
      </c>
      <c r="V146" s="53" t="str">
        <f t="shared" si="35"/>
        <v/>
      </c>
      <c r="W146" s="53" t="str">
        <f t="shared" si="36"/>
        <v/>
      </c>
      <c r="X146" s="53">
        <f t="shared" si="37"/>
        <v>4</v>
      </c>
      <c r="Y146" s="53" t="str">
        <f t="shared" si="38"/>
        <v/>
      </c>
      <c r="Z146" s="53" t="str">
        <f t="shared" si="39"/>
        <v/>
      </c>
      <c r="AA146" s="53" t="str">
        <f t="shared" si="40"/>
        <v/>
      </c>
      <c r="AB146" s="53" t="str">
        <f t="shared" si="41"/>
        <v/>
      </c>
    </row>
    <row r="147" spans="20:28" x14ac:dyDescent="0.25">
      <c r="T147" s="53" t="str">
        <f t="shared" si="34"/>
        <v/>
      </c>
      <c r="U147" s="53" t="str">
        <f t="shared" si="42"/>
        <v/>
      </c>
      <c r="V147" s="53" t="str">
        <f t="shared" si="35"/>
        <v/>
      </c>
      <c r="W147" s="53" t="str">
        <f t="shared" si="36"/>
        <v/>
      </c>
      <c r="X147" s="53">
        <f t="shared" si="37"/>
        <v>4</v>
      </c>
      <c r="Y147" s="53" t="str">
        <f t="shared" si="38"/>
        <v/>
      </c>
      <c r="Z147" s="53" t="str">
        <f t="shared" si="39"/>
        <v/>
      </c>
      <c r="AA147" s="53" t="str">
        <f t="shared" si="40"/>
        <v/>
      </c>
      <c r="AB147" s="53" t="str">
        <f t="shared" si="41"/>
        <v/>
      </c>
    </row>
    <row r="148" spans="20:28" x14ac:dyDescent="0.25">
      <c r="T148" s="53" t="str">
        <f t="shared" si="34"/>
        <v/>
      </c>
      <c r="U148" s="53" t="str">
        <f t="shared" si="42"/>
        <v/>
      </c>
      <c r="V148" s="53" t="str">
        <f t="shared" si="35"/>
        <v/>
      </c>
      <c r="W148" s="53" t="str">
        <f t="shared" si="36"/>
        <v/>
      </c>
      <c r="X148" s="53">
        <f t="shared" si="37"/>
        <v>4</v>
      </c>
      <c r="Y148" s="53" t="str">
        <f t="shared" si="38"/>
        <v/>
      </c>
      <c r="Z148" s="53" t="str">
        <f t="shared" si="39"/>
        <v/>
      </c>
      <c r="AA148" s="53" t="str">
        <f t="shared" si="40"/>
        <v/>
      </c>
      <c r="AB148" s="53" t="str">
        <f t="shared" si="41"/>
        <v/>
      </c>
    </row>
    <row r="149" spans="20:28" x14ac:dyDescent="0.25">
      <c r="T149" s="53" t="str">
        <f t="shared" si="34"/>
        <v/>
      </c>
      <c r="U149" s="53" t="str">
        <f t="shared" si="42"/>
        <v/>
      </c>
      <c r="V149" s="53" t="str">
        <f t="shared" si="35"/>
        <v/>
      </c>
      <c r="W149" s="53" t="str">
        <f t="shared" si="36"/>
        <v/>
      </c>
      <c r="X149" s="53">
        <f t="shared" si="37"/>
        <v>4</v>
      </c>
      <c r="Y149" s="53" t="str">
        <f t="shared" si="38"/>
        <v/>
      </c>
      <c r="Z149" s="53" t="str">
        <f t="shared" si="39"/>
        <v/>
      </c>
      <c r="AA149" s="53" t="str">
        <f t="shared" si="40"/>
        <v/>
      </c>
      <c r="AB149" s="53" t="str">
        <f t="shared" si="41"/>
        <v/>
      </c>
    </row>
    <row r="150" spans="20:28" x14ac:dyDescent="0.25">
      <c r="T150" s="53" t="str">
        <f t="shared" si="34"/>
        <v/>
      </c>
      <c r="U150" s="53" t="str">
        <f t="shared" si="42"/>
        <v/>
      </c>
      <c r="V150" s="53" t="str">
        <f t="shared" si="35"/>
        <v/>
      </c>
      <c r="W150" s="53" t="str">
        <f t="shared" si="36"/>
        <v/>
      </c>
      <c r="X150" s="53">
        <f t="shared" si="37"/>
        <v>4</v>
      </c>
      <c r="Y150" s="53" t="str">
        <f t="shared" si="38"/>
        <v/>
      </c>
      <c r="Z150" s="53" t="str">
        <f t="shared" si="39"/>
        <v/>
      </c>
      <c r="AA150" s="53" t="str">
        <f t="shared" si="40"/>
        <v/>
      </c>
      <c r="AB150" s="53" t="str">
        <f t="shared" si="41"/>
        <v/>
      </c>
    </row>
    <row r="151" spans="20:28" x14ac:dyDescent="0.25">
      <c r="T151" s="53" t="str">
        <f t="shared" si="34"/>
        <v/>
      </c>
      <c r="U151" s="53" t="str">
        <f t="shared" si="42"/>
        <v/>
      </c>
      <c r="V151" s="53" t="str">
        <f t="shared" si="35"/>
        <v/>
      </c>
      <c r="W151" s="53" t="str">
        <f t="shared" si="36"/>
        <v/>
      </c>
      <c r="X151" s="53">
        <f t="shared" si="37"/>
        <v>4</v>
      </c>
      <c r="Y151" s="53" t="str">
        <f t="shared" si="38"/>
        <v/>
      </c>
      <c r="Z151" s="53" t="str">
        <f t="shared" si="39"/>
        <v/>
      </c>
      <c r="AA151" s="53" t="str">
        <f t="shared" si="40"/>
        <v/>
      </c>
      <c r="AB151" s="53" t="str">
        <f t="shared" si="41"/>
        <v/>
      </c>
    </row>
    <row r="152" spans="20:28" x14ac:dyDescent="0.25">
      <c r="T152" s="53" t="str">
        <f t="shared" si="34"/>
        <v/>
      </c>
      <c r="U152" s="53" t="str">
        <f t="shared" si="42"/>
        <v/>
      </c>
      <c r="V152" s="53" t="str">
        <f t="shared" si="35"/>
        <v/>
      </c>
      <c r="W152" s="53" t="str">
        <f t="shared" si="36"/>
        <v/>
      </c>
      <c r="X152" s="53">
        <f t="shared" si="37"/>
        <v>4</v>
      </c>
      <c r="Y152" s="53" t="str">
        <f t="shared" si="38"/>
        <v/>
      </c>
      <c r="Z152" s="53" t="str">
        <f t="shared" si="39"/>
        <v/>
      </c>
      <c r="AA152" s="53" t="str">
        <f t="shared" si="40"/>
        <v/>
      </c>
      <c r="AB152" s="53" t="str">
        <f t="shared" si="41"/>
        <v/>
      </c>
    </row>
    <row r="153" spans="20:28" x14ac:dyDescent="0.25">
      <c r="T153" s="53" t="str">
        <f t="shared" si="34"/>
        <v/>
      </c>
      <c r="U153" s="53" t="str">
        <f t="shared" si="42"/>
        <v/>
      </c>
      <c r="V153" s="53" t="str">
        <f t="shared" si="35"/>
        <v/>
      </c>
      <c r="W153" s="53" t="str">
        <f t="shared" si="36"/>
        <v/>
      </c>
      <c r="X153" s="53">
        <f t="shared" si="37"/>
        <v>4</v>
      </c>
      <c r="Y153" s="53" t="str">
        <f t="shared" si="38"/>
        <v/>
      </c>
      <c r="Z153" s="53" t="str">
        <f t="shared" si="39"/>
        <v/>
      </c>
      <c r="AA153" s="53" t="str">
        <f t="shared" si="40"/>
        <v/>
      </c>
      <c r="AB153" s="53" t="str">
        <f t="shared" si="41"/>
        <v/>
      </c>
    </row>
    <row r="154" spans="20:28" x14ac:dyDescent="0.25">
      <c r="T154" s="53" t="str">
        <f t="shared" si="34"/>
        <v/>
      </c>
      <c r="U154" s="53" t="str">
        <f t="shared" si="42"/>
        <v/>
      </c>
      <c r="V154" s="53" t="str">
        <f t="shared" si="35"/>
        <v/>
      </c>
      <c r="W154" s="53" t="str">
        <f t="shared" si="36"/>
        <v/>
      </c>
      <c r="X154" s="53">
        <f t="shared" si="37"/>
        <v>4</v>
      </c>
      <c r="Y154" s="53" t="str">
        <f t="shared" si="38"/>
        <v/>
      </c>
      <c r="Z154" s="53" t="str">
        <f t="shared" si="39"/>
        <v/>
      </c>
      <c r="AA154" s="53" t="str">
        <f t="shared" si="40"/>
        <v/>
      </c>
      <c r="AB154" s="53" t="str">
        <f t="shared" si="41"/>
        <v/>
      </c>
    </row>
    <row r="155" spans="20:28" x14ac:dyDescent="0.25">
      <c r="T155" s="53" t="str">
        <f t="shared" si="34"/>
        <v/>
      </c>
      <c r="U155" s="53" t="str">
        <f t="shared" si="42"/>
        <v/>
      </c>
      <c r="V155" s="53" t="str">
        <f t="shared" si="35"/>
        <v/>
      </c>
      <c r="W155" s="53" t="str">
        <f t="shared" si="36"/>
        <v/>
      </c>
      <c r="X155" s="53">
        <f t="shared" si="37"/>
        <v>4</v>
      </c>
      <c r="Y155" s="53" t="str">
        <f t="shared" si="38"/>
        <v/>
      </c>
      <c r="Z155" s="53" t="str">
        <f t="shared" si="39"/>
        <v/>
      </c>
      <c r="AA155" s="53" t="str">
        <f t="shared" si="40"/>
        <v/>
      </c>
      <c r="AB155" s="53" t="str">
        <f t="shared" si="41"/>
        <v/>
      </c>
    </row>
    <row r="156" spans="20:28" x14ac:dyDescent="0.25">
      <c r="T156" s="53" t="str">
        <f t="shared" si="34"/>
        <v/>
      </c>
      <c r="U156" s="53" t="str">
        <f t="shared" si="42"/>
        <v/>
      </c>
      <c r="V156" s="53" t="str">
        <f t="shared" si="35"/>
        <v/>
      </c>
      <c r="W156" s="53" t="str">
        <f t="shared" si="36"/>
        <v/>
      </c>
      <c r="X156" s="53">
        <f t="shared" si="37"/>
        <v>4</v>
      </c>
      <c r="Y156" s="53" t="str">
        <f t="shared" si="38"/>
        <v/>
      </c>
      <c r="Z156" s="53" t="str">
        <f t="shared" si="39"/>
        <v/>
      </c>
      <c r="AA156" s="53" t="str">
        <f t="shared" si="40"/>
        <v/>
      </c>
      <c r="AB156" s="53" t="str">
        <f t="shared" si="41"/>
        <v/>
      </c>
    </row>
    <row r="157" spans="20:28" x14ac:dyDescent="0.25">
      <c r="T157" s="53" t="str">
        <f t="shared" si="34"/>
        <v/>
      </c>
      <c r="U157" s="53" t="str">
        <f t="shared" si="42"/>
        <v/>
      </c>
      <c r="V157" s="53" t="str">
        <f t="shared" si="35"/>
        <v/>
      </c>
      <c r="W157" s="53" t="str">
        <f t="shared" si="36"/>
        <v/>
      </c>
      <c r="X157" s="53">
        <f t="shared" si="37"/>
        <v>4</v>
      </c>
      <c r="Y157" s="53" t="str">
        <f t="shared" si="38"/>
        <v/>
      </c>
      <c r="Z157" s="53" t="str">
        <f t="shared" si="39"/>
        <v/>
      </c>
      <c r="AA157" s="53" t="str">
        <f t="shared" si="40"/>
        <v/>
      </c>
      <c r="AB157" s="53" t="str">
        <f t="shared" si="41"/>
        <v/>
      </c>
    </row>
    <row r="158" spans="20:28" x14ac:dyDescent="0.25">
      <c r="T158" s="53" t="str">
        <f t="shared" si="34"/>
        <v/>
      </c>
      <c r="U158" s="53" t="str">
        <f t="shared" si="42"/>
        <v/>
      </c>
      <c r="V158" s="53" t="str">
        <f t="shared" si="35"/>
        <v/>
      </c>
      <c r="W158" s="53" t="str">
        <f t="shared" si="36"/>
        <v/>
      </c>
      <c r="X158" s="53">
        <f t="shared" si="37"/>
        <v>4</v>
      </c>
      <c r="Y158" s="53" t="str">
        <f t="shared" si="38"/>
        <v/>
      </c>
      <c r="Z158" s="53" t="str">
        <f t="shared" si="39"/>
        <v/>
      </c>
      <c r="AA158" s="53" t="str">
        <f t="shared" si="40"/>
        <v/>
      </c>
      <c r="AB158" s="53" t="str">
        <f t="shared" si="41"/>
        <v/>
      </c>
    </row>
    <row r="159" spans="20:28" x14ac:dyDescent="0.25">
      <c r="T159" s="53" t="str">
        <f t="shared" si="34"/>
        <v/>
      </c>
      <c r="U159" s="53" t="str">
        <f t="shared" si="42"/>
        <v/>
      </c>
      <c r="V159" s="53" t="str">
        <f t="shared" si="35"/>
        <v/>
      </c>
      <c r="W159" s="53" t="str">
        <f t="shared" si="36"/>
        <v/>
      </c>
      <c r="X159" s="53">
        <f t="shared" si="37"/>
        <v>4</v>
      </c>
      <c r="Y159" s="53" t="str">
        <f t="shared" si="38"/>
        <v/>
      </c>
      <c r="Z159" s="53" t="str">
        <f t="shared" si="39"/>
        <v/>
      </c>
      <c r="AA159" s="53" t="str">
        <f t="shared" si="40"/>
        <v/>
      </c>
      <c r="AB159" s="53" t="str">
        <f t="shared" si="41"/>
        <v/>
      </c>
    </row>
    <row r="160" spans="20:28" x14ac:dyDescent="0.25">
      <c r="T160" s="53" t="str">
        <f t="shared" si="34"/>
        <v/>
      </c>
      <c r="U160" s="53" t="str">
        <f t="shared" si="42"/>
        <v/>
      </c>
      <c r="V160" s="53" t="str">
        <f t="shared" si="35"/>
        <v/>
      </c>
      <c r="W160" s="53" t="str">
        <f t="shared" si="36"/>
        <v/>
      </c>
      <c r="X160" s="53">
        <f t="shared" si="37"/>
        <v>4</v>
      </c>
      <c r="Y160" s="53" t="str">
        <f t="shared" si="38"/>
        <v/>
      </c>
      <c r="Z160" s="53" t="str">
        <f t="shared" si="39"/>
        <v/>
      </c>
      <c r="AA160" s="53" t="str">
        <f t="shared" si="40"/>
        <v/>
      </c>
      <c r="AB160" s="53" t="str">
        <f t="shared" si="41"/>
        <v/>
      </c>
    </row>
    <row r="161" spans="20:28" x14ac:dyDescent="0.25">
      <c r="T161" s="53" t="str">
        <f t="shared" si="34"/>
        <v/>
      </c>
      <c r="U161" s="53" t="str">
        <f t="shared" si="42"/>
        <v/>
      </c>
      <c r="V161" s="53" t="str">
        <f t="shared" si="35"/>
        <v/>
      </c>
      <c r="W161" s="53" t="str">
        <f t="shared" si="36"/>
        <v/>
      </c>
      <c r="X161" s="53">
        <f t="shared" si="37"/>
        <v>4</v>
      </c>
      <c r="Y161" s="53" t="str">
        <f t="shared" si="38"/>
        <v/>
      </c>
      <c r="Z161" s="53" t="str">
        <f t="shared" si="39"/>
        <v/>
      </c>
      <c r="AA161" s="53" t="str">
        <f t="shared" si="40"/>
        <v/>
      </c>
      <c r="AB161" s="53" t="str">
        <f t="shared" si="41"/>
        <v/>
      </c>
    </row>
    <row r="162" spans="20:28" x14ac:dyDescent="0.25">
      <c r="T162" s="53" t="str">
        <f t="shared" si="34"/>
        <v/>
      </c>
      <c r="U162" s="53" t="str">
        <f t="shared" si="42"/>
        <v/>
      </c>
      <c r="V162" s="53" t="str">
        <f t="shared" si="35"/>
        <v/>
      </c>
      <c r="W162" s="53" t="str">
        <f t="shared" si="36"/>
        <v/>
      </c>
      <c r="X162" s="53">
        <f t="shared" si="37"/>
        <v>4</v>
      </c>
      <c r="Y162" s="53" t="str">
        <f t="shared" si="38"/>
        <v/>
      </c>
      <c r="Z162" s="53" t="str">
        <f t="shared" si="39"/>
        <v/>
      </c>
      <c r="AA162" s="53" t="str">
        <f t="shared" si="40"/>
        <v/>
      </c>
      <c r="AB162" s="53" t="str">
        <f t="shared" si="41"/>
        <v/>
      </c>
    </row>
    <row r="163" spans="20:28" x14ac:dyDescent="0.25">
      <c r="T163" s="53" t="str">
        <f t="shared" si="34"/>
        <v/>
      </c>
      <c r="U163" s="53" t="str">
        <f t="shared" si="42"/>
        <v/>
      </c>
      <c r="V163" s="53" t="str">
        <f t="shared" si="35"/>
        <v/>
      </c>
      <c r="W163" s="53" t="str">
        <f t="shared" si="36"/>
        <v/>
      </c>
      <c r="X163" s="53">
        <f t="shared" si="37"/>
        <v>4</v>
      </c>
      <c r="Y163" s="53" t="str">
        <f t="shared" si="38"/>
        <v/>
      </c>
      <c r="Z163" s="53" t="str">
        <f t="shared" si="39"/>
        <v/>
      </c>
      <c r="AA163" s="53" t="str">
        <f t="shared" si="40"/>
        <v/>
      </c>
      <c r="AB163" s="53" t="str">
        <f t="shared" si="41"/>
        <v/>
      </c>
    </row>
    <row r="164" spans="20:28" x14ac:dyDescent="0.25">
      <c r="T164" s="53" t="str">
        <f t="shared" si="34"/>
        <v/>
      </c>
      <c r="U164" s="53" t="str">
        <f t="shared" si="42"/>
        <v/>
      </c>
      <c r="V164" s="53" t="str">
        <f t="shared" si="35"/>
        <v/>
      </c>
      <c r="W164" s="53" t="str">
        <f t="shared" si="36"/>
        <v/>
      </c>
      <c r="X164" s="53">
        <f t="shared" si="37"/>
        <v>4</v>
      </c>
      <c r="Y164" s="53" t="str">
        <f t="shared" si="38"/>
        <v/>
      </c>
      <c r="Z164" s="53" t="str">
        <f t="shared" si="39"/>
        <v/>
      </c>
      <c r="AA164" s="53" t="str">
        <f t="shared" si="40"/>
        <v/>
      </c>
      <c r="AB164" s="53" t="str">
        <f t="shared" si="41"/>
        <v/>
      </c>
    </row>
    <row r="165" spans="20:28" x14ac:dyDescent="0.25">
      <c r="T165" s="53" t="str">
        <f t="shared" si="34"/>
        <v/>
      </c>
      <c r="U165" s="53" t="str">
        <f t="shared" si="42"/>
        <v/>
      </c>
      <c r="V165" s="53" t="str">
        <f t="shared" si="35"/>
        <v/>
      </c>
      <c r="W165" s="53" t="str">
        <f t="shared" si="36"/>
        <v/>
      </c>
      <c r="X165" s="53">
        <f t="shared" si="37"/>
        <v>4</v>
      </c>
      <c r="Y165" s="53" t="str">
        <f t="shared" si="38"/>
        <v/>
      </c>
      <c r="Z165" s="53" t="str">
        <f t="shared" si="39"/>
        <v/>
      </c>
      <c r="AA165" s="53" t="str">
        <f t="shared" si="40"/>
        <v/>
      </c>
      <c r="AB165" s="53" t="str">
        <f t="shared" si="41"/>
        <v/>
      </c>
    </row>
    <row r="166" spans="20:28" x14ac:dyDescent="0.25">
      <c r="T166" s="53" t="str">
        <f t="shared" si="34"/>
        <v/>
      </c>
      <c r="U166" s="53" t="str">
        <f t="shared" si="42"/>
        <v/>
      </c>
      <c r="V166" s="53" t="str">
        <f t="shared" si="35"/>
        <v/>
      </c>
      <c r="W166" s="53" t="str">
        <f t="shared" si="36"/>
        <v/>
      </c>
      <c r="X166" s="53">
        <f t="shared" si="37"/>
        <v>4</v>
      </c>
      <c r="Y166" s="53" t="str">
        <f t="shared" si="38"/>
        <v/>
      </c>
      <c r="Z166" s="53" t="str">
        <f t="shared" si="39"/>
        <v/>
      </c>
      <c r="AA166" s="53" t="str">
        <f t="shared" si="40"/>
        <v/>
      </c>
      <c r="AB166" s="53" t="str">
        <f t="shared" si="41"/>
        <v/>
      </c>
    </row>
    <row r="167" spans="20:28" x14ac:dyDescent="0.25">
      <c r="T167" s="53" t="str">
        <f t="shared" si="34"/>
        <v/>
      </c>
      <c r="U167" s="53" t="str">
        <f t="shared" si="42"/>
        <v/>
      </c>
      <c r="V167" s="53" t="str">
        <f t="shared" si="35"/>
        <v/>
      </c>
      <c r="W167" s="53" t="str">
        <f t="shared" si="36"/>
        <v/>
      </c>
      <c r="X167" s="53">
        <f t="shared" si="37"/>
        <v>4</v>
      </c>
      <c r="Y167" s="53" t="str">
        <f t="shared" si="38"/>
        <v/>
      </c>
      <c r="Z167" s="53" t="str">
        <f t="shared" si="39"/>
        <v/>
      </c>
      <c r="AA167" s="53" t="str">
        <f t="shared" si="40"/>
        <v/>
      </c>
      <c r="AB167" s="53" t="str">
        <f t="shared" si="41"/>
        <v/>
      </c>
    </row>
    <row r="168" spans="20:28" x14ac:dyDescent="0.25">
      <c r="T168" s="53" t="str">
        <f t="shared" si="34"/>
        <v/>
      </c>
      <c r="U168" s="53" t="str">
        <f t="shared" si="42"/>
        <v/>
      </c>
      <c r="V168" s="53" t="str">
        <f t="shared" si="35"/>
        <v/>
      </c>
      <c r="W168" s="53" t="str">
        <f t="shared" si="36"/>
        <v/>
      </c>
      <c r="X168" s="53">
        <f t="shared" si="37"/>
        <v>4</v>
      </c>
      <c r="Y168" s="53" t="str">
        <f t="shared" si="38"/>
        <v/>
      </c>
      <c r="Z168" s="53" t="str">
        <f t="shared" si="39"/>
        <v/>
      </c>
      <c r="AA168" s="53" t="str">
        <f t="shared" si="40"/>
        <v/>
      </c>
      <c r="AB168" s="53" t="str">
        <f t="shared" si="41"/>
        <v/>
      </c>
    </row>
    <row r="169" spans="20:28" x14ac:dyDescent="0.25">
      <c r="T169" s="53" t="str">
        <f t="shared" si="34"/>
        <v/>
      </c>
      <c r="U169" s="53" t="str">
        <f t="shared" si="42"/>
        <v/>
      </c>
      <c r="V169" s="53" t="str">
        <f t="shared" si="35"/>
        <v/>
      </c>
      <c r="W169" s="53" t="str">
        <f t="shared" si="36"/>
        <v/>
      </c>
      <c r="X169" s="53">
        <f t="shared" si="37"/>
        <v>4</v>
      </c>
      <c r="Y169" s="53" t="str">
        <f t="shared" si="38"/>
        <v/>
      </c>
      <c r="Z169" s="53" t="str">
        <f t="shared" si="39"/>
        <v/>
      </c>
      <c r="AA169" s="53" t="str">
        <f t="shared" si="40"/>
        <v/>
      </c>
      <c r="AB169" s="53" t="str">
        <f t="shared" si="41"/>
        <v/>
      </c>
    </row>
    <row r="170" spans="20:28" x14ac:dyDescent="0.25">
      <c r="T170" s="53" t="str">
        <f t="shared" si="34"/>
        <v/>
      </c>
      <c r="U170" s="53" t="str">
        <f t="shared" si="42"/>
        <v/>
      </c>
      <c r="V170" s="53" t="str">
        <f t="shared" si="35"/>
        <v/>
      </c>
      <c r="W170" s="53" t="str">
        <f t="shared" si="36"/>
        <v/>
      </c>
      <c r="X170" s="53">
        <f t="shared" si="37"/>
        <v>4</v>
      </c>
      <c r="Y170" s="53" t="str">
        <f t="shared" si="38"/>
        <v/>
      </c>
      <c r="Z170" s="53" t="str">
        <f t="shared" si="39"/>
        <v/>
      </c>
      <c r="AA170" s="53" t="str">
        <f t="shared" si="40"/>
        <v/>
      </c>
      <c r="AB170" s="53" t="str">
        <f t="shared" si="41"/>
        <v/>
      </c>
    </row>
    <row r="171" spans="20:28" x14ac:dyDescent="0.25">
      <c r="T171" s="53" t="str">
        <f t="shared" si="34"/>
        <v/>
      </c>
      <c r="U171" s="53" t="str">
        <f t="shared" si="42"/>
        <v/>
      </c>
      <c r="V171" s="53" t="str">
        <f t="shared" si="35"/>
        <v/>
      </c>
      <c r="W171" s="53" t="str">
        <f t="shared" si="36"/>
        <v/>
      </c>
      <c r="X171" s="53">
        <f t="shared" si="37"/>
        <v>4</v>
      </c>
      <c r="Y171" s="53" t="str">
        <f t="shared" si="38"/>
        <v/>
      </c>
      <c r="Z171" s="53" t="str">
        <f t="shared" si="39"/>
        <v/>
      </c>
      <c r="AA171" s="53" t="str">
        <f t="shared" si="40"/>
        <v/>
      </c>
      <c r="AB171" s="53" t="str">
        <f t="shared" si="41"/>
        <v/>
      </c>
    </row>
    <row r="172" spans="20:28" x14ac:dyDescent="0.25">
      <c r="T172" s="53" t="str">
        <f t="shared" si="34"/>
        <v/>
      </c>
      <c r="U172" s="53" t="str">
        <f t="shared" si="42"/>
        <v/>
      </c>
      <c r="V172" s="53" t="str">
        <f t="shared" si="35"/>
        <v/>
      </c>
      <c r="W172" s="53" t="str">
        <f t="shared" si="36"/>
        <v/>
      </c>
      <c r="X172" s="53">
        <f t="shared" si="37"/>
        <v>4</v>
      </c>
      <c r="Y172" s="53" t="str">
        <f t="shared" si="38"/>
        <v/>
      </c>
      <c r="Z172" s="53" t="str">
        <f t="shared" si="39"/>
        <v/>
      </c>
      <c r="AA172" s="53" t="str">
        <f t="shared" si="40"/>
        <v/>
      </c>
      <c r="AB172" s="53" t="str">
        <f t="shared" si="41"/>
        <v/>
      </c>
    </row>
    <row r="173" spans="20:28" x14ac:dyDescent="0.25">
      <c r="T173" s="53" t="str">
        <f t="shared" si="34"/>
        <v/>
      </c>
      <c r="U173" s="53" t="str">
        <f t="shared" si="42"/>
        <v/>
      </c>
      <c r="V173" s="53" t="str">
        <f t="shared" si="35"/>
        <v/>
      </c>
      <c r="W173" s="53" t="str">
        <f t="shared" si="36"/>
        <v/>
      </c>
      <c r="X173" s="53">
        <f t="shared" si="37"/>
        <v>4</v>
      </c>
      <c r="Y173" s="53" t="str">
        <f t="shared" si="38"/>
        <v/>
      </c>
      <c r="Z173" s="53" t="str">
        <f t="shared" si="39"/>
        <v/>
      </c>
      <c r="AA173" s="53" t="str">
        <f t="shared" si="40"/>
        <v/>
      </c>
      <c r="AB173" s="53" t="str">
        <f t="shared" si="41"/>
        <v/>
      </c>
    </row>
    <row r="174" spans="20:28" x14ac:dyDescent="0.25">
      <c r="T174" s="53" t="str">
        <f t="shared" si="34"/>
        <v/>
      </c>
      <c r="U174" s="53" t="str">
        <f t="shared" si="42"/>
        <v/>
      </c>
      <c r="V174" s="53" t="str">
        <f t="shared" si="35"/>
        <v/>
      </c>
      <c r="W174" s="53" t="str">
        <f t="shared" si="36"/>
        <v/>
      </c>
      <c r="X174" s="53">
        <f t="shared" si="37"/>
        <v>4</v>
      </c>
      <c r="Y174" s="53" t="str">
        <f t="shared" si="38"/>
        <v/>
      </c>
      <c r="Z174" s="53" t="str">
        <f t="shared" si="39"/>
        <v/>
      </c>
      <c r="AA174" s="53" t="str">
        <f t="shared" si="40"/>
        <v/>
      </c>
      <c r="AB174" s="53" t="str">
        <f t="shared" si="41"/>
        <v/>
      </c>
    </row>
    <row r="175" spans="20:28" x14ac:dyDescent="0.25">
      <c r="T175" s="53" t="str">
        <f t="shared" si="34"/>
        <v/>
      </c>
      <c r="U175" s="53" t="str">
        <f t="shared" si="42"/>
        <v/>
      </c>
      <c r="V175" s="53" t="str">
        <f t="shared" si="35"/>
        <v/>
      </c>
      <c r="W175" s="53" t="str">
        <f t="shared" si="36"/>
        <v/>
      </c>
      <c r="X175" s="53">
        <f t="shared" si="37"/>
        <v>4</v>
      </c>
      <c r="Y175" s="53" t="str">
        <f t="shared" si="38"/>
        <v/>
      </c>
      <c r="Z175" s="53" t="str">
        <f t="shared" si="39"/>
        <v/>
      </c>
      <c r="AA175" s="53" t="str">
        <f t="shared" si="40"/>
        <v/>
      </c>
      <c r="AB175" s="53" t="str">
        <f t="shared" si="41"/>
        <v/>
      </c>
    </row>
    <row r="176" spans="20:28" x14ac:dyDescent="0.25">
      <c r="T176" s="53" t="str">
        <f t="shared" si="34"/>
        <v/>
      </c>
      <c r="U176" s="53" t="str">
        <f t="shared" si="42"/>
        <v/>
      </c>
      <c r="V176" s="53" t="str">
        <f t="shared" si="35"/>
        <v/>
      </c>
      <c r="W176" s="53" t="str">
        <f t="shared" si="36"/>
        <v/>
      </c>
      <c r="X176" s="53">
        <f t="shared" si="37"/>
        <v>4</v>
      </c>
      <c r="Y176" s="53" t="str">
        <f t="shared" si="38"/>
        <v/>
      </c>
      <c r="Z176" s="53" t="str">
        <f t="shared" si="39"/>
        <v/>
      </c>
      <c r="AA176" s="53" t="str">
        <f t="shared" si="40"/>
        <v/>
      </c>
      <c r="AB176" s="53" t="str">
        <f t="shared" si="41"/>
        <v/>
      </c>
    </row>
    <row r="177" spans="20:28" x14ac:dyDescent="0.25">
      <c r="T177" s="53" t="str">
        <f t="shared" si="34"/>
        <v/>
      </c>
      <c r="U177" s="53" t="str">
        <f t="shared" si="42"/>
        <v/>
      </c>
      <c r="V177" s="53" t="str">
        <f t="shared" si="35"/>
        <v/>
      </c>
      <c r="W177" s="53" t="str">
        <f t="shared" si="36"/>
        <v/>
      </c>
      <c r="X177" s="53">
        <f t="shared" si="37"/>
        <v>4</v>
      </c>
      <c r="Y177" s="53" t="str">
        <f t="shared" si="38"/>
        <v/>
      </c>
      <c r="Z177" s="53" t="str">
        <f t="shared" si="39"/>
        <v/>
      </c>
      <c r="AA177" s="53" t="str">
        <f t="shared" si="40"/>
        <v/>
      </c>
      <c r="AB177" s="53" t="str">
        <f t="shared" si="41"/>
        <v/>
      </c>
    </row>
    <row r="178" spans="20:28" x14ac:dyDescent="0.25">
      <c r="T178" s="53" t="str">
        <f t="shared" si="34"/>
        <v/>
      </c>
      <c r="U178" s="53" t="str">
        <f t="shared" si="42"/>
        <v/>
      </c>
      <c r="V178" s="53" t="str">
        <f t="shared" si="35"/>
        <v/>
      </c>
      <c r="W178" s="53" t="str">
        <f t="shared" si="36"/>
        <v/>
      </c>
      <c r="X178" s="53">
        <f t="shared" si="37"/>
        <v>4</v>
      </c>
      <c r="Y178" s="53" t="str">
        <f t="shared" si="38"/>
        <v/>
      </c>
      <c r="Z178" s="53" t="str">
        <f t="shared" si="39"/>
        <v/>
      </c>
      <c r="AA178" s="53" t="str">
        <f t="shared" si="40"/>
        <v/>
      </c>
      <c r="AB178" s="53" t="str">
        <f t="shared" si="41"/>
        <v/>
      </c>
    </row>
    <row r="179" spans="20:28" x14ac:dyDescent="0.25">
      <c r="T179" s="53" t="str">
        <f t="shared" si="34"/>
        <v/>
      </c>
      <c r="U179" s="53" t="str">
        <f t="shared" si="42"/>
        <v/>
      </c>
      <c r="V179" s="53" t="str">
        <f t="shared" si="35"/>
        <v/>
      </c>
      <c r="W179" s="53" t="str">
        <f t="shared" si="36"/>
        <v/>
      </c>
      <c r="X179" s="53">
        <f t="shared" si="37"/>
        <v>4</v>
      </c>
      <c r="Y179" s="53" t="str">
        <f t="shared" si="38"/>
        <v/>
      </c>
      <c r="Z179" s="53" t="str">
        <f t="shared" si="39"/>
        <v/>
      </c>
      <c r="AA179" s="53" t="str">
        <f t="shared" si="40"/>
        <v/>
      </c>
      <c r="AB179" s="53" t="str">
        <f t="shared" si="41"/>
        <v/>
      </c>
    </row>
    <row r="180" spans="20:28" x14ac:dyDescent="0.25">
      <c r="T180" s="53" t="str">
        <f t="shared" si="34"/>
        <v/>
      </c>
      <c r="U180" s="53" t="str">
        <f t="shared" si="42"/>
        <v/>
      </c>
      <c r="V180" s="53" t="str">
        <f t="shared" si="35"/>
        <v/>
      </c>
      <c r="W180" s="53" t="str">
        <f t="shared" si="36"/>
        <v/>
      </c>
      <c r="X180" s="53">
        <f t="shared" si="37"/>
        <v>4</v>
      </c>
      <c r="Y180" s="53" t="str">
        <f t="shared" si="38"/>
        <v/>
      </c>
      <c r="Z180" s="53" t="str">
        <f t="shared" si="39"/>
        <v/>
      </c>
      <c r="AA180" s="53" t="str">
        <f t="shared" si="40"/>
        <v/>
      </c>
      <c r="AB180" s="53" t="str">
        <f t="shared" si="41"/>
        <v/>
      </c>
    </row>
    <row r="181" spans="20:28" x14ac:dyDescent="0.25">
      <c r="T181" s="53" t="str">
        <f t="shared" si="34"/>
        <v/>
      </c>
      <c r="U181" s="53" t="str">
        <f t="shared" si="42"/>
        <v/>
      </c>
      <c r="V181" s="53" t="str">
        <f t="shared" si="35"/>
        <v/>
      </c>
      <c r="W181" s="53" t="str">
        <f t="shared" si="36"/>
        <v/>
      </c>
      <c r="X181" s="53">
        <f t="shared" si="37"/>
        <v>4</v>
      </c>
      <c r="Y181" s="53" t="str">
        <f t="shared" si="38"/>
        <v/>
      </c>
      <c r="Z181" s="53" t="str">
        <f t="shared" si="39"/>
        <v/>
      </c>
      <c r="AA181" s="53" t="str">
        <f t="shared" si="40"/>
        <v/>
      </c>
      <c r="AB181" s="53" t="str">
        <f t="shared" si="41"/>
        <v/>
      </c>
    </row>
    <row r="182" spans="20:28" x14ac:dyDescent="0.25">
      <c r="T182" s="53" t="str">
        <f t="shared" si="34"/>
        <v/>
      </c>
      <c r="U182" s="53" t="str">
        <f t="shared" si="42"/>
        <v/>
      </c>
      <c r="V182" s="53" t="str">
        <f t="shared" si="35"/>
        <v/>
      </c>
      <c r="W182" s="53" t="str">
        <f t="shared" si="36"/>
        <v/>
      </c>
      <c r="X182" s="53">
        <f t="shared" si="37"/>
        <v>4</v>
      </c>
      <c r="Y182" s="53" t="str">
        <f t="shared" si="38"/>
        <v/>
      </c>
      <c r="Z182" s="53" t="str">
        <f t="shared" si="39"/>
        <v/>
      </c>
      <c r="AA182" s="53" t="str">
        <f t="shared" si="40"/>
        <v/>
      </c>
      <c r="AB182" s="53" t="str">
        <f t="shared" si="41"/>
        <v/>
      </c>
    </row>
    <row r="183" spans="20:28" x14ac:dyDescent="0.25">
      <c r="T183" s="53" t="str">
        <f t="shared" si="34"/>
        <v/>
      </c>
      <c r="U183" s="53" t="str">
        <f t="shared" si="42"/>
        <v/>
      </c>
      <c r="V183" s="53" t="str">
        <f t="shared" si="35"/>
        <v/>
      </c>
      <c r="W183" s="53" t="str">
        <f t="shared" si="36"/>
        <v/>
      </c>
      <c r="X183" s="53">
        <f t="shared" si="37"/>
        <v>4</v>
      </c>
      <c r="Y183" s="53" t="str">
        <f t="shared" si="38"/>
        <v/>
      </c>
      <c r="Z183" s="53" t="str">
        <f t="shared" si="39"/>
        <v/>
      </c>
      <c r="AA183" s="53" t="str">
        <f t="shared" si="40"/>
        <v/>
      </c>
      <c r="AB183" s="53" t="str">
        <f t="shared" si="41"/>
        <v/>
      </c>
    </row>
    <row r="184" spans="20:28" x14ac:dyDescent="0.25">
      <c r="T184" s="53" t="str">
        <f t="shared" si="34"/>
        <v/>
      </c>
      <c r="U184" s="53" t="str">
        <f t="shared" si="42"/>
        <v/>
      </c>
      <c r="V184" s="53" t="str">
        <f t="shared" si="35"/>
        <v/>
      </c>
      <c r="W184" s="53" t="str">
        <f t="shared" si="36"/>
        <v/>
      </c>
      <c r="X184" s="53">
        <f t="shared" si="37"/>
        <v>4</v>
      </c>
      <c r="Y184" s="53" t="str">
        <f t="shared" si="38"/>
        <v/>
      </c>
      <c r="Z184" s="53" t="str">
        <f t="shared" si="39"/>
        <v/>
      </c>
      <c r="AA184" s="53" t="str">
        <f t="shared" si="40"/>
        <v/>
      </c>
      <c r="AB184" s="53" t="str">
        <f t="shared" si="41"/>
        <v/>
      </c>
    </row>
    <row r="185" spans="20:28" x14ac:dyDescent="0.25">
      <c r="T185" s="53" t="str">
        <f t="shared" si="34"/>
        <v/>
      </c>
      <c r="U185" s="53" t="str">
        <f t="shared" si="42"/>
        <v/>
      </c>
      <c r="V185" s="53" t="str">
        <f t="shared" si="35"/>
        <v/>
      </c>
      <c r="W185" s="53" t="str">
        <f t="shared" si="36"/>
        <v/>
      </c>
      <c r="X185" s="53">
        <f t="shared" si="37"/>
        <v>4</v>
      </c>
      <c r="Y185" s="53" t="str">
        <f t="shared" si="38"/>
        <v/>
      </c>
      <c r="Z185" s="53" t="str">
        <f t="shared" si="39"/>
        <v/>
      </c>
      <c r="AA185" s="53" t="str">
        <f t="shared" si="40"/>
        <v/>
      </c>
      <c r="AB185" s="53" t="str">
        <f t="shared" si="41"/>
        <v/>
      </c>
    </row>
    <row r="186" spans="20:28" x14ac:dyDescent="0.25">
      <c r="T186" s="53" t="str">
        <f t="shared" si="34"/>
        <v/>
      </c>
      <c r="U186" s="53" t="str">
        <f t="shared" si="42"/>
        <v/>
      </c>
      <c r="V186" s="53" t="str">
        <f t="shared" si="35"/>
        <v/>
      </c>
      <c r="W186" s="53" t="str">
        <f t="shared" si="36"/>
        <v/>
      </c>
      <c r="X186" s="53">
        <f t="shared" si="37"/>
        <v>4</v>
      </c>
      <c r="Y186" s="53" t="str">
        <f t="shared" si="38"/>
        <v/>
      </c>
      <c r="Z186" s="53" t="str">
        <f t="shared" si="39"/>
        <v/>
      </c>
      <c r="AA186" s="53" t="str">
        <f t="shared" si="40"/>
        <v/>
      </c>
      <c r="AB186" s="53" t="str">
        <f t="shared" si="41"/>
        <v/>
      </c>
    </row>
    <row r="187" spans="20:28" x14ac:dyDescent="0.25">
      <c r="T187" s="53" t="str">
        <f t="shared" si="34"/>
        <v/>
      </c>
      <c r="U187" s="53" t="str">
        <f t="shared" si="42"/>
        <v/>
      </c>
      <c r="V187" s="53" t="str">
        <f t="shared" si="35"/>
        <v/>
      </c>
      <c r="W187" s="53" t="str">
        <f t="shared" si="36"/>
        <v/>
      </c>
      <c r="X187" s="53">
        <f t="shared" si="37"/>
        <v>4</v>
      </c>
      <c r="Y187" s="53" t="str">
        <f t="shared" si="38"/>
        <v/>
      </c>
      <c r="Z187" s="53" t="str">
        <f t="shared" si="39"/>
        <v/>
      </c>
      <c r="AA187" s="53" t="str">
        <f t="shared" si="40"/>
        <v/>
      </c>
      <c r="AB187" s="53" t="str">
        <f t="shared" si="41"/>
        <v/>
      </c>
    </row>
    <row r="188" spans="20:28" x14ac:dyDescent="0.25">
      <c r="T188" s="53" t="str">
        <f t="shared" si="34"/>
        <v/>
      </c>
      <c r="U188" s="53" t="str">
        <f t="shared" si="42"/>
        <v/>
      </c>
      <c r="V188" s="53" t="str">
        <f t="shared" si="35"/>
        <v/>
      </c>
      <c r="W188" s="53" t="str">
        <f t="shared" si="36"/>
        <v/>
      </c>
      <c r="X188" s="53">
        <f t="shared" si="37"/>
        <v>4</v>
      </c>
      <c r="Y188" s="53" t="str">
        <f t="shared" si="38"/>
        <v/>
      </c>
      <c r="Z188" s="53" t="str">
        <f t="shared" si="39"/>
        <v/>
      </c>
      <c r="AA188" s="53" t="str">
        <f t="shared" si="40"/>
        <v/>
      </c>
      <c r="AB188" s="53" t="str">
        <f t="shared" si="41"/>
        <v/>
      </c>
    </row>
    <row r="189" spans="20:28" x14ac:dyDescent="0.25">
      <c r="T189" s="53" t="str">
        <f t="shared" si="34"/>
        <v/>
      </c>
      <c r="U189" s="53" t="str">
        <f t="shared" si="42"/>
        <v/>
      </c>
      <c r="V189" s="53" t="str">
        <f t="shared" si="35"/>
        <v/>
      </c>
      <c r="W189" s="53" t="str">
        <f t="shared" si="36"/>
        <v/>
      </c>
      <c r="X189" s="53">
        <f t="shared" si="37"/>
        <v>4</v>
      </c>
      <c r="Y189" s="53" t="str">
        <f t="shared" si="38"/>
        <v/>
      </c>
      <c r="Z189" s="53" t="str">
        <f t="shared" si="39"/>
        <v/>
      </c>
      <c r="AA189" s="53" t="str">
        <f t="shared" si="40"/>
        <v/>
      </c>
      <c r="AB189" s="53" t="str">
        <f t="shared" si="41"/>
        <v/>
      </c>
    </row>
    <row r="190" spans="20:28" x14ac:dyDescent="0.25">
      <c r="T190" s="53" t="str">
        <f t="shared" si="34"/>
        <v/>
      </c>
      <c r="U190" s="53" t="str">
        <f t="shared" si="42"/>
        <v/>
      </c>
      <c r="V190" s="53" t="str">
        <f t="shared" si="35"/>
        <v/>
      </c>
      <c r="W190" s="53" t="str">
        <f t="shared" si="36"/>
        <v/>
      </c>
      <c r="X190" s="53">
        <f t="shared" si="37"/>
        <v>4</v>
      </c>
      <c r="Y190" s="53" t="str">
        <f t="shared" si="38"/>
        <v/>
      </c>
      <c r="Z190" s="53" t="str">
        <f t="shared" si="39"/>
        <v/>
      </c>
      <c r="AA190" s="53" t="str">
        <f t="shared" si="40"/>
        <v/>
      </c>
      <c r="AB190" s="53" t="str">
        <f t="shared" si="41"/>
        <v/>
      </c>
    </row>
    <row r="191" spans="20:28" x14ac:dyDescent="0.25">
      <c r="T191" s="53" t="str">
        <f t="shared" si="34"/>
        <v/>
      </c>
      <c r="U191" s="53" t="str">
        <f t="shared" si="42"/>
        <v/>
      </c>
      <c r="V191" s="53" t="str">
        <f t="shared" si="35"/>
        <v/>
      </c>
      <c r="W191" s="53" t="str">
        <f t="shared" si="36"/>
        <v/>
      </c>
      <c r="X191" s="53">
        <f t="shared" si="37"/>
        <v>4</v>
      </c>
      <c r="Y191" s="53" t="str">
        <f t="shared" si="38"/>
        <v/>
      </c>
      <c r="Z191" s="53" t="str">
        <f t="shared" si="39"/>
        <v/>
      </c>
      <c r="AA191" s="53" t="str">
        <f t="shared" si="40"/>
        <v/>
      </c>
      <c r="AB191" s="53" t="str">
        <f t="shared" si="41"/>
        <v/>
      </c>
    </row>
    <row r="192" spans="20:28" x14ac:dyDescent="0.25">
      <c r="T192" s="53" t="str">
        <f t="shared" si="34"/>
        <v/>
      </c>
      <c r="U192" s="53" t="str">
        <f t="shared" si="42"/>
        <v/>
      </c>
      <c r="V192" s="53" t="str">
        <f t="shared" si="35"/>
        <v/>
      </c>
      <c r="W192" s="53" t="str">
        <f t="shared" si="36"/>
        <v/>
      </c>
      <c r="X192" s="53">
        <f t="shared" si="37"/>
        <v>4</v>
      </c>
      <c r="Y192" s="53" t="str">
        <f t="shared" si="38"/>
        <v/>
      </c>
      <c r="Z192" s="53" t="str">
        <f t="shared" si="39"/>
        <v/>
      </c>
      <c r="AA192" s="53" t="str">
        <f t="shared" si="40"/>
        <v/>
      </c>
      <c r="AB192" s="53" t="str">
        <f t="shared" si="41"/>
        <v/>
      </c>
    </row>
    <row r="193" spans="20:28" x14ac:dyDescent="0.25">
      <c r="T193" s="53" t="str">
        <f t="shared" si="34"/>
        <v/>
      </c>
      <c r="U193" s="53" t="str">
        <f t="shared" si="42"/>
        <v/>
      </c>
      <c r="V193" s="53" t="str">
        <f t="shared" si="35"/>
        <v/>
      </c>
      <c r="W193" s="53" t="str">
        <f t="shared" si="36"/>
        <v/>
      </c>
      <c r="X193" s="53">
        <f t="shared" si="37"/>
        <v>4</v>
      </c>
      <c r="Y193" s="53" t="str">
        <f t="shared" si="38"/>
        <v/>
      </c>
      <c r="Z193" s="53" t="str">
        <f t="shared" si="39"/>
        <v/>
      </c>
      <c r="AA193" s="53" t="str">
        <f t="shared" si="40"/>
        <v/>
      </c>
      <c r="AB193" s="53" t="str">
        <f t="shared" si="41"/>
        <v/>
      </c>
    </row>
    <row r="194" spans="20:28" x14ac:dyDescent="0.25">
      <c r="T194" s="53" t="str">
        <f t="shared" si="34"/>
        <v/>
      </c>
      <c r="U194" s="53" t="str">
        <f t="shared" si="42"/>
        <v/>
      </c>
      <c r="V194" s="53" t="str">
        <f t="shared" si="35"/>
        <v/>
      </c>
      <c r="W194" s="53" t="str">
        <f t="shared" si="36"/>
        <v/>
      </c>
      <c r="X194" s="53">
        <f t="shared" si="37"/>
        <v>4</v>
      </c>
      <c r="Y194" s="53" t="str">
        <f t="shared" si="38"/>
        <v/>
      </c>
      <c r="Z194" s="53" t="str">
        <f t="shared" si="39"/>
        <v/>
      </c>
      <c r="AA194" s="53" t="str">
        <f t="shared" si="40"/>
        <v/>
      </c>
      <c r="AB194" s="53" t="str">
        <f t="shared" si="41"/>
        <v/>
      </c>
    </row>
    <row r="195" spans="20:28" x14ac:dyDescent="0.25">
      <c r="W195" s="53" t="str">
        <f t="shared" si="36"/>
        <v/>
      </c>
      <c r="X195" s="53">
        <f t="shared" si="37"/>
        <v>4</v>
      </c>
      <c r="Y195" s="53" t="str">
        <f t="shared" si="38"/>
        <v/>
      </c>
      <c r="Z195" s="53" t="str">
        <f t="shared" si="39"/>
        <v/>
      </c>
      <c r="AA195" s="53" t="str">
        <f t="shared" si="40"/>
        <v/>
      </c>
      <c r="AB195" s="53" t="str">
        <f t="shared" si="41"/>
        <v/>
      </c>
    </row>
    <row r="196" spans="20:28" x14ac:dyDescent="0.25">
      <c r="W196" s="53" t="str">
        <f t="shared" ref="W196:W259" si="43">IF(MOD(ROW(),3)=0,IF(H198&gt;=$O$1,H198,IF(I198&gt;=$O$1,I198,"")),"")</f>
        <v/>
      </c>
      <c r="X196" s="53">
        <f t="shared" ref="X196:X259" si="44">IF(ISNUMBER(CODE(Z196)),X195+1,X195)</f>
        <v>4</v>
      </c>
      <c r="Y196" s="53" t="str">
        <f t="shared" ref="Y196:Y259" si="45">INDEX($O$3:$W$50,1+INT((ROW(A194)-1)/COLUMNS($O$3:$W$50)),MOD(ROW(A194)-1+COLUMNS($O$3:$W$50),COLUMNS($O$3:$W$50))+1)</f>
        <v/>
      </c>
      <c r="Z196" s="53" t="str">
        <f t="shared" ref="Z196:Z259" si="46">IF(ISNUMBER(SEARCH("@",Y196)),Y196,"")</f>
        <v/>
      </c>
      <c r="AA196" s="53" t="str">
        <f t="shared" ref="AA196:AA259" si="47">IF(ISNUMBER(SEARCH("@",Y196)),Y197,"")</f>
        <v/>
      </c>
      <c r="AB196" s="53" t="str">
        <f t="shared" ref="AB196:AB259" si="48">IF(ISNUMBER(SEARCH("@",Y196)),Y198,"")</f>
        <v/>
      </c>
    </row>
    <row r="197" spans="20:28" x14ac:dyDescent="0.25">
      <c r="W197" s="53" t="str">
        <f t="shared" si="43"/>
        <v/>
      </c>
      <c r="X197" s="53">
        <f t="shared" si="44"/>
        <v>4</v>
      </c>
      <c r="Y197" s="53" t="str">
        <f t="shared" si="45"/>
        <v/>
      </c>
      <c r="Z197" s="53" t="str">
        <f t="shared" si="46"/>
        <v/>
      </c>
      <c r="AA197" s="53" t="str">
        <f t="shared" si="47"/>
        <v/>
      </c>
      <c r="AB197" s="53" t="str">
        <f t="shared" si="48"/>
        <v/>
      </c>
    </row>
    <row r="198" spans="20:28" x14ac:dyDescent="0.25">
      <c r="W198" s="53" t="str">
        <f t="shared" si="43"/>
        <v/>
      </c>
      <c r="X198" s="53">
        <f t="shared" si="44"/>
        <v>4</v>
      </c>
      <c r="Y198" s="53" t="str">
        <f t="shared" si="45"/>
        <v/>
      </c>
      <c r="Z198" s="53" t="str">
        <f t="shared" si="46"/>
        <v/>
      </c>
      <c r="AA198" s="53" t="str">
        <f t="shared" si="47"/>
        <v/>
      </c>
      <c r="AB198" s="53" t="str">
        <f t="shared" si="48"/>
        <v/>
      </c>
    </row>
    <row r="199" spans="20:28" x14ac:dyDescent="0.25">
      <c r="W199" s="53" t="str">
        <f t="shared" si="43"/>
        <v/>
      </c>
      <c r="X199" s="53">
        <f t="shared" si="44"/>
        <v>4</v>
      </c>
      <c r="Y199" s="53" t="str">
        <f t="shared" si="45"/>
        <v/>
      </c>
      <c r="Z199" s="53" t="str">
        <f t="shared" si="46"/>
        <v/>
      </c>
      <c r="AA199" s="53" t="str">
        <f t="shared" si="47"/>
        <v/>
      </c>
      <c r="AB199" s="53" t="str">
        <f t="shared" si="48"/>
        <v/>
      </c>
    </row>
    <row r="200" spans="20:28" x14ac:dyDescent="0.25">
      <c r="W200" s="53" t="str">
        <f t="shared" si="43"/>
        <v/>
      </c>
      <c r="X200" s="53">
        <f t="shared" si="44"/>
        <v>4</v>
      </c>
      <c r="Y200" s="53" t="str">
        <f t="shared" si="45"/>
        <v/>
      </c>
      <c r="Z200" s="53" t="str">
        <f t="shared" si="46"/>
        <v/>
      </c>
      <c r="AA200" s="53" t="str">
        <f t="shared" si="47"/>
        <v/>
      </c>
      <c r="AB200" s="53" t="str">
        <f t="shared" si="48"/>
        <v/>
      </c>
    </row>
    <row r="201" spans="20:28" x14ac:dyDescent="0.25">
      <c r="W201" s="53" t="str">
        <f t="shared" si="43"/>
        <v/>
      </c>
      <c r="X201" s="53">
        <f t="shared" si="44"/>
        <v>4</v>
      </c>
      <c r="Y201" s="53" t="str">
        <f t="shared" si="45"/>
        <v/>
      </c>
      <c r="Z201" s="53" t="str">
        <f t="shared" si="46"/>
        <v/>
      </c>
      <c r="AA201" s="53" t="str">
        <f t="shared" si="47"/>
        <v/>
      </c>
      <c r="AB201" s="53" t="str">
        <f t="shared" si="48"/>
        <v/>
      </c>
    </row>
    <row r="202" spans="20:28" x14ac:dyDescent="0.25">
      <c r="W202" s="53" t="str">
        <f t="shared" si="43"/>
        <v/>
      </c>
      <c r="X202" s="53">
        <f t="shared" si="44"/>
        <v>4</v>
      </c>
      <c r="Y202" s="53" t="str">
        <f t="shared" si="45"/>
        <v/>
      </c>
      <c r="Z202" s="53" t="str">
        <f t="shared" si="46"/>
        <v/>
      </c>
      <c r="AA202" s="53" t="str">
        <f t="shared" si="47"/>
        <v/>
      </c>
      <c r="AB202" s="53" t="str">
        <f t="shared" si="48"/>
        <v/>
      </c>
    </row>
    <row r="203" spans="20:28" x14ac:dyDescent="0.25">
      <c r="W203" s="53" t="str">
        <f t="shared" si="43"/>
        <v/>
      </c>
      <c r="X203" s="53">
        <f t="shared" si="44"/>
        <v>4</v>
      </c>
      <c r="Y203" s="53" t="str">
        <f t="shared" si="45"/>
        <v/>
      </c>
      <c r="Z203" s="53" t="str">
        <f t="shared" si="46"/>
        <v/>
      </c>
      <c r="AA203" s="53" t="str">
        <f t="shared" si="47"/>
        <v/>
      </c>
      <c r="AB203" s="53" t="str">
        <f t="shared" si="48"/>
        <v/>
      </c>
    </row>
    <row r="204" spans="20:28" x14ac:dyDescent="0.25">
      <c r="W204" s="53" t="str">
        <f t="shared" si="43"/>
        <v/>
      </c>
      <c r="X204" s="53">
        <f t="shared" si="44"/>
        <v>4</v>
      </c>
      <c r="Y204" s="53" t="str">
        <f t="shared" si="45"/>
        <v/>
      </c>
      <c r="Z204" s="53" t="str">
        <f t="shared" si="46"/>
        <v/>
      </c>
      <c r="AA204" s="53" t="str">
        <f t="shared" si="47"/>
        <v/>
      </c>
      <c r="AB204" s="53" t="str">
        <f t="shared" si="48"/>
        <v/>
      </c>
    </row>
    <row r="205" spans="20:28" x14ac:dyDescent="0.25">
      <c r="W205" s="53" t="str">
        <f t="shared" si="43"/>
        <v/>
      </c>
      <c r="X205" s="53">
        <f t="shared" si="44"/>
        <v>4</v>
      </c>
      <c r="Y205" s="53" t="str">
        <f t="shared" si="45"/>
        <v/>
      </c>
      <c r="Z205" s="53" t="str">
        <f t="shared" si="46"/>
        <v/>
      </c>
      <c r="AA205" s="53" t="str">
        <f t="shared" si="47"/>
        <v/>
      </c>
      <c r="AB205" s="53" t="str">
        <f t="shared" si="48"/>
        <v/>
      </c>
    </row>
    <row r="206" spans="20:28" x14ac:dyDescent="0.25">
      <c r="W206" s="53" t="str">
        <f t="shared" si="43"/>
        <v/>
      </c>
      <c r="X206" s="53">
        <f t="shared" si="44"/>
        <v>4</v>
      </c>
      <c r="Y206" s="53" t="str">
        <f t="shared" si="45"/>
        <v/>
      </c>
      <c r="Z206" s="53" t="str">
        <f t="shared" si="46"/>
        <v/>
      </c>
      <c r="AA206" s="53" t="str">
        <f t="shared" si="47"/>
        <v/>
      </c>
      <c r="AB206" s="53" t="str">
        <f t="shared" si="48"/>
        <v/>
      </c>
    </row>
    <row r="207" spans="20:28" x14ac:dyDescent="0.25">
      <c r="W207" s="53" t="str">
        <f t="shared" si="43"/>
        <v/>
      </c>
      <c r="X207" s="53">
        <f t="shared" si="44"/>
        <v>4</v>
      </c>
      <c r="Y207" s="53" t="str">
        <f t="shared" si="45"/>
        <v/>
      </c>
      <c r="Z207" s="53" t="str">
        <f t="shared" si="46"/>
        <v/>
      </c>
      <c r="AA207" s="53" t="str">
        <f t="shared" si="47"/>
        <v/>
      </c>
      <c r="AB207" s="53" t="str">
        <f t="shared" si="48"/>
        <v/>
      </c>
    </row>
    <row r="208" spans="20:28" x14ac:dyDescent="0.25">
      <c r="W208" s="53" t="str">
        <f t="shared" si="43"/>
        <v/>
      </c>
      <c r="X208" s="53">
        <f t="shared" si="44"/>
        <v>4</v>
      </c>
      <c r="Y208" s="53" t="str">
        <f t="shared" si="45"/>
        <v/>
      </c>
      <c r="Z208" s="53" t="str">
        <f t="shared" si="46"/>
        <v/>
      </c>
      <c r="AA208" s="53" t="str">
        <f t="shared" si="47"/>
        <v/>
      </c>
      <c r="AB208" s="53" t="str">
        <f t="shared" si="48"/>
        <v/>
      </c>
    </row>
    <row r="209" spans="23:28" x14ac:dyDescent="0.25">
      <c r="W209" s="53" t="str">
        <f t="shared" si="43"/>
        <v/>
      </c>
      <c r="X209" s="53">
        <f t="shared" si="44"/>
        <v>4</v>
      </c>
      <c r="Y209" s="53" t="str">
        <f t="shared" si="45"/>
        <v/>
      </c>
      <c r="Z209" s="53" t="str">
        <f t="shared" si="46"/>
        <v/>
      </c>
      <c r="AA209" s="53" t="str">
        <f t="shared" si="47"/>
        <v/>
      </c>
      <c r="AB209" s="53" t="str">
        <f t="shared" si="48"/>
        <v/>
      </c>
    </row>
    <row r="210" spans="23:28" x14ac:dyDescent="0.25">
      <c r="W210" s="53" t="str">
        <f t="shared" si="43"/>
        <v/>
      </c>
      <c r="X210" s="53">
        <f t="shared" si="44"/>
        <v>4</v>
      </c>
      <c r="Y210" s="53" t="str">
        <f t="shared" si="45"/>
        <v/>
      </c>
      <c r="Z210" s="53" t="str">
        <f t="shared" si="46"/>
        <v/>
      </c>
      <c r="AA210" s="53" t="str">
        <f t="shared" si="47"/>
        <v/>
      </c>
      <c r="AB210" s="53" t="str">
        <f t="shared" si="48"/>
        <v/>
      </c>
    </row>
    <row r="211" spans="23:28" x14ac:dyDescent="0.25">
      <c r="W211" s="53" t="str">
        <f t="shared" si="43"/>
        <v/>
      </c>
      <c r="X211" s="53">
        <f t="shared" si="44"/>
        <v>4</v>
      </c>
      <c r="Y211" s="53" t="str">
        <f t="shared" si="45"/>
        <v/>
      </c>
      <c r="Z211" s="53" t="str">
        <f t="shared" si="46"/>
        <v/>
      </c>
      <c r="AA211" s="53" t="str">
        <f t="shared" si="47"/>
        <v/>
      </c>
      <c r="AB211" s="53" t="str">
        <f t="shared" si="48"/>
        <v/>
      </c>
    </row>
    <row r="212" spans="23:28" x14ac:dyDescent="0.25">
      <c r="W212" s="53" t="str">
        <f t="shared" si="43"/>
        <v/>
      </c>
      <c r="X212" s="53">
        <f t="shared" si="44"/>
        <v>4</v>
      </c>
      <c r="Y212" s="53" t="str">
        <f t="shared" si="45"/>
        <v/>
      </c>
      <c r="Z212" s="53" t="str">
        <f t="shared" si="46"/>
        <v/>
      </c>
      <c r="AA212" s="53" t="str">
        <f t="shared" si="47"/>
        <v/>
      </c>
      <c r="AB212" s="53" t="str">
        <f t="shared" si="48"/>
        <v/>
      </c>
    </row>
    <row r="213" spans="23:28" x14ac:dyDescent="0.25">
      <c r="W213" s="53" t="str">
        <f t="shared" si="43"/>
        <v/>
      </c>
      <c r="X213" s="53">
        <f t="shared" si="44"/>
        <v>4</v>
      </c>
      <c r="Y213" s="53" t="str">
        <f t="shared" si="45"/>
        <v/>
      </c>
      <c r="Z213" s="53" t="str">
        <f t="shared" si="46"/>
        <v/>
      </c>
      <c r="AA213" s="53" t="str">
        <f t="shared" si="47"/>
        <v/>
      </c>
      <c r="AB213" s="53" t="str">
        <f t="shared" si="48"/>
        <v/>
      </c>
    </row>
    <row r="214" spans="23:28" x14ac:dyDescent="0.25">
      <c r="W214" s="53" t="str">
        <f t="shared" si="43"/>
        <v/>
      </c>
      <c r="X214" s="53">
        <f t="shared" si="44"/>
        <v>4</v>
      </c>
      <c r="Y214" s="53" t="str">
        <f t="shared" si="45"/>
        <v/>
      </c>
      <c r="Z214" s="53" t="str">
        <f t="shared" si="46"/>
        <v/>
      </c>
      <c r="AA214" s="53" t="str">
        <f t="shared" si="47"/>
        <v/>
      </c>
      <c r="AB214" s="53" t="str">
        <f t="shared" si="48"/>
        <v/>
      </c>
    </row>
    <row r="215" spans="23:28" x14ac:dyDescent="0.25">
      <c r="W215" s="53" t="str">
        <f t="shared" si="43"/>
        <v/>
      </c>
      <c r="X215" s="53">
        <f t="shared" si="44"/>
        <v>4</v>
      </c>
      <c r="Y215" s="53" t="str">
        <f t="shared" si="45"/>
        <v/>
      </c>
      <c r="Z215" s="53" t="str">
        <f t="shared" si="46"/>
        <v/>
      </c>
      <c r="AA215" s="53" t="str">
        <f t="shared" si="47"/>
        <v/>
      </c>
      <c r="AB215" s="53" t="str">
        <f t="shared" si="48"/>
        <v/>
      </c>
    </row>
    <row r="216" spans="23:28" x14ac:dyDescent="0.25">
      <c r="W216" s="53" t="str">
        <f t="shared" si="43"/>
        <v/>
      </c>
      <c r="X216" s="53">
        <f t="shared" si="44"/>
        <v>4</v>
      </c>
      <c r="Y216" s="53" t="str">
        <f t="shared" si="45"/>
        <v/>
      </c>
      <c r="Z216" s="53" t="str">
        <f t="shared" si="46"/>
        <v/>
      </c>
      <c r="AA216" s="53" t="str">
        <f t="shared" si="47"/>
        <v/>
      </c>
      <c r="AB216" s="53" t="str">
        <f t="shared" si="48"/>
        <v/>
      </c>
    </row>
    <row r="217" spans="23:28" x14ac:dyDescent="0.25">
      <c r="W217" s="53" t="str">
        <f t="shared" si="43"/>
        <v/>
      </c>
      <c r="X217" s="53">
        <f t="shared" si="44"/>
        <v>4</v>
      </c>
      <c r="Y217" s="53" t="str">
        <f t="shared" si="45"/>
        <v/>
      </c>
      <c r="Z217" s="53" t="str">
        <f t="shared" si="46"/>
        <v/>
      </c>
      <c r="AA217" s="53" t="str">
        <f t="shared" si="47"/>
        <v/>
      </c>
      <c r="AB217" s="53" t="str">
        <f t="shared" si="48"/>
        <v/>
      </c>
    </row>
    <row r="218" spans="23:28" x14ac:dyDescent="0.25">
      <c r="W218" s="53" t="str">
        <f t="shared" si="43"/>
        <v/>
      </c>
      <c r="X218" s="53">
        <f t="shared" si="44"/>
        <v>4</v>
      </c>
      <c r="Y218" s="53" t="str">
        <f t="shared" si="45"/>
        <v/>
      </c>
      <c r="Z218" s="53" t="str">
        <f t="shared" si="46"/>
        <v/>
      </c>
      <c r="AA218" s="53" t="str">
        <f t="shared" si="47"/>
        <v/>
      </c>
      <c r="AB218" s="53" t="str">
        <f t="shared" si="48"/>
        <v/>
      </c>
    </row>
    <row r="219" spans="23:28" x14ac:dyDescent="0.25">
      <c r="W219" s="53" t="str">
        <f t="shared" si="43"/>
        <v/>
      </c>
      <c r="X219" s="53">
        <f t="shared" si="44"/>
        <v>4</v>
      </c>
      <c r="Y219" s="53" t="str">
        <f t="shared" si="45"/>
        <v/>
      </c>
      <c r="Z219" s="53" t="str">
        <f t="shared" si="46"/>
        <v/>
      </c>
      <c r="AA219" s="53" t="str">
        <f t="shared" si="47"/>
        <v/>
      </c>
      <c r="AB219" s="53" t="str">
        <f t="shared" si="48"/>
        <v/>
      </c>
    </row>
    <row r="220" spans="23:28" x14ac:dyDescent="0.25">
      <c r="W220" s="53" t="str">
        <f t="shared" si="43"/>
        <v/>
      </c>
      <c r="X220" s="53">
        <f t="shared" si="44"/>
        <v>4</v>
      </c>
      <c r="Y220" s="53" t="str">
        <f t="shared" si="45"/>
        <v/>
      </c>
      <c r="Z220" s="53" t="str">
        <f t="shared" si="46"/>
        <v/>
      </c>
      <c r="AA220" s="53" t="str">
        <f t="shared" si="47"/>
        <v/>
      </c>
      <c r="AB220" s="53" t="str">
        <f t="shared" si="48"/>
        <v/>
      </c>
    </row>
    <row r="221" spans="23:28" x14ac:dyDescent="0.25">
      <c r="W221" s="53" t="str">
        <f t="shared" si="43"/>
        <v/>
      </c>
      <c r="X221" s="53">
        <f t="shared" si="44"/>
        <v>4</v>
      </c>
      <c r="Y221" s="53" t="str">
        <f t="shared" si="45"/>
        <v/>
      </c>
      <c r="Z221" s="53" t="str">
        <f t="shared" si="46"/>
        <v/>
      </c>
      <c r="AA221" s="53" t="str">
        <f t="shared" si="47"/>
        <v/>
      </c>
      <c r="AB221" s="53" t="str">
        <f t="shared" si="48"/>
        <v/>
      </c>
    </row>
    <row r="222" spans="23:28" x14ac:dyDescent="0.25">
      <c r="W222" s="53" t="str">
        <f t="shared" si="43"/>
        <v/>
      </c>
      <c r="X222" s="53">
        <f t="shared" si="44"/>
        <v>4</v>
      </c>
      <c r="Y222" s="53" t="str">
        <f t="shared" si="45"/>
        <v/>
      </c>
      <c r="Z222" s="53" t="str">
        <f t="shared" si="46"/>
        <v/>
      </c>
      <c r="AA222" s="53" t="str">
        <f t="shared" si="47"/>
        <v/>
      </c>
      <c r="AB222" s="53" t="str">
        <f t="shared" si="48"/>
        <v/>
      </c>
    </row>
    <row r="223" spans="23:28" x14ac:dyDescent="0.25">
      <c r="W223" s="53" t="str">
        <f t="shared" si="43"/>
        <v/>
      </c>
      <c r="X223" s="53">
        <f t="shared" si="44"/>
        <v>4</v>
      </c>
      <c r="Y223" s="53" t="str">
        <f t="shared" si="45"/>
        <v/>
      </c>
      <c r="Z223" s="53" t="str">
        <f t="shared" si="46"/>
        <v/>
      </c>
      <c r="AA223" s="53" t="str">
        <f t="shared" si="47"/>
        <v/>
      </c>
      <c r="AB223" s="53" t="str">
        <f t="shared" si="48"/>
        <v/>
      </c>
    </row>
    <row r="224" spans="23:28" x14ac:dyDescent="0.25">
      <c r="W224" s="53" t="str">
        <f t="shared" si="43"/>
        <v/>
      </c>
      <c r="X224" s="53">
        <f t="shared" si="44"/>
        <v>4</v>
      </c>
      <c r="Y224" s="53" t="str">
        <f t="shared" si="45"/>
        <v/>
      </c>
      <c r="Z224" s="53" t="str">
        <f t="shared" si="46"/>
        <v/>
      </c>
      <c r="AA224" s="53" t="str">
        <f t="shared" si="47"/>
        <v/>
      </c>
      <c r="AB224" s="53" t="str">
        <f t="shared" si="48"/>
        <v/>
      </c>
    </row>
    <row r="225" spans="23:28" x14ac:dyDescent="0.25">
      <c r="W225" s="53" t="str">
        <f t="shared" si="43"/>
        <v/>
      </c>
      <c r="X225" s="53">
        <f t="shared" si="44"/>
        <v>4</v>
      </c>
      <c r="Y225" s="53" t="str">
        <f t="shared" si="45"/>
        <v/>
      </c>
      <c r="Z225" s="53" t="str">
        <f t="shared" si="46"/>
        <v/>
      </c>
      <c r="AA225" s="53" t="str">
        <f t="shared" si="47"/>
        <v/>
      </c>
      <c r="AB225" s="53" t="str">
        <f t="shared" si="48"/>
        <v/>
      </c>
    </row>
    <row r="226" spans="23:28" x14ac:dyDescent="0.25">
      <c r="W226" s="53" t="str">
        <f t="shared" si="43"/>
        <v/>
      </c>
      <c r="X226" s="53">
        <f t="shared" si="44"/>
        <v>4</v>
      </c>
      <c r="Y226" s="53" t="str">
        <f t="shared" si="45"/>
        <v/>
      </c>
      <c r="Z226" s="53" t="str">
        <f t="shared" si="46"/>
        <v/>
      </c>
      <c r="AA226" s="53" t="str">
        <f t="shared" si="47"/>
        <v/>
      </c>
      <c r="AB226" s="53" t="str">
        <f t="shared" si="48"/>
        <v/>
      </c>
    </row>
    <row r="227" spans="23:28" x14ac:dyDescent="0.25">
      <c r="W227" s="53" t="str">
        <f t="shared" si="43"/>
        <v/>
      </c>
      <c r="X227" s="53">
        <f t="shared" si="44"/>
        <v>4</v>
      </c>
      <c r="Y227" s="53" t="str">
        <f t="shared" si="45"/>
        <v/>
      </c>
      <c r="Z227" s="53" t="str">
        <f t="shared" si="46"/>
        <v/>
      </c>
      <c r="AA227" s="53" t="str">
        <f t="shared" si="47"/>
        <v/>
      </c>
      <c r="AB227" s="53" t="str">
        <f t="shared" si="48"/>
        <v/>
      </c>
    </row>
    <row r="228" spans="23:28" x14ac:dyDescent="0.25">
      <c r="W228" s="53" t="str">
        <f t="shared" si="43"/>
        <v/>
      </c>
      <c r="X228" s="53">
        <f t="shared" si="44"/>
        <v>4</v>
      </c>
      <c r="Y228" s="53" t="str">
        <f t="shared" si="45"/>
        <v/>
      </c>
      <c r="Z228" s="53" t="str">
        <f t="shared" si="46"/>
        <v/>
      </c>
      <c r="AA228" s="53" t="str">
        <f t="shared" si="47"/>
        <v/>
      </c>
      <c r="AB228" s="53" t="str">
        <f t="shared" si="48"/>
        <v/>
      </c>
    </row>
    <row r="229" spans="23:28" x14ac:dyDescent="0.25">
      <c r="W229" s="53" t="str">
        <f t="shared" si="43"/>
        <v/>
      </c>
      <c r="X229" s="53">
        <f t="shared" si="44"/>
        <v>4</v>
      </c>
      <c r="Y229" s="53" t="str">
        <f t="shared" si="45"/>
        <v/>
      </c>
      <c r="Z229" s="53" t="str">
        <f t="shared" si="46"/>
        <v/>
      </c>
      <c r="AA229" s="53" t="str">
        <f t="shared" si="47"/>
        <v/>
      </c>
      <c r="AB229" s="53" t="str">
        <f t="shared" si="48"/>
        <v/>
      </c>
    </row>
    <row r="230" spans="23:28" x14ac:dyDescent="0.25">
      <c r="W230" s="53" t="str">
        <f t="shared" si="43"/>
        <v/>
      </c>
      <c r="X230" s="53">
        <f t="shared" si="44"/>
        <v>4</v>
      </c>
      <c r="Y230" s="53" t="str">
        <f t="shared" si="45"/>
        <v/>
      </c>
      <c r="Z230" s="53" t="str">
        <f t="shared" si="46"/>
        <v/>
      </c>
      <c r="AA230" s="53" t="str">
        <f t="shared" si="47"/>
        <v/>
      </c>
      <c r="AB230" s="53" t="str">
        <f t="shared" si="48"/>
        <v/>
      </c>
    </row>
    <row r="231" spans="23:28" x14ac:dyDescent="0.25">
      <c r="W231" s="53" t="str">
        <f t="shared" si="43"/>
        <v/>
      </c>
      <c r="X231" s="53">
        <f t="shared" si="44"/>
        <v>4</v>
      </c>
      <c r="Y231" s="53" t="str">
        <f t="shared" si="45"/>
        <v/>
      </c>
      <c r="Z231" s="53" t="str">
        <f t="shared" si="46"/>
        <v/>
      </c>
      <c r="AA231" s="53" t="str">
        <f t="shared" si="47"/>
        <v/>
      </c>
      <c r="AB231" s="53" t="str">
        <f t="shared" si="48"/>
        <v/>
      </c>
    </row>
    <row r="232" spans="23:28" x14ac:dyDescent="0.25">
      <c r="W232" s="53" t="str">
        <f t="shared" si="43"/>
        <v/>
      </c>
      <c r="X232" s="53">
        <f t="shared" si="44"/>
        <v>4</v>
      </c>
      <c r="Y232" s="53" t="str">
        <f t="shared" si="45"/>
        <v/>
      </c>
      <c r="Z232" s="53" t="str">
        <f t="shared" si="46"/>
        <v/>
      </c>
      <c r="AA232" s="53" t="str">
        <f t="shared" si="47"/>
        <v/>
      </c>
      <c r="AB232" s="53" t="str">
        <f t="shared" si="48"/>
        <v/>
      </c>
    </row>
    <row r="233" spans="23:28" x14ac:dyDescent="0.25">
      <c r="W233" s="53" t="str">
        <f t="shared" si="43"/>
        <v/>
      </c>
      <c r="X233" s="53">
        <f t="shared" si="44"/>
        <v>4</v>
      </c>
      <c r="Y233" s="53" t="str">
        <f t="shared" si="45"/>
        <v/>
      </c>
      <c r="Z233" s="53" t="str">
        <f t="shared" si="46"/>
        <v/>
      </c>
      <c r="AA233" s="53" t="str">
        <f t="shared" si="47"/>
        <v/>
      </c>
      <c r="AB233" s="53" t="str">
        <f t="shared" si="48"/>
        <v/>
      </c>
    </row>
    <row r="234" spans="23:28" x14ac:dyDescent="0.25">
      <c r="W234" s="53" t="str">
        <f t="shared" si="43"/>
        <v/>
      </c>
      <c r="X234" s="53">
        <f t="shared" si="44"/>
        <v>4</v>
      </c>
      <c r="Y234" s="53" t="str">
        <f t="shared" si="45"/>
        <v/>
      </c>
      <c r="Z234" s="53" t="str">
        <f t="shared" si="46"/>
        <v/>
      </c>
      <c r="AA234" s="53" t="str">
        <f t="shared" si="47"/>
        <v/>
      </c>
      <c r="AB234" s="53" t="str">
        <f t="shared" si="48"/>
        <v/>
      </c>
    </row>
    <row r="235" spans="23:28" x14ac:dyDescent="0.25">
      <c r="W235" s="53" t="str">
        <f t="shared" si="43"/>
        <v/>
      </c>
      <c r="X235" s="53">
        <f t="shared" si="44"/>
        <v>4</v>
      </c>
      <c r="Y235" s="53" t="str">
        <f t="shared" si="45"/>
        <v/>
      </c>
      <c r="Z235" s="53" t="str">
        <f t="shared" si="46"/>
        <v/>
      </c>
      <c r="AA235" s="53" t="str">
        <f t="shared" si="47"/>
        <v/>
      </c>
      <c r="AB235" s="53" t="str">
        <f t="shared" si="48"/>
        <v/>
      </c>
    </row>
    <row r="236" spans="23:28" x14ac:dyDescent="0.25">
      <c r="W236" s="53" t="str">
        <f t="shared" si="43"/>
        <v/>
      </c>
      <c r="X236" s="53">
        <f t="shared" si="44"/>
        <v>4</v>
      </c>
      <c r="Y236" s="53" t="str">
        <f t="shared" si="45"/>
        <v/>
      </c>
      <c r="Z236" s="53" t="str">
        <f t="shared" si="46"/>
        <v/>
      </c>
      <c r="AA236" s="53" t="str">
        <f t="shared" si="47"/>
        <v/>
      </c>
      <c r="AB236" s="53" t="str">
        <f t="shared" si="48"/>
        <v/>
      </c>
    </row>
    <row r="237" spans="23:28" x14ac:dyDescent="0.25">
      <c r="W237" s="53" t="str">
        <f t="shared" si="43"/>
        <v/>
      </c>
      <c r="X237" s="53">
        <f t="shared" si="44"/>
        <v>4</v>
      </c>
      <c r="Y237" s="53" t="str">
        <f t="shared" si="45"/>
        <v/>
      </c>
      <c r="Z237" s="53" t="str">
        <f t="shared" si="46"/>
        <v/>
      </c>
      <c r="AA237" s="53" t="str">
        <f t="shared" si="47"/>
        <v/>
      </c>
      <c r="AB237" s="53" t="str">
        <f t="shared" si="48"/>
        <v/>
      </c>
    </row>
    <row r="238" spans="23:28" x14ac:dyDescent="0.25">
      <c r="W238" s="53" t="str">
        <f t="shared" si="43"/>
        <v/>
      </c>
      <c r="X238" s="53">
        <f t="shared" si="44"/>
        <v>4</v>
      </c>
      <c r="Y238" s="53" t="str">
        <f t="shared" si="45"/>
        <v/>
      </c>
      <c r="Z238" s="53" t="str">
        <f t="shared" si="46"/>
        <v/>
      </c>
      <c r="AA238" s="53" t="str">
        <f t="shared" si="47"/>
        <v/>
      </c>
      <c r="AB238" s="53" t="str">
        <f t="shared" si="48"/>
        <v/>
      </c>
    </row>
    <row r="239" spans="23:28" x14ac:dyDescent="0.25">
      <c r="W239" s="53" t="str">
        <f t="shared" si="43"/>
        <v/>
      </c>
      <c r="X239" s="53">
        <f t="shared" si="44"/>
        <v>4</v>
      </c>
      <c r="Y239" s="53" t="str">
        <f t="shared" si="45"/>
        <v/>
      </c>
      <c r="Z239" s="53" t="str">
        <f t="shared" si="46"/>
        <v/>
      </c>
      <c r="AA239" s="53" t="str">
        <f t="shared" si="47"/>
        <v/>
      </c>
      <c r="AB239" s="53" t="str">
        <f t="shared" si="48"/>
        <v/>
      </c>
    </row>
    <row r="240" spans="23:28" x14ac:dyDescent="0.25">
      <c r="W240" s="53" t="str">
        <f t="shared" si="43"/>
        <v/>
      </c>
      <c r="X240" s="53">
        <f t="shared" si="44"/>
        <v>4</v>
      </c>
      <c r="Y240" s="53" t="str">
        <f t="shared" si="45"/>
        <v/>
      </c>
      <c r="Z240" s="53" t="str">
        <f t="shared" si="46"/>
        <v/>
      </c>
      <c r="AA240" s="53" t="str">
        <f t="shared" si="47"/>
        <v/>
      </c>
      <c r="AB240" s="53" t="str">
        <f t="shared" si="48"/>
        <v/>
      </c>
    </row>
    <row r="241" spans="23:28" x14ac:dyDescent="0.25">
      <c r="W241" s="53" t="str">
        <f t="shared" si="43"/>
        <v/>
      </c>
      <c r="X241" s="53">
        <f t="shared" si="44"/>
        <v>4</v>
      </c>
      <c r="Y241" s="53" t="str">
        <f t="shared" si="45"/>
        <v/>
      </c>
      <c r="Z241" s="53" t="str">
        <f t="shared" si="46"/>
        <v/>
      </c>
      <c r="AA241" s="53" t="str">
        <f t="shared" si="47"/>
        <v/>
      </c>
      <c r="AB241" s="53" t="str">
        <f t="shared" si="48"/>
        <v/>
      </c>
    </row>
    <row r="242" spans="23:28" x14ac:dyDescent="0.25">
      <c r="W242" s="53" t="str">
        <f t="shared" si="43"/>
        <v/>
      </c>
      <c r="X242" s="53">
        <f t="shared" si="44"/>
        <v>4</v>
      </c>
      <c r="Y242" s="53" t="str">
        <f t="shared" si="45"/>
        <v/>
      </c>
      <c r="Z242" s="53" t="str">
        <f t="shared" si="46"/>
        <v/>
      </c>
      <c r="AA242" s="53" t="str">
        <f t="shared" si="47"/>
        <v/>
      </c>
      <c r="AB242" s="53" t="str">
        <f t="shared" si="48"/>
        <v/>
      </c>
    </row>
    <row r="243" spans="23:28" x14ac:dyDescent="0.25">
      <c r="W243" s="53" t="str">
        <f t="shared" si="43"/>
        <v/>
      </c>
      <c r="X243" s="53">
        <f t="shared" si="44"/>
        <v>4</v>
      </c>
      <c r="Y243" s="53" t="str">
        <f t="shared" si="45"/>
        <v/>
      </c>
      <c r="Z243" s="53" t="str">
        <f t="shared" si="46"/>
        <v/>
      </c>
      <c r="AA243" s="53" t="str">
        <f t="shared" si="47"/>
        <v/>
      </c>
      <c r="AB243" s="53" t="str">
        <f t="shared" si="48"/>
        <v/>
      </c>
    </row>
    <row r="244" spans="23:28" x14ac:dyDescent="0.25">
      <c r="W244" s="53" t="str">
        <f t="shared" si="43"/>
        <v/>
      </c>
      <c r="X244" s="53">
        <f t="shared" si="44"/>
        <v>4</v>
      </c>
      <c r="Y244" s="53" t="str">
        <f t="shared" si="45"/>
        <v/>
      </c>
      <c r="Z244" s="53" t="str">
        <f t="shared" si="46"/>
        <v/>
      </c>
      <c r="AA244" s="53" t="str">
        <f t="shared" si="47"/>
        <v/>
      </c>
      <c r="AB244" s="53" t="str">
        <f t="shared" si="48"/>
        <v/>
      </c>
    </row>
    <row r="245" spans="23:28" x14ac:dyDescent="0.25">
      <c r="W245" s="53" t="str">
        <f t="shared" si="43"/>
        <v/>
      </c>
      <c r="X245" s="53">
        <f t="shared" si="44"/>
        <v>4</v>
      </c>
      <c r="Y245" s="53" t="str">
        <f t="shared" si="45"/>
        <v/>
      </c>
      <c r="Z245" s="53" t="str">
        <f t="shared" si="46"/>
        <v/>
      </c>
      <c r="AA245" s="53" t="str">
        <f t="shared" si="47"/>
        <v/>
      </c>
      <c r="AB245" s="53" t="str">
        <f t="shared" si="48"/>
        <v/>
      </c>
    </row>
    <row r="246" spans="23:28" x14ac:dyDescent="0.25">
      <c r="W246" s="53" t="str">
        <f t="shared" si="43"/>
        <v/>
      </c>
      <c r="X246" s="53">
        <f t="shared" si="44"/>
        <v>4</v>
      </c>
      <c r="Y246" s="53" t="str">
        <f t="shared" si="45"/>
        <v/>
      </c>
      <c r="Z246" s="53" t="str">
        <f t="shared" si="46"/>
        <v/>
      </c>
      <c r="AA246" s="53" t="str">
        <f t="shared" si="47"/>
        <v/>
      </c>
      <c r="AB246" s="53" t="str">
        <f t="shared" si="48"/>
        <v/>
      </c>
    </row>
    <row r="247" spans="23:28" x14ac:dyDescent="0.25">
      <c r="W247" s="53" t="str">
        <f t="shared" si="43"/>
        <v/>
      </c>
      <c r="X247" s="53">
        <f t="shared" si="44"/>
        <v>4</v>
      </c>
      <c r="Y247" s="53" t="str">
        <f t="shared" si="45"/>
        <v/>
      </c>
      <c r="Z247" s="53" t="str">
        <f t="shared" si="46"/>
        <v/>
      </c>
      <c r="AA247" s="53" t="str">
        <f t="shared" si="47"/>
        <v/>
      </c>
      <c r="AB247" s="53" t="str">
        <f t="shared" si="48"/>
        <v/>
      </c>
    </row>
    <row r="248" spans="23:28" x14ac:dyDescent="0.25">
      <c r="W248" s="53" t="str">
        <f t="shared" si="43"/>
        <v/>
      </c>
      <c r="X248" s="53">
        <f t="shared" si="44"/>
        <v>4</v>
      </c>
      <c r="Y248" s="53" t="str">
        <f t="shared" si="45"/>
        <v/>
      </c>
      <c r="Z248" s="53" t="str">
        <f t="shared" si="46"/>
        <v/>
      </c>
      <c r="AA248" s="53" t="str">
        <f t="shared" si="47"/>
        <v/>
      </c>
      <c r="AB248" s="53" t="str">
        <f t="shared" si="48"/>
        <v/>
      </c>
    </row>
    <row r="249" spans="23:28" x14ac:dyDescent="0.25">
      <c r="W249" s="53" t="str">
        <f t="shared" si="43"/>
        <v/>
      </c>
      <c r="X249" s="53">
        <f t="shared" si="44"/>
        <v>4</v>
      </c>
      <c r="Y249" s="53" t="str">
        <f t="shared" si="45"/>
        <v/>
      </c>
      <c r="Z249" s="53" t="str">
        <f t="shared" si="46"/>
        <v/>
      </c>
      <c r="AA249" s="53" t="str">
        <f t="shared" si="47"/>
        <v/>
      </c>
      <c r="AB249" s="53" t="str">
        <f t="shared" si="48"/>
        <v/>
      </c>
    </row>
    <row r="250" spans="23:28" x14ac:dyDescent="0.25">
      <c r="W250" s="53" t="str">
        <f t="shared" si="43"/>
        <v/>
      </c>
      <c r="X250" s="53">
        <f t="shared" si="44"/>
        <v>4</v>
      </c>
      <c r="Y250" s="53" t="str">
        <f t="shared" si="45"/>
        <v/>
      </c>
      <c r="Z250" s="53" t="str">
        <f t="shared" si="46"/>
        <v/>
      </c>
      <c r="AA250" s="53" t="str">
        <f t="shared" si="47"/>
        <v/>
      </c>
      <c r="AB250" s="53" t="str">
        <f t="shared" si="48"/>
        <v/>
      </c>
    </row>
    <row r="251" spans="23:28" x14ac:dyDescent="0.25">
      <c r="W251" s="53" t="str">
        <f t="shared" si="43"/>
        <v/>
      </c>
      <c r="X251" s="53">
        <f t="shared" si="44"/>
        <v>4</v>
      </c>
      <c r="Y251" s="53" t="str">
        <f t="shared" si="45"/>
        <v/>
      </c>
      <c r="Z251" s="53" t="str">
        <f t="shared" si="46"/>
        <v/>
      </c>
      <c r="AA251" s="53" t="str">
        <f t="shared" si="47"/>
        <v/>
      </c>
      <c r="AB251" s="53" t="str">
        <f t="shared" si="48"/>
        <v/>
      </c>
    </row>
    <row r="252" spans="23:28" x14ac:dyDescent="0.25">
      <c r="W252" s="53" t="str">
        <f t="shared" si="43"/>
        <v/>
      </c>
      <c r="X252" s="53">
        <f t="shared" si="44"/>
        <v>4</v>
      </c>
      <c r="Y252" s="53" t="str">
        <f t="shared" si="45"/>
        <v/>
      </c>
      <c r="Z252" s="53" t="str">
        <f t="shared" si="46"/>
        <v/>
      </c>
      <c r="AA252" s="53" t="str">
        <f t="shared" si="47"/>
        <v/>
      </c>
      <c r="AB252" s="53" t="str">
        <f t="shared" si="48"/>
        <v/>
      </c>
    </row>
    <row r="253" spans="23:28" x14ac:dyDescent="0.25">
      <c r="W253" s="53" t="str">
        <f t="shared" si="43"/>
        <v/>
      </c>
      <c r="X253" s="53">
        <f t="shared" si="44"/>
        <v>4</v>
      </c>
      <c r="Y253" s="53" t="str">
        <f t="shared" si="45"/>
        <v/>
      </c>
      <c r="Z253" s="53" t="str">
        <f t="shared" si="46"/>
        <v/>
      </c>
      <c r="AA253" s="53" t="str">
        <f t="shared" si="47"/>
        <v/>
      </c>
      <c r="AB253" s="53" t="str">
        <f t="shared" si="48"/>
        <v/>
      </c>
    </row>
    <row r="254" spans="23:28" x14ac:dyDescent="0.25">
      <c r="W254" s="53" t="str">
        <f t="shared" si="43"/>
        <v/>
      </c>
      <c r="X254" s="53">
        <f t="shared" si="44"/>
        <v>4</v>
      </c>
      <c r="Y254" s="53" t="str">
        <f t="shared" si="45"/>
        <v/>
      </c>
      <c r="Z254" s="53" t="str">
        <f t="shared" si="46"/>
        <v/>
      </c>
      <c r="AA254" s="53" t="str">
        <f t="shared" si="47"/>
        <v/>
      </c>
      <c r="AB254" s="53" t="str">
        <f t="shared" si="48"/>
        <v/>
      </c>
    </row>
    <row r="255" spans="23:28" x14ac:dyDescent="0.25">
      <c r="W255" s="53" t="str">
        <f t="shared" si="43"/>
        <v/>
      </c>
      <c r="X255" s="53">
        <f t="shared" si="44"/>
        <v>4</v>
      </c>
      <c r="Y255" s="53" t="str">
        <f t="shared" si="45"/>
        <v/>
      </c>
      <c r="Z255" s="53" t="str">
        <f t="shared" si="46"/>
        <v/>
      </c>
      <c r="AA255" s="53" t="str">
        <f t="shared" si="47"/>
        <v/>
      </c>
      <c r="AB255" s="53" t="str">
        <f t="shared" si="48"/>
        <v/>
      </c>
    </row>
    <row r="256" spans="23:28" x14ac:dyDescent="0.25">
      <c r="W256" s="53" t="str">
        <f t="shared" si="43"/>
        <v/>
      </c>
      <c r="X256" s="53">
        <f t="shared" si="44"/>
        <v>4</v>
      </c>
      <c r="Y256" s="53" t="str">
        <f t="shared" si="45"/>
        <v/>
      </c>
      <c r="Z256" s="53" t="str">
        <f t="shared" si="46"/>
        <v/>
      </c>
      <c r="AA256" s="53" t="str">
        <f t="shared" si="47"/>
        <v/>
      </c>
      <c r="AB256" s="53" t="str">
        <f t="shared" si="48"/>
        <v/>
      </c>
    </row>
    <row r="257" spans="23:28" x14ac:dyDescent="0.25">
      <c r="W257" s="53" t="str">
        <f t="shared" si="43"/>
        <v/>
      </c>
      <c r="X257" s="53">
        <f t="shared" si="44"/>
        <v>4</v>
      </c>
      <c r="Y257" s="53" t="str">
        <f t="shared" si="45"/>
        <v/>
      </c>
      <c r="Z257" s="53" t="str">
        <f t="shared" si="46"/>
        <v/>
      </c>
      <c r="AA257" s="53" t="str">
        <f t="shared" si="47"/>
        <v/>
      </c>
      <c r="AB257" s="53" t="str">
        <f t="shared" si="48"/>
        <v/>
      </c>
    </row>
    <row r="258" spans="23:28" x14ac:dyDescent="0.25">
      <c r="W258" s="53" t="str">
        <f t="shared" si="43"/>
        <v/>
      </c>
      <c r="X258" s="53">
        <f t="shared" si="44"/>
        <v>4</v>
      </c>
      <c r="Y258" s="53" t="str">
        <f t="shared" si="45"/>
        <v/>
      </c>
      <c r="Z258" s="53" t="str">
        <f t="shared" si="46"/>
        <v/>
      </c>
      <c r="AA258" s="53" t="str">
        <f t="shared" si="47"/>
        <v/>
      </c>
      <c r="AB258" s="53" t="str">
        <f t="shared" si="48"/>
        <v/>
      </c>
    </row>
    <row r="259" spans="23:28" x14ac:dyDescent="0.25">
      <c r="W259" s="53" t="str">
        <f t="shared" si="43"/>
        <v/>
      </c>
      <c r="X259" s="53">
        <f t="shared" si="44"/>
        <v>4</v>
      </c>
      <c r="Y259" s="53" t="str">
        <f t="shared" si="45"/>
        <v/>
      </c>
      <c r="Z259" s="53" t="str">
        <f t="shared" si="46"/>
        <v/>
      </c>
      <c r="AA259" s="53" t="str">
        <f t="shared" si="47"/>
        <v/>
      </c>
      <c r="AB259" s="53" t="str">
        <f t="shared" si="48"/>
        <v/>
      </c>
    </row>
    <row r="260" spans="23:28" x14ac:dyDescent="0.25">
      <c r="W260" s="53" t="str">
        <f t="shared" ref="W260:W290" si="49">IF(MOD(ROW(),3)=0,IF(H262&gt;=$O$1,H262,IF(I262&gt;=$O$1,I262,"")),"")</f>
        <v/>
      </c>
      <c r="X260" s="53">
        <f t="shared" ref="X260:X323" si="50">IF(ISNUMBER(CODE(Z260)),X259+1,X259)</f>
        <v>4</v>
      </c>
      <c r="Y260" s="53" t="str">
        <f t="shared" ref="Y260:Y290" si="51">INDEX($O$3:$W$50,1+INT((ROW(A258)-1)/COLUMNS($O$3:$W$50)),MOD(ROW(A258)-1+COLUMNS($O$3:$W$50),COLUMNS($O$3:$W$50))+1)</f>
        <v/>
      </c>
      <c r="Z260" s="53" t="str">
        <f t="shared" ref="Z260:Z290" si="52">IF(ISNUMBER(SEARCH("@",Y260)),Y260,"")</f>
        <v/>
      </c>
      <c r="AA260" s="53" t="str">
        <f t="shared" ref="AA260:AA290" si="53">IF(ISNUMBER(SEARCH("@",Y260)),Y261,"")</f>
        <v/>
      </c>
      <c r="AB260" s="53" t="str">
        <f t="shared" ref="AB260:AB290" si="54">IF(ISNUMBER(SEARCH("@",Y260)),Y262,"")</f>
        <v/>
      </c>
    </row>
    <row r="261" spans="23:28" x14ac:dyDescent="0.25">
      <c r="W261" s="53" t="str">
        <f t="shared" si="49"/>
        <v/>
      </c>
      <c r="X261" s="53">
        <f t="shared" si="50"/>
        <v>4</v>
      </c>
      <c r="Y261" s="53" t="str">
        <f t="shared" si="51"/>
        <v/>
      </c>
      <c r="Z261" s="53" t="str">
        <f t="shared" si="52"/>
        <v/>
      </c>
      <c r="AA261" s="53" t="str">
        <f t="shared" si="53"/>
        <v/>
      </c>
      <c r="AB261" s="53" t="str">
        <f t="shared" si="54"/>
        <v/>
      </c>
    </row>
    <row r="262" spans="23:28" x14ac:dyDescent="0.25">
      <c r="W262" s="53" t="str">
        <f t="shared" si="49"/>
        <v/>
      </c>
      <c r="X262" s="53">
        <f t="shared" si="50"/>
        <v>4</v>
      </c>
      <c r="Y262" s="53" t="str">
        <f t="shared" si="51"/>
        <v/>
      </c>
      <c r="Z262" s="53" t="str">
        <f t="shared" si="52"/>
        <v/>
      </c>
      <c r="AA262" s="53" t="str">
        <f t="shared" si="53"/>
        <v/>
      </c>
      <c r="AB262" s="53" t="str">
        <f t="shared" si="54"/>
        <v/>
      </c>
    </row>
    <row r="263" spans="23:28" x14ac:dyDescent="0.25">
      <c r="W263" s="53" t="str">
        <f t="shared" si="49"/>
        <v/>
      </c>
      <c r="X263" s="53">
        <f t="shared" si="50"/>
        <v>4</v>
      </c>
      <c r="Y263" s="53" t="str">
        <f t="shared" si="51"/>
        <v/>
      </c>
      <c r="Z263" s="53" t="str">
        <f t="shared" si="52"/>
        <v/>
      </c>
      <c r="AA263" s="53" t="str">
        <f t="shared" si="53"/>
        <v/>
      </c>
      <c r="AB263" s="53" t="str">
        <f t="shared" si="54"/>
        <v/>
      </c>
    </row>
    <row r="264" spans="23:28" x14ac:dyDescent="0.25">
      <c r="W264" s="53" t="str">
        <f t="shared" si="49"/>
        <v/>
      </c>
      <c r="X264" s="53">
        <f t="shared" si="50"/>
        <v>4</v>
      </c>
      <c r="Y264" s="53" t="str">
        <f t="shared" si="51"/>
        <v/>
      </c>
      <c r="Z264" s="53" t="str">
        <f t="shared" si="52"/>
        <v/>
      </c>
      <c r="AA264" s="53" t="str">
        <f t="shared" si="53"/>
        <v/>
      </c>
      <c r="AB264" s="53" t="str">
        <f t="shared" si="54"/>
        <v/>
      </c>
    </row>
    <row r="265" spans="23:28" x14ac:dyDescent="0.25">
      <c r="W265" s="53" t="str">
        <f t="shared" si="49"/>
        <v/>
      </c>
      <c r="X265" s="53">
        <f t="shared" si="50"/>
        <v>4</v>
      </c>
      <c r="Y265" s="53" t="str">
        <f t="shared" si="51"/>
        <v/>
      </c>
      <c r="Z265" s="53" t="str">
        <f t="shared" si="52"/>
        <v/>
      </c>
      <c r="AA265" s="53" t="str">
        <f t="shared" si="53"/>
        <v/>
      </c>
      <c r="AB265" s="53" t="str">
        <f t="shared" si="54"/>
        <v/>
      </c>
    </row>
    <row r="266" spans="23:28" x14ac:dyDescent="0.25">
      <c r="W266" s="53" t="str">
        <f t="shared" si="49"/>
        <v/>
      </c>
      <c r="X266" s="53">
        <f t="shared" si="50"/>
        <v>4</v>
      </c>
      <c r="Y266" s="53" t="str">
        <f t="shared" si="51"/>
        <v/>
      </c>
      <c r="Z266" s="53" t="str">
        <f t="shared" si="52"/>
        <v/>
      </c>
      <c r="AA266" s="53" t="str">
        <f t="shared" si="53"/>
        <v/>
      </c>
      <c r="AB266" s="53" t="str">
        <f t="shared" si="54"/>
        <v/>
      </c>
    </row>
    <row r="267" spans="23:28" x14ac:dyDescent="0.25">
      <c r="W267" s="53" t="str">
        <f t="shared" si="49"/>
        <v/>
      </c>
      <c r="X267" s="53">
        <f t="shared" si="50"/>
        <v>4</v>
      </c>
      <c r="Y267" s="53" t="str">
        <f t="shared" si="51"/>
        <v/>
      </c>
      <c r="Z267" s="53" t="str">
        <f t="shared" si="52"/>
        <v/>
      </c>
      <c r="AA267" s="53" t="str">
        <f t="shared" si="53"/>
        <v/>
      </c>
      <c r="AB267" s="53" t="str">
        <f t="shared" si="54"/>
        <v/>
      </c>
    </row>
    <row r="268" spans="23:28" x14ac:dyDescent="0.25">
      <c r="W268" s="53" t="str">
        <f t="shared" si="49"/>
        <v/>
      </c>
      <c r="X268" s="53">
        <f t="shared" si="50"/>
        <v>4</v>
      </c>
      <c r="Y268" s="53" t="str">
        <f t="shared" si="51"/>
        <v/>
      </c>
      <c r="Z268" s="53" t="str">
        <f t="shared" si="52"/>
        <v/>
      </c>
      <c r="AA268" s="53" t="str">
        <f t="shared" si="53"/>
        <v/>
      </c>
      <c r="AB268" s="53" t="str">
        <f t="shared" si="54"/>
        <v/>
      </c>
    </row>
    <row r="269" spans="23:28" x14ac:dyDescent="0.25">
      <c r="W269" s="53" t="str">
        <f t="shared" si="49"/>
        <v/>
      </c>
      <c r="X269" s="53">
        <f t="shared" si="50"/>
        <v>4</v>
      </c>
      <c r="Y269" s="53" t="str">
        <f t="shared" si="51"/>
        <v/>
      </c>
      <c r="Z269" s="53" t="str">
        <f t="shared" si="52"/>
        <v/>
      </c>
      <c r="AA269" s="53" t="str">
        <f t="shared" si="53"/>
        <v/>
      </c>
      <c r="AB269" s="53" t="str">
        <f t="shared" si="54"/>
        <v/>
      </c>
    </row>
    <row r="270" spans="23:28" x14ac:dyDescent="0.25">
      <c r="W270" s="53" t="str">
        <f t="shared" si="49"/>
        <v/>
      </c>
      <c r="X270" s="53">
        <f t="shared" si="50"/>
        <v>4</v>
      </c>
      <c r="Y270" s="53" t="str">
        <f t="shared" si="51"/>
        <v/>
      </c>
      <c r="Z270" s="53" t="str">
        <f t="shared" si="52"/>
        <v/>
      </c>
      <c r="AA270" s="53" t="str">
        <f t="shared" si="53"/>
        <v/>
      </c>
      <c r="AB270" s="53" t="str">
        <f t="shared" si="54"/>
        <v/>
      </c>
    </row>
    <row r="271" spans="23:28" x14ac:dyDescent="0.25">
      <c r="W271" s="53" t="str">
        <f t="shared" si="49"/>
        <v/>
      </c>
      <c r="X271" s="53">
        <f t="shared" si="50"/>
        <v>4</v>
      </c>
      <c r="Y271" s="53" t="str">
        <f t="shared" si="51"/>
        <v/>
      </c>
      <c r="Z271" s="53" t="str">
        <f t="shared" si="52"/>
        <v/>
      </c>
      <c r="AA271" s="53" t="str">
        <f t="shared" si="53"/>
        <v/>
      </c>
      <c r="AB271" s="53" t="str">
        <f t="shared" si="54"/>
        <v/>
      </c>
    </row>
    <row r="272" spans="23:28" x14ac:dyDescent="0.25">
      <c r="W272" s="53" t="str">
        <f t="shared" si="49"/>
        <v/>
      </c>
      <c r="X272" s="53">
        <f t="shared" si="50"/>
        <v>4</v>
      </c>
      <c r="Y272" s="53" t="str">
        <f t="shared" si="51"/>
        <v/>
      </c>
      <c r="Z272" s="53" t="str">
        <f t="shared" si="52"/>
        <v/>
      </c>
      <c r="AA272" s="53" t="str">
        <f t="shared" si="53"/>
        <v/>
      </c>
      <c r="AB272" s="53" t="str">
        <f t="shared" si="54"/>
        <v/>
      </c>
    </row>
    <row r="273" spans="23:28" x14ac:dyDescent="0.25">
      <c r="W273" s="53" t="str">
        <f t="shared" si="49"/>
        <v/>
      </c>
      <c r="X273" s="53">
        <f t="shared" si="50"/>
        <v>4</v>
      </c>
      <c r="Y273" s="53" t="str">
        <f t="shared" si="51"/>
        <v/>
      </c>
      <c r="Z273" s="53" t="str">
        <f t="shared" si="52"/>
        <v/>
      </c>
      <c r="AA273" s="53" t="str">
        <f t="shared" si="53"/>
        <v/>
      </c>
      <c r="AB273" s="53" t="str">
        <f t="shared" si="54"/>
        <v/>
      </c>
    </row>
    <row r="274" spans="23:28" x14ac:dyDescent="0.25">
      <c r="W274" s="53" t="str">
        <f t="shared" si="49"/>
        <v/>
      </c>
      <c r="X274" s="53">
        <f t="shared" si="50"/>
        <v>4</v>
      </c>
      <c r="Y274" s="53" t="str">
        <f t="shared" si="51"/>
        <v/>
      </c>
      <c r="Z274" s="53" t="str">
        <f t="shared" si="52"/>
        <v/>
      </c>
      <c r="AA274" s="53" t="str">
        <f t="shared" si="53"/>
        <v/>
      </c>
      <c r="AB274" s="53" t="str">
        <f t="shared" si="54"/>
        <v/>
      </c>
    </row>
    <row r="275" spans="23:28" x14ac:dyDescent="0.25">
      <c r="W275" s="53" t="str">
        <f t="shared" si="49"/>
        <v/>
      </c>
      <c r="X275" s="53">
        <f t="shared" si="50"/>
        <v>4</v>
      </c>
      <c r="Y275" s="53" t="str">
        <f t="shared" si="51"/>
        <v/>
      </c>
      <c r="Z275" s="53" t="str">
        <f t="shared" si="52"/>
        <v/>
      </c>
      <c r="AA275" s="53" t="str">
        <f t="shared" si="53"/>
        <v/>
      </c>
      <c r="AB275" s="53" t="str">
        <f t="shared" si="54"/>
        <v/>
      </c>
    </row>
    <row r="276" spans="23:28" x14ac:dyDescent="0.25">
      <c r="W276" s="53" t="str">
        <f t="shared" si="49"/>
        <v/>
      </c>
      <c r="X276" s="53">
        <f t="shared" si="50"/>
        <v>4</v>
      </c>
      <c r="Y276" s="53" t="str">
        <f t="shared" si="51"/>
        <v/>
      </c>
      <c r="Z276" s="53" t="str">
        <f t="shared" si="52"/>
        <v/>
      </c>
      <c r="AA276" s="53" t="str">
        <f t="shared" si="53"/>
        <v/>
      </c>
      <c r="AB276" s="53" t="str">
        <f t="shared" si="54"/>
        <v/>
      </c>
    </row>
    <row r="277" spans="23:28" x14ac:dyDescent="0.25">
      <c r="W277" s="53" t="str">
        <f t="shared" si="49"/>
        <v/>
      </c>
      <c r="X277" s="53">
        <f t="shared" si="50"/>
        <v>4</v>
      </c>
      <c r="Y277" s="53" t="str">
        <f t="shared" si="51"/>
        <v/>
      </c>
      <c r="Z277" s="53" t="str">
        <f t="shared" si="52"/>
        <v/>
      </c>
      <c r="AA277" s="53" t="str">
        <f t="shared" si="53"/>
        <v/>
      </c>
      <c r="AB277" s="53" t="str">
        <f t="shared" si="54"/>
        <v/>
      </c>
    </row>
    <row r="278" spans="23:28" x14ac:dyDescent="0.25">
      <c r="W278" s="53" t="str">
        <f t="shared" si="49"/>
        <v/>
      </c>
      <c r="X278" s="53">
        <f t="shared" si="50"/>
        <v>4</v>
      </c>
      <c r="Y278" s="53" t="str">
        <f t="shared" si="51"/>
        <v/>
      </c>
      <c r="Z278" s="53" t="str">
        <f t="shared" si="52"/>
        <v/>
      </c>
      <c r="AA278" s="53" t="str">
        <f t="shared" si="53"/>
        <v/>
      </c>
      <c r="AB278" s="53" t="str">
        <f t="shared" si="54"/>
        <v/>
      </c>
    </row>
    <row r="279" spans="23:28" x14ac:dyDescent="0.25">
      <c r="W279" s="53" t="str">
        <f t="shared" si="49"/>
        <v/>
      </c>
      <c r="X279" s="53">
        <f t="shared" si="50"/>
        <v>4</v>
      </c>
      <c r="Y279" s="53" t="str">
        <f t="shared" si="51"/>
        <v/>
      </c>
      <c r="Z279" s="53" t="str">
        <f t="shared" si="52"/>
        <v/>
      </c>
      <c r="AA279" s="53" t="str">
        <f t="shared" si="53"/>
        <v/>
      </c>
      <c r="AB279" s="53" t="str">
        <f t="shared" si="54"/>
        <v/>
      </c>
    </row>
    <row r="280" spans="23:28" x14ac:dyDescent="0.25">
      <c r="W280" s="53" t="str">
        <f t="shared" si="49"/>
        <v/>
      </c>
      <c r="X280" s="53">
        <f t="shared" si="50"/>
        <v>4</v>
      </c>
      <c r="Y280" s="53" t="str">
        <f t="shared" si="51"/>
        <v/>
      </c>
      <c r="Z280" s="53" t="str">
        <f t="shared" si="52"/>
        <v/>
      </c>
      <c r="AA280" s="53" t="str">
        <f t="shared" si="53"/>
        <v/>
      </c>
      <c r="AB280" s="53" t="str">
        <f t="shared" si="54"/>
        <v/>
      </c>
    </row>
    <row r="281" spans="23:28" x14ac:dyDescent="0.25">
      <c r="W281" s="53" t="str">
        <f t="shared" si="49"/>
        <v/>
      </c>
      <c r="X281" s="53">
        <f t="shared" si="50"/>
        <v>4</v>
      </c>
      <c r="Y281" s="53" t="str">
        <f t="shared" si="51"/>
        <v/>
      </c>
      <c r="Z281" s="53" t="str">
        <f t="shared" si="52"/>
        <v/>
      </c>
      <c r="AA281" s="53" t="str">
        <f t="shared" si="53"/>
        <v/>
      </c>
      <c r="AB281" s="53" t="str">
        <f t="shared" si="54"/>
        <v/>
      </c>
    </row>
    <row r="282" spans="23:28" x14ac:dyDescent="0.25">
      <c r="W282" s="53" t="str">
        <f t="shared" si="49"/>
        <v/>
      </c>
      <c r="X282" s="53">
        <f t="shared" si="50"/>
        <v>4</v>
      </c>
      <c r="Y282" s="53" t="str">
        <f t="shared" si="51"/>
        <v/>
      </c>
      <c r="Z282" s="53" t="str">
        <f t="shared" si="52"/>
        <v/>
      </c>
      <c r="AA282" s="53" t="str">
        <f t="shared" si="53"/>
        <v/>
      </c>
      <c r="AB282" s="53" t="str">
        <f t="shared" si="54"/>
        <v/>
      </c>
    </row>
    <row r="283" spans="23:28" x14ac:dyDescent="0.25">
      <c r="W283" s="53" t="str">
        <f t="shared" si="49"/>
        <v/>
      </c>
      <c r="X283" s="53">
        <f t="shared" si="50"/>
        <v>4</v>
      </c>
      <c r="Y283" s="53" t="str">
        <f t="shared" si="51"/>
        <v/>
      </c>
      <c r="Z283" s="53" t="str">
        <f t="shared" si="52"/>
        <v/>
      </c>
      <c r="AA283" s="53" t="str">
        <f t="shared" si="53"/>
        <v/>
      </c>
      <c r="AB283" s="53" t="str">
        <f t="shared" si="54"/>
        <v/>
      </c>
    </row>
    <row r="284" spans="23:28" x14ac:dyDescent="0.25">
      <c r="W284" s="53" t="str">
        <f t="shared" si="49"/>
        <v/>
      </c>
      <c r="X284" s="53">
        <f t="shared" si="50"/>
        <v>4</v>
      </c>
      <c r="Y284" s="53" t="str">
        <f t="shared" si="51"/>
        <v/>
      </c>
      <c r="Z284" s="53" t="str">
        <f t="shared" si="52"/>
        <v/>
      </c>
      <c r="AA284" s="53" t="str">
        <f t="shared" si="53"/>
        <v/>
      </c>
      <c r="AB284" s="53" t="str">
        <f t="shared" si="54"/>
        <v/>
      </c>
    </row>
    <row r="285" spans="23:28" x14ac:dyDescent="0.25">
      <c r="W285" s="53" t="str">
        <f t="shared" si="49"/>
        <v/>
      </c>
      <c r="X285" s="53">
        <f t="shared" si="50"/>
        <v>4</v>
      </c>
      <c r="Y285" s="53" t="str">
        <f t="shared" si="51"/>
        <v/>
      </c>
      <c r="Z285" s="53" t="str">
        <f t="shared" si="52"/>
        <v/>
      </c>
      <c r="AA285" s="53" t="str">
        <f t="shared" si="53"/>
        <v/>
      </c>
      <c r="AB285" s="53" t="str">
        <f t="shared" si="54"/>
        <v/>
      </c>
    </row>
    <row r="286" spans="23:28" x14ac:dyDescent="0.25">
      <c r="W286" s="53" t="str">
        <f t="shared" si="49"/>
        <v/>
      </c>
      <c r="X286" s="53">
        <f t="shared" si="50"/>
        <v>4</v>
      </c>
      <c r="Y286" s="53" t="str">
        <f t="shared" si="51"/>
        <v/>
      </c>
      <c r="Z286" s="53" t="str">
        <f t="shared" si="52"/>
        <v/>
      </c>
      <c r="AA286" s="53" t="str">
        <f t="shared" si="53"/>
        <v/>
      </c>
      <c r="AB286" s="53" t="str">
        <f t="shared" si="54"/>
        <v/>
      </c>
    </row>
    <row r="287" spans="23:28" x14ac:dyDescent="0.25">
      <c r="W287" s="53" t="str">
        <f t="shared" si="49"/>
        <v/>
      </c>
      <c r="X287" s="53">
        <f t="shared" si="50"/>
        <v>4</v>
      </c>
      <c r="Y287" s="53" t="str">
        <f t="shared" si="51"/>
        <v/>
      </c>
      <c r="Z287" s="53" t="str">
        <f t="shared" si="52"/>
        <v/>
      </c>
      <c r="AA287" s="53" t="str">
        <f t="shared" si="53"/>
        <v/>
      </c>
      <c r="AB287" s="53" t="str">
        <f t="shared" si="54"/>
        <v/>
      </c>
    </row>
    <row r="288" spans="23:28" x14ac:dyDescent="0.25">
      <c r="W288" s="53" t="str">
        <f t="shared" si="49"/>
        <v/>
      </c>
      <c r="X288" s="53">
        <f t="shared" si="50"/>
        <v>4</v>
      </c>
      <c r="Y288" s="53" t="str">
        <f t="shared" si="51"/>
        <v/>
      </c>
      <c r="Z288" s="53" t="str">
        <f t="shared" si="52"/>
        <v/>
      </c>
      <c r="AA288" s="53" t="str">
        <f t="shared" si="53"/>
        <v/>
      </c>
      <c r="AB288" s="53" t="str">
        <f t="shared" si="54"/>
        <v/>
      </c>
    </row>
    <row r="289" spans="23:28" x14ac:dyDescent="0.25">
      <c r="W289" s="53" t="str">
        <f t="shared" si="49"/>
        <v/>
      </c>
      <c r="X289" s="53">
        <f t="shared" si="50"/>
        <v>4</v>
      </c>
      <c r="Y289" s="53" t="str">
        <f t="shared" si="51"/>
        <v/>
      </c>
      <c r="Z289" s="53" t="str">
        <f t="shared" si="52"/>
        <v/>
      </c>
      <c r="AA289" s="53" t="str">
        <f t="shared" si="53"/>
        <v/>
      </c>
      <c r="AB289" s="53" t="str">
        <f t="shared" si="54"/>
        <v/>
      </c>
    </row>
    <row r="290" spans="23:28" x14ac:dyDescent="0.25">
      <c r="W290" s="53" t="str">
        <f t="shared" si="49"/>
        <v/>
      </c>
      <c r="X290" s="53">
        <f t="shared" si="50"/>
        <v>4</v>
      </c>
      <c r="Y290" s="53" t="str">
        <f t="shared" si="51"/>
        <v/>
      </c>
      <c r="Z290" s="53" t="str">
        <f t="shared" si="52"/>
        <v/>
      </c>
      <c r="AA290" s="53" t="str">
        <f t="shared" si="53"/>
        <v/>
      </c>
      <c r="AB290" s="53" t="str">
        <f t="shared" si="54"/>
        <v/>
      </c>
    </row>
    <row r="291" spans="23:28" x14ac:dyDescent="0.25">
      <c r="X291" s="53">
        <f t="shared" si="50"/>
        <v>4</v>
      </c>
      <c r="Y291" s="53" t="str">
        <f>INDEX($O$3:$W$50,1+INT((ROW(A289)-1)/COLUMNS($O$3:$W$50)),MOD(ROW(A289)-1+COLUMNS($O$3:$W$50),COLUMNS($O$3:$W$50))+1)</f>
        <v/>
      </c>
    </row>
    <row r="292" spans="23:28" x14ac:dyDescent="0.25">
      <c r="X292" s="53">
        <f t="shared" si="50"/>
        <v>4</v>
      </c>
      <c r="Y292" s="53" t="str">
        <f t="shared" ref="Y292:Y355" si="55">INDEX($O$3:$W$50,1+INT((ROW(A290)-1)/COLUMNS($O$3:$W$50)),MOD(ROW(A290)-1+COLUMNS($O$3:$W$50),COLUMNS($O$3:$W$50))+1)</f>
        <v/>
      </c>
    </row>
    <row r="293" spans="23:28" x14ac:dyDescent="0.25">
      <c r="X293" s="53">
        <f t="shared" si="50"/>
        <v>4</v>
      </c>
      <c r="Y293" s="53" t="str">
        <f t="shared" si="55"/>
        <v/>
      </c>
    </row>
    <row r="294" spans="23:28" x14ac:dyDescent="0.25">
      <c r="X294" s="53">
        <f t="shared" si="50"/>
        <v>4</v>
      </c>
      <c r="Y294" s="53" t="str">
        <f t="shared" si="55"/>
        <v/>
      </c>
    </row>
    <row r="295" spans="23:28" x14ac:dyDescent="0.25">
      <c r="X295" s="53">
        <f t="shared" si="50"/>
        <v>4</v>
      </c>
      <c r="Y295" s="53" t="str">
        <f t="shared" si="55"/>
        <v/>
      </c>
    </row>
    <row r="296" spans="23:28" x14ac:dyDescent="0.25">
      <c r="X296" s="53">
        <f t="shared" si="50"/>
        <v>4</v>
      </c>
      <c r="Y296" s="53" t="str">
        <f t="shared" si="55"/>
        <v/>
      </c>
    </row>
    <row r="297" spans="23:28" x14ac:dyDescent="0.25">
      <c r="X297" s="53">
        <f t="shared" si="50"/>
        <v>4</v>
      </c>
      <c r="Y297" s="53" t="str">
        <f t="shared" si="55"/>
        <v/>
      </c>
    </row>
    <row r="298" spans="23:28" x14ac:dyDescent="0.25">
      <c r="X298" s="53">
        <f t="shared" si="50"/>
        <v>4</v>
      </c>
      <c r="Y298" s="53" t="str">
        <f t="shared" si="55"/>
        <v/>
      </c>
    </row>
    <row r="299" spans="23:28" x14ac:dyDescent="0.25">
      <c r="X299" s="53">
        <f t="shared" si="50"/>
        <v>4</v>
      </c>
      <c r="Y299" s="53" t="str">
        <f t="shared" si="55"/>
        <v/>
      </c>
    </row>
    <row r="300" spans="23:28" x14ac:dyDescent="0.25">
      <c r="X300" s="53">
        <f t="shared" si="50"/>
        <v>4</v>
      </c>
      <c r="Y300" s="53" t="str">
        <f t="shared" si="55"/>
        <v/>
      </c>
    </row>
    <row r="301" spans="23:28" x14ac:dyDescent="0.25">
      <c r="X301" s="53">
        <f t="shared" si="50"/>
        <v>4</v>
      </c>
      <c r="Y301" s="53" t="str">
        <f t="shared" si="55"/>
        <v/>
      </c>
    </row>
    <row r="302" spans="23:28" x14ac:dyDescent="0.25">
      <c r="X302" s="53">
        <f t="shared" si="50"/>
        <v>4</v>
      </c>
      <c r="Y302" s="53" t="str">
        <f t="shared" si="55"/>
        <v/>
      </c>
    </row>
    <row r="303" spans="23:28" x14ac:dyDescent="0.25">
      <c r="X303" s="53">
        <f t="shared" si="50"/>
        <v>4</v>
      </c>
      <c r="Y303" s="53" t="str">
        <f t="shared" si="55"/>
        <v/>
      </c>
    </row>
    <row r="304" spans="23:28" x14ac:dyDescent="0.25">
      <c r="X304" s="53">
        <f t="shared" si="50"/>
        <v>4</v>
      </c>
      <c r="Y304" s="53" t="str">
        <f t="shared" si="55"/>
        <v/>
      </c>
    </row>
    <row r="305" spans="24:25" x14ac:dyDescent="0.25">
      <c r="X305" s="53">
        <f t="shared" si="50"/>
        <v>4</v>
      </c>
      <c r="Y305" s="53" t="str">
        <f t="shared" si="55"/>
        <v/>
      </c>
    </row>
    <row r="306" spans="24:25" x14ac:dyDescent="0.25">
      <c r="X306" s="53">
        <f t="shared" si="50"/>
        <v>4</v>
      </c>
      <c r="Y306" s="53" t="str">
        <f t="shared" si="55"/>
        <v/>
      </c>
    </row>
    <row r="307" spans="24:25" x14ac:dyDescent="0.25">
      <c r="X307" s="53">
        <f t="shared" si="50"/>
        <v>4</v>
      </c>
      <c r="Y307" s="53" t="str">
        <f t="shared" si="55"/>
        <v/>
      </c>
    </row>
    <row r="308" spans="24:25" x14ac:dyDescent="0.25">
      <c r="X308" s="53">
        <f t="shared" si="50"/>
        <v>4</v>
      </c>
      <c r="Y308" s="53" t="str">
        <f t="shared" si="55"/>
        <v/>
      </c>
    </row>
    <row r="309" spans="24:25" x14ac:dyDescent="0.25">
      <c r="X309" s="53">
        <f t="shared" si="50"/>
        <v>4</v>
      </c>
      <c r="Y309" s="53" t="str">
        <f t="shared" si="55"/>
        <v/>
      </c>
    </row>
    <row r="310" spans="24:25" x14ac:dyDescent="0.25">
      <c r="X310" s="53">
        <f t="shared" si="50"/>
        <v>4</v>
      </c>
      <c r="Y310" s="53" t="str">
        <f t="shared" si="55"/>
        <v/>
      </c>
    </row>
    <row r="311" spans="24:25" x14ac:dyDescent="0.25">
      <c r="X311" s="53">
        <f t="shared" si="50"/>
        <v>4</v>
      </c>
      <c r="Y311" s="53" t="str">
        <f t="shared" si="55"/>
        <v/>
      </c>
    </row>
    <row r="312" spans="24:25" x14ac:dyDescent="0.25">
      <c r="X312" s="53">
        <f t="shared" si="50"/>
        <v>4</v>
      </c>
      <c r="Y312" s="53" t="str">
        <f t="shared" si="55"/>
        <v/>
      </c>
    </row>
    <row r="313" spans="24:25" x14ac:dyDescent="0.25">
      <c r="X313" s="53">
        <f t="shared" si="50"/>
        <v>4</v>
      </c>
      <c r="Y313" s="53" t="str">
        <f t="shared" si="55"/>
        <v/>
      </c>
    </row>
    <row r="314" spans="24:25" x14ac:dyDescent="0.25">
      <c r="X314" s="53">
        <f t="shared" si="50"/>
        <v>4</v>
      </c>
      <c r="Y314" s="53" t="str">
        <f t="shared" si="55"/>
        <v/>
      </c>
    </row>
    <row r="315" spans="24:25" x14ac:dyDescent="0.25">
      <c r="X315" s="53">
        <f t="shared" si="50"/>
        <v>4</v>
      </c>
      <c r="Y315" s="53" t="str">
        <f t="shared" si="55"/>
        <v/>
      </c>
    </row>
    <row r="316" spans="24:25" x14ac:dyDescent="0.25">
      <c r="X316" s="53">
        <f t="shared" si="50"/>
        <v>4</v>
      </c>
      <c r="Y316" s="53" t="str">
        <f t="shared" si="55"/>
        <v/>
      </c>
    </row>
    <row r="317" spans="24:25" x14ac:dyDescent="0.25">
      <c r="X317" s="53">
        <f t="shared" si="50"/>
        <v>4</v>
      </c>
      <c r="Y317" s="53" t="str">
        <f t="shared" si="55"/>
        <v/>
      </c>
    </row>
    <row r="318" spans="24:25" x14ac:dyDescent="0.25">
      <c r="X318" s="53">
        <f t="shared" si="50"/>
        <v>4</v>
      </c>
      <c r="Y318" s="53" t="str">
        <f t="shared" si="55"/>
        <v/>
      </c>
    </row>
    <row r="319" spans="24:25" x14ac:dyDescent="0.25">
      <c r="X319" s="53">
        <f t="shared" si="50"/>
        <v>4</v>
      </c>
      <c r="Y319" s="53" t="str">
        <f t="shared" si="55"/>
        <v/>
      </c>
    </row>
    <row r="320" spans="24:25" x14ac:dyDescent="0.25">
      <c r="X320" s="53">
        <f t="shared" si="50"/>
        <v>4</v>
      </c>
      <c r="Y320" s="53" t="str">
        <f t="shared" si="55"/>
        <v/>
      </c>
    </row>
    <row r="321" spans="24:25" x14ac:dyDescent="0.25">
      <c r="X321" s="53">
        <f t="shared" si="50"/>
        <v>4</v>
      </c>
      <c r="Y321" s="53" t="str">
        <f t="shared" si="55"/>
        <v/>
      </c>
    </row>
    <row r="322" spans="24:25" x14ac:dyDescent="0.25">
      <c r="X322" s="53">
        <f t="shared" si="50"/>
        <v>4</v>
      </c>
      <c r="Y322" s="53" t="str">
        <f t="shared" si="55"/>
        <v/>
      </c>
    </row>
    <row r="323" spans="24:25" x14ac:dyDescent="0.25">
      <c r="X323" s="53">
        <f t="shared" si="50"/>
        <v>4</v>
      </c>
      <c r="Y323" s="53" t="str">
        <f t="shared" si="55"/>
        <v/>
      </c>
    </row>
    <row r="324" spans="24:25" x14ac:dyDescent="0.25">
      <c r="X324" s="53">
        <f t="shared" ref="X324:X387" si="56">IF(ISNUMBER(CODE(Z324)),X323+1,X323)</f>
        <v>4</v>
      </c>
      <c r="Y324" s="53" t="str">
        <f t="shared" si="55"/>
        <v/>
      </c>
    </row>
    <row r="325" spans="24:25" x14ac:dyDescent="0.25">
      <c r="X325" s="53">
        <f t="shared" si="56"/>
        <v>4</v>
      </c>
      <c r="Y325" s="53" t="str">
        <f t="shared" si="55"/>
        <v/>
      </c>
    </row>
    <row r="326" spans="24:25" x14ac:dyDescent="0.25">
      <c r="X326" s="53">
        <f t="shared" si="56"/>
        <v>4</v>
      </c>
      <c r="Y326" s="53" t="str">
        <f t="shared" si="55"/>
        <v/>
      </c>
    </row>
    <row r="327" spans="24:25" x14ac:dyDescent="0.25">
      <c r="X327" s="53">
        <f t="shared" si="56"/>
        <v>4</v>
      </c>
      <c r="Y327" s="53" t="str">
        <f t="shared" si="55"/>
        <v/>
      </c>
    </row>
    <row r="328" spans="24:25" x14ac:dyDescent="0.25">
      <c r="X328" s="53">
        <f t="shared" si="56"/>
        <v>4</v>
      </c>
      <c r="Y328" s="53" t="str">
        <f t="shared" si="55"/>
        <v/>
      </c>
    </row>
    <row r="329" spans="24:25" x14ac:dyDescent="0.25">
      <c r="X329" s="53">
        <f t="shared" si="56"/>
        <v>4</v>
      </c>
      <c r="Y329" s="53" t="str">
        <f t="shared" si="55"/>
        <v/>
      </c>
    </row>
    <row r="330" spans="24:25" x14ac:dyDescent="0.25">
      <c r="X330" s="53">
        <f t="shared" si="56"/>
        <v>4</v>
      </c>
      <c r="Y330" s="53" t="str">
        <f t="shared" si="55"/>
        <v/>
      </c>
    </row>
    <row r="331" spans="24:25" x14ac:dyDescent="0.25">
      <c r="X331" s="53">
        <f t="shared" si="56"/>
        <v>4</v>
      </c>
      <c r="Y331" s="53" t="str">
        <f t="shared" si="55"/>
        <v/>
      </c>
    </row>
    <row r="332" spans="24:25" x14ac:dyDescent="0.25">
      <c r="X332" s="53">
        <f t="shared" si="56"/>
        <v>4</v>
      </c>
      <c r="Y332" s="53" t="str">
        <f t="shared" si="55"/>
        <v/>
      </c>
    </row>
    <row r="333" spans="24:25" x14ac:dyDescent="0.25">
      <c r="X333" s="53">
        <f t="shared" si="56"/>
        <v>4</v>
      </c>
      <c r="Y333" s="53" t="str">
        <f t="shared" si="55"/>
        <v/>
      </c>
    </row>
    <row r="334" spans="24:25" x14ac:dyDescent="0.25">
      <c r="X334" s="53">
        <f t="shared" si="56"/>
        <v>4</v>
      </c>
      <c r="Y334" s="53" t="str">
        <f t="shared" si="55"/>
        <v/>
      </c>
    </row>
    <row r="335" spans="24:25" x14ac:dyDescent="0.25">
      <c r="X335" s="53">
        <f t="shared" si="56"/>
        <v>4</v>
      </c>
      <c r="Y335" s="53" t="str">
        <f t="shared" si="55"/>
        <v/>
      </c>
    </row>
    <row r="336" spans="24:25" x14ac:dyDescent="0.25">
      <c r="X336" s="53">
        <f t="shared" si="56"/>
        <v>4</v>
      </c>
      <c r="Y336" s="53" t="str">
        <f t="shared" si="55"/>
        <v/>
      </c>
    </row>
    <row r="337" spans="24:25" x14ac:dyDescent="0.25">
      <c r="X337" s="53">
        <f t="shared" si="56"/>
        <v>4</v>
      </c>
      <c r="Y337" s="53" t="str">
        <f t="shared" si="55"/>
        <v/>
      </c>
    </row>
    <row r="338" spans="24:25" x14ac:dyDescent="0.25">
      <c r="X338" s="53">
        <f t="shared" si="56"/>
        <v>4</v>
      </c>
      <c r="Y338" s="53" t="str">
        <f t="shared" si="55"/>
        <v/>
      </c>
    </row>
    <row r="339" spans="24:25" x14ac:dyDescent="0.25">
      <c r="X339" s="53">
        <f t="shared" si="56"/>
        <v>4</v>
      </c>
      <c r="Y339" s="53" t="str">
        <f t="shared" si="55"/>
        <v/>
      </c>
    </row>
    <row r="340" spans="24:25" x14ac:dyDescent="0.25">
      <c r="X340" s="53">
        <f t="shared" si="56"/>
        <v>4</v>
      </c>
      <c r="Y340" s="53" t="str">
        <f t="shared" si="55"/>
        <v/>
      </c>
    </row>
    <row r="341" spans="24:25" x14ac:dyDescent="0.25">
      <c r="X341" s="53">
        <f t="shared" si="56"/>
        <v>4</v>
      </c>
      <c r="Y341" s="53" t="str">
        <f t="shared" si="55"/>
        <v/>
      </c>
    </row>
    <row r="342" spans="24:25" x14ac:dyDescent="0.25">
      <c r="X342" s="53">
        <f t="shared" si="56"/>
        <v>4</v>
      </c>
      <c r="Y342" s="53" t="str">
        <f t="shared" si="55"/>
        <v/>
      </c>
    </row>
    <row r="343" spans="24:25" x14ac:dyDescent="0.25">
      <c r="X343" s="53">
        <f t="shared" si="56"/>
        <v>4</v>
      </c>
      <c r="Y343" s="53" t="str">
        <f t="shared" si="55"/>
        <v/>
      </c>
    </row>
    <row r="344" spans="24:25" x14ac:dyDescent="0.25">
      <c r="X344" s="53">
        <f t="shared" si="56"/>
        <v>4</v>
      </c>
      <c r="Y344" s="53" t="str">
        <f t="shared" si="55"/>
        <v/>
      </c>
    </row>
    <row r="345" spans="24:25" x14ac:dyDescent="0.25">
      <c r="X345" s="53">
        <f t="shared" si="56"/>
        <v>4</v>
      </c>
      <c r="Y345" s="53" t="str">
        <f t="shared" si="55"/>
        <v/>
      </c>
    </row>
    <row r="346" spans="24:25" x14ac:dyDescent="0.25">
      <c r="X346" s="53">
        <f t="shared" si="56"/>
        <v>4</v>
      </c>
      <c r="Y346" s="53" t="str">
        <f t="shared" si="55"/>
        <v/>
      </c>
    </row>
    <row r="347" spans="24:25" x14ac:dyDescent="0.25">
      <c r="X347" s="53">
        <f t="shared" si="56"/>
        <v>4</v>
      </c>
      <c r="Y347" s="53" t="str">
        <f t="shared" si="55"/>
        <v/>
      </c>
    </row>
    <row r="348" spans="24:25" x14ac:dyDescent="0.25">
      <c r="X348" s="53">
        <f t="shared" si="56"/>
        <v>4</v>
      </c>
      <c r="Y348" s="53" t="str">
        <f t="shared" si="55"/>
        <v/>
      </c>
    </row>
    <row r="349" spans="24:25" x14ac:dyDescent="0.25">
      <c r="X349" s="53">
        <f t="shared" si="56"/>
        <v>4</v>
      </c>
      <c r="Y349" s="53" t="str">
        <f t="shared" si="55"/>
        <v/>
      </c>
    </row>
    <row r="350" spans="24:25" x14ac:dyDescent="0.25">
      <c r="X350" s="53">
        <f t="shared" si="56"/>
        <v>4</v>
      </c>
      <c r="Y350" s="53" t="str">
        <f t="shared" si="55"/>
        <v/>
      </c>
    </row>
    <row r="351" spans="24:25" x14ac:dyDescent="0.25">
      <c r="X351" s="53">
        <f t="shared" si="56"/>
        <v>4</v>
      </c>
      <c r="Y351" s="53" t="str">
        <f t="shared" si="55"/>
        <v/>
      </c>
    </row>
    <row r="352" spans="24:25" x14ac:dyDescent="0.25">
      <c r="X352" s="53">
        <f t="shared" si="56"/>
        <v>4</v>
      </c>
      <c r="Y352" s="53" t="str">
        <f t="shared" si="55"/>
        <v/>
      </c>
    </row>
    <row r="353" spans="24:25" x14ac:dyDescent="0.25">
      <c r="X353" s="53">
        <f t="shared" si="56"/>
        <v>4</v>
      </c>
      <c r="Y353" s="53" t="str">
        <f t="shared" si="55"/>
        <v/>
      </c>
    </row>
    <row r="354" spans="24:25" x14ac:dyDescent="0.25">
      <c r="X354" s="53">
        <f t="shared" si="56"/>
        <v>4</v>
      </c>
      <c r="Y354" s="53" t="str">
        <f t="shared" si="55"/>
        <v/>
      </c>
    </row>
    <row r="355" spans="24:25" x14ac:dyDescent="0.25">
      <c r="X355" s="53">
        <f t="shared" si="56"/>
        <v>4</v>
      </c>
      <c r="Y355" s="53" t="str">
        <f t="shared" si="55"/>
        <v/>
      </c>
    </row>
    <row r="356" spans="24:25" x14ac:dyDescent="0.25">
      <c r="X356" s="53">
        <f t="shared" si="56"/>
        <v>4</v>
      </c>
      <c r="Y356" s="53" t="str">
        <f t="shared" ref="Y356:Y419" si="57">INDEX($O$3:$W$50,1+INT((ROW(A354)-1)/COLUMNS($O$3:$W$50)),MOD(ROW(A354)-1+COLUMNS($O$3:$W$50),COLUMNS($O$3:$W$50))+1)</f>
        <v/>
      </c>
    </row>
    <row r="357" spans="24:25" x14ac:dyDescent="0.25">
      <c r="X357" s="53">
        <f t="shared" si="56"/>
        <v>4</v>
      </c>
      <c r="Y357" s="53" t="str">
        <f t="shared" si="57"/>
        <v/>
      </c>
    </row>
    <row r="358" spans="24:25" x14ac:dyDescent="0.25">
      <c r="X358" s="53">
        <f t="shared" si="56"/>
        <v>4</v>
      </c>
      <c r="Y358" s="53" t="str">
        <f t="shared" si="57"/>
        <v/>
      </c>
    </row>
    <row r="359" spans="24:25" x14ac:dyDescent="0.25">
      <c r="X359" s="53">
        <f t="shared" si="56"/>
        <v>4</v>
      </c>
      <c r="Y359" s="53" t="str">
        <f t="shared" si="57"/>
        <v/>
      </c>
    </row>
    <row r="360" spans="24:25" x14ac:dyDescent="0.25">
      <c r="X360" s="53">
        <f t="shared" si="56"/>
        <v>4</v>
      </c>
      <c r="Y360" s="53" t="str">
        <f t="shared" si="57"/>
        <v/>
      </c>
    </row>
    <row r="361" spans="24:25" x14ac:dyDescent="0.25">
      <c r="X361" s="53">
        <f t="shared" si="56"/>
        <v>4</v>
      </c>
      <c r="Y361" s="53" t="str">
        <f t="shared" si="57"/>
        <v/>
      </c>
    </row>
    <row r="362" spans="24:25" x14ac:dyDescent="0.25">
      <c r="X362" s="53">
        <f t="shared" si="56"/>
        <v>4</v>
      </c>
      <c r="Y362" s="53" t="str">
        <f t="shared" si="57"/>
        <v/>
      </c>
    </row>
    <row r="363" spans="24:25" x14ac:dyDescent="0.25">
      <c r="X363" s="53">
        <f t="shared" si="56"/>
        <v>4</v>
      </c>
      <c r="Y363" s="53" t="str">
        <f t="shared" si="57"/>
        <v/>
      </c>
    </row>
    <row r="364" spans="24:25" x14ac:dyDescent="0.25">
      <c r="X364" s="53">
        <f t="shared" si="56"/>
        <v>4</v>
      </c>
      <c r="Y364" s="53" t="str">
        <f t="shared" si="57"/>
        <v/>
      </c>
    </row>
    <row r="365" spans="24:25" x14ac:dyDescent="0.25">
      <c r="X365" s="53">
        <f t="shared" si="56"/>
        <v>4</v>
      </c>
      <c r="Y365" s="53" t="str">
        <f t="shared" si="57"/>
        <v/>
      </c>
    </row>
    <row r="366" spans="24:25" x14ac:dyDescent="0.25">
      <c r="X366" s="53">
        <f t="shared" si="56"/>
        <v>4</v>
      </c>
      <c r="Y366" s="53" t="str">
        <f t="shared" si="57"/>
        <v/>
      </c>
    </row>
    <row r="367" spans="24:25" x14ac:dyDescent="0.25">
      <c r="X367" s="53">
        <f t="shared" si="56"/>
        <v>4</v>
      </c>
      <c r="Y367" s="53" t="str">
        <f t="shared" si="57"/>
        <v/>
      </c>
    </row>
    <row r="368" spans="24:25" x14ac:dyDescent="0.25">
      <c r="X368" s="53">
        <f t="shared" si="56"/>
        <v>4</v>
      </c>
      <c r="Y368" s="53" t="str">
        <f t="shared" si="57"/>
        <v/>
      </c>
    </row>
    <row r="369" spans="24:25" x14ac:dyDescent="0.25">
      <c r="X369" s="53">
        <f t="shared" si="56"/>
        <v>4</v>
      </c>
      <c r="Y369" s="53" t="str">
        <f t="shared" si="57"/>
        <v/>
      </c>
    </row>
    <row r="370" spans="24:25" x14ac:dyDescent="0.25">
      <c r="X370" s="53">
        <f t="shared" si="56"/>
        <v>4</v>
      </c>
      <c r="Y370" s="53" t="str">
        <f t="shared" si="57"/>
        <v/>
      </c>
    </row>
    <row r="371" spans="24:25" x14ac:dyDescent="0.25">
      <c r="X371" s="53">
        <f t="shared" si="56"/>
        <v>4</v>
      </c>
      <c r="Y371" s="53" t="str">
        <f t="shared" si="57"/>
        <v/>
      </c>
    </row>
    <row r="372" spans="24:25" x14ac:dyDescent="0.25">
      <c r="X372" s="53">
        <f t="shared" si="56"/>
        <v>4</v>
      </c>
      <c r="Y372" s="53" t="str">
        <f t="shared" si="57"/>
        <v/>
      </c>
    </row>
    <row r="373" spans="24:25" x14ac:dyDescent="0.25">
      <c r="X373" s="53">
        <f t="shared" si="56"/>
        <v>4</v>
      </c>
      <c r="Y373" s="53" t="str">
        <f t="shared" si="57"/>
        <v/>
      </c>
    </row>
    <row r="374" spans="24:25" x14ac:dyDescent="0.25">
      <c r="X374" s="53">
        <f t="shared" si="56"/>
        <v>4</v>
      </c>
      <c r="Y374" s="53" t="str">
        <f t="shared" si="57"/>
        <v/>
      </c>
    </row>
    <row r="375" spans="24:25" x14ac:dyDescent="0.25">
      <c r="X375" s="53">
        <f t="shared" si="56"/>
        <v>4</v>
      </c>
      <c r="Y375" s="53" t="str">
        <f t="shared" si="57"/>
        <v/>
      </c>
    </row>
    <row r="376" spans="24:25" x14ac:dyDescent="0.25">
      <c r="X376" s="53">
        <f t="shared" si="56"/>
        <v>4</v>
      </c>
      <c r="Y376" s="53" t="str">
        <f t="shared" si="57"/>
        <v/>
      </c>
    </row>
    <row r="377" spans="24:25" x14ac:dyDescent="0.25">
      <c r="X377" s="53">
        <f t="shared" si="56"/>
        <v>4</v>
      </c>
      <c r="Y377" s="53" t="str">
        <f t="shared" si="57"/>
        <v/>
      </c>
    </row>
    <row r="378" spans="24:25" x14ac:dyDescent="0.25">
      <c r="X378" s="53">
        <f t="shared" si="56"/>
        <v>4</v>
      </c>
      <c r="Y378" s="53" t="str">
        <f t="shared" si="57"/>
        <v/>
      </c>
    </row>
    <row r="379" spans="24:25" x14ac:dyDescent="0.25">
      <c r="X379" s="53">
        <f t="shared" si="56"/>
        <v>4</v>
      </c>
      <c r="Y379" s="53" t="str">
        <f t="shared" si="57"/>
        <v/>
      </c>
    </row>
    <row r="380" spans="24:25" x14ac:dyDescent="0.25">
      <c r="X380" s="53">
        <f t="shared" si="56"/>
        <v>4</v>
      </c>
      <c r="Y380" s="53" t="str">
        <f t="shared" si="57"/>
        <v/>
      </c>
    </row>
    <row r="381" spans="24:25" x14ac:dyDescent="0.25">
      <c r="X381" s="53">
        <f t="shared" si="56"/>
        <v>4</v>
      </c>
      <c r="Y381" s="53" t="str">
        <f t="shared" si="57"/>
        <v/>
      </c>
    </row>
    <row r="382" spans="24:25" x14ac:dyDescent="0.25">
      <c r="X382" s="53">
        <f t="shared" si="56"/>
        <v>4</v>
      </c>
      <c r="Y382" s="53" t="str">
        <f t="shared" si="57"/>
        <v/>
      </c>
    </row>
    <row r="383" spans="24:25" x14ac:dyDescent="0.25">
      <c r="X383" s="53">
        <f t="shared" si="56"/>
        <v>4</v>
      </c>
      <c r="Y383" s="53" t="str">
        <f t="shared" si="57"/>
        <v/>
      </c>
    </row>
    <row r="384" spans="24:25" x14ac:dyDescent="0.25">
      <c r="X384" s="53">
        <f t="shared" si="56"/>
        <v>4</v>
      </c>
      <c r="Y384" s="53" t="str">
        <f t="shared" si="57"/>
        <v/>
      </c>
    </row>
    <row r="385" spans="24:25" x14ac:dyDescent="0.25">
      <c r="X385" s="53">
        <f t="shared" si="56"/>
        <v>4</v>
      </c>
      <c r="Y385" s="53" t="str">
        <f t="shared" si="57"/>
        <v/>
      </c>
    </row>
    <row r="386" spans="24:25" x14ac:dyDescent="0.25">
      <c r="X386" s="53">
        <f t="shared" si="56"/>
        <v>4</v>
      </c>
      <c r="Y386" s="53" t="str">
        <f t="shared" si="57"/>
        <v/>
      </c>
    </row>
    <row r="387" spans="24:25" x14ac:dyDescent="0.25">
      <c r="X387" s="53">
        <f t="shared" si="56"/>
        <v>4</v>
      </c>
      <c r="Y387" s="53" t="str">
        <f t="shared" si="57"/>
        <v/>
      </c>
    </row>
    <row r="388" spans="24:25" x14ac:dyDescent="0.25">
      <c r="X388" s="53">
        <f t="shared" ref="X388:X434" si="58">IF(ISNUMBER(CODE(Z388)),X387+1,X387)</f>
        <v>4</v>
      </c>
      <c r="Y388" s="53" t="str">
        <f t="shared" si="57"/>
        <v/>
      </c>
    </row>
    <row r="389" spans="24:25" x14ac:dyDescent="0.25">
      <c r="X389" s="53">
        <f t="shared" si="58"/>
        <v>4</v>
      </c>
      <c r="Y389" s="53" t="str">
        <f t="shared" si="57"/>
        <v/>
      </c>
    </row>
    <row r="390" spans="24:25" x14ac:dyDescent="0.25">
      <c r="X390" s="53">
        <f t="shared" si="58"/>
        <v>4</v>
      </c>
      <c r="Y390" s="53" t="str">
        <f t="shared" si="57"/>
        <v/>
      </c>
    </row>
    <row r="391" spans="24:25" x14ac:dyDescent="0.25">
      <c r="X391" s="53">
        <f t="shared" si="58"/>
        <v>4</v>
      </c>
      <c r="Y391" s="53" t="str">
        <f t="shared" si="57"/>
        <v/>
      </c>
    </row>
    <row r="392" spans="24:25" x14ac:dyDescent="0.25">
      <c r="X392" s="53">
        <f t="shared" si="58"/>
        <v>4</v>
      </c>
      <c r="Y392" s="53" t="str">
        <f t="shared" si="57"/>
        <v/>
      </c>
    </row>
    <row r="393" spans="24:25" x14ac:dyDescent="0.25">
      <c r="X393" s="53">
        <f t="shared" si="58"/>
        <v>4</v>
      </c>
      <c r="Y393" s="53" t="str">
        <f t="shared" si="57"/>
        <v/>
      </c>
    </row>
    <row r="394" spans="24:25" x14ac:dyDescent="0.25">
      <c r="X394" s="53">
        <f t="shared" si="58"/>
        <v>4</v>
      </c>
      <c r="Y394" s="53" t="str">
        <f t="shared" si="57"/>
        <v/>
      </c>
    </row>
    <row r="395" spans="24:25" x14ac:dyDescent="0.25">
      <c r="X395" s="53">
        <f t="shared" si="58"/>
        <v>4</v>
      </c>
      <c r="Y395" s="53" t="str">
        <f t="shared" si="57"/>
        <v/>
      </c>
    </row>
    <row r="396" spans="24:25" x14ac:dyDescent="0.25">
      <c r="X396" s="53">
        <f t="shared" si="58"/>
        <v>4</v>
      </c>
      <c r="Y396" s="53" t="str">
        <f t="shared" si="57"/>
        <v/>
      </c>
    </row>
    <row r="397" spans="24:25" x14ac:dyDescent="0.25">
      <c r="X397" s="53">
        <f t="shared" si="58"/>
        <v>4</v>
      </c>
      <c r="Y397" s="53" t="str">
        <f t="shared" si="57"/>
        <v/>
      </c>
    </row>
    <row r="398" spans="24:25" x14ac:dyDescent="0.25">
      <c r="X398" s="53">
        <f t="shared" si="58"/>
        <v>4</v>
      </c>
      <c r="Y398" s="53" t="str">
        <f t="shared" si="57"/>
        <v/>
      </c>
    </row>
    <row r="399" spans="24:25" x14ac:dyDescent="0.25">
      <c r="X399" s="53">
        <f t="shared" si="58"/>
        <v>4</v>
      </c>
      <c r="Y399" s="53" t="str">
        <f t="shared" si="57"/>
        <v/>
      </c>
    </row>
    <row r="400" spans="24:25" x14ac:dyDescent="0.25">
      <c r="X400" s="53">
        <f t="shared" si="58"/>
        <v>4</v>
      </c>
      <c r="Y400" s="53" t="str">
        <f t="shared" si="57"/>
        <v/>
      </c>
    </row>
    <row r="401" spans="24:25" x14ac:dyDescent="0.25">
      <c r="X401" s="53">
        <f t="shared" si="58"/>
        <v>4</v>
      </c>
      <c r="Y401" s="53" t="str">
        <f t="shared" si="57"/>
        <v/>
      </c>
    </row>
    <row r="402" spans="24:25" x14ac:dyDescent="0.25">
      <c r="X402" s="53">
        <f t="shared" si="58"/>
        <v>4</v>
      </c>
      <c r="Y402" s="53" t="str">
        <f t="shared" si="57"/>
        <v/>
      </c>
    </row>
    <row r="403" spans="24:25" x14ac:dyDescent="0.25">
      <c r="X403" s="53">
        <f t="shared" si="58"/>
        <v>4</v>
      </c>
      <c r="Y403" s="53" t="str">
        <f t="shared" si="57"/>
        <v/>
      </c>
    </row>
    <row r="404" spans="24:25" x14ac:dyDescent="0.25">
      <c r="X404" s="53">
        <f t="shared" si="58"/>
        <v>4</v>
      </c>
      <c r="Y404" s="53" t="str">
        <f t="shared" si="57"/>
        <v/>
      </c>
    </row>
    <row r="405" spans="24:25" x14ac:dyDescent="0.25">
      <c r="X405" s="53">
        <f t="shared" si="58"/>
        <v>4</v>
      </c>
      <c r="Y405" s="53" t="str">
        <f t="shared" si="57"/>
        <v/>
      </c>
    </row>
    <row r="406" spans="24:25" x14ac:dyDescent="0.25">
      <c r="X406" s="53">
        <f t="shared" si="58"/>
        <v>4</v>
      </c>
      <c r="Y406" s="53" t="str">
        <f t="shared" si="57"/>
        <v/>
      </c>
    </row>
    <row r="407" spans="24:25" x14ac:dyDescent="0.25">
      <c r="X407" s="53">
        <f t="shared" si="58"/>
        <v>4</v>
      </c>
      <c r="Y407" s="53" t="str">
        <f t="shared" si="57"/>
        <v/>
      </c>
    </row>
    <row r="408" spans="24:25" x14ac:dyDescent="0.25">
      <c r="X408" s="53">
        <f t="shared" si="58"/>
        <v>4</v>
      </c>
      <c r="Y408" s="53" t="str">
        <f t="shared" si="57"/>
        <v/>
      </c>
    </row>
    <row r="409" spans="24:25" x14ac:dyDescent="0.25">
      <c r="X409" s="53">
        <f t="shared" si="58"/>
        <v>4</v>
      </c>
      <c r="Y409" s="53" t="str">
        <f t="shared" si="57"/>
        <v/>
      </c>
    </row>
    <row r="410" spans="24:25" x14ac:dyDescent="0.25">
      <c r="X410" s="53">
        <f t="shared" si="58"/>
        <v>4</v>
      </c>
      <c r="Y410" s="53" t="str">
        <f t="shared" si="57"/>
        <v/>
      </c>
    </row>
    <row r="411" spans="24:25" x14ac:dyDescent="0.25">
      <c r="X411" s="53">
        <f t="shared" si="58"/>
        <v>4</v>
      </c>
      <c r="Y411" s="53" t="str">
        <f t="shared" si="57"/>
        <v/>
      </c>
    </row>
    <row r="412" spans="24:25" x14ac:dyDescent="0.25">
      <c r="X412" s="53">
        <f t="shared" si="58"/>
        <v>4</v>
      </c>
      <c r="Y412" s="53" t="str">
        <f t="shared" si="57"/>
        <v/>
      </c>
    </row>
    <row r="413" spans="24:25" x14ac:dyDescent="0.25">
      <c r="X413" s="53">
        <f t="shared" si="58"/>
        <v>4</v>
      </c>
      <c r="Y413" s="53" t="str">
        <f t="shared" si="57"/>
        <v/>
      </c>
    </row>
    <row r="414" spans="24:25" x14ac:dyDescent="0.25">
      <c r="X414" s="53">
        <f t="shared" si="58"/>
        <v>4</v>
      </c>
      <c r="Y414" s="53" t="str">
        <f t="shared" si="57"/>
        <v/>
      </c>
    </row>
    <row r="415" spans="24:25" x14ac:dyDescent="0.25">
      <c r="X415" s="53">
        <f t="shared" si="58"/>
        <v>4</v>
      </c>
      <c r="Y415" s="53" t="str">
        <f t="shared" si="57"/>
        <v/>
      </c>
    </row>
    <row r="416" spans="24:25" x14ac:dyDescent="0.25">
      <c r="X416" s="53">
        <f t="shared" si="58"/>
        <v>4</v>
      </c>
      <c r="Y416" s="53" t="str">
        <f t="shared" si="57"/>
        <v/>
      </c>
    </row>
    <row r="417" spans="24:25" x14ac:dyDescent="0.25">
      <c r="X417" s="53">
        <f t="shared" si="58"/>
        <v>4</v>
      </c>
      <c r="Y417" s="53" t="str">
        <f t="shared" si="57"/>
        <v/>
      </c>
    </row>
    <row r="418" spans="24:25" x14ac:dyDescent="0.25">
      <c r="X418" s="53">
        <f t="shared" si="58"/>
        <v>4</v>
      </c>
      <c r="Y418" s="53" t="str">
        <f t="shared" si="57"/>
        <v/>
      </c>
    </row>
    <row r="419" spans="24:25" x14ac:dyDescent="0.25">
      <c r="X419" s="53">
        <f t="shared" si="58"/>
        <v>4</v>
      </c>
      <c r="Y419" s="53" t="str">
        <f t="shared" si="57"/>
        <v/>
      </c>
    </row>
    <row r="420" spans="24:25" x14ac:dyDescent="0.25">
      <c r="X420" s="53">
        <f t="shared" si="58"/>
        <v>4</v>
      </c>
      <c r="Y420" s="53" t="str">
        <f t="shared" ref="Y420:Y434" si="59">INDEX($O$3:$W$50,1+INT((ROW(A418)-1)/COLUMNS($O$3:$W$50)),MOD(ROW(A418)-1+COLUMNS($O$3:$W$50),COLUMNS($O$3:$W$50))+1)</f>
        <v/>
      </c>
    </row>
    <row r="421" spans="24:25" x14ac:dyDescent="0.25">
      <c r="X421" s="53">
        <f t="shared" si="58"/>
        <v>4</v>
      </c>
      <c r="Y421" s="53" t="str">
        <f t="shared" si="59"/>
        <v/>
      </c>
    </row>
    <row r="422" spans="24:25" x14ac:dyDescent="0.25">
      <c r="X422" s="53">
        <f t="shared" si="58"/>
        <v>4</v>
      </c>
      <c r="Y422" s="53" t="str">
        <f t="shared" si="59"/>
        <v/>
      </c>
    </row>
    <row r="423" spans="24:25" x14ac:dyDescent="0.25">
      <c r="X423" s="53">
        <f t="shared" si="58"/>
        <v>4</v>
      </c>
      <c r="Y423" s="53" t="str">
        <f t="shared" si="59"/>
        <v/>
      </c>
    </row>
    <row r="424" spans="24:25" x14ac:dyDescent="0.25">
      <c r="X424" s="53">
        <f t="shared" si="58"/>
        <v>4</v>
      </c>
      <c r="Y424" s="53" t="str">
        <f t="shared" si="59"/>
        <v/>
      </c>
    </row>
    <row r="425" spans="24:25" x14ac:dyDescent="0.25">
      <c r="X425" s="53">
        <f t="shared" si="58"/>
        <v>4</v>
      </c>
      <c r="Y425" s="53" t="str">
        <f t="shared" si="59"/>
        <v/>
      </c>
    </row>
    <row r="426" spans="24:25" x14ac:dyDescent="0.25">
      <c r="X426" s="53">
        <f t="shared" si="58"/>
        <v>4</v>
      </c>
      <c r="Y426" s="53" t="str">
        <f t="shared" si="59"/>
        <v/>
      </c>
    </row>
    <row r="427" spans="24:25" x14ac:dyDescent="0.25">
      <c r="X427" s="53">
        <f t="shared" si="58"/>
        <v>4</v>
      </c>
      <c r="Y427" s="53" t="str">
        <f t="shared" si="59"/>
        <v/>
      </c>
    </row>
    <row r="428" spans="24:25" x14ac:dyDescent="0.25">
      <c r="X428" s="53">
        <f t="shared" si="58"/>
        <v>4</v>
      </c>
      <c r="Y428" s="53" t="str">
        <f t="shared" si="59"/>
        <v/>
      </c>
    </row>
    <row r="429" spans="24:25" x14ac:dyDescent="0.25">
      <c r="X429" s="53">
        <f t="shared" si="58"/>
        <v>4</v>
      </c>
      <c r="Y429" s="53" t="str">
        <f t="shared" si="59"/>
        <v/>
      </c>
    </row>
    <row r="430" spans="24:25" x14ac:dyDescent="0.25">
      <c r="X430" s="53">
        <f t="shared" si="58"/>
        <v>4</v>
      </c>
      <c r="Y430" s="53" t="str">
        <f t="shared" si="59"/>
        <v/>
      </c>
    </row>
    <row r="431" spans="24:25" x14ac:dyDescent="0.25">
      <c r="X431" s="53">
        <f t="shared" si="58"/>
        <v>4</v>
      </c>
      <c r="Y431" s="53" t="str">
        <f t="shared" si="59"/>
        <v/>
      </c>
    </row>
    <row r="432" spans="24:25" x14ac:dyDescent="0.25">
      <c r="X432" s="53">
        <f t="shared" si="58"/>
        <v>4</v>
      </c>
      <c r="Y432" s="53" t="str">
        <f t="shared" si="59"/>
        <v/>
      </c>
    </row>
    <row r="433" spans="24:25" x14ac:dyDescent="0.25">
      <c r="X433" s="53">
        <f t="shared" si="58"/>
        <v>4</v>
      </c>
      <c r="Y433" s="53" t="str">
        <f t="shared" si="59"/>
        <v/>
      </c>
    </row>
    <row r="434" spans="24:25" x14ac:dyDescent="0.25">
      <c r="X434" s="53">
        <f t="shared" si="58"/>
        <v>4</v>
      </c>
      <c r="Y434" s="53" t="str">
        <f t="shared" si="59"/>
        <v/>
      </c>
    </row>
  </sheetData>
  <mergeCells count="5">
    <mergeCell ref="I1:J1"/>
    <mergeCell ref="K1:L1"/>
    <mergeCell ref="H2:I2"/>
    <mergeCell ref="J2:K2"/>
    <mergeCell ref="L2:M2"/>
  </mergeCells>
  <conditionalFormatting sqref="B3:D101">
    <cfRule type="expression" dxfId="1" priority="1">
      <formula>IF($A3=1,1,0)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434"/>
  <sheetViews>
    <sheetView workbookViewId="0">
      <selection activeCell="J2" sqref="J2:K2"/>
    </sheetView>
  </sheetViews>
  <sheetFormatPr defaultRowHeight="15" x14ac:dyDescent="0.25"/>
  <cols>
    <col min="1" max="1" width="9.140625" style="4"/>
    <col min="2" max="3" width="21.5703125" style="34" bestFit="1" customWidth="1"/>
    <col min="4" max="4" width="11.140625" style="34" bestFit="1" customWidth="1"/>
    <col min="5" max="7" width="9.140625" style="1"/>
    <col min="8" max="13" width="11.85546875" customWidth="1"/>
    <col min="14" max="14" width="9.140625" style="25"/>
    <col min="15" max="17" width="9.140625" style="2"/>
    <col min="18" max="23" width="9.140625" style="2" customWidth="1"/>
    <col min="24" max="29" width="9.140625" style="2"/>
    <col min="30" max="34" width="9.140625" style="25"/>
  </cols>
  <sheetData>
    <row r="1" spans="1:28" ht="15.75" thickBot="1" x14ac:dyDescent="0.3">
      <c r="B1" s="10" t="str">
        <f>COUNTIF($E$3:$E$100,"w")&amp;"-"&amp;COUNTIF($E$3:$E$100,"l")&amp;IF(COUNTIF($E$3:$E$100,"p")&gt;0,"-"&amp;COUNTIF($E$3:$E$100,"p"),"")</f>
        <v>0-0</v>
      </c>
      <c r="C1" s="1"/>
      <c r="D1" s="1"/>
      <c r="I1" s="118" t="s">
        <v>49</v>
      </c>
      <c r="J1" s="118"/>
      <c r="K1" s="119">
        <v>0.6</v>
      </c>
      <c r="L1" s="119"/>
    </row>
    <row r="2" spans="1:28" ht="15.75" thickBot="1" x14ac:dyDescent="0.3">
      <c r="B2" s="3" t="s">
        <v>3</v>
      </c>
      <c r="C2" s="3" t="s">
        <v>1</v>
      </c>
      <c r="D2" s="3" t="s">
        <v>107</v>
      </c>
      <c r="H2" s="120" t="s">
        <v>40</v>
      </c>
      <c r="I2" s="121"/>
      <c r="J2" s="122" t="s">
        <v>41</v>
      </c>
      <c r="K2" s="122"/>
      <c r="L2" s="123" t="s">
        <v>42</v>
      </c>
      <c r="M2" s="124"/>
      <c r="O2" s="2" t="s">
        <v>50</v>
      </c>
      <c r="AA2" s="2" t="str">
        <f>IF(ISNUMBER(SEARCH("@",Y2)),Y3,"")</f>
        <v/>
      </c>
    </row>
    <row r="3" spans="1:28" ht="15.75" thickTop="1" x14ac:dyDescent="0.25">
      <c r="A3" s="4">
        <f>IF(ISNUMBER(CODE(B3)),1,0)</f>
        <v>1</v>
      </c>
      <c r="B3" s="3" t="str">
        <f>IFERROR(VLOOKUP(ROW()-2,$X$3:$AA$290,3,0),"")</f>
        <v>Colts @ Chiefs</v>
      </c>
      <c r="C3" s="3" t="str">
        <f>IFERROR(VLOOKUP(ROW()-2,$X$3:$AA$290,4,0),"")</f>
        <v>Over 57</v>
      </c>
      <c r="D3" s="29">
        <f>IFERROR(VLOOKUP(ROW()-2,$X$3:$AB$290,5,0),"")</f>
        <v>0.64266999999999996</v>
      </c>
      <c r="E3" s="1">
        <v>-110</v>
      </c>
      <c r="H3" s="11" t="s">
        <v>299</v>
      </c>
      <c r="I3" s="12" t="s">
        <v>229</v>
      </c>
      <c r="J3" s="13" t="s">
        <v>43</v>
      </c>
      <c r="K3" s="13" t="s">
        <v>44</v>
      </c>
      <c r="L3" s="14" t="s">
        <v>299</v>
      </c>
      <c r="M3" s="12" t="s">
        <v>229</v>
      </c>
      <c r="O3" s="2" t="str">
        <f>IF(J3="under",IF(HLOOKUP("Under",J3:K5,3,0)&gt;=$K$1,I3&amp;" @ "&amp;H3,IF(HLOOKUP("Over",J3:K5,3,0)&gt;=$K$1,I3&amp;" @ "&amp;H3,"")),"")</f>
        <v>Colts @ Chiefs</v>
      </c>
      <c r="P3" s="2" t="str">
        <f>IF(J3="under",IF(HLOOKUP("Under",J3:K5,3,0)&gt;=$K$1,"Under "&amp;J4,IF(HLOOKUP("Over",J3:K5,3,0)&gt;=$K$1,"Over "&amp;J4,"")),"")</f>
        <v>Over 57</v>
      </c>
      <c r="Q3" s="2">
        <f t="shared" ref="Q3:Q67" si="0">IF(J3="under",IF(HLOOKUP("Under",J3:K5,3,0)&gt;=$K$1,J5,IF(HLOOKUP("Over",J3:K5,3,0)&gt;=$K$1,K5,"")),"")</f>
        <v>0.64266999999999996</v>
      </c>
      <c r="R3" s="2" t="str">
        <f>IF(MOD(ROW(),3)=0,IF(L5&gt;=$K$1,I3&amp;" @ "&amp;H3,IF(M5&gt;=$K$1,I3&amp;" @ "&amp;H3,"")),"")</f>
        <v/>
      </c>
      <c r="S3" s="2" t="str">
        <f>IF(MOD(ROW(),3)=0,IF(L5&gt;=$K$1,L3&amp;" "&amp;L4,IF(M5&gt;=$K$1,M3&amp;" "&amp;M4,"")),"")</f>
        <v/>
      </c>
      <c r="T3" s="2" t="str">
        <f>IF(MOD(ROW(),3)=0,IF(L5&gt;=$K$1,L5,IF(M5&gt;=$K$1,M5,"")),"")</f>
        <v/>
      </c>
      <c r="U3" s="2" t="str">
        <f>IF(MOD(ROW(),3)=0,IF(H4="Dog",IF(H5&gt;=0.75,I3&amp;" @ "&amp;H3,""),IF(I5&gt;=0.75,I3&amp;" @ "&amp;H3,"")),"")</f>
        <v/>
      </c>
      <c r="V3" s="2" t="str">
        <f>IF(MOD(ROW(),3)=0,IF(H4="Dog",IF(H5&gt;=0.75,H3&amp;" Moneyline",""),IF(I5&gt;=0.75,I3&amp;" Moneyline","")),"")</f>
        <v/>
      </c>
      <c r="W3" s="2" t="str">
        <f>IF(MOD(ROW(),3)=0,IF(H4="Dog",IF(H5&gt;=0.75,H5,""),IF(I5&gt;=0.75,I5,"")),"")</f>
        <v/>
      </c>
      <c r="X3" s="2">
        <f>IF(ISNUMBER(CODE(Z3)),X2+1,X2)</f>
        <v>1</v>
      </c>
      <c r="Y3" s="2" t="str">
        <f>INDEX($O$3:$W$50,1+INT((ROW(A1)-1)/COLUMNS($O$3:$W$50)),MOD(ROW(A1)-1+COLUMNS($O$3:$W$50),COLUMNS($O$3:$W$50))+1)</f>
        <v>Colts @ Chiefs</v>
      </c>
      <c r="Z3" s="2" t="str">
        <f>IF(ISNUMBER(SEARCH("@",Y3)),Y3,"")</f>
        <v>Colts @ Chiefs</v>
      </c>
      <c r="AA3" s="2" t="str">
        <f t="shared" ref="AA3:AA66" si="1">IF(ISNUMBER(SEARCH("@",Y3)),Y4,"")</f>
        <v>Over 57</v>
      </c>
      <c r="AB3" s="2">
        <f>IF(ISNUMBER(SEARCH("@",Y3)),Y5,"")</f>
        <v>0.64266999999999996</v>
      </c>
    </row>
    <row r="4" spans="1:28" x14ac:dyDescent="0.25">
      <c r="A4" s="4">
        <f t="shared" ref="A4:A67" si="2">IF(ISNUMBER(CODE(B4)),1,0)</f>
        <v>1</v>
      </c>
      <c r="B4" s="3" t="str">
        <f t="shared" ref="B4:B67" si="3">IFERROR(VLOOKUP(ROW()-2,$X$3:$AA$290,3,0),"")</f>
        <v>Cowboys @ Rams</v>
      </c>
      <c r="C4" s="3" t="str">
        <f t="shared" ref="C4:C67" si="4">IFERROR(VLOOKUP(ROW()-2,$X$3:$AA$290,4,0),"")</f>
        <v>Over 50</v>
      </c>
      <c r="D4" s="29">
        <f t="shared" ref="D4:D67" si="5">IFERROR(VLOOKUP(ROW()-2,$X$3:$AB$290,5,0),"")</f>
        <v>0.70491000000000004</v>
      </c>
      <c r="E4" s="1">
        <v>-110</v>
      </c>
      <c r="F4" s="1">
        <v>49.5</v>
      </c>
      <c r="H4" s="15" t="s">
        <v>45</v>
      </c>
      <c r="I4" s="16" t="s">
        <v>46</v>
      </c>
      <c r="J4" s="17">
        <v>57</v>
      </c>
      <c r="K4" s="17">
        <v>57</v>
      </c>
      <c r="L4" s="18">
        <v>-5</v>
      </c>
      <c r="M4" s="19" t="s">
        <v>322</v>
      </c>
      <c r="O4" s="2" t="str">
        <f t="shared" ref="O4:O50" si="6">IF(J4="under",IF(HLOOKUP("Under",J4:K6,3,0)&gt;=$K$1,I4&amp;" @ "&amp;H4,IF(HLOOKUP("Over",J4:K6,3,0)&gt;=$K$1,I4&amp;" @ "&amp;H4,"")),"")</f>
        <v/>
      </c>
      <c r="P4" s="2" t="str">
        <f t="shared" ref="P4:P67" si="7">IF(J4="under",IF(HLOOKUP("Under",J4:K6,3,0)&gt;=$K$1,"Under "&amp;J5,IF(HLOOKUP("Over",J4:K6,3,0)&gt;=$K$1,"Over "&amp;J5,"")),"")</f>
        <v/>
      </c>
      <c r="Q4" s="2" t="str">
        <f t="shared" si="0"/>
        <v/>
      </c>
      <c r="R4" s="2" t="str">
        <f t="shared" ref="R4:R67" si="8">IF(MOD(ROW(),3)=0,IF(L6&gt;=$K$1,I4&amp;" @ "&amp;H4,IF(M6&gt;=$K$1,I4&amp;" @ "&amp;H4,"")),"")</f>
        <v/>
      </c>
      <c r="S4" s="2" t="str">
        <f t="shared" ref="S4:S50" si="9">IF(MOD(ROW(),3)=0,IF(L6&gt;=$K$1,L4&amp;" "&amp;L5,IF(M6&gt;=$K$1,M4&amp;" "&amp;M5,"")),"")</f>
        <v/>
      </c>
      <c r="T4" s="2" t="str">
        <f t="shared" ref="T4:T67" si="10">IF(MOD(ROW(),3)=0,IF(L6&gt;=$K$1,L6,IF(M6&gt;=$K$1,M6,"")),"")</f>
        <v/>
      </c>
      <c r="U4" s="2" t="str">
        <f t="shared" ref="U4:U67" si="11">IF(MOD(ROW(),3)=0,IF(H5="Dog",IF(H6&gt;=0.75,I4&amp;" @ "&amp;H4,""),IF(I6&gt;=0.75,I4&amp;" @ "&amp;H4,"")),"")</f>
        <v/>
      </c>
      <c r="V4" s="2" t="str">
        <f t="shared" ref="V4:V67" si="12">IF(MOD(ROW(),3)=0,IF(H5="Dog",IF(H6&gt;=0.75,H4&amp;" Moneyline",""),IF(I6&gt;=0.75,I4&amp;" Moneyline","")),"")</f>
        <v/>
      </c>
      <c r="W4" s="2" t="str">
        <f t="shared" ref="W4:W67" si="13">IF(MOD(ROW(),3)=0,IF(H5="Dog",IF(H6&gt;=0.75,H6,""),IF(I6&gt;=0.75,I6,"")),"")</f>
        <v/>
      </c>
      <c r="X4" s="2">
        <f t="shared" ref="X4:X67" si="14">IF(ISNUMBER(CODE(Z4)),X3+1,X3)</f>
        <v>1</v>
      </c>
      <c r="Y4" s="2" t="str">
        <f t="shared" ref="Y4:Y67" si="15">INDEX($O$3:$W$50,1+INT((ROW(A2)-1)/COLUMNS($O$3:$W$50)),MOD(ROW(A2)-1+COLUMNS($O$3:$W$50),COLUMNS($O$3:$W$50))+1)</f>
        <v>Over 57</v>
      </c>
      <c r="Z4" s="2" t="str">
        <f t="shared" ref="Z4:Z67" si="16">IF(ISNUMBER(SEARCH("@",Y4)),Y4,"")</f>
        <v/>
      </c>
      <c r="AA4" s="2" t="str">
        <f t="shared" si="1"/>
        <v/>
      </c>
      <c r="AB4" s="2" t="str">
        <f t="shared" ref="AB4:AB67" si="17">IF(ISNUMBER(SEARCH("@",Y4)),Y6,"")</f>
        <v/>
      </c>
    </row>
    <row r="5" spans="1:28" ht="15.75" thickBot="1" x14ac:dyDescent="0.3">
      <c r="A5" s="4">
        <f t="shared" si="2"/>
        <v>1</v>
      </c>
      <c r="B5" s="3" t="str">
        <f t="shared" si="3"/>
        <v>Cowboys @ Rams</v>
      </c>
      <c r="C5" s="3" t="str">
        <f t="shared" si="4"/>
        <v>Rams -7</v>
      </c>
      <c r="D5" s="29">
        <f t="shared" si="5"/>
        <v>0.85233000000000003</v>
      </c>
      <c r="E5" s="1">
        <v>-110</v>
      </c>
      <c r="H5" s="20">
        <v>0.61292000000000002</v>
      </c>
      <c r="I5" s="21">
        <v>0.38707999999999998</v>
      </c>
      <c r="J5" s="22">
        <v>0.35732999999999998</v>
      </c>
      <c r="K5" s="22">
        <v>0.64266999999999996</v>
      </c>
      <c r="L5" s="23">
        <v>0.47209000000000001</v>
      </c>
      <c r="M5" s="24">
        <v>0.52790999999999999</v>
      </c>
      <c r="O5" s="2" t="str">
        <f t="shared" si="6"/>
        <v/>
      </c>
      <c r="P5" s="2" t="str">
        <f t="shared" si="7"/>
        <v/>
      </c>
      <c r="Q5" s="2" t="str">
        <f t="shared" si="0"/>
        <v/>
      </c>
      <c r="R5" s="2" t="str">
        <f t="shared" si="8"/>
        <v/>
      </c>
      <c r="S5" s="2" t="str">
        <f t="shared" si="9"/>
        <v/>
      </c>
      <c r="T5" s="2" t="str">
        <f t="shared" si="10"/>
        <v/>
      </c>
      <c r="U5" s="2" t="str">
        <f t="shared" si="11"/>
        <v/>
      </c>
      <c r="V5" s="2" t="str">
        <f t="shared" si="12"/>
        <v/>
      </c>
      <c r="W5" s="2" t="str">
        <f t="shared" si="13"/>
        <v/>
      </c>
      <c r="X5" s="2">
        <f t="shared" si="14"/>
        <v>1</v>
      </c>
      <c r="Y5" s="2">
        <f t="shared" si="15"/>
        <v>0.64266999999999996</v>
      </c>
      <c r="Z5" s="2" t="str">
        <f t="shared" si="16"/>
        <v/>
      </c>
      <c r="AA5" s="2" t="str">
        <f t="shared" si="1"/>
        <v/>
      </c>
      <c r="AB5" s="2" t="str">
        <f t="shared" si="17"/>
        <v/>
      </c>
    </row>
    <row r="6" spans="1:28" x14ac:dyDescent="0.25">
      <c r="A6" s="4">
        <f t="shared" si="2"/>
        <v>1</v>
      </c>
      <c r="B6" s="3" t="str">
        <f t="shared" si="3"/>
        <v>Chargers @ Patriots</v>
      </c>
      <c r="C6" s="3" t="str">
        <f t="shared" si="4"/>
        <v>Over 47.5</v>
      </c>
      <c r="D6" s="29">
        <f t="shared" si="5"/>
        <v>0.92264000000000002</v>
      </c>
      <c r="E6" s="1">
        <v>-115</v>
      </c>
      <c r="H6" s="11" t="s">
        <v>300</v>
      </c>
      <c r="I6" s="12" t="s">
        <v>39</v>
      </c>
      <c r="J6" s="13" t="s">
        <v>43</v>
      </c>
      <c r="K6" s="13" t="s">
        <v>44</v>
      </c>
      <c r="L6" s="14" t="s">
        <v>300</v>
      </c>
      <c r="M6" s="12" t="s">
        <v>39</v>
      </c>
      <c r="O6" s="2" t="str">
        <f t="shared" si="6"/>
        <v>Cowboys @ Rams</v>
      </c>
      <c r="P6" s="2" t="str">
        <f t="shared" si="7"/>
        <v>Over 50</v>
      </c>
      <c r="Q6" s="2">
        <f t="shared" si="0"/>
        <v>0.70491000000000004</v>
      </c>
      <c r="R6" s="2" t="str">
        <f t="shared" si="8"/>
        <v>Cowboys @ Rams</v>
      </c>
      <c r="S6" s="2" t="str">
        <f t="shared" si="9"/>
        <v>Rams -7</v>
      </c>
      <c r="T6" s="2">
        <f t="shared" si="10"/>
        <v>0.85233000000000003</v>
      </c>
      <c r="U6" s="2" t="str">
        <f t="shared" si="11"/>
        <v/>
      </c>
      <c r="V6" s="2" t="str">
        <f t="shared" si="12"/>
        <v/>
      </c>
      <c r="W6" s="2" t="str">
        <f t="shared" si="13"/>
        <v/>
      </c>
      <c r="X6" s="2">
        <f t="shared" si="14"/>
        <v>1</v>
      </c>
      <c r="Y6" s="2" t="str">
        <f t="shared" si="15"/>
        <v/>
      </c>
      <c r="Z6" s="2" t="str">
        <f t="shared" si="16"/>
        <v/>
      </c>
      <c r="AA6" s="2" t="str">
        <f t="shared" si="1"/>
        <v/>
      </c>
      <c r="AB6" s="2" t="str">
        <f t="shared" si="17"/>
        <v/>
      </c>
    </row>
    <row r="7" spans="1:28" x14ac:dyDescent="0.25">
      <c r="A7" s="4">
        <f t="shared" si="2"/>
        <v>1</v>
      </c>
      <c r="B7" s="3" t="str">
        <f t="shared" si="3"/>
        <v>Eagles @ Saints</v>
      </c>
      <c r="C7" s="3" t="str">
        <f t="shared" si="4"/>
        <v>Over 51</v>
      </c>
      <c r="D7" s="29">
        <f t="shared" si="5"/>
        <v>0.74058999999999997</v>
      </c>
      <c r="E7" s="1">
        <v>-110</v>
      </c>
      <c r="H7" s="15" t="s">
        <v>45</v>
      </c>
      <c r="I7" s="16" t="s">
        <v>46</v>
      </c>
      <c r="J7" s="17">
        <v>50</v>
      </c>
      <c r="K7" s="17">
        <v>50</v>
      </c>
      <c r="L7" s="18">
        <v>-7</v>
      </c>
      <c r="M7" s="19" t="s">
        <v>349</v>
      </c>
      <c r="O7" s="2" t="str">
        <f t="shared" si="6"/>
        <v/>
      </c>
      <c r="P7" s="2" t="str">
        <f t="shared" si="7"/>
        <v/>
      </c>
      <c r="Q7" s="2" t="str">
        <f t="shared" si="0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tr">
        <f t="shared" si="11"/>
        <v/>
      </c>
      <c r="V7" s="2" t="str">
        <f t="shared" si="12"/>
        <v/>
      </c>
      <c r="W7" s="2" t="str">
        <f t="shared" si="13"/>
        <v/>
      </c>
      <c r="X7" s="2">
        <f t="shared" si="14"/>
        <v>1</v>
      </c>
      <c r="Y7" s="2" t="str">
        <f t="shared" si="15"/>
        <v/>
      </c>
      <c r="Z7" s="2" t="str">
        <f t="shared" si="16"/>
        <v/>
      </c>
      <c r="AA7" s="2" t="str">
        <f t="shared" si="1"/>
        <v/>
      </c>
      <c r="AB7" s="2" t="str">
        <f t="shared" si="17"/>
        <v/>
      </c>
    </row>
    <row r="8" spans="1:28" ht="15.75" thickBot="1" x14ac:dyDescent="0.3">
      <c r="A8" s="4">
        <f t="shared" si="2"/>
        <v>1</v>
      </c>
      <c r="B8" s="3" t="str">
        <f t="shared" si="3"/>
        <v>Eagles @ Saints</v>
      </c>
      <c r="C8" s="3" t="str">
        <f t="shared" si="4"/>
        <v>Saints -8</v>
      </c>
      <c r="D8" s="29">
        <f t="shared" si="5"/>
        <v>0.65608</v>
      </c>
      <c r="E8" s="1">
        <v>-105</v>
      </c>
      <c r="H8" s="20">
        <v>0.95089999999999997</v>
      </c>
      <c r="I8" s="21">
        <v>4.9099999999999998E-2</v>
      </c>
      <c r="J8" s="22">
        <v>0.29509000000000002</v>
      </c>
      <c r="K8" s="22">
        <v>0.70491000000000004</v>
      </c>
      <c r="L8" s="23">
        <v>0.85233000000000003</v>
      </c>
      <c r="M8" s="24">
        <v>0.14767</v>
      </c>
      <c r="O8" s="2" t="str">
        <f t="shared" si="6"/>
        <v/>
      </c>
      <c r="P8" s="2" t="str">
        <f t="shared" si="7"/>
        <v/>
      </c>
      <c r="Q8" s="2" t="str">
        <f t="shared" si="0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tr">
        <f t="shared" si="11"/>
        <v/>
      </c>
      <c r="V8" s="2" t="str">
        <f t="shared" si="12"/>
        <v/>
      </c>
      <c r="W8" s="2" t="str">
        <f t="shared" si="13"/>
        <v/>
      </c>
      <c r="X8" s="2">
        <f t="shared" si="14"/>
        <v>1</v>
      </c>
      <c r="Y8" s="2" t="str">
        <f t="shared" si="15"/>
        <v/>
      </c>
      <c r="Z8" s="2" t="str">
        <f t="shared" si="16"/>
        <v/>
      </c>
      <c r="AA8" s="2" t="str">
        <f t="shared" si="1"/>
        <v/>
      </c>
      <c r="AB8" s="2" t="str">
        <f t="shared" si="17"/>
        <v/>
      </c>
    </row>
    <row r="9" spans="1:28" x14ac:dyDescent="0.25">
      <c r="A9" s="4">
        <f t="shared" si="2"/>
        <v>0</v>
      </c>
      <c r="B9" s="3" t="str">
        <f t="shared" si="3"/>
        <v/>
      </c>
      <c r="C9" s="3" t="str">
        <f t="shared" si="4"/>
        <v/>
      </c>
      <c r="D9" s="29" t="str">
        <f t="shared" si="5"/>
        <v/>
      </c>
      <c r="H9" s="11" t="s">
        <v>301</v>
      </c>
      <c r="I9" s="12" t="s">
        <v>7</v>
      </c>
      <c r="J9" s="13" t="s">
        <v>43</v>
      </c>
      <c r="K9" s="13" t="s">
        <v>44</v>
      </c>
      <c r="L9" s="14" t="s">
        <v>301</v>
      </c>
      <c r="M9" s="12" t="s">
        <v>7</v>
      </c>
      <c r="O9" s="2" t="str">
        <f t="shared" si="6"/>
        <v>Chargers @ Patriots</v>
      </c>
      <c r="P9" s="2" t="str">
        <f t="shared" si="7"/>
        <v>Over 47.5</v>
      </c>
      <c r="Q9" s="2">
        <f t="shared" si="0"/>
        <v>0.92264000000000002</v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tr">
        <f t="shared" si="11"/>
        <v/>
      </c>
      <c r="V9" s="2" t="str">
        <f t="shared" si="12"/>
        <v/>
      </c>
      <c r="W9" s="2" t="str">
        <f t="shared" si="13"/>
        <v/>
      </c>
      <c r="X9" s="2">
        <f t="shared" si="14"/>
        <v>1</v>
      </c>
      <c r="Y9" s="2" t="str">
        <f t="shared" si="15"/>
        <v/>
      </c>
      <c r="Z9" s="2" t="str">
        <f t="shared" si="16"/>
        <v/>
      </c>
      <c r="AA9" s="2" t="str">
        <f t="shared" si="1"/>
        <v/>
      </c>
      <c r="AB9" s="2" t="str">
        <f t="shared" si="17"/>
        <v/>
      </c>
    </row>
    <row r="10" spans="1:28" x14ac:dyDescent="0.25">
      <c r="A10" s="4">
        <f t="shared" si="2"/>
        <v>0</v>
      </c>
      <c r="B10" s="3" t="str">
        <f t="shared" si="3"/>
        <v/>
      </c>
      <c r="C10" s="3" t="str">
        <f t="shared" si="4"/>
        <v/>
      </c>
      <c r="D10" s="29" t="str">
        <f t="shared" si="5"/>
        <v/>
      </c>
      <c r="H10" s="15" t="s">
        <v>45</v>
      </c>
      <c r="I10" s="16" t="s">
        <v>46</v>
      </c>
      <c r="J10" s="17">
        <v>47.5</v>
      </c>
      <c r="K10" s="17">
        <v>47.5</v>
      </c>
      <c r="L10" s="18">
        <v>-4</v>
      </c>
      <c r="M10" s="19" t="s">
        <v>350</v>
      </c>
      <c r="O10" s="2" t="str">
        <f t="shared" si="6"/>
        <v/>
      </c>
      <c r="P10" s="2" t="str">
        <f t="shared" si="7"/>
        <v/>
      </c>
      <c r="Q10" s="2" t="str">
        <f t="shared" si="0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tr">
        <f t="shared" si="11"/>
        <v/>
      </c>
      <c r="V10" s="2" t="str">
        <f t="shared" si="12"/>
        <v/>
      </c>
      <c r="W10" s="2" t="str">
        <f t="shared" si="13"/>
        <v/>
      </c>
      <c r="X10" s="2">
        <f t="shared" si="14"/>
        <v>1</v>
      </c>
      <c r="Y10" s="2" t="str">
        <f t="shared" si="15"/>
        <v/>
      </c>
      <c r="Z10" s="2" t="str">
        <f t="shared" si="16"/>
        <v/>
      </c>
      <c r="AA10" s="2" t="str">
        <f t="shared" si="1"/>
        <v/>
      </c>
      <c r="AB10" s="2" t="str">
        <f t="shared" si="17"/>
        <v/>
      </c>
    </row>
    <row r="11" spans="1:28" ht="15.75" thickBot="1" x14ac:dyDescent="0.3">
      <c r="A11" s="4">
        <f t="shared" si="2"/>
        <v>0</v>
      </c>
      <c r="B11" s="3" t="str">
        <f t="shared" si="3"/>
        <v/>
      </c>
      <c r="C11" s="3" t="str">
        <f t="shared" si="4"/>
        <v/>
      </c>
      <c r="D11" s="29" t="str">
        <f t="shared" si="5"/>
        <v/>
      </c>
      <c r="H11" s="20">
        <v>0.70684999999999998</v>
      </c>
      <c r="I11" s="21">
        <v>0.29315000000000002</v>
      </c>
      <c r="J11" s="22">
        <v>7.7359999999999998E-2</v>
      </c>
      <c r="K11" s="22">
        <v>0.92264000000000002</v>
      </c>
      <c r="L11" s="23">
        <v>0.53641000000000005</v>
      </c>
      <c r="M11" s="24">
        <v>0.46359</v>
      </c>
      <c r="O11" s="2" t="str">
        <f t="shared" si="6"/>
        <v/>
      </c>
      <c r="P11" s="2" t="str">
        <f t="shared" si="7"/>
        <v/>
      </c>
      <c r="Q11" s="2" t="str">
        <f t="shared" si="0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tr">
        <f t="shared" si="11"/>
        <v/>
      </c>
      <c r="V11" s="2" t="str">
        <f t="shared" si="12"/>
        <v/>
      </c>
      <c r="W11" s="2" t="str">
        <f t="shared" si="13"/>
        <v/>
      </c>
      <c r="X11" s="2">
        <f t="shared" si="14"/>
        <v>1</v>
      </c>
      <c r="Y11" s="2" t="str">
        <f t="shared" si="15"/>
        <v/>
      </c>
      <c r="Z11" s="2" t="str">
        <f t="shared" si="16"/>
        <v/>
      </c>
      <c r="AA11" s="2" t="str">
        <f t="shared" si="1"/>
        <v/>
      </c>
      <c r="AB11" s="2" t="str">
        <f t="shared" si="17"/>
        <v/>
      </c>
    </row>
    <row r="12" spans="1:28" x14ac:dyDescent="0.25">
      <c r="A12" s="4">
        <f t="shared" si="2"/>
        <v>0</v>
      </c>
      <c r="B12" s="3" t="str">
        <f t="shared" si="3"/>
        <v/>
      </c>
      <c r="C12" s="3" t="str">
        <f t="shared" si="4"/>
        <v/>
      </c>
      <c r="D12" s="29" t="str">
        <f t="shared" si="5"/>
        <v/>
      </c>
      <c r="H12" s="11" t="s">
        <v>302</v>
      </c>
      <c r="I12" s="12" t="s">
        <v>8</v>
      </c>
      <c r="J12" s="13" t="s">
        <v>43</v>
      </c>
      <c r="K12" s="13" t="s">
        <v>44</v>
      </c>
      <c r="L12" s="14" t="s">
        <v>302</v>
      </c>
      <c r="M12" s="12" t="s">
        <v>8</v>
      </c>
      <c r="O12" s="2" t="str">
        <f t="shared" si="6"/>
        <v>Eagles @ Saints</v>
      </c>
      <c r="P12" s="2" t="str">
        <f t="shared" si="7"/>
        <v>Over 51</v>
      </c>
      <c r="Q12" s="2">
        <f t="shared" si="0"/>
        <v>0.74058999999999997</v>
      </c>
      <c r="R12" s="2" t="str">
        <f t="shared" si="8"/>
        <v>Eagles @ Saints</v>
      </c>
      <c r="S12" s="2" t="str">
        <f t="shared" si="9"/>
        <v>Saints -8</v>
      </c>
      <c r="T12" s="2">
        <f t="shared" si="10"/>
        <v>0.65608</v>
      </c>
      <c r="U12" s="2" t="str">
        <f t="shared" si="11"/>
        <v/>
      </c>
      <c r="V12" s="2" t="str">
        <f t="shared" si="12"/>
        <v/>
      </c>
      <c r="W12" s="2" t="str">
        <f t="shared" si="13"/>
        <v/>
      </c>
      <c r="X12" s="2">
        <f t="shared" si="14"/>
        <v>1</v>
      </c>
      <c r="Y12" s="2" t="str">
        <f t="shared" si="15"/>
        <v/>
      </c>
      <c r="Z12" s="2" t="str">
        <f t="shared" si="16"/>
        <v/>
      </c>
      <c r="AA12" s="2" t="str">
        <f t="shared" si="1"/>
        <v/>
      </c>
      <c r="AB12" s="2" t="str">
        <f t="shared" si="17"/>
        <v/>
      </c>
    </row>
    <row r="13" spans="1:28" x14ac:dyDescent="0.25">
      <c r="A13" s="4">
        <f t="shared" si="2"/>
        <v>0</v>
      </c>
      <c r="B13" s="3" t="str">
        <f t="shared" si="3"/>
        <v/>
      </c>
      <c r="C13" s="3" t="str">
        <f t="shared" si="4"/>
        <v/>
      </c>
      <c r="D13" s="29" t="str">
        <f t="shared" si="5"/>
        <v/>
      </c>
      <c r="H13" s="15" t="s">
        <v>45</v>
      </c>
      <c r="I13" s="16" t="s">
        <v>46</v>
      </c>
      <c r="J13" s="17">
        <v>51</v>
      </c>
      <c r="K13" s="17">
        <v>51</v>
      </c>
      <c r="L13" s="18">
        <v>-8</v>
      </c>
      <c r="M13" s="19" t="s">
        <v>331</v>
      </c>
      <c r="O13" s="2" t="str">
        <f t="shared" si="6"/>
        <v/>
      </c>
      <c r="P13" s="2" t="str">
        <f t="shared" si="7"/>
        <v/>
      </c>
      <c r="Q13" s="2" t="str">
        <f t="shared" si="0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tr">
        <f t="shared" si="11"/>
        <v/>
      </c>
      <c r="V13" s="2" t="str">
        <f t="shared" si="12"/>
        <v/>
      </c>
      <c r="W13" s="2" t="str">
        <f t="shared" si="13"/>
        <v/>
      </c>
      <c r="X13" s="2">
        <f t="shared" si="14"/>
        <v>1</v>
      </c>
      <c r="Y13" s="2" t="str">
        <f t="shared" si="15"/>
        <v/>
      </c>
      <c r="Z13" s="2" t="str">
        <f t="shared" si="16"/>
        <v/>
      </c>
      <c r="AA13" s="2" t="str">
        <f t="shared" si="1"/>
        <v/>
      </c>
      <c r="AB13" s="2" t="str">
        <f t="shared" si="17"/>
        <v/>
      </c>
    </row>
    <row r="14" spans="1:28" ht="15.75" thickBot="1" x14ac:dyDescent="0.3">
      <c r="A14" s="4">
        <f t="shared" si="2"/>
        <v>0</v>
      </c>
      <c r="B14" s="3" t="str">
        <f t="shared" si="3"/>
        <v/>
      </c>
      <c r="C14" s="3" t="str">
        <f t="shared" si="4"/>
        <v/>
      </c>
      <c r="D14" s="29" t="str">
        <f t="shared" si="5"/>
        <v/>
      </c>
      <c r="H14" s="20">
        <v>0.86028000000000004</v>
      </c>
      <c r="I14" s="21">
        <v>0.13972000000000001</v>
      </c>
      <c r="J14" s="22">
        <v>0.25940999999999997</v>
      </c>
      <c r="K14" s="22">
        <v>0.74058999999999997</v>
      </c>
      <c r="L14" s="23">
        <v>0.65608</v>
      </c>
      <c r="M14" s="24">
        <v>0.34392</v>
      </c>
      <c r="O14" s="2" t="str">
        <f t="shared" si="6"/>
        <v/>
      </c>
      <c r="P14" s="2" t="str">
        <f t="shared" si="7"/>
        <v/>
      </c>
      <c r="Q14" s="2" t="str">
        <f t="shared" si="0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tr">
        <f t="shared" si="11"/>
        <v/>
      </c>
      <c r="V14" s="2" t="str">
        <f t="shared" si="12"/>
        <v/>
      </c>
      <c r="W14" s="2" t="str">
        <f t="shared" si="13"/>
        <v/>
      </c>
      <c r="X14" s="2">
        <f t="shared" si="14"/>
        <v>1</v>
      </c>
      <c r="Y14" s="2" t="str">
        <f t="shared" si="15"/>
        <v/>
      </c>
      <c r="Z14" s="2" t="str">
        <f t="shared" si="16"/>
        <v/>
      </c>
      <c r="AA14" s="2" t="str">
        <f t="shared" si="1"/>
        <v/>
      </c>
      <c r="AB14" s="2" t="str">
        <f t="shared" si="17"/>
        <v/>
      </c>
    </row>
    <row r="15" spans="1:28" x14ac:dyDescent="0.25">
      <c r="A15" s="4">
        <f t="shared" si="2"/>
        <v>0</v>
      </c>
      <c r="B15" s="3" t="str">
        <f t="shared" si="3"/>
        <v/>
      </c>
      <c r="C15" s="3" t="str">
        <f t="shared" si="4"/>
        <v/>
      </c>
      <c r="D15" s="29" t="str">
        <f t="shared" si="5"/>
        <v/>
      </c>
      <c r="O15" s="2" t="str">
        <f t="shared" si="6"/>
        <v/>
      </c>
      <c r="P15" s="2" t="str">
        <f t="shared" si="7"/>
        <v/>
      </c>
      <c r="Q15" s="2" t="str">
        <f t="shared" si="0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tr">
        <f t="shared" si="11"/>
        <v/>
      </c>
      <c r="V15" s="2" t="str">
        <f t="shared" si="12"/>
        <v/>
      </c>
      <c r="W15" s="2" t="str">
        <f t="shared" si="13"/>
        <v/>
      </c>
      <c r="X15" s="2">
        <f t="shared" si="14"/>
        <v>1</v>
      </c>
      <c r="Y15" s="2" t="str">
        <f t="shared" si="15"/>
        <v/>
      </c>
      <c r="Z15" s="2" t="str">
        <f t="shared" si="16"/>
        <v/>
      </c>
      <c r="AA15" s="2" t="str">
        <f t="shared" si="1"/>
        <v/>
      </c>
      <c r="AB15" s="2" t="str">
        <f t="shared" si="17"/>
        <v/>
      </c>
    </row>
    <row r="16" spans="1:28" x14ac:dyDescent="0.25">
      <c r="A16" s="4">
        <f t="shared" si="2"/>
        <v>0</v>
      </c>
      <c r="B16" s="3" t="str">
        <f t="shared" si="3"/>
        <v/>
      </c>
      <c r="C16" s="3" t="str">
        <f t="shared" si="4"/>
        <v/>
      </c>
      <c r="D16" s="29" t="str">
        <f t="shared" si="5"/>
        <v/>
      </c>
      <c r="O16" s="2" t="str">
        <f t="shared" si="6"/>
        <v/>
      </c>
      <c r="P16" s="2" t="str">
        <f t="shared" si="7"/>
        <v/>
      </c>
      <c r="Q16" s="2" t="str">
        <f t="shared" si="0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tr">
        <f t="shared" si="11"/>
        <v/>
      </c>
      <c r="V16" s="2" t="str">
        <f t="shared" si="12"/>
        <v/>
      </c>
      <c r="W16" s="2" t="str">
        <f t="shared" si="13"/>
        <v/>
      </c>
      <c r="X16" s="2">
        <f t="shared" si="14"/>
        <v>1</v>
      </c>
      <c r="Y16" s="2" t="str">
        <f t="shared" si="15"/>
        <v/>
      </c>
      <c r="Z16" s="2" t="str">
        <f t="shared" si="16"/>
        <v/>
      </c>
      <c r="AA16" s="2" t="str">
        <f t="shared" si="1"/>
        <v/>
      </c>
      <c r="AB16" s="2" t="str">
        <f t="shared" si="17"/>
        <v/>
      </c>
    </row>
    <row r="17" spans="1:28" x14ac:dyDescent="0.25">
      <c r="A17" s="4">
        <f t="shared" si="2"/>
        <v>0</v>
      </c>
      <c r="B17" s="3" t="str">
        <f t="shared" si="3"/>
        <v/>
      </c>
      <c r="C17" s="3" t="str">
        <f t="shared" si="4"/>
        <v/>
      </c>
      <c r="D17" s="29" t="str">
        <f t="shared" si="5"/>
        <v/>
      </c>
      <c r="O17" s="2" t="str">
        <f t="shared" si="6"/>
        <v/>
      </c>
      <c r="P17" s="2" t="str">
        <f t="shared" si="7"/>
        <v/>
      </c>
      <c r="Q17" s="2" t="str">
        <f t="shared" si="0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tr">
        <f t="shared" si="11"/>
        <v/>
      </c>
      <c r="V17" s="2" t="str">
        <f t="shared" si="12"/>
        <v/>
      </c>
      <c r="W17" s="2" t="str">
        <f t="shared" si="13"/>
        <v/>
      </c>
      <c r="X17" s="2">
        <f t="shared" si="14"/>
        <v>1</v>
      </c>
      <c r="Y17" s="2" t="str">
        <f t="shared" si="15"/>
        <v/>
      </c>
      <c r="Z17" s="2" t="str">
        <f t="shared" si="16"/>
        <v/>
      </c>
      <c r="AA17" s="2" t="str">
        <f t="shared" si="1"/>
        <v/>
      </c>
      <c r="AB17" s="2" t="str">
        <f t="shared" si="17"/>
        <v/>
      </c>
    </row>
    <row r="18" spans="1:28" x14ac:dyDescent="0.25">
      <c r="A18" s="4">
        <f t="shared" si="2"/>
        <v>0</v>
      </c>
      <c r="B18" s="3" t="str">
        <f t="shared" si="3"/>
        <v/>
      </c>
      <c r="C18" s="3" t="str">
        <f t="shared" si="4"/>
        <v/>
      </c>
      <c r="D18" s="29" t="str">
        <f t="shared" si="5"/>
        <v/>
      </c>
      <c r="O18" s="2" t="str">
        <f t="shared" si="6"/>
        <v/>
      </c>
      <c r="P18" s="2" t="str">
        <f t="shared" si="7"/>
        <v/>
      </c>
      <c r="Q18" s="2" t="str">
        <f t="shared" si="0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tr">
        <f t="shared" si="11"/>
        <v/>
      </c>
      <c r="V18" s="2" t="str">
        <f t="shared" si="12"/>
        <v/>
      </c>
      <c r="W18" s="2" t="str">
        <f t="shared" si="13"/>
        <v/>
      </c>
      <c r="X18" s="2">
        <f t="shared" si="14"/>
        <v>1</v>
      </c>
      <c r="Y18" s="2" t="str">
        <f t="shared" si="15"/>
        <v/>
      </c>
      <c r="Z18" s="2" t="str">
        <f t="shared" si="16"/>
        <v/>
      </c>
      <c r="AA18" s="2" t="str">
        <f t="shared" si="1"/>
        <v/>
      </c>
      <c r="AB18" s="2" t="str">
        <f t="shared" si="17"/>
        <v/>
      </c>
    </row>
    <row r="19" spans="1:28" x14ac:dyDescent="0.25">
      <c r="A19" s="4">
        <f t="shared" si="2"/>
        <v>0</v>
      </c>
      <c r="B19" s="3" t="str">
        <f t="shared" si="3"/>
        <v/>
      </c>
      <c r="C19" s="3" t="str">
        <f t="shared" si="4"/>
        <v/>
      </c>
      <c r="D19" s="29" t="str">
        <f t="shared" si="5"/>
        <v/>
      </c>
      <c r="O19" s="2" t="str">
        <f t="shared" si="6"/>
        <v/>
      </c>
      <c r="P19" s="2" t="str">
        <f t="shared" si="7"/>
        <v/>
      </c>
      <c r="Q19" s="2" t="str">
        <f t="shared" si="0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tr">
        <f t="shared" si="11"/>
        <v/>
      </c>
      <c r="V19" s="2" t="str">
        <f t="shared" si="12"/>
        <v/>
      </c>
      <c r="W19" s="2" t="str">
        <f t="shared" si="13"/>
        <v/>
      </c>
      <c r="X19" s="2">
        <f t="shared" si="14"/>
        <v>1</v>
      </c>
      <c r="Y19" s="2" t="str">
        <f t="shared" si="15"/>
        <v/>
      </c>
      <c r="Z19" s="2" t="str">
        <f t="shared" si="16"/>
        <v/>
      </c>
      <c r="AA19" s="2" t="str">
        <f t="shared" si="1"/>
        <v/>
      </c>
      <c r="AB19" s="2" t="str">
        <f t="shared" si="17"/>
        <v/>
      </c>
    </row>
    <row r="20" spans="1:28" x14ac:dyDescent="0.25">
      <c r="A20" s="4">
        <f t="shared" si="2"/>
        <v>0</v>
      </c>
      <c r="B20" s="3" t="str">
        <f t="shared" si="3"/>
        <v/>
      </c>
      <c r="C20" s="3" t="str">
        <f t="shared" si="4"/>
        <v/>
      </c>
      <c r="D20" s="29" t="str">
        <f t="shared" si="5"/>
        <v/>
      </c>
      <c r="O20" s="2" t="str">
        <f t="shared" si="6"/>
        <v/>
      </c>
      <c r="P20" s="2" t="str">
        <f t="shared" si="7"/>
        <v/>
      </c>
      <c r="Q20" s="2" t="str">
        <f t="shared" si="0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tr">
        <f t="shared" si="11"/>
        <v/>
      </c>
      <c r="V20" s="2" t="str">
        <f t="shared" si="12"/>
        <v/>
      </c>
      <c r="W20" s="2" t="str">
        <f t="shared" si="13"/>
        <v/>
      </c>
      <c r="X20" s="2">
        <f t="shared" si="14"/>
        <v>1</v>
      </c>
      <c r="Y20" s="2" t="str">
        <f t="shared" si="15"/>
        <v/>
      </c>
      <c r="Z20" s="2" t="str">
        <f t="shared" si="16"/>
        <v/>
      </c>
      <c r="AA20" s="2" t="str">
        <f t="shared" si="1"/>
        <v/>
      </c>
      <c r="AB20" s="2" t="str">
        <f t="shared" si="17"/>
        <v/>
      </c>
    </row>
    <row r="21" spans="1:28" x14ac:dyDescent="0.25">
      <c r="A21" s="4">
        <f t="shared" si="2"/>
        <v>0</v>
      </c>
      <c r="B21" s="3" t="str">
        <f t="shared" si="3"/>
        <v/>
      </c>
      <c r="C21" s="3" t="str">
        <f t="shared" si="4"/>
        <v/>
      </c>
      <c r="D21" s="29" t="str">
        <f t="shared" si="5"/>
        <v/>
      </c>
      <c r="O21" s="2" t="str">
        <f t="shared" si="6"/>
        <v/>
      </c>
      <c r="P21" s="2" t="str">
        <f t="shared" si="7"/>
        <v/>
      </c>
      <c r="Q21" s="2" t="str">
        <f t="shared" si="0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tr">
        <f t="shared" si="11"/>
        <v/>
      </c>
      <c r="V21" s="2" t="str">
        <f t="shared" si="12"/>
        <v/>
      </c>
      <c r="W21" s="2" t="str">
        <f t="shared" si="13"/>
        <v/>
      </c>
      <c r="X21" s="2">
        <f t="shared" si="14"/>
        <v>1</v>
      </c>
      <c r="Y21" s="2" t="str">
        <f t="shared" si="15"/>
        <v/>
      </c>
      <c r="Z21" s="2" t="str">
        <f t="shared" si="16"/>
        <v/>
      </c>
      <c r="AA21" s="2" t="str">
        <f t="shared" si="1"/>
        <v/>
      </c>
      <c r="AB21" s="2" t="str">
        <f t="shared" si="17"/>
        <v/>
      </c>
    </row>
    <row r="22" spans="1:28" x14ac:dyDescent="0.25">
      <c r="A22" s="4">
        <f t="shared" si="2"/>
        <v>0</v>
      </c>
      <c r="B22" s="3" t="str">
        <f t="shared" si="3"/>
        <v/>
      </c>
      <c r="C22" s="3" t="str">
        <f t="shared" si="4"/>
        <v/>
      </c>
      <c r="D22" s="29" t="str">
        <f t="shared" si="5"/>
        <v/>
      </c>
      <c r="O22" s="2" t="str">
        <f t="shared" si="6"/>
        <v/>
      </c>
      <c r="P22" s="2" t="str">
        <f t="shared" si="7"/>
        <v/>
      </c>
      <c r="Q22" s="2" t="str">
        <f t="shared" si="0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tr">
        <f t="shared" si="11"/>
        <v/>
      </c>
      <c r="V22" s="2" t="str">
        <f t="shared" si="12"/>
        <v/>
      </c>
      <c r="W22" s="2" t="str">
        <f t="shared" si="13"/>
        <v/>
      </c>
      <c r="X22" s="2">
        <f t="shared" si="14"/>
        <v>1</v>
      </c>
      <c r="Y22" s="2" t="str">
        <f t="shared" si="15"/>
        <v/>
      </c>
      <c r="Z22" s="2" t="str">
        <f t="shared" si="16"/>
        <v/>
      </c>
      <c r="AA22" s="2" t="str">
        <f t="shared" si="1"/>
        <v/>
      </c>
      <c r="AB22" s="2" t="str">
        <f t="shared" si="17"/>
        <v/>
      </c>
    </row>
    <row r="23" spans="1:28" x14ac:dyDescent="0.25">
      <c r="A23" s="4">
        <f t="shared" si="2"/>
        <v>0</v>
      </c>
      <c r="B23" s="3" t="str">
        <f t="shared" si="3"/>
        <v/>
      </c>
      <c r="C23" s="3" t="str">
        <f t="shared" si="4"/>
        <v/>
      </c>
      <c r="D23" s="29" t="str">
        <f t="shared" si="5"/>
        <v/>
      </c>
      <c r="O23" s="2" t="str">
        <f t="shared" si="6"/>
        <v/>
      </c>
      <c r="P23" s="2" t="str">
        <f t="shared" si="7"/>
        <v/>
      </c>
      <c r="Q23" s="2" t="str">
        <f t="shared" si="0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tr">
        <f t="shared" si="11"/>
        <v/>
      </c>
      <c r="V23" s="2" t="str">
        <f t="shared" si="12"/>
        <v/>
      </c>
      <c r="W23" s="2" t="str">
        <f t="shared" si="13"/>
        <v/>
      </c>
      <c r="X23" s="2">
        <f t="shared" si="14"/>
        <v>1</v>
      </c>
      <c r="Y23" s="2" t="str">
        <f t="shared" si="15"/>
        <v/>
      </c>
      <c r="Z23" s="2" t="str">
        <f t="shared" si="16"/>
        <v/>
      </c>
      <c r="AA23" s="2" t="str">
        <f t="shared" si="1"/>
        <v/>
      </c>
      <c r="AB23" s="2" t="str">
        <f t="shared" si="17"/>
        <v/>
      </c>
    </row>
    <row r="24" spans="1:28" x14ac:dyDescent="0.25">
      <c r="A24" s="4">
        <f t="shared" si="2"/>
        <v>0</v>
      </c>
      <c r="B24" s="3" t="str">
        <f t="shared" si="3"/>
        <v/>
      </c>
      <c r="C24" s="3" t="str">
        <f t="shared" si="4"/>
        <v/>
      </c>
      <c r="D24" s="29" t="str">
        <f t="shared" si="5"/>
        <v/>
      </c>
      <c r="E24" s="10"/>
      <c r="O24" s="2" t="str">
        <f t="shared" si="6"/>
        <v/>
      </c>
      <c r="P24" s="2" t="str">
        <f t="shared" si="7"/>
        <v/>
      </c>
      <c r="Q24" s="2" t="str">
        <f t="shared" si="0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tr">
        <f t="shared" si="11"/>
        <v/>
      </c>
      <c r="V24" s="2" t="str">
        <f t="shared" si="12"/>
        <v/>
      </c>
      <c r="W24" s="2" t="str">
        <f t="shared" si="13"/>
        <v/>
      </c>
      <c r="X24" s="2">
        <f t="shared" si="14"/>
        <v>1</v>
      </c>
      <c r="Y24" s="2" t="str">
        <f t="shared" si="15"/>
        <v/>
      </c>
      <c r="Z24" s="2" t="str">
        <f t="shared" si="16"/>
        <v/>
      </c>
      <c r="AA24" s="2" t="str">
        <f t="shared" si="1"/>
        <v/>
      </c>
      <c r="AB24" s="2" t="str">
        <f t="shared" si="17"/>
        <v/>
      </c>
    </row>
    <row r="25" spans="1:28" x14ac:dyDescent="0.25">
      <c r="A25" s="4">
        <f t="shared" si="2"/>
        <v>0</v>
      </c>
      <c r="B25" s="3" t="str">
        <f t="shared" si="3"/>
        <v/>
      </c>
      <c r="C25" s="3" t="str">
        <f t="shared" si="4"/>
        <v/>
      </c>
      <c r="D25" s="29" t="str">
        <f t="shared" si="5"/>
        <v/>
      </c>
      <c r="O25" s="2" t="str">
        <f t="shared" si="6"/>
        <v/>
      </c>
      <c r="P25" s="2" t="str">
        <f t="shared" si="7"/>
        <v/>
      </c>
      <c r="Q25" s="2" t="str">
        <f t="shared" si="0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tr">
        <f t="shared" si="11"/>
        <v/>
      </c>
      <c r="V25" s="2" t="str">
        <f t="shared" si="12"/>
        <v/>
      </c>
      <c r="W25" s="2" t="str">
        <f t="shared" si="13"/>
        <v/>
      </c>
      <c r="X25" s="2">
        <f t="shared" si="14"/>
        <v>1</v>
      </c>
      <c r="Y25" s="2" t="str">
        <f t="shared" si="15"/>
        <v/>
      </c>
      <c r="Z25" s="2" t="str">
        <f t="shared" si="16"/>
        <v/>
      </c>
      <c r="AA25" s="2" t="str">
        <f t="shared" si="1"/>
        <v/>
      </c>
      <c r="AB25" s="2" t="str">
        <f t="shared" si="17"/>
        <v/>
      </c>
    </row>
    <row r="26" spans="1:28" x14ac:dyDescent="0.25">
      <c r="A26" s="4">
        <f t="shared" si="2"/>
        <v>0</v>
      </c>
      <c r="B26" s="3" t="str">
        <f t="shared" si="3"/>
        <v/>
      </c>
      <c r="C26" s="3" t="str">
        <f t="shared" si="4"/>
        <v/>
      </c>
      <c r="D26" s="28" t="str">
        <f t="shared" si="5"/>
        <v/>
      </c>
      <c r="O26" s="2" t="str">
        <f t="shared" si="6"/>
        <v/>
      </c>
      <c r="P26" s="2" t="str">
        <f t="shared" si="7"/>
        <v/>
      </c>
      <c r="Q26" s="2" t="str">
        <f t="shared" si="0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tr">
        <f t="shared" si="11"/>
        <v/>
      </c>
      <c r="V26" s="2" t="str">
        <f t="shared" si="12"/>
        <v/>
      </c>
      <c r="W26" s="2" t="str">
        <f t="shared" si="13"/>
        <v/>
      </c>
      <c r="X26" s="2">
        <f t="shared" si="14"/>
        <v>1</v>
      </c>
      <c r="Y26" s="2" t="str">
        <f t="shared" si="15"/>
        <v/>
      </c>
      <c r="Z26" s="2" t="str">
        <f t="shared" si="16"/>
        <v/>
      </c>
      <c r="AA26" s="2" t="str">
        <f t="shared" si="1"/>
        <v/>
      </c>
      <c r="AB26" s="2" t="str">
        <f t="shared" si="17"/>
        <v/>
      </c>
    </row>
    <row r="27" spans="1:28" x14ac:dyDescent="0.25">
      <c r="A27" s="4">
        <f t="shared" si="2"/>
        <v>0</v>
      </c>
      <c r="B27" s="3" t="str">
        <f t="shared" si="3"/>
        <v/>
      </c>
      <c r="C27" s="3" t="str">
        <f t="shared" si="4"/>
        <v/>
      </c>
      <c r="D27" s="28" t="str">
        <f t="shared" si="5"/>
        <v/>
      </c>
      <c r="O27" s="2" t="str">
        <f t="shared" si="6"/>
        <v/>
      </c>
      <c r="P27" s="2" t="str">
        <f t="shared" si="7"/>
        <v/>
      </c>
      <c r="Q27" s="2" t="str">
        <f t="shared" si="0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tr">
        <f t="shared" si="11"/>
        <v/>
      </c>
      <c r="V27" s="2" t="str">
        <f t="shared" si="12"/>
        <v/>
      </c>
      <c r="W27" s="2" t="str">
        <f t="shared" si="13"/>
        <v/>
      </c>
      <c r="X27" s="2">
        <f t="shared" si="14"/>
        <v>1</v>
      </c>
      <c r="Y27" s="2" t="str">
        <f t="shared" si="15"/>
        <v/>
      </c>
      <c r="Z27" s="2" t="str">
        <f t="shared" si="16"/>
        <v/>
      </c>
      <c r="AA27" s="2" t="str">
        <f t="shared" si="1"/>
        <v/>
      </c>
      <c r="AB27" s="2" t="str">
        <f t="shared" si="17"/>
        <v/>
      </c>
    </row>
    <row r="28" spans="1:28" x14ac:dyDescent="0.25">
      <c r="A28" s="4">
        <f t="shared" si="2"/>
        <v>0</v>
      </c>
      <c r="B28" s="3" t="str">
        <f t="shared" si="3"/>
        <v/>
      </c>
      <c r="C28" s="3" t="str">
        <f t="shared" si="4"/>
        <v/>
      </c>
      <c r="D28" s="28" t="str">
        <f t="shared" si="5"/>
        <v/>
      </c>
      <c r="O28" s="2" t="str">
        <f t="shared" si="6"/>
        <v/>
      </c>
      <c r="P28" s="2" t="str">
        <f t="shared" si="7"/>
        <v/>
      </c>
      <c r="Q28" s="2" t="str">
        <f t="shared" si="0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tr">
        <f t="shared" si="11"/>
        <v/>
      </c>
      <c r="V28" s="2" t="str">
        <f t="shared" si="12"/>
        <v/>
      </c>
      <c r="W28" s="2" t="str">
        <f t="shared" si="13"/>
        <v/>
      </c>
      <c r="X28" s="2">
        <f t="shared" si="14"/>
        <v>1</v>
      </c>
      <c r="Y28" s="2" t="str">
        <f t="shared" si="15"/>
        <v/>
      </c>
      <c r="Z28" s="2" t="str">
        <f t="shared" si="16"/>
        <v/>
      </c>
      <c r="AA28" s="2" t="str">
        <f t="shared" si="1"/>
        <v/>
      </c>
      <c r="AB28" s="2" t="str">
        <f t="shared" si="17"/>
        <v/>
      </c>
    </row>
    <row r="29" spans="1:28" x14ac:dyDescent="0.25">
      <c r="A29" s="4">
        <f t="shared" si="2"/>
        <v>0</v>
      </c>
      <c r="B29" s="3" t="str">
        <f t="shared" si="3"/>
        <v/>
      </c>
      <c r="C29" s="3" t="str">
        <f t="shared" si="4"/>
        <v/>
      </c>
      <c r="D29" s="28" t="str">
        <f t="shared" si="5"/>
        <v/>
      </c>
      <c r="O29" s="2" t="str">
        <f t="shared" si="6"/>
        <v/>
      </c>
      <c r="P29" s="2" t="str">
        <f t="shared" si="7"/>
        <v/>
      </c>
      <c r="Q29" s="2" t="str">
        <f t="shared" si="0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tr">
        <f t="shared" si="11"/>
        <v/>
      </c>
      <c r="V29" s="2" t="str">
        <f t="shared" si="12"/>
        <v/>
      </c>
      <c r="W29" s="2" t="str">
        <f t="shared" si="13"/>
        <v/>
      </c>
      <c r="X29" s="2">
        <f t="shared" si="14"/>
        <v>1</v>
      </c>
      <c r="Y29" s="2" t="str">
        <f t="shared" si="15"/>
        <v/>
      </c>
      <c r="Z29" s="2" t="str">
        <f t="shared" si="16"/>
        <v/>
      </c>
      <c r="AA29" s="2" t="str">
        <f t="shared" si="1"/>
        <v/>
      </c>
      <c r="AB29" s="2" t="str">
        <f t="shared" si="17"/>
        <v/>
      </c>
    </row>
    <row r="30" spans="1:28" x14ac:dyDescent="0.25">
      <c r="A30" s="4">
        <f t="shared" si="2"/>
        <v>0</v>
      </c>
      <c r="B30" s="3" t="str">
        <f t="shared" si="3"/>
        <v/>
      </c>
      <c r="C30" s="3" t="str">
        <f t="shared" si="4"/>
        <v/>
      </c>
      <c r="D30" s="28" t="str">
        <f t="shared" si="5"/>
        <v/>
      </c>
      <c r="O30" s="2" t="str">
        <f t="shared" si="6"/>
        <v/>
      </c>
      <c r="P30" s="2" t="str">
        <f t="shared" si="7"/>
        <v/>
      </c>
      <c r="Q30" s="2" t="str">
        <f t="shared" si="0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tr">
        <f t="shared" si="11"/>
        <v/>
      </c>
      <c r="V30" s="2" t="str">
        <f t="shared" si="12"/>
        <v/>
      </c>
      <c r="W30" s="2" t="str">
        <f t="shared" si="13"/>
        <v/>
      </c>
      <c r="X30" s="2">
        <f t="shared" si="14"/>
        <v>2</v>
      </c>
      <c r="Y30" s="2" t="str">
        <f t="shared" si="15"/>
        <v>Cowboys @ Rams</v>
      </c>
      <c r="Z30" s="2" t="str">
        <f t="shared" si="16"/>
        <v>Cowboys @ Rams</v>
      </c>
      <c r="AA30" s="2" t="str">
        <f t="shared" si="1"/>
        <v>Over 50</v>
      </c>
      <c r="AB30" s="2">
        <f t="shared" si="17"/>
        <v>0.70491000000000004</v>
      </c>
    </row>
    <row r="31" spans="1:28" x14ac:dyDescent="0.25">
      <c r="A31" s="4">
        <f t="shared" si="2"/>
        <v>0</v>
      </c>
      <c r="B31" s="3" t="str">
        <f t="shared" si="3"/>
        <v/>
      </c>
      <c r="C31" s="3" t="str">
        <f t="shared" si="4"/>
        <v/>
      </c>
      <c r="D31" s="28" t="str">
        <f t="shared" si="5"/>
        <v/>
      </c>
      <c r="O31" s="2" t="str">
        <f t="shared" si="6"/>
        <v/>
      </c>
      <c r="P31" s="2" t="str">
        <f t="shared" si="7"/>
        <v/>
      </c>
      <c r="Q31" s="2" t="str">
        <f t="shared" si="0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tr">
        <f t="shared" si="11"/>
        <v/>
      </c>
      <c r="V31" s="2" t="str">
        <f t="shared" si="12"/>
        <v/>
      </c>
      <c r="W31" s="2" t="str">
        <f t="shared" si="13"/>
        <v/>
      </c>
      <c r="X31" s="2">
        <f t="shared" si="14"/>
        <v>2</v>
      </c>
      <c r="Y31" s="2" t="str">
        <f t="shared" si="15"/>
        <v>Over 50</v>
      </c>
      <c r="Z31" s="2" t="str">
        <f t="shared" si="16"/>
        <v/>
      </c>
      <c r="AA31" s="2" t="str">
        <f t="shared" si="1"/>
        <v/>
      </c>
      <c r="AB31" s="2" t="str">
        <f t="shared" si="17"/>
        <v/>
      </c>
    </row>
    <row r="32" spans="1:28" x14ac:dyDescent="0.25">
      <c r="A32" s="4">
        <f t="shared" si="2"/>
        <v>0</v>
      </c>
      <c r="B32" s="3" t="str">
        <f t="shared" si="3"/>
        <v/>
      </c>
      <c r="C32" s="3" t="str">
        <f t="shared" si="4"/>
        <v/>
      </c>
      <c r="D32" s="28" t="str">
        <f t="shared" si="5"/>
        <v/>
      </c>
      <c r="O32" s="2" t="str">
        <f t="shared" si="6"/>
        <v/>
      </c>
      <c r="P32" s="2" t="str">
        <f t="shared" si="7"/>
        <v/>
      </c>
      <c r="Q32" s="2" t="str">
        <f t="shared" si="0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tr">
        <f t="shared" si="11"/>
        <v/>
      </c>
      <c r="V32" s="2" t="str">
        <f t="shared" si="12"/>
        <v/>
      </c>
      <c r="W32" s="2" t="str">
        <f t="shared" si="13"/>
        <v/>
      </c>
      <c r="X32" s="2">
        <f t="shared" si="14"/>
        <v>2</v>
      </c>
      <c r="Y32" s="2">
        <f t="shared" si="15"/>
        <v>0.70491000000000004</v>
      </c>
      <c r="Z32" s="2" t="str">
        <f t="shared" si="16"/>
        <v/>
      </c>
      <c r="AA32" s="2" t="str">
        <f t="shared" si="1"/>
        <v/>
      </c>
      <c r="AB32" s="2" t="str">
        <f t="shared" si="17"/>
        <v/>
      </c>
    </row>
    <row r="33" spans="1:28" x14ac:dyDescent="0.25">
      <c r="A33" s="4">
        <f t="shared" si="2"/>
        <v>0</v>
      </c>
      <c r="B33" s="3" t="str">
        <f t="shared" si="3"/>
        <v/>
      </c>
      <c r="C33" s="3" t="str">
        <f t="shared" si="4"/>
        <v/>
      </c>
      <c r="D33" s="28" t="str">
        <f t="shared" si="5"/>
        <v/>
      </c>
      <c r="O33" s="2" t="str">
        <f t="shared" si="6"/>
        <v/>
      </c>
      <c r="P33" s="2" t="str">
        <f t="shared" si="7"/>
        <v/>
      </c>
      <c r="Q33" s="2" t="str">
        <f t="shared" si="0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tr">
        <f t="shared" si="11"/>
        <v/>
      </c>
      <c r="V33" s="2" t="str">
        <f t="shared" si="12"/>
        <v/>
      </c>
      <c r="W33" s="2" t="str">
        <f t="shared" si="13"/>
        <v/>
      </c>
      <c r="X33" s="2">
        <f t="shared" si="14"/>
        <v>3</v>
      </c>
      <c r="Y33" s="2" t="str">
        <f t="shared" si="15"/>
        <v>Cowboys @ Rams</v>
      </c>
      <c r="Z33" s="2" t="str">
        <f t="shared" si="16"/>
        <v>Cowboys @ Rams</v>
      </c>
      <c r="AA33" s="2" t="str">
        <f t="shared" si="1"/>
        <v>Rams -7</v>
      </c>
      <c r="AB33" s="2">
        <f t="shared" si="17"/>
        <v>0.85233000000000003</v>
      </c>
    </row>
    <row r="34" spans="1:28" x14ac:dyDescent="0.25">
      <c r="A34" s="4">
        <f t="shared" si="2"/>
        <v>0</v>
      </c>
      <c r="B34" s="3" t="str">
        <f t="shared" si="3"/>
        <v/>
      </c>
      <c r="C34" s="3" t="str">
        <f t="shared" si="4"/>
        <v/>
      </c>
      <c r="D34" s="28" t="str">
        <f t="shared" si="5"/>
        <v/>
      </c>
      <c r="O34" s="2" t="str">
        <f t="shared" si="6"/>
        <v/>
      </c>
      <c r="P34" s="2" t="str">
        <f t="shared" si="7"/>
        <v/>
      </c>
      <c r="Q34" s="2" t="str">
        <f t="shared" si="0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tr">
        <f t="shared" si="11"/>
        <v/>
      </c>
      <c r="V34" s="2" t="str">
        <f t="shared" si="12"/>
        <v/>
      </c>
      <c r="W34" s="2" t="str">
        <f t="shared" si="13"/>
        <v/>
      </c>
      <c r="X34" s="2">
        <f t="shared" si="14"/>
        <v>3</v>
      </c>
      <c r="Y34" s="2" t="str">
        <f t="shared" si="15"/>
        <v>Rams -7</v>
      </c>
      <c r="Z34" s="2" t="str">
        <f t="shared" si="16"/>
        <v/>
      </c>
      <c r="AA34" s="2" t="str">
        <f t="shared" si="1"/>
        <v/>
      </c>
      <c r="AB34" s="2" t="str">
        <f t="shared" si="17"/>
        <v/>
      </c>
    </row>
    <row r="35" spans="1:28" x14ac:dyDescent="0.25">
      <c r="A35" s="4">
        <f t="shared" si="2"/>
        <v>0</v>
      </c>
      <c r="B35" s="3" t="str">
        <f t="shared" si="3"/>
        <v/>
      </c>
      <c r="C35" s="3" t="str">
        <f t="shared" si="4"/>
        <v/>
      </c>
      <c r="D35" s="28" t="str">
        <f t="shared" si="5"/>
        <v/>
      </c>
      <c r="O35" s="2" t="str">
        <f t="shared" si="6"/>
        <v/>
      </c>
      <c r="P35" s="2" t="str">
        <f t="shared" si="7"/>
        <v/>
      </c>
      <c r="Q35" s="2" t="str">
        <f t="shared" si="0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tr">
        <f t="shared" si="11"/>
        <v/>
      </c>
      <c r="V35" s="2" t="str">
        <f t="shared" si="12"/>
        <v/>
      </c>
      <c r="W35" s="2" t="str">
        <f t="shared" si="13"/>
        <v/>
      </c>
      <c r="X35" s="2">
        <f t="shared" si="14"/>
        <v>3</v>
      </c>
      <c r="Y35" s="2">
        <f t="shared" si="15"/>
        <v>0.85233000000000003</v>
      </c>
      <c r="Z35" s="2" t="str">
        <f t="shared" si="16"/>
        <v/>
      </c>
      <c r="AA35" s="2" t="str">
        <f t="shared" si="1"/>
        <v/>
      </c>
      <c r="AB35" s="2" t="str">
        <f t="shared" si="17"/>
        <v/>
      </c>
    </row>
    <row r="36" spans="1:28" x14ac:dyDescent="0.25">
      <c r="A36" s="4">
        <f t="shared" si="2"/>
        <v>0</v>
      </c>
      <c r="B36" s="3" t="str">
        <f t="shared" si="3"/>
        <v/>
      </c>
      <c r="C36" s="3" t="str">
        <f t="shared" si="4"/>
        <v/>
      </c>
      <c r="D36" s="28" t="str">
        <f t="shared" si="5"/>
        <v/>
      </c>
      <c r="O36" s="2" t="str">
        <f t="shared" si="6"/>
        <v/>
      </c>
      <c r="P36" s="2" t="str">
        <f t="shared" si="7"/>
        <v/>
      </c>
      <c r="Q36" s="2" t="str">
        <f t="shared" si="0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tr">
        <f t="shared" si="11"/>
        <v/>
      </c>
      <c r="V36" s="2" t="str">
        <f t="shared" si="12"/>
        <v/>
      </c>
      <c r="W36" s="2" t="str">
        <f t="shared" si="13"/>
        <v/>
      </c>
      <c r="X36" s="2">
        <f t="shared" si="14"/>
        <v>3</v>
      </c>
      <c r="Y36" s="2" t="str">
        <f t="shared" si="15"/>
        <v/>
      </c>
      <c r="Z36" s="2" t="str">
        <f t="shared" si="16"/>
        <v/>
      </c>
      <c r="AA36" s="2" t="str">
        <f t="shared" si="1"/>
        <v/>
      </c>
      <c r="AB36" s="2" t="str">
        <f t="shared" si="17"/>
        <v/>
      </c>
    </row>
    <row r="37" spans="1:28" x14ac:dyDescent="0.25">
      <c r="A37" s="4">
        <f t="shared" si="2"/>
        <v>0</v>
      </c>
      <c r="B37" s="3" t="str">
        <f t="shared" si="3"/>
        <v/>
      </c>
      <c r="C37" s="3" t="str">
        <f t="shared" si="4"/>
        <v/>
      </c>
      <c r="D37" s="28" t="str">
        <f t="shared" si="5"/>
        <v/>
      </c>
      <c r="O37" s="2" t="str">
        <f t="shared" si="6"/>
        <v/>
      </c>
      <c r="P37" s="2" t="str">
        <f t="shared" si="7"/>
        <v/>
      </c>
      <c r="Q37" s="2" t="str">
        <f t="shared" si="0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tr">
        <f t="shared" si="11"/>
        <v/>
      </c>
      <c r="V37" s="2" t="str">
        <f t="shared" si="12"/>
        <v/>
      </c>
      <c r="W37" s="2" t="str">
        <f t="shared" si="13"/>
        <v/>
      </c>
      <c r="X37" s="2">
        <f t="shared" si="14"/>
        <v>3</v>
      </c>
      <c r="Y37" s="2" t="str">
        <f t="shared" si="15"/>
        <v/>
      </c>
      <c r="Z37" s="2" t="str">
        <f t="shared" si="16"/>
        <v/>
      </c>
      <c r="AA37" s="2" t="str">
        <f t="shared" si="1"/>
        <v/>
      </c>
      <c r="AB37" s="2" t="str">
        <f t="shared" si="17"/>
        <v/>
      </c>
    </row>
    <row r="38" spans="1:28" x14ac:dyDescent="0.25">
      <c r="A38" s="4">
        <f t="shared" si="2"/>
        <v>0</v>
      </c>
      <c r="B38" s="3" t="str">
        <f t="shared" si="3"/>
        <v/>
      </c>
      <c r="C38" s="3" t="str">
        <f t="shared" si="4"/>
        <v/>
      </c>
      <c r="D38" s="28" t="str">
        <f t="shared" si="5"/>
        <v/>
      </c>
      <c r="O38" s="2" t="str">
        <f t="shared" si="6"/>
        <v/>
      </c>
      <c r="P38" s="2" t="str">
        <f t="shared" si="7"/>
        <v/>
      </c>
      <c r="Q38" s="2" t="str">
        <f t="shared" si="0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tr">
        <f t="shared" si="11"/>
        <v/>
      </c>
      <c r="V38" s="2" t="str">
        <f t="shared" si="12"/>
        <v/>
      </c>
      <c r="W38" s="2" t="str">
        <f t="shared" si="13"/>
        <v/>
      </c>
      <c r="X38" s="2">
        <f t="shared" si="14"/>
        <v>3</v>
      </c>
      <c r="Y38" s="2" t="str">
        <f t="shared" si="15"/>
        <v/>
      </c>
      <c r="Z38" s="2" t="str">
        <f t="shared" si="16"/>
        <v/>
      </c>
      <c r="AA38" s="2" t="str">
        <f t="shared" si="1"/>
        <v/>
      </c>
      <c r="AB38" s="2" t="str">
        <f t="shared" si="17"/>
        <v/>
      </c>
    </row>
    <row r="39" spans="1:28" x14ac:dyDescent="0.25">
      <c r="A39" s="4">
        <f t="shared" si="2"/>
        <v>0</v>
      </c>
      <c r="B39" s="3" t="str">
        <f t="shared" si="3"/>
        <v/>
      </c>
      <c r="C39" s="3" t="str">
        <f t="shared" si="4"/>
        <v/>
      </c>
      <c r="D39" s="28" t="str">
        <f t="shared" si="5"/>
        <v/>
      </c>
      <c r="O39" s="2" t="str">
        <f t="shared" si="6"/>
        <v/>
      </c>
      <c r="P39" s="2" t="str">
        <f t="shared" si="7"/>
        <v/>
      </c>
      <c r="Q39" s="2" t="str">
        <f t="shared" si="0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tr">
        <f t="shared" si="11"/>
        <v/>
      </c>
      <c r="V39" s="2" t="str">
        <f t="shared" si="12"/>
        <v/>
      </c>
      <c r="W39" s="2" t="str">
        <f t="shared" si="13"/>
        <v/>
      </c>
      <c r="X39" s="2">
        <f t="shared" si="14"/>
        <v>3</v>
      </c>
      <c r="Y39" s="2" t="str">
        <f t="shared" si="15"/>
        <v/>
      </c>
      <c r="Z39" s="2" t="str">
        <f t="shared" si="16"/>
        <v/>
      </c>
      <c r="AA39" s="2" t="str">
        <f t="shared" si="1"/>
        <v/>
      </c>
      <c r="AB39" s="2" t="str">
        <f t="shared" si="17"/>
        <v/>
      </c>
    </row>
    <row r="40" spans="1:28" x14ac:dyDescent="0.25">
      <c r="A40" s="4">
        <f t="shared" si="2"/>
        <v>0</v>
      </c>
      <c r="B40" s="3" t="str">
        <f t="shared" si="3"/>
        <v/>
      </c>
      <c r="C40" s="3" t="str">
        <f t="shared" si="4"/>
        <v/>
      </c>
      <c r="D40" s="28" t="str">
        <f t="shared" si="5"/>
        <v/>
      </c>
      <c r="O40" s="2" t="str">
        <f t="shared" si="6"/>
        <v/>
      </c>
      <c r="P40" s="2" t="str">
        <f t="shared" si="7"/>
        <v/>
      </c>
      <c r="Q40" s="2" t="str">
        <f t="shared" si="0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tr">
        <f t="shared" si="11"/>
        <v/>
      </c>
      <c r="V40" s="2" t="str">
        <f t="shared" si="12"/>
        <v/>
      </c>
      <c r="W40" s="2" t="str">
        <f t="shared" si="13"/>
        <v/>
      </c>
      <c r="X40" s="2">
        <f t="shared" si="14"/>
        <v>3</v>
      </c>
      <c r="Y40" s="2" t="str">
        <f t="shared" si="15"/>
        <v/>
      </c>
      <c r="Z40" s="2" t="str">
        <f t="shared" si="16"/>
        <v/>
      </c>
      <c r="AA40" s="2" t="str">
        <f t="shared" si="1"/>
        <v/>
      </c>
      <c r="AB40" s="2" t="str">
        <f t="shared" si="17"/>
        <v/>
      </c>
    </row>
    <row r="41" spans="1:28" x14ac:dyDescent="0.25">
      <c r="A41" s="4">
        <f t="shared" si="2"/>
        <v>0</v>
      </c>
      <c r="B41" s="3" t="str">
        <f t="shared" si="3"/>
        <v/>
      </c>
      <c r="C41" s="3" t="str">
        <f t="shared" si="4"/>
        <v/>
      </c>
      <c r="D41" s="28" t="str">
        <f t="shared" si="5"/>
        <v/>
      </c>
      <c r="O41" s="2" t="str">
        <f t="shared" si="6"/>
        <v/>
      </c>
      <c r="P41" s="2" t="str">
        <f t="shared" si="7"/>
        <v/>
      </c>
      <c r="Q41" s="2" t="str">
        <f t="shared" si="0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tr">
        <f t="shared" si="11"/>
        <v/>
      </c>
      <c r="V41" s="2" t="str">
        <f t="shared" si="12"/>
        <v/>
      </c>
      <c r="W41" s="2" t="str">
        <f t="shared" si="13"/>
        <v/>
      </c>
      <c r="X41" s="2">
        <f t="shared" si="14"/>
        <v>3</v>
      </c>
      <c r="Y41" s="2" t="str">
        <f t="shared" si="15"/>
        <v/>
      </c>
      <c r="Z41" s="2" t="str">
        <f t="shared" si="16"/>
        <v/>
      </c>
      <c r="AA41" s="2" t="str">
        <f t="shared" si="1"/>
        <v/>
      </c>
      <c r="AB41" s="2" t="str">
        <f t="shared" si="17"/>
        <v/>
      </c>
    </row>
    <row r="42" spans="1:28" x14ac:dyDescent="0.25">
      <c r="A42" s="4">
        <f t="shared" si="2"/>
        <v>0</v>
      </c>
      <c r="B42" s="3" t="str">
        <f t="shared" si="3"/>
        <v/>
      </c>
      <c r="C42" s="3" t="str">
        <f t="shared" si="4"/>
        <v/>
      </c>
      <c r="D42" s="28" t="str">
        <f t="shared" si="5"/>
        <v/>
      </c>
      <c r="O42" s="2" t="str">
        <f t="shared" si="6"/>
        <v/>
      </c>
      <c r="P42" s="2" t="str">
        <f t="shared" si="7"/>
        <v/>
      </c>
      <c r="Q42" s="2" t="str">
        <f t="shared" si="0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tr">
        <f t="shared" si="11"/>
        <v/>
      </c>
      <c r="V42" s="2" t="str">
        <f t="shared" si="12"/>
        <v/>
      </c>
      <c r="W42" s="2" t="str">
        <f t="shared" si="13"/>
        <v/>
      </c>
      <c r="X42" s="2">
        <f t="shared" si="14"/>
        <v>3</v>
      </c>
      <c r="Y42" s="2" t="str">
        <f t="shared" si="15"/>
        <v/>
      </c>
      <c r="Z42" s="2" t="str">
        <f t="shared" si="16"/>
        <v/>
      </c>
      <c r="AA42" s="2" t="str">
        <f t="shared" si="1"/>
        <v/>
      </c>
      <c r="AB42" s="2" t="str">
        <f t="shared" si="17"/>
        <v/>
      </c>
    </row>
    <row r="43" spans="1:28" x14ac:dyDescent="0.25">
      <c r="A43" s="4">
        <f t="shared" si="2"/>
        <v>0</v>
      </c>
      <c r="B43" s="3" t="str">
        <f t="shared" si="3"/>
        <v/>
      </c>
      <c r="C43" s="3" t="str">
        <f t="shared" si="4"/>
        <v/>
      </c>
      <c r="D43" s="28" t="str">
        <f t="shared" si="5"/>
        <v/>
      </c>
      <c r="O43" s="2" t="str">
        <f t="shared" si="6"/>
        <v/>
      </c>
      <c r="P43" s="2" t="str">
        <f t="shared" si="7"/>
        <v/>
      </c>
      <c r="Q43" s="2" t="str">
        <f t="shared" si="0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tr">
        <f t="shared" si="11"/>
        <v/>
      </c>
      <c r="V43" s="2" t="str">
        <f t="shared" si="12"/>
        <v/>
      </c>
      <c r="W43" s="2" t="str">
        <f t="shared" si="13"/>
        <v/>
      </c>
      <c r="X43" s="2">
        <f t="shared" si="14"/>
        <v>3</v>
      </c>
      <c r="Y43" s="2" t="str">
        <f t="shared" si="15"/>
        <v/>
      </c>
      <c r="Z43" s="2" t="str">
        <f t="shared" si="16"/>
        <v/>
      </c>
      <c r="AA43" s="2" t="str">
        <f t="shared" si="1"/>
        <v/>
      </c>
      <c r="AB43" s="2" t="str">
        <f t="shared" si="17"/>
        <v/>
      </c>
    </row>
    <row r="44" spans="1:28" x14ac:dyDescent="0.25">
      <c r="A44" s="4">
        <f t="shared" si="2"/>
        <v>0</v>
      </c>
      <c r="B44" s="3" t="str">
        <f t="shared" si="3"/>
        <v/>
      </c>
      <c r="C44" s="3" t="str">
        <f t="shared" si="4"/>
        <v/>
      </c>
      <c r="D44" s="28" t="str">
        <f t="shared" si="5"/>
        <v/>
      </c>
      <c r="O44" s="2" t="str">
        <f t="shared" si="6"/>
        <v/>
      </c>
      <c r="P44" s="2" t="str">
        <f t="shared" si="7"/>
        <v/>
      </c>
      <c r="Q44" s="2" t="str">
        <f t="shared" si="0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tr">
        <f t="shared" si="11"/>
        <v/>
      </c>
      <c r="V44" s="2" t="str">
        <f t="shared" si="12"/>
        <v/>
      </c>
      <c r="W44" s="2" t="str">
        <f t="shared" si="13"/>
        <v/>
      </c>
      <c r="X44" s="2">
        <f t="shared" si="14"/>
        <v>3</v>
      </c>
      <c r="Y44" s="2" t="str">
        <f t="shared" si="15"/>
        <v/>
      </c>
      <c r="Z44" s="2" t="str">
        <f t="shared" si="16"/>
        <v/>
      </c>
      <c r="AA44" s="2" t="str">
        <f t="shared" si="1"/>
        <v/>
      </c>
      <c r="AB44" s="2" t="str">
        <f t="shared" si="17"/>
        <v/>
      </c>
    </row>
    <row r="45" spans="1:28" x14ac:dyDescent="0.25">
      <c r="A45" s="4">
        <f t="shared" si="2"/>
        <v>0</v>
      </c>
      <c r="B45" s="3" t="str">
        <f t="shared" si="3"/>
        <v/>
      </c>
      <c r="C45" s="3" t="str">
        <f t="shared" si="4"/>
        <v/>
      </c>
      <c r="D45" s="28" t="str">
        <f t="shared" si="5"/>
        <v/>
      </c>
      <c r="O45" s="2" t="str">
        <f t="shared" si="6"/>
        <v/>
      </c>
      <c r="P45" s="2" t="str">
        <f t="shared" si="7"/>
        <v/>
      </c>
      <c r="Q45" s="2" t="str">
        <f t="shared" si="0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tr">
        <f t="shared" si="11"/>
        <v/>
      </c>
      <c r="V45" s="2" t="str">
        <f t="shared" si="12"/>
        <v/>
      </c>
      <c r="W45" s="2" t="str">
        <f t="shared" si="13"/>
        <v/>
      </c>
      <c r="X45" s="2">
        <f t="shared" si="14"/>
        <v>3</v>
      </c>
      <c r="Y45" s="2" t="str">
        <f t="shared" si="15"/>
        <v/>
      </c>
      <c r="Z45" s="2" t="str">
        <f t="shared" si="16"/>
        <v/>
      </c>
      <c r="AA45" s="2" t="str">
        <f t="shared" si="1"/>
        <v/>
      </c>
      <c r="AB45" s="2" t="str">
        <f t="shared" si="17"/>
        <v/>
      </c>
    </row>
    <row r="46" spans="1:28" x14ac:dyDescent="0.25">
      <c r="A46" s="4">
        <f t="shared" si="2"/>
        <v>0</v>
      </c>
      <c r="B46" s="3" t="str">
        <f t="shared" si="3"/>
        <v/>
      </c>
      <c r="C46" s="3" t="str">
        <f t="shared" si="4"/>
        <v/>
      </c>
      <c r="D46" s="28" t="str">
        <f t="shared" si="5"/>
        <v/>
      </c>
      <c r="O46" s="2" t="str">
        <f t="shared" si="6"/>
        <v/>
      </c>
      <c r="P46" s="2" t="str">
        <f t="shared" si="7"/>
        <v/>
      </c>
      <c r="Q46" s="2" t="str">
        <f t="shared" si="0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tr">
        <f t="shared" si="11"/>
        <v/>
      </c>
      <c r="V46" s="2" t="str">
        <f t="shared" si="12"/>
        <v/>
      </c>
      <c r="W46" s="2" t="str">
        <f t="shared" si="13"/>
        <v/>
      </c>
      <c r="X46" s="2">
        <f t="shared" si="14"/>
        <v>3</v>
      </c>
      <c r="Y46" s="2" t="str">
        <f t="shared" si="15"/>
        <v/>
      </c>
      <c r="Z46" s="2" t="str">
        <f t="shared" si="16"/>
        <v/>
      </c>
      <c r="AA46" s="2" t="str">
        <f t="shared" si="1"/>
        <v/>
      </c>
      <c r="AB46" s="2" t="str">
        <f t="shared" si="17"/>
        <v/>
      </c>
    </row>
    <row r="47" spans="1:28" x14ac:dyDescent="0.25">
      <c r="A47" s="4">
        <f t="shared" si="2"/>
        <v>0</v>
      </c>
      <c r="B47" s="3" t="str">
        <f t="shared" si="3"/>
        <v/>
      </c>
      <c r="C47" s="3" t="str">
        <f t="shared" si="4"/>
        <v/>
      </c>
      <c r="D47" s="28" t="str">
        <f t="shared" si="5"/>
        <v/>
      </c>
      <c r="O47" s="2" t="str">
        <f t="shared" si="6"/>
        <v/>
      </c>
      <c r="P47" s="2" t="str">
        <f t="shared" si="7"/>
        <v/>
      </c>
      <c r="Q47" s="2" t="str">
        <f t="shared" si="0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tr">
        <f t="shared" si="11"/>
        <v/>
      </c>
      <c r="V47" s="2" t="str">
        <f t="shared" si="12"/>
        <v/>
      </c>
      <c r="W47" s="2" t="str">
        <f t="shared" si="13"/>
        <v/>
      </c>
      <c r="X47" s="2">
        <f t="shared" si="14"/>
        <v>3</v>
      </c>
      <c r="Y47" s="2" t="str">
        <f t="shared" si="15"/>
        <v/>
      </c>
      <c r="Z47" s="2" t="str">
        <f t="shared" si="16"/>
        <v/>
      </c>
      <c r="AA47" s="2" t="str">
        <f t="shared" si="1"/>
        <v/>
      </c>
      <c r="AB47" s="2" t="str">
        <f t="shared" si="17"/>
        <v/>
      </c>
    </row>
    <row r="48" spans="1:28" x14ac:dyDescent="0.25">
      <c r="A48" s="4">
        <f t="shared" si="2"/>
        <v>0</v>
      </c>
      <c r="B48" s="3" t="str">
        <f t="shared" si="3"/>
        <v/>
      </c>
      <c r="C48" s="3" t="str">
        <f t="shared" si="4"/>
        <v/>
      </c>
      <c r="D48" s="28" t="str">
        <f t="shared" si="5"/>
        <v/>
      </c>
      <c r="O48" s="2" t="str">
        <f t="shared" si="6"/>
        <v/>
      </c>
      <c r="P48" s="2" t="str">
        <f t="shared" si="7"/>
        <v/>
      </c>
      <c r="Q48" s="2" t="str">
        <f t="shared" si="0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tr">
        <f t="shared" si="11"/>
        <v/>
      </c>
      <c r="V48" s="2" t="str">
        <f t="shared" si="12"/>
        <v/>
      </c>
      <c r="W48" s="2" t="str">
        <f t="shared" si="13"/>
        <v/>
      </c>
      <c r="X48" s="2">
        <f t="shared" si="14"/>
        <v>3</v>
      </c>
      <c r="Y48" s="2" t="str">
        <f t="shared" si="15"/>
        <v/>
      </c>
      <c r="Z48" s="2" t="str">
        <f t="shared" si="16"/>
        <v/>
      </c>
      <c r="AA48" s="2" t="str">
        <f t="shared" si="1"/>
        <v/>
      </c>
      <c r="AB48" s="2" t="str">
        <f t="shared" si="17"/>
        <v/>
      </c>
    </row>
    <row r="49" spans="1:28" x14ac:dyDescent="0.25">
      <c r="A49" s="4">
        <f t="shared" si="2"/>
        <v>0</v>
      </c>
      <c r="B49" s="3" t="str">
        <f t="shared" si="3"/>
        <v/>
      </c>
      <c r="C49" s="3" t="str">
        <f t="shared" si="4"/>
        <v/>
      </c>
      <c r="D49" s="28" t="str">
        <f t="shared" si="5"/>
        <v/>
      </c>
      <c r="O49" s="2" t="str">
        <f t="shared" si="6"/>
        <v/>
      </c>
      <c r="P49" s="2" t="str">
        <f t="shared" si="7"/>
        <v/>
      </c>
      <c r="Q49" s="2" t="str">
        <f t="shared" si="0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tr">
        <f t="shared" si="11"/>
        <v/>
      </c>
      <c r="V49" s="2" t="str">
        <f t="shared" si="12"/>
        <v/>
      </c>
      <c r="W49" s="2" t="str">
        <f t="shared" si="13"/>
        <v/>
      </c>
      <c r="X49" s="2">
        <f t="shared" si="14"/>
        <v>3</v>
      </c>
      <c r="Y49" s="2" t="str">
        <f t="shared" si="15"/>
        <v/>
      </c>
      <c r="Z49" s="2" t="str">
        <f t="shared" si="16"/>
        <v/>
      </c>
      <c r="AA49" s="2" t="str">
        <f t="shared" si="1"/>
        <v/>
      </c>
      <c r="AB49" s="2" t="str">
        <f t="shared" si="17"/>
        <v/>
      </c>
    </row>
    <row r="50" spans="1:28" x14ac:dyDescent="0.25">
      <c r="A50" s="4">
        <f t="shared" si="2"/>
        <v>0</v>
      </c>
      <c r="B50" s="3" t="str">
        <f t="shared" si="3"/>
        <v/>
      </c>
      <c r="C50" s="3" t="str">
        <f t="shared" si="4"/>
        <v/>
      </c>
      <c r="D50" s="28" t="str">
        <f t="shared" si="5"/>
        <v/>
      </c>
      <c r="O50" s="2" t="str">
        <f t="shared" si="6"/>
        <v/>
      </c>
      <c r="P50" s="2" t="str">
        <f t="shared" si="7"/>
        <v/>
      </c>
      <c r="Q50" s="2" t="str">
        <f t="shared" si="0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tr">
        <f t="shared" si="11"/>
        <v/>
      </c>
      <c r="V50" s="2" t="str">
        <f t="shared" si="12"/>
        <v/>
      </c>
      <c r="W50" s="2" t="str">
        <f t="shared" si="13"/>
        <v/>
      </c>
      <c r="X50" s="2">
        <f t="shared" si="14"/>
        <v>3</v>
      </c>
      <c r="Y50" s="2" t="str">
        <f t="shared" si="15"/>
        <v/>
      </c>
      <c r="Z50" s="2" t="str">
        <f t="shared" si="16"/>
        <v/>
      </c>
      <c r="AA50" s="2" t="str">
        <f t="shared" si="1"/>
        <v/>
      </c>
      <c r="AB50" s="2" t="str">
        <f t="shared" si="17"/>
        <v/>
      </c>
    </row>
    <row r="51" spans="1:28" x14ac:dyDescent="0.25">
      <c r="A51" s="4">
        <f t="shared" si="2"/>
        <v>0</v>
      </c>
      <c r="B51" s="3" t="str">
        <f t="shared" si="3"/>
        <v/>
      </c>
      <c r="C51" s="3" t="str">
        <f t="shared" si="4"/>
        <v/>
      </c>
      <c r="D51" s="28" t="str">
        <f t="shared" si="5"/>
        <v/>
      </c>
      <c r="P51" s="2" t="str">
        <f t="shared" si="7"/>
        <v/>
      </c>
      <c r="Q51" s="2" t="str">
        <f t="shared" si="0"/>
        <v/>
      </c>
      <c r="R51" s="2" t="str">
        <f t="shared" si="8"/>
        <v/>
      </c>
      <c r="T51" s="2" t="str">
        <f t="shared" si="10"/>
        <v/>
      </c>
      <c r="U51" s="2" t="str">
        <f t="shared" si="11"/>
        <v/>
      </c>
      <c r="V51" s="2" t="str">
        <f t="shared" si="12"/>
        <v/>
      </c>
      <c r="W51" s="2" t="str">
        <f t="shared" si="13"/>
        <v/>
      </c>
      <c r="X51" s="2">
        <f t="shared" si="14"/>
        <v>3</v>
      </c>
      <c r="Y51" s="2" t="str">
        <f t="shared" si="15"/>
        <v/>
      </c>
      <c r="Z51" s="2" t="str">
        <f t="shared" si="16"/>
        <v/>
      </c>
      <c r="AA51" s="2" t="str">
        <f t="shared" si="1"/>
        <v/>
      </c>
      <c r="AB51" s="2" t="str">
        <f t="shared" si="17"/>
        <v/>
      </c>
    </row>
    <row r="52" spans="1:28" x14ac:dyDescent="0.25">
      <c r="A52" s="4">
        <f t="shared" si="2"/>
        <v>0</v>
      </c>
      <c r="B52" s="3" t="str">
        <f t="shared" si="3"/>
        <v/>
      </c>
      <c r="C52" s="3" t="str">
        <f t="shared" si="4"/>
        <v/>
      </c>
      <c r="D52" s="28" t="str">
        <f t="shared" si="5"/>
        <v/>
      </c>
      <c r="P52" s="2" t="str">
        <f t="shared" si="7"/>
        <v/>
      </c>
      <c r="Q52" s="2" t="str">
        <f t="shared" si="0"/>
        <v/>
      </c>
      <c r="R52" s="2" t="str">
        <f t="shared" si="8"/>
        <v/>
      </c>
      <c r="T52" s="2" t="str">
        <f t="shared" si="10"/>
        <v/>
      </c>
      <c r="U52" s="2" t="str">
        <f t="shared" si="11"/>
        <v/>
      </c>
      <c r="V52" s="2" t="str">
        <f t="shared" si="12"/>
        <v/>
      </c>
      <c r="W52" s="2" t="str">
        <f t="shared" si="13"/>
        <v/>
      </c>
      <c r="X52" s="2">
        <f t="shared" si="14"/>
        <v>3</v>
      </c>
      <c r="Y52" s="2" t="str">
        <f t="shared" si="15"/>
        <v/>
      </c>
      <c r="Z52" s="2" t="str">
        <f t="shared" si="16"/>
        <v/>
      </c>
      <c r="AA52" s="2" t="str">
        <f t="shared" si="1"/>
        <v/>
      </c>
      <c r="AB52" s="2" t="str">
        <f t="shared" si="17"/>
        <v/>
      </c>
    </row>
    <row r="53" spans="1:28" x14ac:dyDescent="0.25">
      <c r="A53" s="4">
        <f t="shared" si="2"/>
        <v>0</v>
      </c>
      <c r="B53" s="3" t="str">
        <f t="shared" si="3"/>
        <v/>
      </c>
      <c r="C53" s="3" t="str">
        <f t="shared" si="4"/>
        <v/>
      </c>
      <c r="D53" s="28" t="str">
        <f t="shared" si="5"/>
        <v/>
      </c>
      <c r="P53" s="2" t="str">
        <f t="shared" si="7"/>
        <v/>
      </c>
      <c r="Q53" s="2" t="str">
        <f t="shared" si="0"/>
        <v/>
      </c>
      <c r="R53" s="2" t="str">
        <f t="shared" si="8"/>
        <v/>
      </c>
      <c r="T53" s="2" t="str">
        <f t="shared" si="10"/>
        <v/>
      </c>
      <c r="U53" s="2" t="str">
        <f t="shared" si="11"/>
        <v/>
      </c>
      <c r="V53" s="2" t="str">
        <f t="shared" si="12"/>
        <v/>
      </c>
      <c r="W53" s="2" t="str">
        <f t="shared" si="13"/>
        <v/>
      </c>
      <c r="X53" s="2">
        <f t="shared" si="14"/>
        <v>3</v>
      </c>
      <c r="Y53" s="2" t="str">
        <f t="shared" si="15"/>
        <v/>
      </c>
      <c r="Z53" s="2" t="str">
        <f t="shared" si="16"/>
        <v/>
      </c>
      <c r="AA53" s="2" t="str">
        <f t="shared" si="1"/>
        <v/>
      </c>
      <c r="AB53" s="2" t="str">
        <f t="shared" si="17"/>
        <v/>
      </c>
    </row>
    <row r="54" spans="1:28" x14ac:dyDescent="0.25">
      <c r="A54" s="4">
        <f t="shared" si="2"/>
        <v>0</v>
      </c>
      <c r="B54" s="3" t="str">
        <f t="shared" si="3"/>
        <v/>
      </c>
      <c r="C54" s="3" t="str">
        <f t="shared" si="4"/>
        <v/>
      </c>
      <c r="D54" s="28" t="str">
        <f t="shared" si="5"/>
        <v/>
      </c>
      <c r="P54" s="2" t="str">
        <f t="shared" si="7"/>
        <v/>
      </c>
      <c r="Q54" s="2" t="str">
        <f t="shared" si="0"/>
        <v/>
      </c>
      <c r="R54" s="2" t="str">
        <f t="shared" si="8"/>
        <v/>
      </c>
      <c r="T54" s="2" t="str">
        <f t="shared" si="10"/>
        <v/>
      </c>
      <c r="U54" s="2" t="str">
        <f t="shared" si="11"/>
        <v/>
      </c>
      <c r="V54" s="2" t="str">
        <f t="shared" si="12"/>
        <v/>
      </c>
      <c r="W54" s="2" t="str">
        <f t="shared" si="13"/>
        <v/>
      </c>
      <c r="X54" s="2">
        <f t="shared" si="14"/>
        <v>3</v>
      </c>
      <c r="Y54" s="2" t="str">
        <f t="shared" si="15"/>
        <v/>
      </c>
      <c r="Z54" s="2" t="str">
        <f t="shared" si="16"/>
        <v/>
      </c>
      <c r="AA54" s="2" t="str">
        <f t="shared" si="1"/>
        <v/>
      </c>
      <c r="AB54" s="2" t="str">
        <f t="shared" si="17"/>
        <v/>
      </c>
    </row>
    <row r="55" spans="1:28" x14ac:dyDescent="0.25">
      <c r="A55" s="4">
        <f t="shared" si="2"/>
        <v>0</v>
      </c>
      <c r="B55" s="3" t="str">
        <f t="shared" si="3"/>
        <v/>
      </c>
      <c r="C55" s="3" t="str">
        <f t="shared" si="4"/>
        <v/>
      </c>
      <c r="D55" s="28" t="str">
        <f t="shared" si="5"/>
        <v/>
      </c>
      <c r="P55" s="2" t="str">
        <f t="shared" si="7"/>
        <v/>
      </c>
      <c r="Q55" s="2" t="str">
        <f t="shared" si="0"/>
        <v/>
      </c>
      <c r="R55" s="2" t="str">
        <f t="shared" si="8"/>
        <v/>
      </c>
      <c r="T55" s="2" t="str">
        <f t="shared" si="10"/>
        <v/>
      </c>
      <c r="U55" s="2" t="str">
        <f t="shared" si="11"/>
        <v/>
      </c>
      <c r="V55" s="2" t="str">
        <f t="shared" si="12"/>
        <v/>
      </c>
      <c r="W55" s="2" t="str">
        <f t="shared" si="13"/>
        <v/>
      </c>
      <c r="X55" s="2">
        <f t="shared" si="14"/>
        <v>3</v>
      </c>
      <c r="Y55" s="2" t="str">
        <f t="shared" si="15"/>
        <v/>
      </c>
      <c r="Z55" s="2" t="str">
        <f t="shared" si="16"/>
        <v/>
      </c>
      <c r="AA55" s="2" t="str">
        <f t="shared" si="1"/>
        <v/>
      </c>
      <c r="AB55" s="2" t="str">
        <f t="shared" si="17"/>
        <v/>
      </c>
    </row>
    <row r="56" spans="1:28" x14ac:dyDescent="0.25">
      <c r="A56" s="4">
        <f t="shared" si="2"/>
        <v>0</v>
      </c>
      <c r="B56" s="3" t="str">
        <f t="shared" si="3"/>
        <v/>
      </c>
      <c r="C56" s="3" t="str">
        <f t="shared" si="4"/>
        <v/>
      </c>
      <c r="D56" s="28" t="str">
        <f t="shared" si="5"/>
        <v/>
      </c>
      <c r="P56" s="2" t="str">
        <f t="shared" si="7"/>
        <v/>
      </c>
      <c r="Q56" s="2" t="str">
        <f t="shared" si="0"/>
        <v/>
      </c>
      <c r="R56" s="2" t="str">
        <f t="shared" si="8"/>
        <v/>
      </c>
      <c r="T56" s="2" t="str">
        <f t="shared" si="10"/>
        <v/>
      </c>
      <c r="U56" s="2" t="str">
        <f t="shared" si="11"/>
        <v/>
      </c>
      <c r="V56" s="2" t="str">
        <f t="shared" si="12"/>
        <v/>
      </c>
      <c r="W56" s="2" t="str">
        <f t="shared" si="13"/>
        <v/>
      </c>
      <c r="X56" s="2">
        <f t="shared" si="14"/>
        <v>3</v>
      </c>
      <c r="Y56" s="2" t="str">
        <f t="shared" si="15"/>
        <v/>
      </c>
      <c r="Z56" s="2" t="str">
        <f t="shared" si="16"/>
        <v/>
      </c>
      <c r="AA56" s="2" t="str">
        <f t="shared" si="1"/>
        <v/>
      </c>
      <c r="AB56" s="2" t="str">
        <f t="shared" si="17"/>
        <v/>
      </c>
    </row>
    <row r="57" spans="1:28" x14ac:dyDescent="0.25">
      <c r="A57" s="4">
        <f t="shared" si="2"/>
        <v>0</v>
      </c>
      <c r="B57" s="3" t="str">
        <f t="shared" si="3"/>
        <v/>
      </c>
      <c r="C57" s="3" t="str">
        <f t="shared" si="4"/>
        <v/>
      </c>
      <c r="D57" s="28" t="str">
        <f t="shared" si="5"/>
        <v/>
      </c>
      <c r="P57" s="2" t="str">
        <f t="shared" si="7"/>
        <v/>
      </c>
      <c r="Q57" s="2" t="str">
        <f t="shared" si="0"/>
        <v/>
      </c>
      <c r="R57" s="2" t="str">
        <f t="shared" si="8"/>
        <v/>
      </c>
      <c r="T57" s="2" t="str">
        <f t="shared" si="10"/>
        <v/>
      </c>
      <c r="U57" s="2" t="str">
        <f t="shared" si="11"/>
        <v/>
      </c>
      <c r="V57" s="2" t="str">
        <f t="shared" si="12"/>
        <v/>
      </c>
      <c r="W57" s="2" t="str">
        <f t="shared" si="13"/>
        <v/>
      </c>
      <c r="X57" s="2">
        <f t="shared" si="14"/>
        <v>4</v>
      </c>
      <c r="Y57" s="2" t="str">
        <f t="shared" si="15"/>
        <v>Chargers @ Patriots</v>
      </c>
      <c r="Z57" s="2" t="str">
        <f t="shared" si="16"/>
        <v>Chargers @ Patriots</v>
      </c>
      <c r="AA57" s="2" t="str">
        <f t="shared" si="1"/>
        <v>Over 47.5</v>
      </c>
      <c r="AB57" s="2">
        <f t="shared" si="17"/>
        <v>0.92264000000000002</v>
      </c>
    </row>
    <row r="58" spans="1:28" x14ac:dyDescent="0.25">
      <c r="A58" s="4">
        <f t="shared" si="2"/>
        <v>0</v>
      </c>
      <c r="B58" s="3" t="str">
        <f t="shared" si="3"/>
        <v/>
      </c>
      <c r="C58" s="3" t="str">
        <f t="shared" si="4"/>
        <v/>
      </c>
      <c r="D58" s="28" t="str">
        <f t="shared" si="5"/>
        <v/>
      </c>
      <c r="P58" s="2" t="str">
        <f t="shared" si="7"/>
        <v/>
      </c>
      <c r="Q58" s="2" t="str">
        <f t="shared" si="0"/>
        <v/>
      </c>
      <c r="R58" s="2" t="str">
        <f t="shared" si="8"/>
        <v/>
      </c>
      <c r="T58" s="2" t="str">
        <f t="shared" si="10"/>
        <v/>
      </c>
      <c r="U58" s="2" t="str">
        <f t="shared" si="11"/>
        <v/>
      </c>
      <c r="V58" s="2" t="str">
        <f t="shared" si="12"/>
        <v/>
      </c>
      <c r="W58" s="2" t="str">
        <f t="shared" si="13"/>
        <v/>
      </c>
      <c r="X58" s="2">
        <f t="shared" si="14"/>
        <v>4</v>
      </c>
      <c r="Y58" s="2" t="str">
        <f t="shared" si="15"/>
        <v>Over 47.5</v>
      </c>
      <c r="Z58" s="2" t="str">
        <f t="shared" si="16"/>
        <v/>
      </c>
      <c r="AA58" s="2" t="str">
        <f t="shared" si="1"/>
        <v/>
      </c>
      <c r="AB58" s="2" t="str">
        <f t="shared" si="17"/>
        <v/>
      </c>
    </row>
    <row r="59" spans="1:28" x14ac:dyDescent="0.25">
      <c r="A59" s="4">
        <f t="shared" si="2"/>
        <v>0</v>
      </c>
      <c r="B59" s="3" t="str">
        <f t="shared" si="3"/>
        <v/>
      </c>
      <c r="C59" s="3" t="str">
        <f t="shared" si="4"/>
        <v/>
      </c>
      <c r="D59" s="28" t="str">
        <f t="shared" si="5"/>
        <v/>
      </c>
      <c r="P59" s="2" t="str">
        <f t="shared" si="7"/>
        <v/>
      </c>
      <c r="Q59" s="2" t="str">
        <f t="shared" si="0"/>
        <v/>
      </c>
      <c r="R59" s="2" t="str">
        <f t="shared" si="8"/>
        <v/>
      </c>
      <c r="T59" s="2" t="str">
        <f t="shared" si="10"/>
        <v/>
      </c>
      <c r="U59" s="2" t="str">
        <f t="shared" si="11"/>
        <v/>
      </c>
      <c r="V59" s="2" t="str">
        <f t="shared" si="12"/>
        <v/>
      </c>
      <c r="W59" s="2" t="str">
        <f t="shared" si="13"/>
        <v/>
      </c>
      <c r="X59" s="2">
        <f t="shared" si="14"/>
        <v>4</v>
      </c>
      <c r="Y59" s="2">
        <f t="shared" si="15"/>
        <v>0.92264000000000002</v>
      </c>
      <c r="Z59" s="2" t="str">
        <f t="shared" si="16"/>
        <v/>
      </c>
      <c r="AA59" s="2" t="str">
        <f t="shared" si="1"/>
        <v/>
      </c>
      <c r="AB59" s="2" t="str">
        <f t="shared" si="17"/>
        <v/>
      </c>
    </row>
    <row r="60" spans="1:28" x14ac:dyDescent="0.25">
      <c r="A60" s="4">
        <f t="shared" si="2"/>
        <v>0</v>
      </c>
      <c r="B60" s="3" t="str">
        <f t="shared" si="3"/>
        <v/>
      </c>
      <c r="C60" s="3" t="str">
        <f t="shared" si="4"/>
        <v/>
      </c>
      <c r="D60" s="28" t="str">
        <f t="shared" si="5"/>
        <v/>
      </c>
      <c r="P60" s="2" t="str">
        <f t="shared" si="7"/>
        <v/>
      </c>
      <c r="Q60" s="2" t="str">
        <f t="shared" si="0"/>
        <v/>
      </c>
      <c r="R60" s="2" t="str">
        <f t="shared" si="8"/>
        <v/>
      </c>
      <c r="T60" s="2" t="str">
        <f t="shared" si="10"/>
        <v/>
      </c>
      <c r="U60" s="2" t="str">
        <f t="shared" si="11"/>
        <v/>
      </c>
      <c r="V60" s="2" t="str">
        <f t="shared" si="12"/>
        <v/>
      </c>
      <c r="W60" s="2" t="str">
        <f t="shared" si="13"/>
        <v/>
      </c>
      <c r="X60" s="2">
        <f t="shared" si="14"/>
        <v>4</v>
      </c>
      <c r="Y60" s="2" t="str">
        <f t="shared" si="15"/>
        <v/>
      </c>
      <c r="Z60" s="2" t="str">
        <f t="shared" si="16"/>
        <v/>
      </c>
      <c r="AA60" s="2" t="str">
        <f t="shared" si="1"/>
        <v/>
      </c>
      <c r="AB60" s="2" t="str">
        <f t="shared" si="17"/>
        <v/>
      </c>
    </row>
    <row r="61" spans="1:28" x14ac:dyDescent="0.25">
      <c r="A61" s="4">
        <f t="shared" si="2"/>
        <v>0</v>
      </c>
      <c r="B61" s="3" t="str">
        <f t="shared" si="3"/>
        <v/>
      </c>
      <c r="C61" s="3" t="str">
        <f t="shared" si="4"/>
        <v/>
      </c>
      <c r="D61" s="28" t="str">
        <f t="shared" si="5"/>
        <v/>
      </c>
      <c r="P61" s="2" t="str">
        <f t="shared" si="7"/>
        <v/>
      </c>
      <c r="Q61" s="2" t="str">
        <f t="shared" si="0"/>
        <v/>
      </c>
      <c r="R61" s="2" t="str">
        <f t="shared" si="8"/>
        <v/>
      </c>
      <c r="T61" s="2" t="str">
        <f t="shared" si="10"/>
        <v/>
      </c>
      <c r="U61" s="2" t="str">
        <f t="shared" si="11"/>
        <v/>
      </c>
      <c r="V61" s="2" t="str">
        <f t="shared" si="12"/>
        <v/>
      </c>
      <c r="W61" s="2" t="str">
        <f t="shared" si="13"/>
        <v/>
      </c>
      <c r="X61" s="2">
        <f t="shared" si="14"/>
        <v>4</v>
      </c>
      <c r="Y61" s="2" t="str">
        <f t="shared" si="15"/>
        <v/>
      </c>
      <c r="Z61" s="2" t="str">
        <f t="shared" si="16"/>
        <v/>
      </c>
      <c r="AA61" s="2" t="str">
        <f t="shared" si="1"/>
        <v/>
      </c>
      <c r="AB61" s="2" t="str">
        <f t="shared" si="17"/>
        <v/>
      </c>
    </row>
    <row r="62" spans="1:28" x14ac:dyDescent="0.25">
      <c r="A62" s="4">
        <f t="shared" si="2"/>
        <v>0</v>
      </c>
      <c r="B62" s="3" t="str">
        <f t="shared" si="3"/>
        <v/>
      </c>
      <c r="C62" s="3" t="str">
        <f t="shared" si="4"/>
        <v/>
      </c>
      <c r="D62" s="28" t="str">
        <f t="shared" si="5"/>
        <v/>
      </c>
      <c r="P62" s="2" t="str">
        <f t="shared" si="7"/>
        <v/>
      </c>
      <c r="Q62" s="2" t="str">
        <f t="shared" si="0"/>
        <v/>
      </c>
      <c r="R62" s="2" t="str">
        <f t="shared" si="8"/>
        <v/>
      </c>
      <c r="T62" s="2" t="str">
        <f t="shared" si="10"/>
        <v/>
      </c>
      <c r="U62" s="2" t="str">
        <f t="shared" si="11"/>
        <v/>
      </c>
      <c r="V62" s="2" t="str">
        <f t="shared" si="12"/>
        <v/>
      </c>
      <c r="W62" s="2" t="str">
        <f t="shared" si="13"/>
        <v/>
      </c>
      <c r="X62" s="2">
        <f t="shared" si="14"/>
        <v>4</v>
      </c>
      <c r="Y62" s="2" t="str">
        <f t="shared" si="15"/>
        <v/>
      </c>
      <c r="Z62" s="2" t="str">
        <f t="shared" si="16"/>
        <v/>
      </c>
      <c r="AA62" s="2" t="str">
        <f t="shared" si="1"/>
        <v/>
      </c>
      <c r="AB62" s="2" t="str">
        <f t="shared" si="17"/>
        <v/>
      </c>
    </row>
    <row r="63" spans="1:28" x14ac:dyDescent="0.25">
      <c r="A63" s="4">
        <f t="shared" si="2"/>
        <v>0</v>
      </c>
      <c r="B63" s="3" t="str">
        <f t="shared" si="3"/>
        <v/>
      </c>
      <c r="C63" s="3" t="str">
        <f t="shared" si="4"/>
        <v/>
      </c>
      <c r="D63" s="28" t="str">
        <f t="shared" si="5"/>
        <v/>
      </c>
      <c r="P63" s="2" t="str">
        <f t="shared" si="7"/>
        <v/>
      </c>
      <c r="Q63" s="2" t="str">
        <f t="shared" si="0"/>
        <v/>
      </c>
      <c r="R63" s="2" t="str">
        <f t="shared" si="8"/>
        <v/>
      </c>
      <c r="T63" s="2" t="str">
        <f t="shared" si="10"/>
        <v/>
      </c>
      <c r="U63" s="2" t="str">
        <f t="shared" si="11"/>
        <v/>
      </c>
      <c r="V63" s="2" t="str">
        <f t="shared" si="12"/>
        <v/>
      </c>
      <c r="W63" s="2" t="str">
        <f t="shared" si="13"/>
        <v/>
      </c>
      <c r="X63" s="2">
        <f t="shared" si="14"/>
        <v>4</v>
      </c>
      <c r="Y63" s="2" t="str">
        <f t="shared" si="15"/>
        <v/>
      </c>
      <c r="Z63" s="2" t="str">
        <f t="shared" si="16"/>
        <v/>
      </c>
      <c r="AA63" s="2" t="str">
        <f t="shared" si="1"/>
        <v/>
      </c>
      <c r="AB63" s="2" t="str">
        <f t="shared" si="17"/>
        <v/>
      </c>
    </row>
    <row r="64" spans="1:28" x14ac:dyDescent="0.25">
      <c r="A64" s="4">
        <f t="shared" si="2"/>
        <v>0</v>
      </c>
      <c r="B64" s="3" t="str">
        <f t="shared" si="3"/>
        <v/>
      </c>
      <c r="C64" s="3" t="str">
        <f t="shared" si="4"/>
        <v/>
      </c>
      <c r="D64" s="28" t="str">
        <f t="shared" si="5"/>
        <v/>
      </c>
      <c r="P64" s="2" t="str">
        <f t="shared" si="7"/>
        <v/>
      </c>
      <c r="Q64" s="2" t="str">
        <f t="shared" si="0"/>
        <v/>
      </c>
      <c r="R64" s="2" t="str">
        <f t="shared" si="8"/>
        <v/>
      </c>
      <c r="T64" s="2" t="str">
        <f t="shared" si="10"/>
        <v/>
      </c>
      <c r="U64" s="2" t="str">
        <f t="shared" si="11"/>
        <v/>
      </c>
      <c r="V64" s="2" t="str">
        <f t="shared" si="12"/>
        <v/>
      </c>
      <c r="W64" s="2" t="str">
        <f t="shared" si="13"/>
        <v/>
      </c>
      <c r="X64" s="2">
        <f t="shared" si="14"/>
        <v>4</v>
      </c>
      <c r="Y64" s="2" t="str">
        <f t="shared" si="15"/>
        <v/>
      </c>
      <c r="Z64" s="2" t="str">
        <f t="shared" si="16"/>
        <v/>
      </c>
      <c r="AA64" s="2" t="str">
        <f t="shared" si="1"/>
        <v/>
      </c>
      <c r="AB64" s="2" t="str">
        <f t="shared" si="17"/>
        <v/>
      </c>
    </row>
    <row r="65" spans="1:28" x14ac:dyDescent="0.25">
      <c r="A65" s="4">
        <f t="shared" si="2"/>
        <v>0</v>
      </c>
      <c r="B65" s="3" t="str">
        <f t="shared" si="3"/>
        <v/>
      </c>
      <c r="C65" s="3" t="str">
        <f t="shared" si="4"/>
        <v/>
      </c>
      <c r="D65" s="28" t="str">
        <f t="shared" si="5"/>
        <v/>
      </c>
      <c r="P65" s="2" t="str">
        <f t="shared" si="7"/>
        <v/>
      </c>
      <c r="Q65" s="2" t="str">
        <f t="shared" si="0"/>
        <v/>
      </c>
      <c r="R65" s="2" t="str">
        <f t="shared" si="8"/>
        <v/>
      </c>
      <c r="T65" s="2" t="str">
        <f t="shared" si="10"/>
        <v/>
      </c>
      <c r="U65" s="2" t="str">
        <f t="shared" si="11"/>
        <v/>
      </c>
      <c r="V65" s="2" t="str">
        <f t="shared" si="12"/>
        <v/>
      </c>
      <c r="W65" s="2" t="str">
        <f t="shared" si="13"/>
        <v/>
      </c>
      <c r="X65" s="2">
        <f t="shared" si="14"/>
        <v>4</v>
      </c>
      <c r="Y65" s="2" t="str">
        <f t="shared" si="15"/>
        <v/>
      </c>
      <c r="Z65" s="2" t="str">
        <f t="shared" si="16"/>
        <v/>
      </c>
      <c r="AA65" s="2" t="str">
        <f t="shared" si="1"/>
        <v/>
      </c>
      <c r="AB65" s="2" t="str">
        <f t="shared" si="17"/>
        <v/>
      </c>
    </row>
    <row r="66" spans="1:28" x14ac:dyDescent="0.25">
      <c r="A66" s="4">
        <f t="shared" si="2"/>
        <v>0</v>
      </c>
      <c r="B66" s="3" t="str">
        <f t="shared" si="3"/>
        <v/>
      </c>
      <c r="C66" s="3" t="str">
        <f t="shared" si="4"/>
        <v/>
      </c>
      <c r="D66" s="28" t="str">
        <f t="shared" si="5"/>
        <v/>
      </c>
      <c r="P66" s="2" t="str">
        <f t="shared" si="7"/>
        <v/>
      </c>
      <c r="Q66" s="2" t="str">
        <f t="shared" si="0"/>
        <v/>
      </c>
      <c r="R66" s="2" t="str">
        <f t="shared" si="8"/>
        <v/>
      </c>
      <c r="T66" s="2" t="str">
        <f t="shared" si="10"/>
        <v/>
      </c>
      <c r="U66" s="2" t="str">
        <f t="shared" si="11"/>
        <v/>
      </c>
      <c r="V66" s="2" t="str">
        <f t="shared" si="12"/>
        <v/>
      </c>
      <c r="W66" s="2" t="str">
        <f t="shared" si="13"/>
        <v/>
      </c>
      <c r="X66" s="2">
        <f t="shared" si="14"/>
        <v>4</v>
      </c>
      <c r="Y66" s="2" t="str">
        <f t="shared" si="15"/>
        <v/>
      </c>
      <c r="Z66" s="2" t="str">
        <f t="shared" si="16"/>
        <v/>
      </c>
      <c r="AA66" s="2" t="str">
        <f t="shared" si="1"/>
        <v/>
      </c>
      <c r="AB66" s="2" t="str">
        <f t="shared" si="17"/>
        <v/>
      </c>
    </row>
    <row r="67" spans="1:28" x14ac:dyDescent="0.25">
      <c r="A67" s="4">
        <f t="shared" si="2"/>
        <v>0</v>
      </c>
      <c r="B67" s="3" t="str">
        <f t="shared" si="3"/>
        <v/>
      </c>
      <c r="C67" s="3" t="str">
        <f t="shared" si="4"/>
        <v/>
      </c>
      <c r="D67" s="28" t="str">
        <f t="shared" si="5"/>
        <v/>
      </c>
      <c r="P67" s="2" t="str">
        <f t="shared" si="7"/>
        <v/>
      </c>
      <c r="Q67" s="2" t="str">
        <f t="shared" si="0"/>
        <v/>
      </c>
      <c r="R67" s="2" t="str">
        <f t="shared" si="8"/>
        <v/>
      </c>
      <c r="T67" s="2" t="str">
        <f t="shared" si="10"/>
        <v/>
      </c>
      <c r="U67" s="2" t="str">
        <f t="shared" si="11"/>
        <v/>
      </c>
      <c r="V67" s="2" t="str">
        <f t="shared" si="12"/>
        <v/>
      </c>
      <c r="W67" s="2" t="str">
        <f t="shared" si="13"/>
        <v/>
      </c>
      <c r="X67" s="2">
        <f t="shared" si="14"/>
        <v>4</v>
      </c>
      <c r="Y67" s="2" t="str">
        <f t="shared" si="15"/>
        <v/>
      </c>
      <c r="Z67" s="2" t="str">
        <f t="shared" si="16"/>
        <v/>
      </c>
      <c r="AA67" s="2" t="str">
        <f t="shared" ref="AA67:AA130" si="18">IF(ISNUMBER(SEARCH("@",Y67)),Y68,"")</f>
        <v/>
      </c>
      <c r="AB67" s="2" t="str">
        <f t="shared" si="17"/>
        <v/>
      </c>
    </row>
    <row r="68" spans="1:28" x14ac:dyDescent="0.25">
      <c r="A68" s="4">
        <f t="shared" ref="A68:A101" si="19">IF(ISNUMBER(CODE(B68)),1,0)</f>
        <v>0</v>
      </c>
      <c r="B68" s="3" t="str">
        <f t="shared" ref="B68:B101" si="20">IFERROR(VLOOKUP(ROW()-2,$X$3:$AA$290,3,0),"")</f>
        <v/>
      </c>
      <c r="C68" s="3" t="str">
        <f t="shared" ref="C68:C101" si="21">IFERROR(VLOOKUP(ROW()-2,$X$3:$AA$290,4,0),"")</f>
        <v/>
      </c>
      <c r="D68" s="28" t="str">
        <f t="shared" ref="D68:D101" si="22">IFERROR(VLOOKUP(ROW()-2,$X$3:$AB$290,5,0),"")</f>
        <v/>
      </c>
      <c r="P68" s="2" t="str">
        <f t="shared" ref="P68:P98" si="23">IF(J68="under",IF(HLOOKUP("Under",J68:K70,3,0)&gt;=$K$1,"Under "&amp;J69,IF(HLOOKUP("Over",J68:K70,3,0)&gt;=$K$1,"Over "&amp;J69,"")),"")</f>
        <v/>
      </c>
      <c r="Q68" s="2" t="str">
        <f t="shared" ref="Q68:Q98" si="24">IF(J68="under",IF(HLOOKUP("Under",J68:K70,3,0)&gt;=$K$1,J70,IF(HLOOKUP("Over",J68:K70,3,0)&gt;=$K$1,K70,"")),"")</f>
        <v/>
      </c>
      <c r="R68" s="2" t="str">
        <f t="shared" ref="R68:R98" si="25">IF(MOD(ROW(),3)=0,IF(L70&gt;=$K$1,I68&amp;" @ "&amp;H68,IF(M70&gt;=$K$1,I68&amp;" @ "&amp;H68,"")),"")</f>
        <v/>
      </c>
      <c r="T68" s="2" t="str">
        <f t="shared" ref="T68:T131" si="26">IF(MOD(ROW(),3)=0,IF(L70&gt;=$K$1,L70,IF(M70&gt;=$K$1,M70,"")),"")</f>
        <v/>
      </c>
      <c r="U68" s="2" t="str">
        <f t="shared" ref="U68:U131" si="27">IF(MOD(ROW(),3)=0,IF(H69="Dog",IF(H70&gt;=0.75,I68&amp;" @ "&amp;H68,""),IF(I70&gt;=0.75,I68&amp;" @ "&amp;H68,"")),"")</f>
        <v/>
      </c>
      <c r="V68" s="2" t="str">
        <f t="shared" ref="V68:V131" si="28">IF(MOD(ROW(),3)=0,IF(H69="Dog",IF(H70&gt;=0.75,H68&amp;" Moneyline",""),IF(I70&gt;=0.75,I68&amp;" Moneyline","")),"")</f>
        <v/>
      </c>
      <c r="W68" s="2" t="str">
        <f t="shared" ref="W68:W131" si="29">IF(MOD(ROW(),3)=0,IF(H69="Dog",IF(H70&gt;=0.75,H70,""),IF(I70&gt;=0.75,I70,"")),"")</f>
        <v/>
      </c>
      <c r="X68" s="2">
        <f t="shared" ref="X68:X131" si="30">IF(ISNUMBER(CODE(Z68)),X67+1,X67)</f>
        <v>4</v>
      </c>
      <c r="Y68" s="2" t="str">
        <f t="shared" ref="Y68:Y131" si="31">INDEX($O$3:$W$50,1+INT((ROW(A66)-1)/COLUMNS($O$3:$W$50)),MOD(ROW(A66)-1+COLUMNS($O$3:$W$50),COLUMNS($O$3:$W$50))+1)</f>
        <v/>
      </c>
      <c r="Z68" s="2" t="str">
        <f t="shared" ref="Z68:Z131" si="32">IF(ISNUMBER(SEARCH("@",Y68)),Y68,"")</f>
        <v/>
      </c>
      <c r="AA68" s="2" t="str">
        <f t="shared" si="18"/>
        <v/>
      </c>
      <c r="AB68" s="2" t="str">
        <f t="shared" ref="AB68:AB131" si="33">IF(ISNUMBER(SEARCH("@",Y68)),Y70,"")</f>
        <v/>
      </c>
    </row>
    <row r="69" spans="1:28" x14ac:dyDescent="0.25">
      <c r="A69" s="4">
        <f t="shared" si="19"/>
        <v>0</v>
      </c>
      <c r="B69" s="3" t="str">
        <f t="shared" si="20"/>
        <v/>
      </c>
      <c r="C69" s="3" t="str">
        <f t="shared" si="21"/>
        <v/>
      </c>
      <c r="D69" s="28" t="str">
        <f t="shared" si="22"/>
        <v/>
      </c>
      <c r="P69" s="2" t="str">
        <f t="shared" si="23"/>
        <v/>
      </c>
      <c r="Q69" s="2" t="str">
        <f t="shared" si="24"/>
        <v/>
      </c>
      <c r="R69" s="2" t="str">
        <f t="shared" si="25"/>
        <v/>
      </c>
      <c r="T69" s="2" t="str">
        <f t="shared" si="26"/>
        <v/>
      </c>
      <c r="U69" s="2" t="str">
        <f t="shared" si="27"/>
        <v/>
      </c>
      <c r="V69" s="2" t="str">
        <f t="shared" si="28"/>
        <v/>
      </c>
      <c r="W69" s="2" t="str">
        <f t="shared" si="29"/>
        <v/>
      </c>
      <c r="X69" s="2">
        <f t="shared" si="30"/>
        <v>4</v>
      </c>
      <c r="Y69" s="2" t="str">
        <f t="shared" si="31"/>
        <v/>
      </c>
      <c r="Z69" s="2" t="str">
        <f t="shared" si="32"/>
        <v/>
      </c>
      <c r="AA69" s="2" t="str">
        <f t="shared" si="18"/>
        <v/>
      </c>
      <c r="AB69" s="2" t="str">
        <f t="shared" si="33"/>
        <v/>
      </c>
    </row>
    <row r="70" spans="1:28" x14ac:dyDescent="0.25">
      <c r="A70" s="4">
        <f t="shared" si="19"/>
        <v>0</v>
      </c>
      <c r="B70" s="3" t="str">
        <f t="shared" si="20"/>
        <v/>
      </c>
      <c r="C70" s="3" t="str">
        <f t="shared" si="21"/>
        <v/>
      </c>
      <c r="D70" s="28" t="str">
        <f t="shared" si="22"/>
        <v/>
      </c>
      <c r="P70" s="2" t="str">
        <f t="shared" si="23"/>
        <v/>
      </c>
      <c r="Q70" s="2" t="str">
        <f t="shared" si="24"/>
        <v/>
      </c>
      <c r="R70" s="2" t="str">
        <f t="shared" si="25"/>
        <v/>
      </c>
      <c r="T70" s="2" t="str">
        <f t="shared" si="26"/>
        <v/>
      </c>
      <c r="U70" s="2" t="str">
        <f t="shared" si="27"/>
        <v/>
      </c>
      <c r="V70" s="2" t="str">
        <f t="shared" si="28"/>
        <v/>
      </c>
      <c r="W70" s="2" t="str">
        <f t="shared" si="29"/>
        <v/>
      </c>
      <c r="X70" s="2">
        <f t="shared" si="30"/>
        <v>4</v>
      </c>
      <c r="Y70" s="2" t="str">
        <f t="shared" si="31"/>
        <v/>
      </c>
      <c r="Z70" s="2" t="str">
        <f t="shared" si="32"/>
        <v/>
      </c>
      <c r="AA70" s="2" t="str">
        <f t="shared" si="18"/>
        <v/>
      </c>
      <c r="AB70" s="2" t="str">
        <f t="shared" si="33"/>
        <v/>
      </c>
    </row>
    <row r="71" spans="1:28" x14ac:dyDescent="0.25">
      <c r="A71" s="4">
        <f t="shared" si="19"/>
        <v>0</v>
      </c>
      <c r="B71" s="3" t="str">
        <f t="shared" si="20"/>
        <v/>
      </c>
      <c r="C71" s="3" t="str">
        <f t="shared" si="21"/>
        <v/>
      </c>
      <c r="D71" s="28" t="str">
        <f t="shared" si="22"/>
        <v/>
      </c>
      <c r="P71" s="2" t="str">
        <f t="shared" si="23"/>
        <v/>
      </c>
      <c r="Q71" s="2" t="str">
        <f t="shared" si="24"/>
        <v/>
      </c>
      <c r="R71" s="2" t="str">
        <f t="shared" si="25"/>
        <v/>
      </c>
      <c r="T71" s="2" t="str">
        <f t="shared" si="26"/>
        <v/>
      </c>
      <c r="U71" s="2" t="str">
        <f t="shared" si="27"/>
        <v/>
      </c>
      <c r="V71" s="2" t="str">
        <f t="shared" si="28"/>
        <v/>
      </c>
      <c r="W71" s="2" t="str">
        <f t="shared" si="29"/>
        <v/>
      </c>
      <c r="X71" s="2">
        <f t="shared" si="30"/>
        <v>4</v>
      </c>
      <c r="Y71" s="2" t="str">
        <f t="shared" si="31"/>
        <v/>
      </c>
      <c r="Z71" s="2" t="str">
        <f t="shared" si="32"/>
        <v/>
      </c>
      <c r="AA71" s="2" t="str">
        <f t="shared" si="18"/>
        <v/>
      </c>
      <c r="AB71" s="2" t="str">
        <f t="shared" si="33"/>
        <v/>
      </c>
    </row>
    <row r="72" spans="1:28" x14ac:dyDescent="0.25">
      <c r="A72" s="4">
        <f t="shared" si="19"/>
        <v>0</v>
      </c>
      <c r="B72" s="3" t="str">
        <f t="shared" si="20"/>
        <v/>
      </c>
      <c r="C72" s="3" t="str">
        <f t="shared" si="21"/>
        <v/>
      </c>
      <c r="D72" s="28" t="str">
        <f t="shared" si="22"/>
        <v/>
      </c>
      <c r="P72" s="2" t="str">
        <f t="shared" si="23"/>
        <v/>
      </c>
      <c r="Q72" s="2" t="str">
        <f t="shared" si="24"/>
        <v/>
      </c>
      <c r="R72" s="2" t="str">
        <f t="shared" si="25"/>
        <v/>
      </c>
      <c r="T72" s="2" t="str">
        <f t="shared" si="26"/>
        <v/>
      </c>
      <c r="U72" s="2" t="str">
        <f t="shared" si="27"/>
        <v/>
      </c>
      <c r="V72" s="2" t="str">
        <f t="shared" si="28"/>
        <v/>
      </c>
      <c r="W72" s="2" t="str">
        <f t="shared" si="29"/>
        <v/>
      </c>
      <c r="X72" s="2">
        <f t="shared" si="30"/>
        <v>4</v>
      </c>
      <c r="Y72" s="2" t="str">
        <f t="shared" si="31"/>
        <v/>
      </c>
      <c r="Z72" s="2" t="str">
        <f t="shared" si="32"/>
        <v/>
      </c>
      <c r="AA72" s="2" t="str">
        <f t="shared" si="18"/>
        <v/>
      </c>
      <c r="AB72" s="2" t="str">
        <f t="shared" si="33"/>
        <v/>
      </c>
    </row>
    <row r="73" spans="1:28" x14ac:dyDescent="0.25">
      <c r="A73" s="4">
        <f t="shared" si="19"/>
        <v>0</v>
      </c>
      <c r="B73" s="3" t="str">
        <f t="shared" si="20"/>
        <v/>
      </c>
      <c r="C73" s="3" t="str">
        <f t="shared" si="21"/>
        <v/>
      </c>
      <c r="D73" s="28" t="str">
        <f t="shared" si="22"/>
        <v/>
      </c>
      <c r="P73" s="2" t="str">
        <f t="shared" si="23"/>
        <v/>
      </c>
      <c r="Q73" s="2" t="str">
        <f t="shared" si="24"/>
        <v/>
      </c>
      <c r="R73" s="2" t="str">
        <f t="shared" si="25"/>
        <v/>
      </c>
      <c r="T73" s="2" t="str">
        <f t="shared" si="26"/>
        <v/>
      </c>
      <c r="U73" s="2" t="str">
        <f t="shared" si="27"/>
        <v/>
      </c>
      <c r="V73" s="2" t="str">
        <f t="shared" si="28"/>
        <v/>
      </c>
      <c r="W73" s="2" t="str">
        <f t="shared" si="29"/>
        <v/>
      </c>
      <c r="X73" s="2">
        <f t="shared" si="30"/>
        <v>4</v>
      </c>
      <c r="Y73" s="2" t="str">
        <f t="shared" si="31"/>
        <v/>
      </c>
      <c r="Z73" s="2" t="str">
        <f t="shared" si="32"/>
        <v/>
      </c>
      <c r="AA73" s="2" t="str">
        <f t="shared" si="18"/>
        <v/>
      </c>
      <c r="AB73" s="2" t="str">
        <f t="shared" si="33"/>
        <v/>
      </c>
    </row>
    <row r="74" spans="1:28" x14ac:dyDescent="0.25">
      <c r="A74" s="4">
        <f t="shared" si="19"/>
        <v>0</v>
      </c>
      <c r="B74" s="3" t="str">
        <f t="shared" si="20"/>
        <v/>
      </c>
      <c r="C74" s="3" t="str">
        <f t="shared" si="21"/>
        <v/>
      </c>
      <c r="D74" s="28" t="str">
        <f t="shared" si="22"/>
        <v/>
      </c>
      <c r="P74" s="2" t="str">
        <f t="shared" si="23"/>
        <v/>
      </c>
      <c r="Q74" s="2" t="str">
        <f t="shared" si="24"/>
        <v/>
      </c>
      <c r="R74" s="2" t="str">
        <f t="shared" si="25"/>
        <v/>
      </c>
      <c r="T74" s="2" t="str">
        <f t="shared" si="26"/>
        <v/>
      </c>
      <c r="U74" s="2" t="str">
        <f t="shared" si="27"/>
        <v/>
      </c>
      <c r="V74" s="2" t="str">
        <f t="shared" si="28"/>
        <v/>
      </c>
      <c r="W74" s="2" t="str">
        <f t="shared" si="29"/>
        <v/>
      </c>
      <c r="X74" s="2">
        <f t="shared" si="30"/>
        <v>4</v>
      </c>
      <c r="Y74" s="2" t="str">
        <f t="shared" si="31"/>
        <v/>
      </c>
      <c r="Z74" s="2" t="str">
        <f t="shared" si="32"/>
        <v/>
      </c>
      <c r="AA74" s="2" t="str">
        <f t="shared" si="18"/>
        <v/>
      </c>
      <c r="AB74" s="2" t="str">
        <f t="shared" si="33"/>
        <v/>
      </c>
    </row>
    <row r="75" spans="1:28" x14ac:dyDescent="0.25">
      <c r="A75" s="4">
        <f t="shared" si="19"/>
        <v>0</v>
      </c>
      <c r="B75" s="3" t="str">
        <f t="shared" si="20"/>
        <v/>
      </c>
      <c r="C75" s="3" t="str">
        <f t="shared" si="21"/>
        <v/>
      </c>
      <c r="D75" s="28" t="str">
        <f t="shared" si="22"/>
        <v/>
      </c>
      <c r="P75" s="2" t="str">
        <f t="shared" si="23"/>
        <v/>
      </c>
      <c r="Q75" s="2" t="str">
        <f t="shared" si="24"/>
        <v/>
      </c>
      <c r="R75" s="2" t="str">
        <f t="shared" si="25"/>
        <v/>
      </c>
      <c r="T75" s="2" t="str">
        <f t="shared" si="26"/>
        <v/>
      </c>
      <c r="U75" s="2" t="str">
        <f t="shared" si="27"/>
        <v/>
      </c>
      <c r="V75" s="2" t="str">
        <f t="shared" si="28"/>
        <v/>
      </c>
      <c r="W75" s="2" t="str">
        <f t="shared" si="29"/>
        <v/>
      </c>
      <c r="X75" s="2">
        <f t="shared" si="30"/>
        <v>4</v>
      </c>
      <c r="Y75" s="2" t="str">
        <f t="shared" si="31"/>
        <v/>
      </c>
      <c r="Z75" s="2" t="str">
        <f t="shared" si="32"/>
        <v/>
      </c>
      <c r="AA75" s="2" t="str">
        <f t="shared" si="18"/>
        <v/>
      </c>
      <c r="AB75" s="2" t="str">
        <f t="shared" si="33"/>
        <v/>
      </c>
    </row>
    <row r="76" spans="1:28" x14ac:dyDescent="0.25">
      <c r="A76" s="4">
        <f t="shared" si="19"/>
        <v>0</v>
      </c>
      <c r="B76" s="3" t="str">
        <f t="shared" si="20"/>
        <v/>
      </c>
      <c r="C76" s="3" t="str">
        <f t="shared" si="21"/>
        <v/>
      </c>
      <c r="D76" s="28" t="str">
        <f t="shared" si="22"/>
        <v/>
      </c>
      <c r="P76" s="2" t="str">
        <f t="shared" si="23"/>
        <v/>
      </c>
      <c r="Q76" s="2" t="str">
        <f t="shared" si="24"/>
        <v/>
      </c>
      <c r="R76" s="2" t="str">
        <f t="shared" si="25"/>
        <v/>
      </c>
      <c r="T76" s="2" t="str">
        <f t="shared" si="26"/>
        <v/>
      </c>
      <c r="U76" s="2" t="str">
        <f t="shared" si="27"/>
        <v/>
      </c>
      <c r="V76" s="2" t="str">
        <f t="shared" si="28"/>
        <v/>
      </c>
      <c r="W76" s="2" t="str">
        <f t="shared" si="29"/>
        <v/>
      </c>
      <c r="X76" s="2">
        <f t="shared" si="30"/>
        <v>4</v>
      </c>
      <c r="Y76" s="2" t="str">
        <f t="shared" si="31"/>
        <v/>
      </c>
      <c r="Z76" s="2" t="str">
        <f t="shared" si="32"/>
        <v/>
      </c>
      <c r="AA76" s="2" t="str">
        <f t="shared" si="18"/>
        <v/>
      </c>
      <c r="AB76" s="2" t="str">
        <f t="shared" si="33"/>
        <v/>
      </c>
    </row>
    <row r="77" spans="1:28" x14ac:dyDescent="0.25">
      <c r="A77" s="4">
        <f t="shared" si="19"/>
        <v>0</v>
      </c>
      <c r="B77" s="3" t="str">
        <f t="shared" si="20"/>
        <v/>
      </c>
      <c r="C77" s="3" t="str">
        <f t="shared" si="21"/>
        <v/>
      </c>
      <c r="D77" s="28" t="str">
        <f t="shared" si="22"/>
        <v/>
      </c>
      <c r="P77" s="2" t="str">
        <f t="shared" si="23"/>
        <v/>
      </c>
      <c r="Q77" s="2" t="str">
        <f t="shared" si="24"/>
        <v/>
      </c>
      <c r="R77" s="2" t="str">
        <f t="shared" si="25"/>
        <v/>
      </c>
      <c r="T77" s="2" t="str">
        <f t="shared" si="26"/>
        <v/>
      </c>
      <c r="U77" s="2" t="str">
        <f t="shared" si="27"/>
        <v/>
      </c>
      <c r="V77" s="2" t="str">
        <f t="shared" si="28"/>
        <v/>
      </c>
      <c r="W77" s="2" t="str">
        <f t="shared" si="29"/>
        <v/>
      </c>
      <c r="X77" s="2">
        <f t="shared" si="30"/>
        <v>4</v>
      </c>
      <c r="Y77" s="2" t="str">
        <f t="shared" si="31"/>
        <v/>
      </c>
      <c r="Z77" s="2" t="str">
        <f t="shared" si="32"/>
        <v/>
      </c>
      <c r="AA77" s="2" t="str">
        <f t="shared" si="18"/>
        <v/>
      </c>
      <c r="AB77" s="2" t="str">
        <f t="shared" si="33"/>
        <v/>
      </c>
    </row>
    <row r="78" spans="1:28" x14ac:dyDescent="0.25">
      <c r="A78" s="4">
        <f t="shared" si="19"/>
        <v>0</v>
      </c>
      <c r="B78" s="3" t="str">
        <f t="shared" si="20"/>
        <v/>
      </c>
      <c r="C78" s="3" t="str">
        <f t="shared" si="21"/>
        <v/>
      </c>
      <c r="D78" s="28" t="str">
        <f t="shared" si="22"/>
        <v/>
      </c>
      <c r="P78" s="2" t="str">
        <f t="shared" si="23"/>
        <v/>
      </c>
      <c r="Q78" s="2" t="str">
        <f t="shared" si="24"/>
        <v/>
      </c>
      <c r="R78" s="2" t="str">
        <f t="shared" si="25"/>
        <v/>
      </c>
      <c r="T78" s="2" t="str">
        <f t="shared" si="26"/>
        <v/>
      </c>
      <c r="U78" s="2" t="str">
        <f t="shared" si="27"/>
        <v/>
      </c>
      <c r="V78" s="2" t="str">
        <f t="shared" si="28"/>
        <v/>
      </c>
      <c r="W78" s="2" t="str">
        <f t="shared" si="29"/>
        <v/>
      </c>
      <c r="X78" s="2">
        <f t="shared" si="30"/>
        <v>4</v>
      </c>
      <c r="Y78" s="2" t="str">
        <f t="shared" si="31"/>
        <v/>
      </c>
      <c r="Z78" s="2" t="str">
        <f t="shared" si="32"/>
        <v/>
      </c>
      <c r="AA78" s="2" t="str">
        <f t="shared" si="18"/>
        <v/>
      </c>
      <c r="AB78" s="2" t="str">
        <f t="shared" si="33"/>
        <v/>
      </c>
    </row>
    <row r="79" spans="1:28" x14ac:dyDescent="0.25">
      <c r="A79" s="4">
        <f t="shared" si="19"/>
        <v>0</v>
      </c>
      <c r="B79" s="3" t="str">
        <f t="shared" si="20"/>
        <v/>
      </c>
      <c r="C79" s="3" t="str">
        <f t="shared" si="21"/>
        <v/>
      </c>
      <c r="D79" s="28" t="str">
        <f t="shared" si="22"/>
        <v/>
      </c>
      <c r="P79" s="2" t="str">
        <f t="shared" si="23"/>
        <v/>
      </c>
      <c r="Q79" s="2" t="str">
        <f t="shared" si="24"/>
        <v/>
      </c>
      <c r="R79" s="2" t="str">
        <f t="shared" si="25"/>
        <v/>
      </c>
      <c r="T79" s="2" t="str">
        <f t="shared" si="26"/>
        <v/>
      </c>
      <c r="U79" s="2" t="str">
        <f t="shared" si="27"/>
        <v/>
      </c>
      <c r="V79" s="2" t="str">
        <f t="shared" si="28"/>
        <v/>
      </c>
      <c r="W79" s="2" t="str">
        <f t="shared" si="29"/>
        <v/>
      </c>
      <c r="X79" s="2">
        <f t="shared" si="30"/>
        <v>4</v>
      </c>
      <c r="Y79" s="2" t="str">
        <f t="shared" si="31"/>
        <v/>
      </c>
      <c r="Z79" s="2" t="str">
        <f t="shared" si="32"/>
        <v/>
      </c>
      <c r="AA79" s="2" t="str">
        <f t="shared" si="18"/>
        <v/>
      </c>
      <c r="AB79" s="2" t="str">
        <f t="shared" si="33"/>
        <v/>
      </c>
    </row>
    <row r="80" spans="1:28" x14ac:dyDescent="0.25">
      <c r="A80" s="4">
        <f t="shared" si="19"/>
        <v>0</v>
      </c>
      <c r="B80" s="3" t="str">
        <f t="shared" si="20"/>
        <v/>
      </c>
      <c r="C80" s="3" t="str">
        <f t="shared" si="21"/>
        <v/>
      </c>
      <c r="D80" s="28" t="str">
        <f t="shared" si="22"/>
        <v/>
      </c>
      <c r="P80" s="2" t="str">
        <f t="shared" si="23"/>
        <v/>
      </c>
      <c r="Q80" s="2" t="str">
        <f t="shared" si="24"/>
        <v/>
      </c>
      <c r="R80" s="2" t="str">
        <f t="shared" si="25"/>
        <v/>
      </c>
      <c r="T80" s="2" t="str">
        <f t="shared" si="26"/>
        <v/>
      </c>
      <c r="U80" s="2" t="str">
        <f t="shared" si="27"/>
        <v/>
      </c>
      <c r="V80" s="2" t="str">
        <f t="shared" si="28"/>
        <v/>
      </c>
      <c r="W80" s="2" t="str">
        <f t="shared" si="29"/>
        <v/>
      </c>
      <c r="X80" s="2">
        <f t="shared" si="30"/>
        <v>4</v>
      </c>
      <c r="Y80" s="2" t="str">
        <f t="shared" si="31"/>
        <v/>
      </c>
      <c r="Z80" s="2" t="str">
        <f t="shared" si="32"/>
        <v/>
      </c>
      <c r="AA80" s="2" t="str">
        <f t="shared" si="18"/>
        <v/>
      </c>
      <c r="AB80" s="2" t="str">
        <f t="shared" si="33"/>
        <v/>
      </c>
    </row>
    <row r="81" spans="1:28" x14ac:dyDescent="0.25">
      <c r="A81" s="4">
        <f t="shared" si="19"/>
        <v>0</v>
      </c>
      <c r="B81" s="3" t="str">
        <f t="shared" si="20"/>
        <v/>
      </c>
      <c r="C81" s="3" t="str">
        <f t="shared" si="21"/>
        <v/>
      </c>
      <c r="D81" s="28" t="str">
        <f t="shared" si="22"/>
        <v/>
      </c>
      <c r="P81" s="2" t="str">
        <f t="shared" si="23"/>
        <v/>
      </c>
      <c r="Q81" s="2" t="str">
        <f t="shared" si="24"/>
        <v/>
      </c>
      <c r="R81" s="2" t="str">
        <f t="shared" si="25"/>
        <v/>
      </c>
      <c r="T81" s="2" t="str">
        <f t="shared" si="26"/>
        <v/>
      </c>
      <c r="U81" s="2" t="str">
        <f t="shared" si="27"/>
        <v/>
      </c>
      <c r="V81" s="2" t="str">
        <f t="shared" si="28"/>
        <v/>
      </c>
      <c r="W81" s="2" t="str">
        <f t="shared" si="29"/>
        <v/>
      </c>
      <c r="X81" s="2">
        <f t="shared" si="30"/>
        <v>4</v>
      </c>
      <c r="Y81" s="2" t="str">
        <f t="shared" si="31"/>
        <v/>
      </c>
      <c r="Z81" s="2" t="str">
        <f t="shared" si="32"/>
        <v/>
      </c>
      <c r="AA81" s="2" t="str">
        <f t="shared" si="18"/>
        <v/>
      </c>
      <c r="AB81" s="2" t="str">
        <f t="shared" si="33"/>
        <v/>
      </c>
    </row>
    <row r="82" spans="1:28" x14ac:dyDescent="0.25">
      <c r="A82" s="4">
        <f t="shared" si="19"/>
        <v>0</v>
      </c>
      <c r="B82" s="3" t="str">
        <f t="shared" si="20"/>
        <v/>
      </c>
      <c r="C82" s="3" t="str">
        <f t="shared" si="21"/>
        <v/>
      </c>
      <c r="D82" s="28" t="str">
        <f t="shared" si="22"/>
        <v/>
      </c>
      <c r="P82" s="2" t="str">
        <f t="shared" si="23"/>
        <v/>
      </c>
      <c r="Q82" s="2" t="str">
        <f t="shared" si="24"/>
        <v/>
      </c>
      <c r="R82" s="2" t="str">
        <f t="shared" si="25"/>
        <v/>
      </c>
      <c r="T82" s="2" t="str">
        <f t="shared" si="26"/>
        <v/>
      </c>
      <c r="U82" s="2" t="str">
        <f t="shared" si="27"/>
        <v/>
      </c>
      <c r="V82" s="2" t="str">
        <f t="shared" si="28"/>
        <v/>
      </c>
      <c r="W82" s="2" t="str">
        <f t="shared" si="29"/>
        <v/>
      </c>
      <c r="X82" s="2">
        <f t="shared" si="30"/>
        <v>4</v>
      </c>
      <c r="Y82" s="2" t="str">
        <f t="shared" si="31"/>
        <v/>
      </c>
      <c r="Z82" s="2" t="str">
        <f t="shared" si="32"/>
        <v/>
      </c>
      <c r="AA82" s="2" t="str">
        <f t="shared" si="18"/>
        <v/>
      </c>
      <c r="AB82" s="2" t="str">
        <f t="shared" si="33"/>
        <v/>
      </c>
    </row>
    <row r="83" spans="1:28" x14ac:dyDescent="0.25">
      <c r="A83" s="4">
        <f t="shared" si="19"/>
        <v>0</v>
      </c>
      <c r="B83" s="3" t="str">
        <f t="shared" si="20"/>
        <v/>
      </c>
      <c r="C83" s="3" t="str">
        <f t="shared" si="21"/>
        <v/>
      </c>
      <c r="D83" s="28" t="str">
        <f t="shared" si="22"/>
        <v/>
      </c>
      <c r="P83" s="2" t="str">
        <f t="shared" si="23"/>
        <v/>
      </c>
      <c r="Q83" s="2" t="str">
        <f t="shared" si="24"/>
        <v/>
      </c>
      <c r="R83" s="2" t="str">
        <f t="shared" si="25"/>
        <v/>
      </c>
      <c r="T83" s="2" t="str">
        <f t="shared" si="26"/>
        <v/>
      </c>
      <c r="U83" s="2" t="str">
        <f t="shared" si="27"/>
        <v/>
      </c>
      <c r="V83" s="2" t="str">
        <f t="shared" si="28"/>
        <v/>
      </c>
      <c r="W83" s="2" t="str">
        <f t="shared" si="29"/>
        <v/>
      </c>
      <c r="X83" s="2">
        <f t="shared" si="30"/>
        <v>4</v>
      </c>
      <c r="Y83" s="2" t="str">
        <f t="shared" si="31"/>
        <v/>
      </c>
      <c r="Z83" s="2" t="str">
        <f t="shared" si="32"/>
        <v/>
      </c>
      <c r="AA83" s="2" t="str">
        <f t="shared" si="18"/>
        <v/>
      </c>
      <c r="AB83" s="2" t="str">
        <f t="shared" si="33"/>
        <v/>
      </c>
    </row>
    <row r="84" spans="1:28" x14ac:dyDescent="0.25">
      <c r="A84" s="4">
        <f t="shared" si="19"/>
        <v>0</v>
      </c>
      <c r="B84" s="3" t="str">
        <f t="shared" si="20"/>
        <v/>
      </c>
      <c r="C84" s="3" t="str">
        <f t="shared" si="21"/>
        <v/>
      </c>
      <c r="D84" s="28" t="str">
        <f t="shared" si="22"/>
        <v/>
      </c>
      <c r="P84" s="2" t="str">
        <f t="shared" si="23"/>
        <v/>
      </c>
      <c r="Q84" s="2" t="str">
        <f t="shared" si="24"/>
        <v/>
      </c>
      <c r="R84" s="2" t="str">
        <f t="shared" si="25"/>
        <v/>
      </c>
      <c r="T84" s="2" t="str">
        <f t="shared" si="26"/>
        <v/>
      </c>
      <c r="U84" s="2" t="str">
        <f t="shared" si="27"/>
        <v/>
      </c>
      <c r="V84" s="2" t="str">
        <f t="shared" si="28"/>
        <v/>
      </c>
      <c r="W84" s="2" t="str">
        <f t="shared" si="29"/>
        <v/>
      </c>
      <c r="X84" s="2">
        <f t="shared" si="30"/>
        <v>5</v>
      </c>
      <c r="Y84" s="2" t="str">
        <f t="shared" si="31"/>
        <v>Eagles @ Saints</v>
      </c>
      <c r="Z84" s="2" t="str">
        <f t="shared" si="32"/>
        <v>Eagles @ Saints</v>
      </c>
      <c r="AA84" s="2" t="str">
        <f t="shared" si="18"/>
        <v>Over 51</v>
      </c>
      <c r="AB84" s="2">
        <f t="shared" si="33"/>
        <v>0.74058999999999997</v>
      </c>
    </row>
    <row r="85" spans="1:28" x14ac:dyDescent="0.25">
      <c r="A85" s="4">
        <f t="shared" si="19"/>
        <v>0</v>
      </c>
      <c r="B85" s="3" t="str">
        <f t="shared" si="20"/>
        <v/>
      </c>
      <c r="C85" s="3" t="str">
        <f t="shared" si="21"/>
        <v/>
      </c>
      <c r="D85" s="28" t="str">
        <f t="shared" si="22"/>
        <v/>
      </c>
      <c r="P85" s="2" t="str">
        <f t="shared" si="23"/>
        <v/>
      </c>
      <c r="Q85" s="2" t="str">
        <f t="shared" si="24"/>
        <v/>
      </c>
      <c r="R85" s="2" t="str">
        <f t="shared" si="25"/>
        <v/>
      </c>
      <c r="T85" s="2" t="str">
        <f t="shared" si="26"/>
        <v/>
      </c>
      <c r="U85" s="2" t="str">
        <f t="shared" si="27"/>
        <v/>
      </c>
      <c r="V85" s="2" t="str">
        <f t="shared" si="28"/>
        <v/>
      </c>
      <c r="W85" s="2" t="str">
        <f t="shared" si="29"/>
        <v/>
      </c>
      <c r="X85" s="2">
        <f t="shared" si="30"/>
        <v>5</v>
      </c>
      <c r="Y85" s="2" t="str">
        <f t="shared" si="31"/>
        <v>Over 51</v>
      </c>
      <c r="Z85" s="2" t="str">
        <f t="shared" si="32"/>
        <v/>
      </c>
      <c r="AA85" s="2" t="str">
        <f t="shared" si="18"/>
        <v/>
      </c>
      <c r="AB85" s="2" t="str">
        <f t="shared" si="33"/>
        <v/>
      </c>
    </row>
    <row r="86" spans="1:28" x14ac:dyDescent="0.25">
      <c r="A86" s="4">
        <f t="shared" si="19"/>
        <v>0</v>
      </c>
      <c r="B86" s="3" t="str">
        <f t="shared" si="20"/>
        <v/>
      </c>
      <c r="C86" s="3" t="str">
        <f t="shared" si="21"/>
        <v/>
      </c>
      <c r="D86" s="28" t="str">
        <f t="shared" si="22"/>
        <v/>
      </c>
      <c r="P86" s="2" t="str">
        <f t="shared" si="23"/>
        <v/>
      </c>
      <c r="Q86" s="2" t="str">
        <f t="shared" si="24"/>
        <v/>
      </c>
      <c r="R86" s="2" t="str">
        <f t="shared" si="25"/>
        <v/>
      </c>
      <c r="T86" s="2" t="str">
        <f t="shared" si="26"/>
        <v/>
      </c>
      <c r="U86" s="2" t="str">
        <f t="shared" si="27"/>
        <v/>
      </c>
      <c r="V86" s="2" t="str">
        <f t="shared" si="28"/>
        <v/>
      </c>
      <c r="W86" s="2" t="str">
        <f t="shared" si="29"/>
        <v/>
      </c>
      <c r="X86" s="2">
        <f t="shared" si="30"/>
        <v>5</v>
      </c>
      <c r="Y86" s="2">
        <f t="shared" si="31"/>
        <v>0.74058999999999997</v>
      </c>
      <c r="Z86" s="2" t="str">
        <f t="shared" si="32"/>
        <v/>
      </c>
      <c r="AA86" s="2" t="str">
        <f t="shared" si="18"/>
        <v/>
      </c>
      <c r="AB86" s="2" t="str">
        <f t="shared" si="33"/>
        <v/>
      </c>
    </row>
    <row r="87" spans="1:28" x14ac:dyDescent="0.25">
      <c r="A87" s="4">
        <f t="shared" si="19"/>
        <v>0</v>
      </c>
      <c r="B87" s="3" t="str">
        <f t="shared" si="20"/>
        <v/>
      </c>
      <c r="C87" s="3" t="str">
        <f t="shared" si="21"/>
        <v/>
      </c>
      <c r="D87" s="28" t="str">
        <f t="shared" si="22"/>
        <v/>
      </c>
      <c r="P87" s="2" t="str">
        <f t="shared" si="23"/>
        <v/>
      </c>
      <c r="Q87" s="2" t="str">
        <f t="shared" si="24"/>
        <v/>
      </c>
      <c r="R87" s="2" t="str">
        <f t="shared" si="25"/>
        <v/>
      </c>
      <c r="T87" s="2" t="str">
        <f t="shared" si="26"/>
        <v/>
      </c>
      <c r="U87" s="2" t="str">
        <f t="shared" si="27"/>
        <v/>
      </c>
      <c r="V87" s="2" t="str">
        <f t="shared" si="28"/>
        <v/>
      </c>
      <c r="W87" s="2" t="str">
        <f t="shared" si="29"/>
        <v/>
      </c>
      <c r="X87" s="2">
        <f t="shared" si="30"/>
        <v>6</v>
      </c>
      <c r="Y87" s="2" t="str">
        <f t="shared" si="31"/>
        <v>Eagles @ Saints</v>
      </c>
      <c r="Z87" s="2" t="str">
        <f t="shared" si="32"/>
        <v>Eagles @ Saints</v>
      </c>
      <c r="AA87" s="2" t="str">
        <f t="shared" si="18"/>
        <v>Saints -8</v>
      </c>
      <c r="AB87" s="2">
        <f t="shared" si="33"/>
        <v>0.65608</v>
      </c>
    </row>
    <row r="88" spans="1:28" x14ac:dyDescent="0.25">
      <c r="A88" s="4">
        <f t="shared" si="19"/>
        <v>0</v>
      </c>
      <c r="B88" s="3" t="str">
        <f t="shared" si="20"/>
        <v/>
      </c>
      <c r="C88" s="3" t="str">
        <f t="shared" si="21"/>
        <v/>
      </c>
      <c r="D88" s="28" t="str">
        <f t="shared" si="22"/>
        <v/>
      </c>
      <c r="P88" s="2" t="str">
        <f t="shared" si="23"/>
        <v/>
      </c>
      <c r="Q88" s="2" t="str">
        <f t="shared" si="24"/>
        <v/>
      </c>
      <c r="R88" s="2" t="str">
        <f t="shared" si="25"/>
        <v/>
      </c>
      <c r="T88" s="2" t="str">
        <f t="shared" si="26"/>
        <v/>
      </c>
      <c r="U88" s="2" t="str">
        <f t="shared" si="27"/>
        <v/>
      </c>
      <c r="V88" s="2" t="str">
        <f t="shared" si="28"/>
        <v/>
      </c>
      <c r="W88" s="2" t="str">
        <f t="shared" si="29"/>
        <v/>
      </c>
      <c r="X88" s="2">
        <f t="shared" si="30"/>
        <v>6</v>
      </c>
      <c r="Y88" s="2" t="str">
        <f t="shared" si="31"/>
        <v>Saints -8</v>
      </c>
      <c r="Z88" s="2" t="str">
        <f t="shared" si="32"/>
        <v/>
      </c>
      <c r="AA88" s="2" t="str">
        <f t="shared" si="18"/>
        <v/>
      </c>
      <c r="AB88" s="2" t="str">
        <f t="shared" si="33"/>
        <v/>
      </c>
    </row>
    <row r="89" spans="1:28" x14ac:dyDescent="0.25">
      <c r="A89" s="4">
        <f t="shared" si="19"/>
        <v>0</v>
      </c>
      <c r="B89" s="3" t="str">
        <f t="shared" si="20"/>
        <v/>
      </c>
      <c r="C89" s="3" t="str">
        <f t="shared" si="21"/>
        <v/>
      </c>
      <c r="D89" s="28" t="str">
        <f t="shared" si="22"/>
        <v/>
      </c>
      <c r="P89" s="2" t="str">
        <f t="shared" si="23"/>
        <v/>
      </c>
      <c r="Q89" s="2" t="str">
        <f t="shared" si="24"/>
        <v/>
      </c>
      <c r="R89" s="2" t="str">
        <f t="shared" si="25"/>
        <v/>
      </c>
      <c r="T89" s="2" t="str">
        <f t="shared" si="26"/>
        <v/>
      </c>
      <c r="U89" s="2" t="str">
        <f t="shared" si="27"/>
        <v/>
      </c>
      <c r="V89" s="2" t="str">
        <f t="shared" si="28"/>
        <v/>
      </c>
      <c r="W89" s="2" t="str">
        <f t="shared" si="29"/>
        <v/>
      </c>
      <c r="X89" s="2">
        <f t="shared" si="30"/>
        <v>6</v>
      </c>
      <c r="Y89" s="2">
        <f t="shared" si="31"/>
        <v>0.65608</v>
      </c>
      <c r="Z89" s="2" t="str">
        <f t="shared" si="32"/>
        <v/>
      </c>
      <c r="AA89" s="2" t="str">
        <f t="shared" si="18"/>
        <v/>
      </c>
      <c r="AB89" s="2" t="str">
        <f t="shared" si="33"/>
        <v/>
      </c>
    </row>
    <row r="90" spans="1:28" x14ac:dyDescent="0.25">
      <c r="A90" s="4">
        <f t="shared" si="19"/>
        <v>0</v>
      </c>
      <c r="B90" s="3" t="str">
        <f t="shared" si="20"/>
        <v/>
      </c>
      <c r="C90" s="3" t="str">
        <f t="shared" si="21"/>
        <v/>
      </c>
      <c r="D90" s="28" t="str">
        <f t="shared" si="22"/>
        <v/>
      </c>
      <c r="P90" s="2" t="str">
        <f t="shared" si="23"/>
        <v/>
      </c>
      <c r="Q90" s="2" t="str">
        <f t="shared" si="24"/>
        <v/>
      </c>
      <c r="R90" s="2" t="str">
        <f t="shared" si="25"/>
        <v/>
      </c>
      <c r="T90" s="2" t="str">
        <f t="shared" si="26"/>
        <v/>
      </c>
      <c r="U90" s="2" t="str">
        <f t="shared" si="27"/>
        <v/>
      </c>
      <c r="V90" s="2" t="str">
        <f t="shared" si="28"/>
        <v/>
      </c>
      <c r="W90" s="2" t="str">
        <f t="shared" si="29"/>
        <v/>
      </c>
      <c r="X90" s="2">
        <f t="shared" si="30"/>
        <v>6</v>
      </c>
      <c r="Y90" s="2" t="str">
        <f t="shared" si="31"/>
        <v/>
      </c>
      <c r="Z90" s="2" t="str">
        <f t="shared" si="32"/>
        <v/>
      </c>
      <c r="AA90" s="2" t="str">
        <f t="shared" si="18"/>
        <v/>
      </c>
      <c r="AB90" s="2" t="str">
        <f t="shared" si="33"/>
        <v/>
      </c>
    </row>
    <row r="91" spans="1:28" x14ac:dyDescent="0.25">
      <c r="A91" s="4">
        <f t="shared" si="19"/>
        <v>0</v>
      </c>
      <c r="B91" s="3" t="str">
        <f t="shared" si="20"/>
        <v/>
      </c>
      <c r="C91" s="3" t="str">
        <f t="shared" si="21"/>
        <v/>
      </c>
      <c r="D91" s="28" t="str">
        <f t="shared" si="22"/>
        <v/>
      </c>
      <c r="P91" s="2" t="str">
        <f t="shared" si="23"/>
        <v/>
      </c>
      <c r="Q91" s="2" t="str">
        <f t="shared" si="24"/>
        <v/>
      </c>
      <c r="R91" s="2" t="str">
        <f t="shared" si="25"/>
        <v/>
      </c>
      <c r="T91" s="2" t="str">
        <f t="shared" si="26"/>
        <v/>
      </c>
      <c r="U91" s="2" t="str">
        <f t="shared" si="27"/>
        <v/>
      </c>
      <c r="V91" s="2" t="str">
        <f t="shared" si="28"/>
        <v/>
      </c>
      <c r="W91" s="2" t="str">
        <f t="shared" si="29"/>
        <v/>
      </c>
      <c r="X91" s="2">
        <f t="shared" si="30"/>
        <v>6</v>
      </c>
      <c r="Y91" s="2" t="str">
        <f t="shared" si="31"/>
        <v/>
      </c>
      <c r="Z91" s="2" t="str">
        <f t="shared" si="32"/>
        <v/>
      </c>
      <c r="AA91" s="2" t="str">
        <f t="shared" si="18"/>
        <v/>
      </c>
      <c r="AB91" s="2" t="str">
        <f t="shared" si="33"/>
        <v/>
      </c>
    </row>
    <row r="92" spans="1:28" x14ac:dyDescent="0.25">
      <c r="A92" s="4">
        <f t="shared" si="19"/>
        <v>0</v>
      </c>
      <c r="B92" s="3" t="str">
        <f t="shared" si="20"/>
        <v/>
      </c>
      <c r="C92" s="3" t="str">
        <f t="shared" si="21"/>
        <v/>
      </c>
      <c r="D92" s="28" t="str">
        <f t="shared" si="22"/>
        <v/>
      </c>
      <c r="P92" s="2" t="str">
        <f t="shared" si="23"/>
        <v/>
      </c>
      <c r="Q92" s="2" t="str">
        <f t="shared" si="24"/>
        <v/>
      </c>
      <c r="R92" s="2" t="str">
        <f t="shared" si="25"/>
        <v/>
      </c>
      <c r="T92" s="2" t="str">
        <f t="shared" si="26"/>
        <v/>
      </c>
      <c r="U92" s="2" t="str">
        <f t="shared" si="27"/>
        <v/>
      </c>
      <c r="V92" s="2" t="str">
        <f t="shared" si="28"/>
        <v/>
      </c>
      <c r="W92" s="2" t="str">
        <f t="shared" si="29"/>
        <v/>
      </c>
      <c r="X92" s="2">
        <f t="shared" si="30"/>
        <v>6</v>
      </c>
      <c r="Y92" s="2" t="str">
        <f t="shared" si="31"/>
        <v/>
      </c>
      <c r="Z92" s="2" t="str">
        <f t="shared" si="32"/>
        <v/>
      </c>
      <c r="AA92" s="2" t="str">
        <f t="shared" si="18"/>
        <v/>
      </c>
      <c r="AB92" s="2" t="str">
        <f t="shared" si="33"/>
        <v/>
      </c>
    </row>
    <row r="93" spans="1:28" x14ac:dyDescent="0.25">
      <c r="A93" s="4">
        <f t="shared" si="19"/>
        <v>0</v>
      </c>
      <c r="B93" s="3" t="str">
        <f t="shared" si="20"/>
        <v/>
      </c>
      <c r="C93" s="3" t="str">
        <f t="shared" si="21"/>
        <v/>
      </c>
      <c r="D93" s="28" t="str">
        <f t="shared" si="22"/>
        <v/>
      </c>
      <c r="P93" s="2" t="str">
        <f t="shared" si="23"/>
        <v/>
      </c>
      <c r="Q93" s="2" t="str">
        <f t="shared" si="24"/>
        <v/>
      </c>
      <c r="R93" s="2" t="str">
        <f t="shared" si="25"/>
        <v/>
      </c>
      <c r="T93" s="2" t="str">
        <f t="shared" si="26"/>
        <v/>
      </c>
      <c r="U93" s="2" t="str">
        <f t="shared" si="27"/>
        <v/>
      </c>
      <c r="V93" s="2" t="str">
        <f t="shared" si="28"/>
        <v/>
      </c>
      <c r="W93" s="2" t="str">
        <f t="shared" si="29"/>
        <v/>
      </c>
      <c r="X93" s="2">
        <f t="shared" si="30"/>
        <v>6</v>
      </c>
      <c r="Y93" s="2" t="str">
        <f t="shared" si="31"/>
        <v/>
      </c>
      <c r="Z93" s="2" t="str">
        <f t="shared" si="32"/>
        <v/>
      </c>
      <c r="AA93" s="2" t="str">
        <f t="shared" si="18"/>
        <v/>
      </c>
      <c r="AB93" s="2" t="str">
        <f t="shared" si="33"/>
        <v/>
      </c>
    </row>
    <row r="94" spans="1:28" x14ac:dyDescent="0.25">
      <c r="A94" s="4">
        <f t="shared" si="19"/>
        <v>0</v>
      </c>
      <c r="B94" s="3" t="str">
        <f t="shared" si="20"/>
        <v/>
      </c>
      <c r="C94" s="3" t="str">
        <f t="shared" si="21"/>
        <v/>
      </c>
      <c r="D94" s="28" t="str">
        <f t="shared" si="22"/>
        <v/>
      </c>
      <c r="P94" s="2" t="str">
        <f t="shared" si="23"/>
        <v/>
      </c>
      <c r="Q94" s="2" t="str">
        <f t="shared" si="24"/>
        <v/>
      </c>
      <c r="R94" s="2" t="str">
        <f t="shared" si="25"/>
        <v/>
      </c>
      <c r="T94" s="2" t="str">
        <f t="shared" si="26"/>
        <v/>
      </c>
      <c r="U94" s="2" t="str">
        <f t="shared" si="27"/>
        <v/>
      </c>
      <c r="V94" s="2" t="str">
        <f t="shared" si="28"/>
        <v/>
      </c>
      <c r="W94" s="2" t="str">
        <f t="shared" si="29"/>
        <v/>
      </c>
      <c r="X94" s="2">
        <f t="shared" si="30"/>
        <v>6</v>
      </c>
      <c r="Y94" s="2" t="str">
        <f t="shared" si="31"/>
        <v/>
      </c>
      <c r="Z94" s="2" t="str">
        <f t="shared" si="32"/>
        <v/>
      </c>
      <c r="AA94" s="2" t="str">
        <f t="shared" si="18"/>
        <v/>
      </c>
      <c r="AB94" s="2" t="str">
        <f t="shared" si="33"/>
        <v/>
      </c>
    </row>
    <row r="95" spans="1:28" x14ac:dyDescent="0.25">
      <c r="A95" s="4">
        <f t="shared" si="19"/>
        <v>0</v>
      </c>
      <c r="B95" s="3" t="str">
        <f t="shared" si="20"/>
        <v/>
      </c>
      <c r="C95" s="3" t="str">
        <f t="shared" si="21"/>
        <v/>
      </c>
      <c r="D95" s="28" t="str">
        <f t="shared" si="22"/>
        <v/>
      </c>
      <c r="P95" s="2" t="str">
        <f t="shared" si="23"/>
        <v/>
      </c>
      <c r="Q95" s="2" t="str">
        <f t="shared" si="24"/>
        <v/>
      </c>
      <c r="R95" s="2" t="str">
        <f t="shared" si="25"/>
        <v/>
      </c>
      <c r="T95" s="2" t="str">
        <f t="shared" si="26"/>
        <v/>
      </c>
      <c r="U95" s="2" t="str">
        <f t="shared" si="27"/>
        <v/>
      </c>
      <c r="V95" s="2" t="str">
        <f t="shared" si="28"/>
        <v/>
      </c>
      <c r="W95" s="2" t="str">
        <f t="shared" si="29"/>
        <v/>
      </c>
      <c r="X95" s="2">
        <f t="shared" si="30"/>
        <v>6</v>
      </c>
      <c r="Y95" s="2" t="str">
        <f t="shared" si="31"/>
        <v/>
      </c>
      <c r="Z95" s="2" t="str">
        <f t="shared" si="32"/>
        <v/>
      </c>
      <c r="AA95" s="2" t="str">
        <f t="shared" si="18"/>
        <v/>
      </c>
      <c r="AB95" s="2" t="str">
        <f t="shared" si="33"/>
        <v/>
      </c>
    </row>
    <row r="96" spans="1:28" x14ac:dyDescent="0.25">
      <c r="A96" s="4">
        <f t="shared" si="19"/>
        <v>0</v>
      </c>
      <c r="B96" s="3" t="str">
        <f t="shared" si="20"/>
        <v/>
      </c>
      <c r="C96" s="3" t="str">
        <f t="shared" si="21"/>
        <v/>
      </c>
      <c r="D96" s="28" t="str">
        <f t="shared" si="22"/>
        <v/>
      </c>
      <c r="P96" s="2" t="str">
        <f t="shared" si="23"/>
        <v/>
      </c>
      <c r="Q96" s="2" t="str">
        <f t="shared" si="24"/>
        <v/>
      </c>
      <c r="R96" s="2" t="str">
        <f t="shared" si="25"/>
        <v/>
      </c>
      <c r="T96" s="2" t="str">
        <f t="shared" si="26"/>
        <v/>
      </c>
      <c r="U96" s="2" t="str">
        <f t="shared" si="27"/>
        <v/>
      </c>
      <c r="V96" s="2" t="str">
        <f t="shared" si="28"/>
        <v/>
      </c>
      <c r="W96" s="2" t="str">
        <f t="shared" si="29"/>
        <v/>
      </c>
      <c r="X96" s="2">
        <f t="shared" si="30"/>
        <v>6</v>
      </c>
      <c r="Y96" s="2" t="str">
        <f t="shared" si="31"/>
        <v/>
      </c>
      <c r="Z96" s="2" t="str">
        <f t="shared" si="32"/>
        <v/>
      </c>
      <c r="AA96" s="2" t="str">
        <f t="shared" si="18"/>
        <v/>
      </c>
      <c r="AB96" s="2" t="str">
        <f t="shared" si="33"/>
        <v/>
      </c>
    </row>
    <row r="97" spans="1:28" x14ac:dyDescent="0.25">
      <c r="A97" s="4">
        <f t="shared" si="19"/>
        <v>0</v>
      </c>
      <c r="B97" s="3" t="str">
        <f t="shared" si="20"/>
        <v/>
      </c>
      <c r="C97" s="3" t="str">
        <f t="shared" si="21"/>
        <v/>
      </c>
      <c r="D97" s="28" t="str">
        <f t="shared" si="22"/>
        <v/>
      </c>
      <c r="P97" s="2" t="str">
        <f t="shared" si="23"/>
        <v/>
      </c>
      <c r="Q97" s="2" t="str">
        <f t="shared" si="24"/>
        <v/>
      </c>
      <c r="R97" s="2" t="str">
        <f t="shared" si="25"/>
        <v/>
      </c>
      <c r="T97" s="2" t="str">
        <f t="shared" si="26"/>
        <v/>
      </c>
      <c r="U97" s="2" t="str">
        <f t="shared" si="27"/>
        <v/>
      </c>
      <c r="V97" s="2" t="str">
        <f t="shared" si="28"/>
        <v/>
      </c>
      <c r="W97" s="2" t="str">
        <f t="shared" si="29"/>
        <v/>
      </c>
      <c r="X97" s="2">
        <f t="shared" si="30"/>
        <v>6</v>
      </c>
      <c r="Y97" s="2" t="str">
        <f t="shared" si="31"/>
        <v/>
      </c>
      <c r="Z97" s="2" t="str">
        <f t="shared" si="32"/>
        <v/>
      </c>
      <c r="AA97" s="2" t="str">
        <f t="shared" si="18"/>
        <v/>
      </c>
      <c r="AB97" s="2" t="str">
        <f t="shared" si="33"/>
        <v/>
      </c>
    </row>
    <row r="98" spans="1:28" x14ac:dyDescent="0.25">
      <c r="A98" s="4">
        <f t="shared" si="19"/>
        <v>0</v>
      </c>
      <c r="B98" s="3" t="str">
        <f t="shared" si="20"/>
        <v/>
      </c>
      <c r="C98" s="3" t="str">
        <f t="shared" si="21"/>
        <v/>
      </c>
      <c r="D98" s="28" t="str">
        <f t="shared" si="22"/>
        <v/>
      </c>
      <c r="P98" s="2" t="str">
        <f t="shared" si="23"/>
        <v/>
      </c>
      <c r="Q98" s="2" t="str">
        <f t="shared" si="24"/>
        <v/>
      </c>
      <c r="R98" s="2" t="str">
        <f t="shared" si="25"/>
        <v/>
      </c>
      <c r="T98" s="2" t="str">
        <f t="shared" si="26"/>
        <v/>
      </c>
      <c r="U98" s="2" t="str">
        <f t="shared" si="27"/>
        <v/>
      </c>
      <c r="V98" s="2" t="str">
        <f t="shared" si="28"/>
        <v/>
      </c>
      <c r="W98" s="2" t="str">
        <f t="shared" si="29"/>
        <v/>
      </c>
      <c r="X98" s="2">
        <f t="shared" si="30"/>
        <v>6</v>
      </c>
      <c r="Y98" s="2" t="str">
        <f t="shared" si="31"/>
        <v/>
      </c>
      <c r="Z98" s="2" t="str">
        <f t="shared" si="32"/>
        <v/>
      </c>
      <c r="AA98" s="2" t="str">
        <f t="shared" si="18"/>
        <v/>
      </c>
      <c r="AB98" s="2" t="str">
        <f t="shared" si="33"/>
        <v/>
      </c>
    </row>
    <row r="99" spans="1:28" x14ac:dyDescent="0.25">
      <c r="A99" s="4">
        <f t="shared" si="19"/>
        <v>0</v>
      </c>
      <c r="B99" s="3" t="str">
        <f t="shared" si="20"/>
        <v/>
      </c>
      <c r="C99" s="3" t="str">
        <f t="shared" si="21"/>
        <v/>
      </c>
      <c r="D99" s="28" t="str">
        <f t="shared" si="22"/>
        <v/>
      </c>
      <c r="T99" s="2" t="str">
        <f t="shared" si="26"/>
        <v/>
      </c>
      <c r="U99" s="2" t="str">
        <f t="shared" si="27"/>
        <v/>
      </c>
      <c r="V99" s="2" t="str">
        <f t="shared" si="28"/>
        <v/>
      </c>
      <c r="W99" s="2" t="str">
        <f t="shared" si="29"/>
        <v/>
      </c>
      <c r="X99" s="2">
        <f t="shared" si="30"/>
        <v>6</v>
      </c>
      <c r="Y99" s="2" t="str">
        <f t="shared" si="31"/>
        <v/>
      </c>
      <c r="Z99" s="2" t="str">
        <f t="shared" si="32"/>
        <v/>
      </c>
      <c r="AA99" s="2" t="str">
        <f t="shared" si="18"/>
        <v/>
      </c>
      <c r="AB99" s="2" t="str">
        <f t="shared" si="33"/>
        <v/>
      </c>
    </row>
    <row r="100" spans="1:28" x14ac:dyDescent="0.25">
      <c r="A100" s="4">
        <f t="shared" si="19"/>
        <v>0</v>
      </c>
      <c r="B100" s="3" t="str">
        <f t="shared" si="20"/>
        <v/>
      </c>
      <c r="C100" s="3" t="str">
        <f t="shared" si="21"/>
        <v/>
      </c>
      <c r="D100" s="28" t="str">
        <f t="shared" si="22"/>
        <v/>
      </c>
      <c r="T100" s="2" t="str">
        <f t="shared" si="26"/>
        <v/>
      </c>
      <c r="U100" s="2" t="str">
        <f t="shared" si="27"/>
        <v/>
      </c>
      <c r="V100" s="2" t="str">
        <f t="shared" si="28"/>
        <v/>
      </c>
      <c r="W100" s="2" t="str">
        <f t="shared" si="29"/>
        <v/>
      </c>
      <c r="X100" s="2">
        <f t="shared" si="30"/>
        <v>6</v>
      </c>
      <c r="Y100" s="2" t="str">
        <f t="shared" si="31"/>
        <v/>
      </c>
      <c r="Z100" s="2" t="str">
        <f t="shared" si="32"/>
        <v/>
      </c>
      <c r="AA100" s="2" t="str">
        <f t="shared" si="18"/>
        <v/>
      </c>
      <c r="AB100" s="2" t="str">
        <f t="shared" si="33"/>
        <v/>
      </c>
    </row>
    <row r="101" spans="1:28" x14ac:dyDescent="0.25">
      <c r="A101" s="4">
        <f t="shared" si="19"/>
        <v>0</v>
      </c>
      <c r="B101" s="3" t="str">
        <f t="shared" si="20"/>
        <v/>
      </c>
      <c r="C101" s="3" t="str">
        <f t="shared" si="21"/>
        <v/>
      </c>
      <c r="D101" s="28" t="str">
        <f t="shared" si="22"/>
        <v/>
      </c>
      <c r="T101" s="2" t="str">
        <f t="shared" si="26"/>
        <v/>
      </c>
      <c r="U101" s="2" t="str">
        <f t="shared" si="27"/>
        <v/>
      </c>
      <c r="V101" s="2" t="str">
        <f t="shared" si="28"/>
        <v/>
      </c>
      <c r="W101" s="2" t="str">
        <f t="shared" si="29"/>
        <v/>
      </c>
      <c r="X101" s="2">
        <f t="shared" si="30"/>
        <v>6</v>
      </c>
      <c r="Y101" s="2" t="str">
        <f t="shared" si="31"/>
        <v/>
      </c>
      <c r="Z101" s="2" t="str">
        <f t="shared" si="32"/>
        <v/>
      </c>
      <c r="AA101" s="2" t="str">
        <f t="shared" si="18"/>
        <v/>
      </c>
      <c r="AB101" s="2" t="str">
        <f t="shared" si="33"/>
        <v/>
      </c>
    </row>
    <row r="102" spans="1:28" x14ac:dyDescent="0.25">
      <c r="T102" s="2" t="str">
        <f t="shared" si="26"/>
        <v/>
      </c>
      <c r="U102" s="2" t="str">
        <f t="shared" si="27"/>
        <v/>
      </c>
      <c r="V102" s="2" t="str">
        <f t="shared" si="28"/>
        <v/>
      </c>
      <c r="W102" s="2" t="str">
        <f t="shared" si="29"/>
        <v/>
      </c>
      <c r="X102" s="2">
        <f t="shared" si="30"/>
        <v>6</v>
      </c>
      <c r="Y102" s="2" t="str">
        <f t="shared" si="31"/>
        <v/>
      </c>
      <c r="Z102" s="2" t="str">
        <f t="shared" si="32"/>
        <v/>
      </c>
      <c r="AA102" s="2" t="str">
        <f t="shared" si="18"/>
        <v/>
      </c>
      <c r="AB102" s="2" t="str">
        <f t="shared" si="33"/>
        <v/>
      </c>
    </row>
    <row r="103" spans="1:28" x14ac:dyDescent="0.25">
      <c r="T103" s="2" t="str">
        <f t="shared" si="26"/>
        <v/>
      </c>
      <c r="U103" s="2" t="str">
        <f t="shared" si="27"/>
        <v/>
      </c>
      <c r="V103" s="2" t="str">
        <f t="shared" si="28"/>
        <v/>
      </c>
      <c r="W103" s="2" t="str">
        <f t="shared" si="29"/>
        <v/>
      </c>
      <c r="X103" s="2">
        <f t="shared" si="30"/>
        <v>6</v>
      </c>
      <c r="Y103" s="2" t="str">
        <f t="shared" si="31"/>
        <v/>
      </c>
      <c r="Z103" s="2" t="str">
        <f t="shared" si="32"/>
        <v/>
      </c>
      <c r="AA103" s="2" t="str">
        <f t="shared" si="18"/>
        <v/>
      </c>
      <c r="AB103" s="2" t="str">
        <f t="shared" si="33"/>
        <v/>
      </c>
    </row>
    <row r="104" spans="1:28" x14ac:dyDescent="0.25">
      <c r="T104" s="2" t="str">
        <f t="shared" si="26"/>
        <v/>
      </c>
      <c r="U104" s="2" t="str">
        <f t="shared" si="27"/>
        <v/>
      </c>
      <c r="V104" s="2" t="str">
        <f t="shared" si="28"/>
        <v/>
      </c>
      <c r="W104" s="2" t="str">
        <f t="shared" si="29"/>
        <v/>
      </c>
      <c r="X104" s="2">
        <f t="shared" si="30"/>
        <v>6</v>
      </c>
      <c r="Y104" s="2" t="str">
        <f t="shared" si="31"/>
        <v/>
      </c>
      <c r="Z104" s="2" t="str">
        <f t="shared" si="32"/>
        <v/>
      </c>
      <c r="AA104" s="2" t="str">
        <f t="shared" si="18"/>
        <v/>
      </c>
      <c r="AB104" s="2" t="str">
        <f t="shared" si="33"/>
        <v/>
      </c>
    </row>
    <row r="105" spans="1:28" x14ac:dyDescent="0.25">
      <c r="T105" s="2" t="str">
        <f t="shared" si="26"/>
        <v/>
      </c>
      <c r="U105" s="2" t="str">
        <f t="shared" si="27"/>
        <v/>
      </c>
      <c r="V105" s="2" t="str">
        <f t="shared" si="28"/>
        <v/>
      </c>
      <c r="W105" s="2" t="str">
        <f t="shared" si="29"/>
        <v/>
      </c>
      <c r="X105" s="2">
        <f t="shared" si="30"/>
        <v>6</v>
      </c>
      <c r="Y105" s="2" t="str">
        <f t="shared" si="31"/>
        <v/>
      </c>
      <c r="Z105" s="2" t="str">
        <f t="shared" si="32"/>
        <v/>
      </c>
      <c r="AA105" s="2" t="str">
        <f t="shared" si="18"/>
        <v/>
      </c>
      <c r="AB105" s="2" t="str">
        <f t="shared" si="33"/>
        <v/>
      </c>
    </row>
    <row r="106" spans="1:28" x14ac:dyDescent="0.25">
      <c r="T106" s="2" t="str">
        <f t="shared" si="26"/>
        <v/>
      </c>
      <c r="U106" s="2" t="str">
        <f t="shared" si="27"/>
        <v/>
      </c>
      <c r="V106" s="2" t="str">
        <f t="shared" si="28"/>
        <v/>
      </c>
      <c r="W106" s="2" t="str">
        <f t="shared" si="29"/>
        <v/>
      </c>
      <c r="X106" s="2">
        <f t="shared" si="30"/>
        <v>6</v>
      </c>
      <c r="Y106" s="2" t="str">
        <f t="shared" si="31"/>
        <v/>
      </c>
      <c r="Z106" s="2" t="str">
        <f t="shared" si="32"/>
        <v/>
      </c>
      <c r="AA106" s="2" t="str">
        <f t="shared" si="18"/>
        <v/>
      </c>
      <c r="AB106" s="2" t="str">
        <f t="shared" si="33"/>
        <v/>
      </c>
    </row>
    <row r="107" spans="1:28" x14ac:dyDescent="0.25">
      <c r="T107" s="2" t="str">
        <f t="shared" si="26"/>
        <v/>
      </c>
      <c r="U107" s="2" t="str">
        <f t="shared" si="27"/>
        <v/>
      </c>
      <c r="V107" s="2" t="str">
        <f t="shared" si="28"/>
        <v/>
      </c>
      <c r="W107" s="2" t="str">
        <f t="shared" si="29"/>
        <v/>
      </c>
      <c r="X107" s="2">
        <f t="shared" si="30"/>
        <v>6</v>
      </c>
      <c r="Y107" s="2" t="str">
        <f t="shared" si="31"/>
        <v/>
      </c>
      <c r="Z107" s="2" t="str">
        <f t="shared" si="32"/>
        <v/>
      </c>
      <c r="AA107" s="2" t="str">
        <f t="shared" si="18"/>
        <v/>
      </c>
      <c r="AB107" s="2" t="str">
        <f t="shared" si="33"/>
        <v/>
      </c>
    </row>
    <row r="108" spans="1:28" x14ac:dyDescent="0.25">
      <c r="T108" s="2" t="str">
        <f t="shared" si="26"/>
        <v/>
      </c>
      <c r="U108" s="2" t="str">
        <f t="shared" si="27"/>
        <v/>
      </c>
      <c r="V108" s="2" t="str">
        <f t="shared" si="28"/>
        <v/>
      </c>
      <c r="W108" s="2" t="str">
        <f t="shared" si="29"/>
        <v/>
      </c>
      <c r="X108" s="2">
        <f t="shared" si="30"/>
        <v>6</v>
      </c>
      <c r="Y108" s="2" t="str">
        <f t="shared" si="31"/>
        <v/>
      </c>
      <c r="Z108" s="2" t="str">
        <f t="shared" si="32"/>
        <v/>
      </c>
      <c r="AA108" s="2" t="str">
        <f t="shared" si="18"/>
        <v/>
      </c>
      <c r="AB108" s="2" t="str">
        <f t="shared" si="33"/>
        <v/>
      </c>
    </row>
    <row r="109" spans="1:28" x14ac:dyDescent="0.25">
      <c r="T109" s="2" t="str">
        <f t="shared" si="26"/>
        <v/>
      </c>
      <c r="U109" s="2" t="str">
        <f t="shared" si="27"/>
        <v/>
      </c>
      <c r="V109" s="2" t="str">
        <f t="shared" si="28"/>
        <v/>
      </c>
      <c r="W109" s="2" t="str">
        <f t="shared" si="29"/>
        <v/>
      </c>
      <c r="X109" s="2">
        <f t="shared" si="30"/>
        <v>6</v>
      </c>
      <c r="Y109" s="2" t="str">
        <f t="shared" si="31"/>
        <v/>
      </c>
      <c r="Z109" s="2" t="str">
        <f t="shared" si="32"/>
        <v/>
      </c>
      <c r="AA109" s="2" t="str">
        <f t="shared" si="18"/>
        <v/>
      </c>
      <c r="AB109" s="2" t="str">
        <f t="shared" si="33"/>
        <v/>
      </c>
    </row>
    <row r="110" spans="1:28" x14ac:dyDescent="0.25">
      <c r="T110" s="2" t="str">
        <f t="shared" si="26"/>
        <v/>
      </c>
      <c r="U110" s="2" t="str">
        <f t="shared" si="27"/>
        <v/>
      </c>
      <c r="V110" s="2" t="str">
        <f t="shared" si="28"/>
        <v/>
      </c>
      <c r="W110" s="2" t="str">
        <f t="shared" si="29"/>
        <v/>
      </c>
      <c r="X110" s="2">
        <f t="shared" si="30"/>
        <v>6</v>
      </c>
      <c r="Y110" s="2" t="str">
        <f t="shared" si="31"/>
        <v/>
      </c>
      <c r="Z110" s="2" t="str">
        <f t="shared" si="32"/>
        <v/>
      </c>
      <c r="AA110" s="2" t="str">
        <f t="shared" si="18"/>
        <v/>
      </c>
      <c r="AB110" s="2" t="str">
        <f t="shared" si="33"/>
        <v/>
      </c>
    </row>
    <row r="111" spans="1:28" x14ac:dyDescent="0.25">
      <c r="T111" s="2" t="str">
        <f t="shared" si="26"/>
        <v/>
      </c>
      <c r="U111" s="2" t="str">
        <f t="shared" si="27"/>
        <v/>
      </c>
      <c r="V111" s="2" t="str">
        <f t="shared" si="28"/>
        <v/>
      </c>
      <c r="W111" s="2" t="str">
        <f t="shared" si="29"/>
        <v/>
      </c>
      <c r="X111" s="2">
        <f t="shared" si="30"/>
        <v>6</v>
      </c>
      <c r="Y111" s="2" t="str">
        <f t="shared" si="31"/>
        <v/>
      </c>
      <c r="Z111" s="2" t="str">
        <f t="shared" si="32"/>
        <v/>
      </c>
      <c r="AA111" s="2" t="str">
        <f t="shared" si="18"/>
        <v/>
      </c>
      <c r="AB111" s="2" t="str">
        <f t="shared" si="33"/>
        <v/>
      </c>
    </row>
    <row r="112" spans="1:28" x14ac:dyDescent="0.25">
      <c r="T112" s="2" t="str">
        <f t="shared" si="26"/>
        <v/>
      </c>
      <c r="U112" s="2" t="str">
        <f t="shared" si="27"/>
        <v/>
      </c>
      <c r="V112" s="2" t="str">
        <f t="shared" si="28"/>
        <v/>
      </c>
      <c r="W112" s="2" t="str">
        <f t="shared" si="29"/>
        <v/>
      </c>
      <c r="X112" s="2">
        <f t="shared" si="30"/>
        <v>6</v>
      </c>
      <c r="Y112" s="2" t="str">
        <f t="shared" si="31"/>
        <v/>
      </c>
      <c r="Z112" s="2" t="str">
        <f t="shared" si="32"/>
        <v/>
      </c>
      <c r="AA112" s="2" t="str">
        <f t="shared" si="18"/>
        <v/>
      </c>
      <c r="AB112" s="2" t="str">
        <f t="shared" si="33"/>
        <v/>
      </c>
    </row>
    <row r="113" spans="20:28" x14ac:dyDescent="0.25">
      <c r="T113" s="2" t="str">
        <f t="shared" si="26"/>
        <v/>
      </c>
      <c r="U113" s="2" t="str">
        <f t="shared" si="27"/>
        <v/>
      </c>
      <c r="V113" s="2" t="str">
        <f t="shared" si="28"/>
        <v/>
      </c>
      <c r="W113" s="2" t="str">
        <f t="shared" si="29"/>
        <v/>
      </c>
      <c r="X113" s="2">
        <f t="shared" si="30"/>
        <v>6</v>
      </c>
      <c r="Y113" s="2" t="str">
        <f t="shared" si="31"/>
        <v/>
      </c>
      <c r="Z113" s="2" t="str">
        <f t="shared" si="32"/>
        <v/>
      </c>
      <c r="AA113" s="2" t="str">
        <f t="shared" si="18"/>
        <v/>
      </c>
      <c r="AB113" s="2" t="str">
        <f t="shared" si="33"/>
        <v/>
      </c>
    </row>
    <row r="114" spans="20:28" x14ac:dyDescent="0.25">
      <c r="T114" s="2" t="str">
        <f t="shared" si="26"/>
        <v/>
      </c>
      <c r="U114" s="2" t="str">
        <f t="shared" si="27"/>
        <v/>
      </c>
      <c r="V114" s="2" t="str">
        <f t="shared" si="28"/>
        <v/>
      </c>
      <c r="W114" s="2" t="str">
        <f t="shared" si="29"/>
        <v/>
      </c>
      <c r="X114" s="2">
        <f t="shared" si="30"/>
        <v>6</v>
      </c>
      <c r="Y114" s="2" t="str">
        <f t="shared" si="31"/>
        <v/>
      </c>
      <c r="Z114" s="2" t="str">
        <f t="shared" si="32"/>
        <v/>
      </c>
      <c r="AA114" s="2" t="str">
        <f t="shared" si="18"/>
        <v/>
      </c>
      <c r="AB114" s="2" t="str">
        <f t="shared" si="33"/>
        <v/>
      </c>
    </row>
    <row r="115" spans="20:28" x14ac:dyDescent="0.25">
      <c r="T115" s="2" t="str">
        <f t="shared" si="26"/>
        <v/>
      </c>
      <c r="U115" s="2" t="str">
        <f t="shared" si="27"/>
        <v/>
      </c>
      <c r="V115" s="2" t="str">
        <f t="shared" si="28"/>
        <v/>
      </c>
      <c r="W115" s="2" t="str">
        <f t="shared" si="29"/>
        <v/>
      </c>
      <c r="X115" s="2">
        <f t="shared" si="30"/>
        <v>6</v>
      </c>
      <c r="Y115" s="2" t="str">
        <f t="shared" si="31"/>
        <v/>
      </c>
      <c r="Z115" s="2" t="str">
        <f t="shared" si="32"/>
        <v/>
      </c>
      <c r="AA115" s="2" t="str">
        <f t="shared" si="18"/>
        <v/>
      </c>
      <c r="AB115" s="2" t="str">
        <f t="shared" si="33"/>
        <v/>
      </c>
    </row>
    <row r="116" spans="20:28" x14ac:dyDescent="0.25">
      <c r="T116" s="2" t="str">
        <f t="shared" si="26"/>
        <v/>
      </c>
      <c r="U116" s="2" t="str">
        <f t="shared" si="27"/>
        <v/>
      </c>
      <c r="V116" s="2" t="str">
        <f t="shared" si="28"/>
        <v/>
      </c>
      <c r="W116" s="2" t="str">
        <f t="shared" si="29"/>
        <v/>
      </c>
      <c r="X116" s="2">
        <f t="shared" si="30"/>
        <v>6</v>
      </c>
      <c r="Y116" s="2" t="str">
        <f t="shared" si="31"/>
        <v/>
      </c>
      <c r="Z116" s="2" t="str">
        <f t="shared" si="32"/>
        <v/>
      </c>
      <c r="AA116" s="2" t="str">
        <f t="shared" si="18"/>
        <v/>
      </c>
      <c r="AB116" s="2" t="str">
        <f t="shared" si="33"/>
        <v/>
      </c>
    </row>
    <row r="117" spans="20:28" x14ac:dyDescent="0.25">
      <c r="T117" s="2" t="str">
        <f t="shared" si="26"/>
        <v/>
      </c>
      <c r="U117" s="2" t="str">
        <f t="shared" si="27"/>
        <v/>
      </c>
      <c r="V117" s="2" t="str">
        <f t="shared" si="28"/>
        <v/>
      </c>
      <c r="W117" s="2" t="str">
        <f t="shared" si="29"/>
        <v/>
      </c>
      <c r="X117" s="2">
        <f t="shared" si="30"/>
        <v>6</v>
      </c>
      <c r="Y117" s="2" t="str">
        <f t="shared" si="31"/>
        <v/>
      </c>
      <c r="Z117" s="2" t="str">
        <f t="shared" si="32"/>
        <v/>
      </c>
      <c r="AA117" s="2" t="str">
        <f t="shared" si="18"/>
        <v/>
      </c>
      <c r="AB117" s="2" t="str">
        <f t="shared" si="33"/>
        <v/>
      </c>
    </row>
    <row r="118" spans="20:28" x14ac:dyDescent="0.25">
      <c r="T118" s="2" t="str">
        <f t="shared" si="26"/>
        <v/>
      </c>
      <c r="U118" s="2" t="str">
        <f t="shared" si="27"/>
        <v/>
      </c>
      <c r="V118" s="2" t="str">
        <f t="shared" si="28"/>
        <v/>
      </c>
      <c r="W118" s="2" t="str">
        <f t="shared" si="29"/>
        <v/>
      </c>
      <c r="X118" s="2">
        <f t="shared" si="30"/>
        <v>6</v>
      </c>
      <c r="Y118" s="2" t="str">
        <f t="shared" si="31"/>
        <v/>
      </c>
      <c r="Z118" s="2" t="str">
        <f t="shared" si="32"/>
        <v/>
      </c>
      <c r="AA118" s="2" t="str">
        <f t="shared" si="18"/>
        <v/>
      </c>
      <c r="AB118" s="2" t="str">
        <f t="shared" si="33"/>
        <v/>
      </c>
    </row>
    <row r="119" spans="20:28" x14ac:dyDescent="0.25">
      <c r="T119" s="2" t="str">
        <f t="shared" si="26"/>
        <v/>
      </c>
      <c r="U119" s="2" t="str">
        <f t="shared" si="27"/>
        <v/>
      </c>
      <c r="V119" s="2" t="str">
        <f t="shared" si="28"/>
        <v/>
      </c>
      <c r="W119" s="2" t="str">
        <f t="shared" si="29"/>
        <v/>
      </c>
      <c r="X119" s="2">
        <f t="shared" si="30"/>
        <v>6</v>
      </c>
      <c r="Y119" s="2" t="str">
        <f t="shared" si="31"/>
        <v/>
      </c>
      <c r="Z119" s="2" t="str">
        <f t="shared" si="32"/>
        <v/>
      </c>
      <c r="AA119" s="2" t="str">
        <f t="shared" si="18"/>
        <v/>
      </c>
      <c r="AB119" s="2" t="str">
        <f t="shared" si="33"/>
        <v/>
      </c>
    </row>
    <row r="120" spans="20:28" x14ac:dyDescent="0.25">
      <c r="T120" s="2" t="str">
        <f t="shared" si="26"/>
        <v/>
      </c>
      <c r="U120" s="2" t="str">
        <f t="shared" si="27"/>
        <v/>
      </c>
      <c r="V120" s="2" t="str">
        <f t="shared" si="28"/>
        <v/>
      </c>
      <c r="W120" s="2" t="str">
        <f t="shared" si="29"/>
        <v/>
      </c>
      <c r="X120" s="2">
        <f t="shared" si="30"/>
        <v>6</v>
      </c>
      <c r="Y120" s="2" t="str">
        <f t="shared" si="31"/>
        <v/>
      </c>
      <c r="Z120" s="2" t="str">
        <f t="shared" si="32"/>
        <v/>
      </c>
      <c r="AA120" s="2" t="str">
        <f t="shared" si="18"/>
        <v/>
      </c>
      <c r="AB120" s="2" t="str">
        <f t="shared" si="33"/>
        <v/>
      </c>
    </row>
    <row r="121" spans="20:28" x14ac:dyDescent="0.25">
      <c r="T121" s="2" t="str">
        <f t="shared" si="26"/>
        <v/>
      </c>
      <c r="U121" s="2" t="str">
        <f t="shared" si="27"/>
        <v/>
      </c>
      <c r="V121" s="2" t="str">
        <f t="shared" si="28"/>
        <v/>
      </c>
      <c r="W121" s="2" t="str">
        <f t="shared" si="29"/>
        <v/>
      </c>
      <c r="X121" s="2">
        <f t="shared" si="30"/>
        <v>6</v>
      </c>
      <c r="Y121" s="2" t="str">
        <f t="shared" si="31"/>
        <v/>
      </c>
      <c r="Z121" s="2" t="str">
        <f t="shared" si="32"/>
        <v/>
      </c>
      <c r="AA121" s="2" t="str">
        <f t="shared" si="18"/>
        <v/>
      </c>
      <c r="AB121" s="2" t="str">
        <f t="shared" si="33"/>
        <v/>
      </c>
    </row>
    <row r="122" spans="20:28" x14ac:dyDescent="0.25">
      <c r="T122" s="2" t="str">
        <f t="shared" si="26"/>
        <v/>
      </c>
      <c r="U122" s="2" t="str">
        <f t="shared" si="27"/>
        <v/>
      </c>
      <c r="V122" s="2" t="str">
        <f t="shared" si="28"/>
        <v/>
      </c>
      <c r="W122" s="2" t="str">
        <f t="shared" si="29"/>
        <v/>
      </c>
      <c r="X122" s="2">
        <f t="shared" si="30"/>
        <v>6</v>
      </c>
      <c r="Y122" s="2" t="str">
        <f t="shared" si="31"/>
        <v/>
      </c>
      <c r="Z122" s="2" t="str">
        <f t="shared" si="32"/>
        <v/>
      </c>
      <c r="AA122" s="2" t="str">
        <f t="shared" si="18"/>
        <v/>
      </c>
      <c r="AB122" s="2" t="str">
        <f t="shared" si="33"/>
        <v/>
      </c>
    </row>
    <row r="123" spans="20:28" x14ac:dyDescent="0.25">
      <c r="T123" s="2" t="str">
        <f t="shared" si="26"/>
        <v/>
      </c>
      <c r="U123" s="2" t="str">
        <f t="shared" si="27"/>
        <v/>
      </c>
      <c r="V123" s="2" t="str">
        <f t="shared" si="28"/>
        <v/>
      </c>
      <c r="W123" s="2" t="str">
        <f t="shared" si="29"/>
        <v/>
      </c>
      <c r="X123" s="2">
        <f t="shared" si="30"/>
        <v>6</v>
      </c>
      <c r="Y123" s="2" t="str">
        <f t="shared" si="31"/>
        <v/>
      </c>
      <c r="Z123" s="2" t="str">
        <f t="shared" si="32"/>
        <v/>
      </c>
      <c r="AA123" s="2" t="str">
        <f t="shared" si="18"/>
        <v/>
      </c>
      <c r="AB123" s="2" t="str">
        <f t="shared" si="33"/>
        <v/>
      </c>
    </row>
    <row r="124" spans="20:28" x14ac:dyDescent="0.25">
      <c r="T124" s="2" t="str">
        <f t="shared" si="26"/>
        <v/>
      </c>
      <c r="U124" s="2" t="str">
        <f t="shared" si="27"/>
        <v/>
      </c>
      <c r="V124" s="2" t="str">
        <f t="shared" si="28"/>
        <v/>
      </c>
      <c r="W124" s="2" t="str">
        <f t="shared" si="29"/>
        <v/>
      </c>
      <c r="X124" s="2">
        <f t="shared" si="30"/>
        <v>6</v>
      </c>
      <c r="Y124" s="2" t="str">
        <f t="shared" si="31"/>
        <v/>
      </c>
      <c r="Z124" s="2" t="str">
        <f t="shared" si="32"/>
        <v/>
      </c>
      <c r="AA124" s="2" t="str">
        <f t="shared" si="18"/>
        <v/>
      </c>
      <c r="AB124" s="2" t="str">
        <f t="shared" si="33"/>
        <v/>
      </c>
    </row>
    <row r="125" spans="20:28" x14ac:dyDescent="0.25">
      <c r="T125" s="2" t="str">
        <f t="shared" si="26"/>
        <v/>
      </c>
      <c r="U125" s="2" t="str">
        <f t="shared" si="27"/>
        <v/>
      </c>
      <c r="V125" s="2" t="str">
        <f t="shared" si="28"/>
        <v/>
      </c>
      <c r="W125" s="2" t="str">
        <f t="shared" si="29"/>
        <v/>
      </c>
      <c r="X125" s="2">
        <f t="shared" si="30"/>
        <v>6</v>
      </c>
      <c r="Y125" s="2" t="str">
        <f t="shared" si="31"/>
        <v/>
      </c>
      <c r="Z125" s="2" t="str">
        <f t="shared" si="32"/>
        <v/>
      </c>
      <c r="AA125" s="2" t="str">
        <f t="shared" si="18"/>
        <v/>
      </c>
      <c r="AB125" s="2" t="str">
        <f t="shared" si="33"/>
        <v/>
      </c>
    </row>
    <row r="126" spans="20:28" x14ac:dyDescent="0.25">
      <c r="T126" s="2" t="str">
        <f t="shared" si="26"/>
        <v/>
      </c>
      <c r="U126" s="2" t="str">
        <f t="shared" si="27"/>
        <v/>
      </c>
      <c r="V126" s="2" t="str">
        <f t="shared" si="28"/>
        <v/>
      </c>
      <c r="W126" s="2" t="str">
        <f t="shared" si="29"/>
        <v/>
      </c>
      <c r="X126" s="2">
        <f t="shared" si="30"/>
        <v>6</v>
      </c>
      <c r="Y126" s="2" t="str">
        <f t="shared" si="31"/>
        <v/>
      </c>
      <c r="Z126" s="2" t="str">
        <f t="shared" si="32"/>
        <v/>
      </c>
      <c r="AA126" s="2" t="str">
        <f t="shared" si="18"/>
        <v/>
      </c>
      <c r="AB126" s="2" t="str">
        <f t="shared" si="33"/>
        <v/>
      </c>
    </row>
    <row r="127" spans="20:28" x14ac:dyDescent="0.25">
      <c r="T127" s="2" t="str">
        <f t="shared" si="26"/>
        <v/>
      </c>
      <c r="U127" s="2" t="str">
        <f t="shared" si="27"/>
        <v/>
      </c>
      <c r="V127" s="2" t="str">
        <f t="shared" si="28"/>
        <v/>
      </c>
      <c r="W127" s="2" t="str">
        <f t="shared" si="29"/>
        <v/>
      </c>
      <c r="X127" s="2">
        <f t="shared" si="30"/>
        <v>6</v>
      </c>
      <c r="Y127" s="2" t="str">
        <f t="shared" si="31"/>
        <v/>
      </c>
      <c r="Z127" s="2" t="str">
        <f t="shared" si="32"/>
        <v/>
      </c>
      <c r="AA127" s="2" t="str">
        <f t="shared" si="18"/>
        <v/>
      </c>
      <c r="AB127" s="2" t="str">
        <f t="shared" si="33"/>
        <v/>
      </c>
    </row>
    <row r="128" spans="20:28" x14ac:dyDescent="0.25">
      <c r="T128" s="2" t="str">
        <f t="shared" si="26"/>
        <v/>
      </c>
      <c r="U128" s="2" t="str">
        <f t="shared" si="27"/>
        <v/>
      </c>
      <c r="V128" s="2" t="str">
        <f t="shared" si="28"/>
        <v/>
      </c>
      <c r="W128" s="2" t="str">
        <f t="shared" si="29"/>
        <v/>
      </c>
      <c r="X128" s="2">
        <f t="shared" si="30"/>
        <v>6</v>
      </c>
      <c r="Y128" s="2" t="str">
        <f t="shared" si="31"/>
        <v/>
      </c>
      <c r="Z128" s="2" t="str">
        <f t="shared" si="32"/>
        <v/>
      </c>
      <c r="AA128" s="2" t="str">
        <f t="shared" si="18"/>
        <v/>
      </c>
      <c r="AB128" s="2" t="str">
        <f t="shared" si="33"/>
        <v/>
      </c>
    </row>
    <row r="129" spans="20:28" x14ac:dyDescent="0.25">
      <c r="T129" s="2" t="str">
        <f t="shared" si="26"/>
        <v/>
      </c>
      <c r="U129" s="2" t="str">
        <f t="shared" si="27"/>
        <v/>
      </c>
      <c r="V129" s="2" t="str">
        <f t="shared" si="28"/>
        <v/>
      </c>
      <c r="W129" s="2" t="str">
        <f t="shared" si="29"/>
        <v/>
      </c>
      <c r="X129" s="2">
        <f t="shared" si="30"/>
        <v>6</v>
      </c>
      <c r="Y129" s="2" t="str">
        <f t="shared" si="31"/>
        <v/>
      </c>
      <c r="Z129" s="2" t="str">
        <f t="shared" si="32"/>
        <v/>
      </c>
      <c r="AA129" s="2" t="str">
        <f t="shared" si="18"/>
        <v/>
      </c>
      <c r="AB129" s="2" t="str">
        <f t="shared" si="33"/>
        <v/>
      </c>
    </row>
    <row r="130" spans="20:28" x14ac:dyDescent="0.25">
      <c r="T130" s="2" t="str">
        <f t="shared" si="26"/>
        <v/>
      </c>
      <c r="U130" s="2" t="str">
        <f t="shared" si="27"/>
        <v/>
      </c>
      <c r="V130" s="2" t="str">
        <f t="shared" si="28"/>
        <v/>
      </c>
      <c r="W130" s="2" t="str">
        <f t="shared" si="29"/>
        <v/>
      </c>
      <c r="X130" s="2">
        <f t="shared" si="30"/>
        <v>6</v>
      </c>
      <c r="Y130" s="2" t="str">
        <f t="shared" si="31"/>
        <v/>
      </c>
      <c r="Z130" s="2" t="str">
        <f t="shared" si="32"/>
        <v/>
      </c>
      <c r="AA130" s="2" t="str">
        <f t="shared" si="18"/>
        <v/>
      </c>
      <c r="AB130" s="2" t="str">
        <f t="shared" si="33"/>
        <v/>
      </c>
    </row>
    <row r="131" spans="20:28" x14ac:dyDescent="0.25">
      <c r="T131" s="2" t="str">
        <f t="shared" si="26"/>
        <v/>
      </c>
      <c r="U131" s="2" t="str">
        <f t="shared" si="27"/>
        <v/>
      </c>
      <c r="V131" s="2" t="str">
        <f t="shared" si="28"/>
        <v/>
      </c>
      <c r="W131" s="2" t="str">
        <f t="shared" si="29"/>
        <v/>
      </c>
      <c r="X131" s="2">
        <f t="shared" si="30"/>
        <v>6</v>
      </c>
      <c r="Y131" s="2" t="str">
        <f t="shared" si="31"/>
        <v/>
      </c>
      <c r="Z131" s="2" t="str">
        <f t="shared" si="32"/>
        <v/>
      </c>
      <c r="AA131" s="2" t="str">
        <f t="shared" ref="AA131:AA194" si="34">IF(ISNUMBER(SEARCH("@",Y131)),Y132,"")</f>
        <v/>
      </c>
      <c r="AB131" s="2" t="str">
        <f t="shared" si="33"/>
        <v/>
      </c>
    </row>
    <row r="132" spans="20:28" x14ac:dyDescent="0.25">
      <c r="T132" s="2" t="str">
        <f t="shared" ref="T132:T194" si="35">IF(MOD(ROW(),3)=0,IF(L134&gt;=$K$1,L134,IF(M134&gt;=$K$1,M134,"")),"")</f>
        <v/>
      </c>
      <c r="U132" s="2" t="str">
        <f t="shared" ref="U132:U194" si="36">IF(MOD(ROW(),3)=0,IF(H133="Dog",IF(H134&gt;=0.75,I132&amp;" @ "&amp;H132,""),IF(I134&gt;=0.75,I132&amp;" @ "&amp;H132,"")),"")</f>
        <v/>
      </c>
      <c r="V132" s="2" t="str">
        <f t="shared" ref="V132:V194" si="37">IF(MOD(ROW(),3)=0,IF(H133="Dog",IF(H134&gt;=0.75,H132&amp;" Moneyline",""),IF(I134&gt;=0.75,I132&amp;" Moneyline","")),"")</f>
        <v/>
      </c>
      <c r="W132" s="2" t="str">
        <f t="shared" ref="W132:W195" si="38">IF(MOD(ROW(),3)=0,IF(H133="Dog",IF(H134&gt;=0.75,H134,""),IF(I134&gt;=0.75,I134,"")),"")</f>
        <v/>
      </c>
      <c r="X132" s="2">
        <f t="shared" ref="X132:X195" si="39">IF(ISNUMBER(CODE(Z132)),X131+1,X131)</f>
        <v>6</v>
      </c>
      <c r="Y132" s="2" t="str">
        <f t="shared" ref="Y132:Y195" si="40">INDEX($O$3:$W$50,1+INT((ROW(A130)-1)/COLUMNS($O$3:$W$50)),MOD(ROW(A130)-1+COLUMNS($O$3:$W$50),COLUMNS($O$3:$W$50))+1)</f>
        <v/>
      </c>
      <c r="Z132" s="2" t="str">
        <f t="shared" ref="Z132:Z195" si="41">IF(ISNUMBER(SEARCH("@",Y132)),Y132,"")</f>
        <v/>
      </c>
      <c r="AA132" s="2" t="str">
        <f t="shared" si="34"/>
        <v/>
      </c>
      <c r="AB132" s="2" t="str">
        <f t="shared" ref="AB132:AB195" si="42">IF(ISNUMBER(SEARCH("@",Y132)),Y134,"")</f>
        <v/>
      </c>
    </row>
    <row r="133" spans="20:28" x14ac:dyDescent="0.25">
      <c r="T133" s="2" t="str">
        <f t="shared" si="35"/>
        <v/>
      </c>
      <c r="U133" s="2" t="str">
        <f t="shared" si="36"/>
        <v/>
      </c>
      <c r="V133" s="2" t="str">
        <f t="shared" si="37"/>
        <v/>
      </c>
      <c r="W133" s="2" t="str">
        <f t="shared" si="38"/>
        <v/>
      </c>
      <c r="X133" s="2">
        <f t="shared" si="39"/>
        <v>6</v>
      </c>
      <c r="Y133" s="2" t="str">
        <f t="shared" si="40"/>
        <v/>
      </c>
      <c r="Z133" s="2" t="str">
        <f t="shared" si="41"/>
        <v/>
      </c>
      <c r="AA133" s="2" t="str">
        <f t="shared" si="34"/>
        <v/>
      </c>
      <c r="AB133" s="2" t="str">
        <f t="shared" si="42"/>
        <v/>
      </c>
    </row>
    <row r="134" spans="20:28" x14ac:dyDescent="0.25">
      <c r="T134" s="2" t="str">
        <f t="shared" si="35"/>
        <v/>
      </c>
      <c r="U134" s="2" t="str">
        <f t="shared" si="36"/>
        <v/>
      </c>
      <c r="V134" s="2" t="str">
        <f t="shared" si="37"/>
        <v/>
      </c>
      <c r="W134" s="2" t="str">
        <f t="shared" si="38"/>
        <v/>
      </c>
      <c r="X134" s="2">
        <f t="shared" si="39"/>
        <v>6</v>
      </c>
      <c r="Y134" s="2" t="str">
        <f t="shared" si="40"/>
        <v/>
      </c>
      <c r="Z134" s="2" t="str">
        <f t="shared" si="41"/>
        <v/>
      </c>
      <c r="AA134" s="2" t="str">
        <f t="shared" si="34"/>
        <v/>
      </c>
      <c r="AB134" s="2" t="str">
        <f t="shared" si="42"/>
        <v/>
      </c>
    </row>
    <row r="135" spans="20:28" x14ac:dyDescent="0.25">
      <c r="T135" s="2" t="str">
        <f t="shared" si="35"/>
        <v/>
      </c>
      <c r="U135" s="2" t="str">
        <f t="shared" si="36"/>
        <v/>
      </c>
      <c r="V135" s="2" t="str">
        <f t="shared" si="37"/>
        <v/>
      </c>
      <c r="W135" s="2" t="str">
        <f t="shared" si="38"/>
        <v/>
      </c>
      <c r="X135" s="2">
        <f t="shared" si="39"/>
        <v>6</v>
      </c>
      <c r="Y135" s="2" t="str">
        <f t="shared" si="40"/>
        <v/>
      </c>
      <c r="Z135" s="2" t="str">
        <f t="shared" si="41"/>
        <v/>
      </c>
      <c r="AA135" s="2" t="str">
        <f t="shared" si="34"/>
        <v/>
      </c>
      <c r="AB135" s="2" t="str">
        <f t="shared" si="42"/>
        <v/>
      </c>
    </row>
    <row r="136" spans="20:28" x14ac:dyDescent="0.25">
      <c r="T136" s="2" t="str">
        <f t="shared" si="35"/>
        <v/>
      </c>
      <c r="U136" s="2" t="str">
        <f t="shared" si="36"/>
        <v/>
      </c>
      <c r="V136" s="2" t="str">
        <f t="shared" si="37"/>
        <v/>
      </c>
      <c r="W136" s="2" t="str">
        <f t="shared" si="38"/>
        <v/>
      </c>
      <c r="X136" s="2">
        <f t="shared" si="39"/>
        <v>6</v>
      </c>
      <c r="Y136" s="2" t="str">
        <f t="shared" si="40"/>
        <v/>
      </c>
      <c r="Z136" s="2" t="str">
        <f t="shared" si="41"/>
        <v/>
      </c>
      <c r="AA136" s="2" t="str">
        <f t="shared" si="34"/>
        <v/>
      </c>
      <c r="AB136" s="2" t="str">
        <f t="shared" si="42"/>
        <v/>
      </c>
    </row>
    <row r="137" spans="20:28" x14ac:dyDescent="0.25">
      <c r="T137" s="2" t="str">
        <f t="shared" si="35"/>
        <v/>
      </c>
      <c r="U137" s="2" t="str">
        <f t="shared" si="36"/>
        <v/>
      </c>
      <c r="V137" s="2" t="str">
        <f t="shared" si="37"/>
        <v/>
      </c>
      <c r="W137" s="2" t="str">
        <f t="shared" si="38"/>
        <v/>
      </c>
      <c r="X137" s="2">
        <f t="shared" si="39"/>
        <v>6</v>
      </c>
      <c r="Y137" s="2" t="str">
        <f t="shared" si="40"/>
        <v/>
      </c>
      <c r="Z137" s="2" t="str">
        <f t="shared" si="41"/>
        <v/>
      </c>
      <c r="AA137" s="2" t="str">
        <f t="shared" si="34"/>
        <v/>
      </c>
      <c r="AB137" s="2" t="str">
        <f t="shared" si="42"/>
        <v/>
      </c>
    </row>
    <row r="138" spans="20:28" x14ac:dyDescent="0.25">
      <c r="T138" s="2" t="str">
        <f t="shared" si="35"/>
        <v/>
      </c>
      <c r="U138" s="2" t="str">
        <f t="shared" si="36"/>
        <v/>
      </c>
      <c r="V138" s="2" t="str">
        <f t="shared" si="37"/>
        <v/>
      </c>
      <c r="W138" s="2" t="str">
        <f t="shared" si="38"/>
        <v/>
      </c>
      <c r="X138" s="2">
        <f t="shared" si="39"/>
        <v>6</v>
      </c>
      <c r="Y138" s="2" t="str">
        <f t="shared" si="40"/>
        <v/>
      </c>
      <c r="Z138" s="2" t="str">
        <f t="shared" si="41"/>
        <v/>
      </c>
      <c r="AA138" s="2" t="str">
        <f t="shared" si="34"/>
        <v/>
      </c>
      <c r="AB138" s="2" t="str">
        <f t="shared" si="42"/>
        <v/>
      </c>
    </row>
    <row r="139" spans="20:28" x14ac:dyDescent="0.25">
      <c r="T139" s="2" t="str">
        <f t="shared" si="35"/>
        <v/>
      </c>
      <c r="U139" s="2" t="str">
        <f t="shared" si="36"/>
        <v/>
      </c>
      <c r="V139" s="2" t="str">
        <f t="shared" si="37"/>
        <v/>
      </c>
      <c r="W139" s="2" t="str">
        <f t="shared" si="38"/>
        <v/>
      </c>
      <c r="X139" s="2">
        <f t="shared" si="39"/>
        <v>6</v>
      </c>
      <c r="Y139" s="2" t="str">
        <f t="shared" si="40"/>
        <v/>
      </c>
      <c r="Z139" s="2" t="str">
        <f t="shared" si="41"/>
        <v/>
      </c>
      <c r="AA139" s="2" t="str">
        <f t="shared" si="34"/>
        <v/>
      </c>
      <c r="AB139" s="2" t="str">
        <f t="shared" si="42"/>
        <v/>
      </c>
    </row>
    <row r="140" spans="20:28" x14ac:dyDescent="0.25">
      <c r="T140" s="2" t="str">
        <f t="shared" si="35"/>
        <v/>
      </c>
      <c r="U140" s="2" t="str">
        <f t="shared" si="36"/>
        <v/>
      </c>
      <c r="V140" s="2" t="str">
        <f t="shared" si="37"/>
        <v/>
      </c>
      <c r="W140" s="2" t="str">
        <f t="shared" si="38"/>
        <v/>
      </c>
      <c r="X140" s="2">
        <f t="shared" si="39"/>
        <v>6</v>
      </c>
      <c r="Y140" s="2" t="str">
        <f t="shared" si="40"/>
        <v/>
      </c>
      <c r="Z140" s="2" t="str">
        <f t="shared" si="41"/>
        <v/>
      </c>
      <c r="AA140" s="2" t="str">
        <f t="shared" si="34"/>
        <v/>
      </c>
      <c r="AB140" s="2" t="str">
        <f t="shared" si="42"/>
        <v/>
      </c>
    </row>
    <row r="141" spans="20:28" x14ac:dyDescent="0.25">
      <c r="T141" s="2" t="str">
        <f t="shared" si="35"/>
        <v/>
      </c>
      <c r="U141" s="2" t="str">
        <f t="shared" si="36"/>
        <v/>
      </c>
      <c r="V141" s="2" t="str">
        <f t="shared" si="37"/>
        <v/>
      </c>
      <c r="W141" s="2" t="str">
        <f t="shared" si="38"/>
        <v/>
      </c>
      <c r="X141" s="2">
        <f t="shared" si="39"/>
        <v>6</v>
      </c>
      <c r="Y141" s="2" t="str">
        <f t="shared" si="40"/>
        <v/>
      </c>
      <c r="Z141" s="2" t="str">
        <f t="shared" si="41"/>
        <v/>
      </c>
      <c r="AA141" s="2" t="str">
        <f t="shared" si="34"/>
        <v/>
      </c>
      <c r="AB141" s="2" t="str">
        <f t="shared" si="42"/>
        <v/>
      </c>
    </row>
    <row r="142" spans="20:28" x14ac:dyDescent="0.25">
      <c r="T142" s="2" t="str">
        <f t="shared" si="35"/>
        <v/>
      </c>
      <c r="U142" s="2" t="str">
        <f t="shared" si="36"/>
        <v/>
      </c>
      <c r="V142" s="2" t="str">
        <f t="shared" si="37"/>
        <v/>
      </c>
      <c r="W142" s="2" t="str">
        <f t="shared" si="38"/>
        <v/>
      </c>
      <c r="X142" s="2">
        <f t="shared" si="39"/>
        <v>6</v>
      </c>
      <c r="Y142" s="2" t="str">
        <f t="shared" si="40"/>
        <v/>
      </c>
      <c r="Z142" s="2" t="str">
        <f t="shared" si="41"/>
        <v/>
      </c>
      <c r="AA142" s="2" t="str">
        <f t="shared" si="34"/>
        <v/>
      </c>
      <c r="AB142" s="2" t="str">
        <f t="shared" si="42"/>
        <v/>
      </c>
    </row>
    <row r="143" spans="20:28" x14ac:dyDescent="0.25">
      <c r="T143" s="2" t="str">
        <f t="shared" si="35"/>
        <v/>
      </c>
      <c r="U143" s="2" t="str">
        <f t="shared" si="36"/>
        <v/>
      </c>
      <c r="V143" s="2" t="str">
        <f t="shared" si="37"/>
        <v/>
      </c>
      <c r="W143" s="2" t="str">
        <f t="shared" si="38"/>
        <v/>
      </c>
      <c r="X143" s="2">
        <f t="shared" si="39"/>
        <v>6</v>
      </c>
      <c r="Y143" s="2" t="str">
        <f t="shared" si="40"/>
        <v/>
      </c>
      <c r="Z143" s="2" t="str">
        <f t="shared" si="41"/>
        <v/>
      </c>
      <c r="AA143" s="2" t="str">
        <f t="shared" si="34"/>
        <v/>
      </c>
      <c r="AB143" s="2" t="str">
        <f t="shared" si="42"/>
        <v/>
      </c>
    </row>
    <row r="144" spans="20:28" x14ac:dyDescent="0.25">
      <c r="T144" s="2" t="str">
        <f t="shared" si="35"/>
        <v/>
      </c>
      <c r="U144" s="2" t="str">
        <f t="shared" si="36"/>
        <v/>
      </c>
      <c r="V144" s="2" t="str">
        <f t="shared" si="37"/>
        <v/>
      </c>
      <c r="W144" s="2" t="str">
        <f t="shared" si="38"/>
        <v/>
      </c>
      <c r="X144" s="2">
        <f t="shared" si="39"/>
        <v>6</v>
      </c>
      <c r="Y144" s="2" t="str">
        <f t="shared" si="40"/>
        <v/>
      </c>
      <c r="Z144" s="2" t="str">
        <f t="shared" si="41"/>
        <v/>
      </c>
      <c r="AA144" s="2" t="str">
        <f t="shared" si="34"/>
        <v/>
      </c>
      <c r="AB144" s="2" t="str">
        <f t="shared" si="42"/>
        <v/>
      </c>
    </row>
    <row r="145" spans="20:28" x14ac:dyDescent="0.25">
      <c r="T145" s="2" t="str">
        <f t="shared" si="35"/>
        <v/>
      </c>
      <c r="U145" s="2" t="str">
        <f t="shared" si="36"/>
        <v/>
      </c>
      <c r="V145" s="2" t="str">
        <f t="shared" si="37"/>
        <v/>
      </c>
      <c r="W145" s="2" t="str">
        <f t="shared" si="38"/>
        <v/>
      </c>
      <c r="X145" s="2">
        <f t="shared" si="39"/>
        <v>6</v>
      </c>
      <c r="Y145" s="2" t="str">
        <f t="shared" si="40"/>
        <v/>
      </c>
      <c r="Z145" s="2" t="str">
        <f t="shared" si="41"/>
        <v/>
      </c>
      <c r="AA145" s="2" t="str">
        <f t="shared" si="34"/>
        <v/>
      </c>
      <c r="AB145" s="2" t="str">
        <f t="shared" si="42"/>
        <v/>
      </c>
    </row>
    <row r="146" spans="20:28" x14ac:dyDescent="0.25">
      <c r="T146" s="2" t="str">
        <f t="shared" si="35"/>
        <v/>
      </c>
      <c r="U146" s="2" t="str">
        <f t="shared" si="36"/>
        <v/>
      </c>
      <c r="V146" s="2" t="str">
        <f t="shared" si="37"/>
        <v/>
      </c>
      <c r="W146" s="2" t="str">
        <f t="shared" si="38"/>
        <v/>
      </c>
      <c r="X146" s="2">
        <f t="shared" si="39"/>
        <v>6</v>
      </c>
      <c r="Y146" s="2" t="str">
        <f t="shared" si="40"/>
        <v/>
      </c>
      <c r="Z146" s="2" t="str">
        <f t="shared" si="41"/>
        <v/>
      </c>
      <c r="AA146" s="2" t="str">
        <f t="shared" si="34"/>
        <v/>
      </c>
      <c r="AB146" s="2" t="str">
        <f t="shared" si="42"/>
        <v/>
      </c>
    </row>
    <row r="147" spans="20:28" x14ac:dyDescent="0.25">
      <c r="T147" s="2" t="str">
        <f t="shared" si="35"/>
        <v/>
      </c>
      <c r="U147" s="2" t="str">
        <f t="shared" si="36"/>
        <v/>
      </c>
      <c r="V147" s="2" t="str">
        <f t="shared" si="37"/>
        <v/>
      </c>
      <c r="W147" s="2" t="str">
        <f t="shared" si="38"/>
        <v/>
      </c>
      <c r="X147" s="2">
        <f t="shared" si="39"/>
        <v>6</v>
      </c>
      <c r="Y147" s="2" t="str">
        <f t="shared" si="40"/>
        <v/>
      </c>
      <c r="Z147" s="2" t="str">
        <f t="shared" si="41"/>
        <v/>
      </c>
      <c r="AA147" s="2" t="str">
        <f t="shared" si="34"/>
        <v/>
      </c>
      <c r="AB147" s="2" t="str">
        <f t="shared" si="42"/>
        <v/>
      </c>
    </row>
    <row r="148" spans="20:28" x14ac:dyDescent="0.25">
      <c r="T148" s="2" t="str">
        <f t="shared" si="35"/>
        <v/>
      </c>
      <c r="U148" s="2" t="str">
        <f t="shared" si="36"/>
        <v/>
      </c>
      <c r="V148" s="2" t="str">
        <f t="shared" si="37"/>
        <v/>
      </c>
      <c r="W148" s="2" t="str">
        <f t="shared" si="38"/>
        <v/>
      </c>
      <c r="X148" s="2">
        <f t="shared" si="39"/>
        <v>6</v>
      </c>
      <c r="Y148" s="2" t="str">
        <f t="shared" si="40"/>
        <v/>
      </c>
      <c r="Z148" s="2" t="str">
        <f t="shared" si="41"/>
        <v/>
      </c>
      <c r="AA148" s="2" t="str">
        <f t="shared" si="34"/>
        <v/>
      </c>
      <c r="AB148" s="2" t="str">
        <f t="shared" si="42"/>
        <v/>
      </c>
    </row>
    <row r="149" spans="20:28" x14ac:dyDescent="0.25">
      <c r="T149" s="2" t="str">
        <f t="shared" si="35"/>
        <v/>
      </c>
      <c r="U149" s="2" t="str">
        <f t="shared" si="36"/>
        <v/>
      </c>
      <c r="V149" s="2" t="str">
        <f t="shared" si="37"/>
        <v/>
      </c>
      <c r="W149" s="2" t="str">
        <f t="shared" si="38"/>
        <v/>
      </c>
      <c r="X149" s="2">
        <f t="shared" si="39"/>
        <v>6</v>
      </c>
      <c r="Y149" s="2" t="str">
        <f t="shared" si="40"/>
        <v/>
      </c>
      <c r="Z149" s="2" t="str">
        <f t="shared" si="41"/>
        <v/>
      </c>
      <c r="AA149" s="2" t="str">
        <f t="shared" si="34"/>
        <v/>
      </c>
      <c r="AB149" s="2" t="str">
        <f t="shared" si="42"/>
        <v/>
      </c>
    </row>
    <row r="150" spans="20:28" x14ac:dyDescent="0.25">
      <c r="T150" s="2" t="str">
        <f t="shared" si="35"/>
        <v/>
      </c>
      <c r="U150" s="2" t="str">
        <f t="shared" si="36"/>
        <v/>
      </c>
      <c r="V150" s="2" t="str">
        <f t="shared" si="37"/>
        <v/>
      </c>
      <c r="W150" s="2" t="str">
        <f t="shared" si="38"/>
        <v/>
      </c>
      <c r="X150" s="2">
        <f t="shared" si="39"/>
        <v>6</v>
      </c>
      <c r="Y150" s="2" t="str">
        <f t="shared" si="40"/>
        <v/>
      </c>
      <c r="Z150" s="2" t="str">
        <f t="shared" si="41"/>
        <v/>
      </c>
      <c r="AA150" s="2" t="str">
        <f t="shared" si="34"/>
        <v/>
      </c>
      <c r="AB150" s="2" t="str">
        <f t="shared" si="42"/>
        <v/>
      </c>
    </row>
    <row r="151" spans="20:28" x14ac:dyDescent="0.25">
      <c r="T151" s="2" t="str">
        <f t="shared" si="35"/>
        <v/>
      </c>
      <c r="U151" s="2" t="str">
        <f t="shared" si="36"/>
        <v/>
      </c>
      <c r="V151" s="2" t="str">
        <f t="shared" si="37"/>
        <v/>
      </c>
      <c r="W151" s="2" t="str">
        <f t="shared" si="38"/>
        <v/>
      </c>
      <c r="X151" s="2">
        <f t="shared" si="39"/>
        <v>6</v>
      </c>
      <c r="Y151" s="2" t="str">
        <f t="shared" si="40"/>
        <v/>
      </c>
      <c r="Z151" s="2" t="str">
        <f t="shared" si="41"/>
        <v/>
      </c>
      <c r="AA151" s="2" t="str">
        <f t="shared" si="34"/>
        <v/>
      </c>
      <c r="AB151" s="2" t="str">
        <f t="shared" si="42"/>
        <v/>
      </c>
    </row>
    <row r="152" spans="20:28" x14ac:dyDescent="0.25">
      <c r="T152" s="2" t="str">
        <f t="shared" si="35"/>
        <v/>
      </c>
      <c r="U152" s="2" t="str">
        <f t="shared" si="36"/>
        <v/>
      </c>
      <c r="V152" s="2" t="str">
        <f t="shared" si="37"/>
        <v/>
      </c>
      <c r="W152" s="2" t="str">
        <f t="shared" si="38"/>
        <v/>
      </c>
      <c r="X152" s="2">
        <f t="shared" si="39"/>
        <v>6</v>
      </c>
      <c r="Y152" s="2" t="str">
        <f t="shared" si="40"/>
        <v/>
      </c>
      <c r="Z152" s="2" t="str">
        <f t="shared" si="41"/>
        <v/>
      </c>
      <c r="AA152" s="2" t="str">
        <f t="shared" si="34"/>
        <v/>
      </c>
      <c r="AB152" s="2" t="str">
        <f t="shared" si="42"/>
        <v/>
      </c>
    </row>
    <row r="153" spans="20:28" x14ac:dyDescent="0.25">
      <c r="T153" s="2" t="str">
        <f t="shared" si="35"/>
        <v/>
      </c>
      <c r="U153" s="2" t="str">
        <f t="shared" si="36"/>
        <v/>
      </c>
      <c r="V153" s="2" t="str">
        <f t="shared" si="37"/>
        <v/>
      </c>
      <c r="W153" s="2" t="str">
        <f t="shared" si="38"/>
        <v/>
      </c>
      <c r="X153" s="2">
        <f t="shared" si="39"/>
        <v>6</v>
      </c>
      <c r="Y153" s="2" t="str">
        <f t="shared" si="40"/>
        <v/>
      </c>
      <c r="Z153" s="2" t="str">
        <f t="shared" si="41"/>
        <v/>
      </c>
      <c r="AA153" s="2" t="str">
        <f t="shared" si="34"/>
        <v/>
      </c>
      <c r="AB153" s="2" t="str">
        <f t="shared" si="42"/>
        <v/>
      </c>
    </row>
    <row r="154" spans="20:28" x14ac:dyDescent="0.25">
      <c r="T154" s="2" t="str">
        <f t="shared" si="35"/>
        <v/>
      </c>
      <c r="U154" s="2" t="str">
        <f t="shared" si="36"/>
        <v/>
      </c>
      <c r="V154" s="2" t="str">
        <f t="shared" si="37"/>
        <v/>
      </c>
      <c r="W154" s="2" t="str">
        <f t="shared" si="38"/>
        <v/>
      </c>
      <c r="X154" s="2">
        <f t="shared" si="39"/>
        <v>6</v>
      </c>
      <c r="Y154" s="2" t="str">
        <f t="shared" si="40"/>
        <v/>
      </c>
      <c r="Z154" s="2" t="str">
        <f t="shared" si="41"/>
        <v/>
      </c>
      <c r="AA154" s="2" t="str">
        <f t="shared" si="34"/>
        <v/>
      </c>
      <c r="AB154" s="2" t="str">
        <f t="shared" si="42"/>
        <v/>
      </c>
    </row>
    <row r="155" spans="20:28" x14ac:dyDescent="0.25">
      <c r="T155" s="2" t="str">
        <f t="shared" si="35"/>
        <v/>
      </c>
      <c r="U155" s="2" t="str">
        <f t="shared" si="36"/>
        <v/>
      </c>
      <c r="V155" s="2" t="str">
        <f t="shared" si="37"/>
        <v/>
      </c>
      <c r="W155" s="2" t="str">
        <f t="shared" si="38"/>
        <v/>
      </c>
      <c r="X155" s="2">
        <f t="shared" si="39"/>
        <v>6</v>
      </c>
      <c r="Y155" s="2" t="str">
        <f t="shared" si="40"/>
        <v/>
      </c>
      <c r="Z155" s="2" t="str">
        <f t="shared" si="41"/>
        <v/>
      </c>
      <c r="AA155" s="2" t="str">
        <f t="shared" si="34"/>
        <v/>
      </c>
      <c r="AB155" s="2" t="str">
        <f t="shared" si="42"/>
        <v/>
      </c>
    </row>
    <row r="156" spans="20:28" x14ac:dyDescent="0.25">
      <c r="T156" s="2" t="str">
        <f t="shared" si="35"/>
        <v/>
      </c>
      <c r="U156" s="2" t="str">
        <f t="shared" si="36"/>
        <v/>
      </c>
      <c r="V156" s="2" t="str">
        <f t="shared" si="37"/>
        <v/>
      </c>
      <c r="W156" s="2" t="str">
        <f t="shared" si="38"/>
        <v/>
      </c>
      <c r="X156" s="2">
        <f t="shared" si="39"/>
        <v>6</v>
      </c>
      <c r="Y156" s="2" t="str">
        <f t="shared" si="40"/>
        <v/>
      </c>
      <c r="Z156" s="2" t="str">
        <f t="shared" si="41"/>
        <v/>
      </c>
      <c r="AA156" s="2" t="str">
        <f t="shared" si="34"/>
        <v/>
      </c>
      <c r="AB156" s="2" t="str">
        <f t="shared" si="42"/>
        <v/>
      </c>
    </row>
    <row r="157" spans="20:28" x14ac:dyDescent="0.25">
      <c r="T157" s="2" t="str">
        <f t="shared" si="35"/>
        <v/>
      </c>
      <c r="U157" s="2" t="str">
        <f t="shared" si="36"/>
        <v/>
      </c>
      <c r="V157" s="2" t="str">
        <f t="shared" si="37"/>
        <v/>
      </c>
      <c r="W157" s="2" t="str">
        <f t="shared" si="38"/>
        <v/>
      </c>
      <c r="X157" s="2">
        <f t="shared" si="39"/>
        <v>6</v>
      </c>
      <c r="Y157" s="2" t="str">
        <f t="shared" si="40"/>
        <v/>
      </c>
      <c r="Z157" s="2" t="str">
        <f t="shared" si="41"/>
        <v/>
      </c>
      <c r="AA157" s="2" t="str">
        <f t="shared" si="34"/>
        <v/>
      </c>
      <c r="AB157" s="2" t="str">
        <f t="shared" si="42"/>
        <v/>
      </c>
    </row>
    <row r="158" spans="20:28" x14ac:dyDescent="0.25">
      <c r="T158" s="2" t="str">
        <f t="shared" si="35"/>
        <v/>
      </c>
      <c r="U158" s="2" t="str">
        <f t="shared" si="36"/>
        <v/>
      </c>
      <c r="V158" s="2" t="str">
        <f t="shared" si="37"/>
        <v/>
      </c>
      <c r="W158" s="2" t="str">
        <f t="shared" si="38"/>
        <v/>
      </c>
      <c r="X158" s="2">
        <f t="shared" si="39"/>
        <v>6</v>
      </c>
      <c r="Y158" s="2" t="str">
        <f t="shared" si="40"/>
        <v/>
      </c>
      <c r="Z158" s="2" t="str">
        <f t="shared" si="41"/>
        <v/>
      </c>
      <c r="AA158" s="2" t="str">
        <f t="shared" si="34"/>
        <v/>
      </c>
      <c r="AB158" s="2" t="str">
        <f t="shared" si="42"/>
        <v/>
      </c>
    </row>
    <row r="159" spans="20:28" x14ac:dyDescent="0.25">
      <c r="T159" s="2" t="str">
        <f t="shared" si="35"/>
        <v/>
      </c>
      <c r="U159" s="2" t="str">
        <f t="shared" si="36"/>
        <v/>
      </c>
      <c r="V159" s="2" t="str">
        <f t="shared" si="37"/>
        <v/>
      </c>
      <c r="W159" s="2" t="str">
        <f t="shared" si="38"/>
        <v/>
      </c>
      <c r="X159" s="2">
        <f t="shared" si="39"/>
        <v>6</v>
      </c>
      <c r="Y159" s="2" t="str">
        <f t="shared" si="40"/>
        <v/>
      </c>
      <c r="Z159" s="2" t="str">
        <f t="shared" si="41"/>
        <v/>
      </c>
      <c r="AA159" s="2" t="str">
        <f t="shared" si="34"/>
        <v/>
      </c>
      <c r="AB159" s="2" t="str">
        <f t="shared" si="42"/>
        <v/>
      </c>
    </row>
    <row r="160" spans="20:28" x14ac:dyDescent="0.25">
      <c r="T160" s="2" t="str">
        <f t="shared" si="35"/>
        <v/>
      </c>
      <c r="U160" s="2" t="str">
        <f t="shared" si="36"/>
        <v/>
      </c>
      <c r="V160" s="2" t="str">
        <f t="shared" si="37"/>
        <v/>
      </c>
      <c r="W160" s="2" t="str">
        <f t="shared" si="38"/>
        <v/>
      </c>
      <c r="X160" s="2">
        <f t="shared" si="39"/>
        <v>6</v>
      </c>
      <c r="Y160" s="2" t="str">
        <f t="shared" si="40"/>
        <v/>
      </c>
      <c r="Z160" s="2" t="str">
        <f t="shared" si="41"/>
        <v/>
      </c>
      <c r="AA160" s="2" t="str">
        <f t="shared" si="34"/>
        <v/>
      </c>
      <c r="AB160" s="2" t="str">
        <f t="shared" si="42"/>
        <v/>
      </c>
    </row>
    <row r="161" spans="20:28" x14ac:dyDescent="0.25">
      <c r="T161" s="2" t="str">
        <f t="shared" si="35"/>
        <v/>
      </c>
      <c r="U161" s="2" t="str">
        <f t="shared" si="36"/>
        <v/>
      </c>
      <c r="V161" s="2" t="str">
        <f t="shared" si="37"/>
        <v/>
      </c>
      <c r="W161" s="2" t="str">
        <f t="shared" si="38"/>
        <v/>
      </c>
      <c r="X161" s="2">
        <f t="shared" si="39"/>
        <v>6</v>
      </c>
      <c r="Y161" s="2" t="str">
        <f t="shared" si="40"/>
        <v/>
      </c>
      <c r="Z161" s="2" t="str">
        <f t="shared" si="41"/>
        <v/>
      </c>
      <c r="AA161" s="2" t="str">
        <f t="shared" si="34"/>
        <v/>
      </c>
      <c r="AB161" s="2" t="str">
        <f t="shared" si="42"/>
        <v/>
      </c>
    </row>
    <row r="162" spans="20:28" x14ac:dyDescent="0.25">
      <c r="T162" s="2" t="str">
        <f t="shared" si="35"/>
        <v/>
      </c>
      <c r="U162" s="2" t="str">
        <f t="shared" si="36"/>
        <v/>
      </c>
      <c r="V162" s="2" t="str">
        <f t="shared" si="37"/>
        <v/>
      </c>
      <c r="W162" s="2" t="str">
        <f t="shared" si="38"/>
        <v/>
      </c>
      <c r="X162" s="2">
        <f t="shared" si="39"/>
        <v>6</v>
      </c>
      <c r="Y162" s="2" t="str">
        <f t="shared" si="40"/>
        <v/>
      </c>
      <c r="Z162" s="2" t="str">
        <f t="shared" si="41"/>
        <v/>
      </c>
      <c r="AA162" s="2" t="str">
        <f t="shared" si="34"/>
        <v/>
      </c>
      <c r="AB162" s="2" t="str">
        <f t="shared" si="42"/>
        <v/>
      </c>
    </row>
    <row r="163" spans="20:28" x14ac:dyDescent="0.25">
      <c r="T163" s="2" t="str">
        <f t="shared" si="35"/>
        <v/>
      </c>
      <c r="U163" s="2" t="str">
        <f t="shared" si="36"/>
        <v/>
      </c>
      <c r="V163" s="2" t="str">
        <f t="shared" si="37"/>
        <v/>
      </c>
      <c r="W163" s="2" t="str">
        <f t="shared" si="38"/>
        <v/>
      </c>
      <c r="X163" s="2">
        <f t="shared" si="39"/>
        <v>6</v>
      </c>
      <c r="Y163" s="2" t="str">
        <f t="shared" si="40"/>
        <v/>
      </c>
      <c r="Z163" s="2" t="str">
        <f t="shared" si="41"/>
        <v/>
      </c>
      <c r="AA163" s="2" t="str">
        <f t="shared" si="34"/>
        <v/>
      </c>
      <c r="AB163" s="2" t="str">
        <f t="shared" si="42"/>
        <v/>
      </c>
    </row>
    <row r="164" spans="20:28" x14ac:dyDescent="0.25">
      <c r="T164" s="2" t="str">
        <f t="shared" si="35"/>
        <v/>
      </c>
      <c r="U164" s="2" t="str">
        <f t="shared" si="36"/>
        <v/>
      </c>
      <c r="V164" s="2" t="str">
        <f t="shared" si="37"/>
        <v/>
      </c>
      <c r="W164" s="2" t="str">
        <f t="shared" si="38"/>
        <v/>
      </c>
      <c r="X164" s="2">
        <f t="shared" si="39"/>
        <v>6</v>
      </c>
      <c r="Y164" s="2" t="str">
        <f t="shared" si="40"/>
        <v/>
      </c>
      <c r="Z164" s="2" t="str">
        <f t="shared" si="41"/>
        <v/>
      </c>
      <c r="AA164" s="2" t="str">
        <f t="shared" si="34"/>
        <v/>
      </c>
      <c r="AB164" s="2" t="str">
        <f t="shared" si="42"/>
        <v/>
      </c>
    </row>
    <row r="165" spans="20:28" x14ac:dyDescent="0.25">
      <c r="T165" s="2" t="str">
        <f t="shared" si="35"/>
        <v/>
      </c>
      <c r="U165" s="2" t="str">
        <f t="shared" si="36"/>
        <v/>
      </c>
      <c r="V165" s="2" t="str">
        <f t="shared" si="37"/>
        <v/>
      </c>
      <c r="W165" s="2" t="str">
        <f t="shared" si="38"/>
        <v/>
      </c>
      <c r="X165" s="2">
        <f t="shared" si="39"/>
        <v>6</v>
      </c>
      <c r="Y165" s="2" t="str">
        <f t="shared" si="40"/>
        <v/>
      </c>
      <c r="Z165" s="2" t="str">
        <f t="shared" si="41"/>
        <v/>
      </c>
      <c r="AA165" s="2" t="str">
        <f t="shared" si="34"/>
        <v/>
      </c>
      <c r="AB165" s="2" t="str">
        <f t="shared" si="42"/>
        <v/>
      </c>
    </row>
    <row r="166" spans="20:28" x14ac:dyDescent="0.25">
      <c r="T166" s="2" t="str">
        <f t="shared" si="35"/>
        <v/>
      </c>
      <c r="U166" s="2" t="str">
        <f t="shared" si="36"/>
        <v/>
      </c>
      <c r="V166" s="2" t="str">
        <f t="shared" si="37"/>
        <v/>
      </c>
      <c r="W166" s="2" t="str">
        <f t="shared" si="38"/>
        <v/>
      </c>
      <c r="X166" s="2">
        <f t="shared" si="39"/>
        <v>6</v>
      </c>
      <c r="Y166" s="2" t="str">
        <f t="shared" si="40"/>
        <v/>
      </c>
      <c r="Z166" s="2" t="str">
        <f t="shared" si="41"/>
        <v/>
      </c>
      <c r="AA166" s="2" t="str">
        <f t="shared" si="34"/>
        <v/>
      </c>
      <c r="AB166" s="2" t="str">
        <f t="shared" si="42"/>
        <v/>
      </c>
    </row>
    <row r="167" spans="20:28" x14ac:dyDescent="0.25">
      <c r="T167" s="2" t="str">
        <f t="shared" si="35"/>
        <v/>
      </c>
      <c r="U167" s="2" t="str">
        <f t="shared" si="36"/>
        <v/>
      </c>
      <c r="V167" s="2" t="str">
        <f t="shared" si="37"/>
        <v/>
      </c>
      <c r="W167" s="2" t="str">
        <f t="shared" si="38"/>
        <v/>
      </c>
      <c r="X167" s="2">
        <f t="shared" si="39"/>
        <v>6</v>
      </c>
      <c r="Y167" s="2" t="str">
        <f t="shared" si="40"/>
        <v/>
      </c>
      <c r="Z167" s="2" t="str">
        <f t="shared" si="41"/>
        <v/>
      </c>
      <c r="AA167" s="2" t="str">
        <f t="shared" si="34"/>
        <v/>
      </c>
      <c r="AB167" s="2" t="str">
        <f t="shared" si="42"/>
        <v/>
      </c>
    </row>
    <row r="168" spans="20:28" x14ac:dyDescent="0.25">
      <c r="T168" s="2" t="str">
        <f t="shared" si="35"/>
        <v/>
      </c>
      <c r="U168" s="2" t="str">
        <f t="shared" si="36"/>
        <v/>
      </c>
      <c r="V168" s="2" t="str">
        <f t="shared" si="37"/>
        <v/>
      </c>
      <c r="W168" s="2" t="str">
        <f t="shared" si="38"/>
        <v/>
      </c>
      <c r="X168" s="2">
        <f t="shared" si="39"/>
        <v>6</v>
      </c>
      <c r="Y168" s="2" t="str">
        <f t="shared" si="40"/>
        <v/>
      </c>
      <c r="Z168" s="2" t="str">
        <f t="shared" si="41"/>
        <v/>
      </c>
      <c r="AA168" s="2" t="str">
        <f t="shared" si="34"/>
        <v/>
      </c>
      <c r="AB168" s="2" t="str">
        <f t="shared" si="42"/>
        <v/>
      </c>
    </row>
    <row r="169" spans="20:28" x14ac:dyDescent="0.25">
      <c r="T169" s="2" t="str">
        <f t="shared" si="35"/>
        <v/>
      </c>
      <c r="U169" s="2" t="str">
        <f t="shared" si="36"/>
        <v/>
      </c>
      <c r="V169" s="2" t="str">
        <f t="shared" si="37"/>
        <v/>
      </c>
      <c r="W169" s="2" t="str">
        <f t="shared" si="38"/>
        <v/>
      </c>
      <c r="X169" s="2">
        <f t="shared" si="39"/>
        <v>6</v>
      </c>
      <c r="Y169" s="2" t="str">
        <f t="shared" si="40"/>
        <v/>
      </c>
      <c r="Z169" s="2" t="str">
        <f t="shared" si="41"/>
        <v/>
      </c>
      <c r="AA169" s="2" t="str">
        <f t="shared" si="34"/>
        <v/>
      </c>
      <c r="AB169" s="2" t="str">
        <f t="shared" si="42"/>
        <v/>
      </c>
    </row>
    <row r="170" spans="20:28" x14ac:dyDescent="0.25">
      <c r="T170" s="2" t="str">
        <f t="shared" si="35"/>
        <v/>
      </c>
      <c r="U170" s="2" t="str">
        <f t="shared" si="36"/>
        <v/>
      </c>
      <c r="V170" s="2" t="str">
        <f t="shared" si="37"/>
        <v/>
      </c>
      <c r="W170" s="2" t="str">
        <f t="shared" si="38"/>
        <v/>
      </c>
      <c r="X170" s="2">
        <f t="shared" si="39"/>
        <v>6</v>
      </c>
      <c r="Y170" s="2" t="str">
        <f t="shared" si="40"/>
        <v/>
      </c>
      <c r="Z170" s="2" t="str">
        <f t="shared" si="41"/>
        <v/>
      </c>
      <c r="AA170" s="2" t="str">
        <f t="shared" si="34"/>
        <v/>
      </c>
      <c r="AB170" s="2" t="str">
        <f t="shared" si="42"/>
        <v/>
      </c>
    </row>
    <row r="171" spans="20:28" x14ac:dyDescent="0.25">
      <c r="T171" s="2" t="str">
        <f t="shared" si="35"/>
        <v/>
      </c>
      <c r="U171" s="2" t="str">
        <f t="shared" si="36"/>
        <v/>
      </c>
      <c r="V171" s="2" t="str">
        <f t="shared" si="37"/>
        <v/>
      </c>
      <c r="W171" s="2" t="str">
        <f t="shared" si="38"/>
        <v/>
      </c>
      <c r="X171" s="2">
        <f t="shared" si="39"/>
        <v>6</v>
      </c>
      <c r="Y171" s="2" t="str">
        <f t="shared" si="40"/>
        <v/>
      </c>
      <c r="Z171" s="2" t="str">
        <f t="shared" si="41"/>
        <v/>
      </c>
      <c r="AA171" s="2" t="str">
        <f t="shared" si="34"/>
        <v/>
      </c>
      <c r="AB171" s="2" t="str">
        <f t="shared" si="42"/>
        <v/>
      </c>
    </row>
    <row r="172" spans="20:28" x14ac:dyDescent="0.25">
      <c r="T172" s="2" t="str">
        <f t="shared" si="35"/>
        <v/>
      </c>
      <c r="U172" s="2" t="str">
        <f t="shared" si="36"/>
        <v/>
      </c>
      <c r="V172" s="2" t="str">
        <f t="shared" si="37"/>
        <v/>
      </c>
      <c r="W172" s="2" t="str">
        <f t="shared" si="38"/>
        <v/>
      </c>
      <c r="X172" s="2">
        <f t="shared" si="39"/>
        <v>6</v>
      </c>
      <c r="Y172" s="2" t="str">
        <f t="shared" si="40"/>
        <v/>
      </c>
      <c r="Z172" s="2" t="str">
        <f t="shared" si="41"/>
        <v/>
      </c>
      <c r="AA172" s="2" t="str">
        <f t="shared" si="34"/>
        <v/>
      </c>
      <c r="AB172" s="2" t="str">
        <f t="shared" si="42"/>
        <v/>
      </c>
    </row>
    <row r="173" spans="20:28" x14ac:dyDescent="0.25">
      <c r="T173" s="2" t="str">
        <f t="shared" si="35"/>
        <v/>
      </c>
      <c r="U173" s="2" t="str">
        <f t="shared" si="36"/>
        <v/>
      </c>
      <c r="V173" s="2" t="str">
        <f t="shared" si="37"/>
        <v/>
      </c>
      <c r="W173" s="2" t="str">
        <f t="shared" si="38"/>
        <v/>
      </c>
      <c r="X173" s="2">
        <f t="shared" si="39"/>
        <v>6</v>
      </c>
      <c r="Y173" s="2" t="str">
        <f t="shared" si="40"/>
        <v/>
      </c>
      <c r="Z173" s="2" t="str">
        <f t="shared" si="41"/>
        <v/>
      </c>
      <c r="AA173" s="2" t="str">
        <f t="shared" si="34"/>
        <v/>
      </c>
      <c r="AB173" s="2" t="str">
        <f t="shared" si="42"/>
        <v/>
      </c>
    </row>
    <row r="174" spans="20:28" x14ac:dyDescent="0.25">
      <c r="T174" s="2" t="str">
        <f t="shared" si="35"/>
        <v/>
      </c>
      <c r="U174" s="2" t="str">
        <f t="shared" si="36"/>
        <v/>
      </c>
      <c r="V174" s="2" t="str">
        <f t="shared" si="37"/>
        <v/>
      </c>
      <c r="W174" s="2" t="str">
        <f t="shared" si="38"/>
        <v/>
      </c>
      <c r="X174" s="2">
        <f t="shared" si="39"/>
        <v>6</v>
      </c>
      <c r="Y174" s="2" t="str">
        <f t="shared" si="40"/>
        <v/>
      </c>
      <c r="Z174" s="2" t="str">
        <f t="shared" si="41"/>
        <v/>
      </c>
      <c r="AA174" s="2" t="str">
        <f t="shared" si="34"/>
        <v/>
      </c>
      <c r="AB174" s="2" t="str">
        <f t="shared" si="42"/>
        <v/>
      </c>
    </row>
    <row r="175" spans="20:28" x14ac:dyDescent="0.25">
      <c r="T175" s="2" t="str">
        <f t="shared" si="35"/>
        <v/>
      </c>
      <c r="U175" s="2" t="str">
        <f t="shared" si="36"/>
        <v/>
      </c>
      <c r="V175" s="2" t="str">
        <f t="shared" si="37"/>
        <v/>
      </c>
      <c r="W175" s="2" t="str">
        <f t="shared" si="38"/>
        <v/>
      </c>
      <c r="X175" s="2">
        <f t="shared" si="39"/>
        <v>6</v>
      </c>
      <c r="Y175" s="2" t="str">
        <f t="shared" si="40"/>
        <v/>
      </c>
      <c r="Z175" s="2" t="str">
        <f t="shared" si="41"/>
        <v/>
      </c>
      <c r="AA175" s="2" t="str">
        <f t="shared" si="34"/>
        <v/>
      </c>
      <c r="AB175" s="2" t="str">
        <f t="shared" si="42"/>
        <v/>
      </c>
    </row>
    <row r="176" spans="20:28" x14ac:dyDescent="0.25">
      <c r="T176" s="2" t="str">
        <f t="shared" si="35"/>
        <v/>
      </c>
      <c r="U176" s="2" t="str">
        <f t="shared" si="36"/>
        <v/>
      </c>
      <c r="V176" s="2" t="str">
        <f t="shared" si="37"/>
        <v/>
      </c>
      <c r="W176" s="2" t="str">
        <f t="shared" si="38"/>
        <v/>
      </c>
      <c r="X176" s="2">
        <f t="shared" si="39"/>
        <v>6</v>
      </c>
      <c r="Y176" s="2" t="str">
        <f t="shared" si="40"/>
        <v/>
      </c>
      <c r="Z176" s="2" t="str">
        <f t="shared" si="41"/>
        <v/>
      </c>
      <c r="AA176" s="2" t="str">
        <f t="shared" si="34"/>
        <v/>
      </c>
      <c r="AB176" s="2" t="str">
        <f t="shared" si="42"/>
        <v/>
      </c>
    </row>
    <row r="177" spans="20:28" x14ac:dyDescent="0.25">
      <c r="T177" s="2" t="str">
        <f t="shared" si="35"/>
        <v/>
      </c>
      <c r="U177" s="2" t="str">
        <f t="shared" si="36"/>
        <v/>
      </c>
      <c r="V177" s="2" t="str">
        <f t="shared" si="37"/>
        <v/>
      </c>
      <c r="W177" s="2" t="str">
        <f t="shared" si="38"/>
        <v/>
      </c>
      <c r="X177" s="2">
        <f t="shared" si="39"/>
        <v>6</v>
      </c>
      <c r="Y177" s="2" t="str">
        <f t="shared" si="40"/>
        <v/>
      </c>
      <c r="Z177" s="2" t="str">
        <f t="shared" si="41"/>
        <v/>
      </c>
      <c r="AA177" s="2" t="str">
        <f t="shared" si="34"/>
        <v/>
      </c>
      <c r="AB177" s="2" t="str">
        <f t="shared" si="42"/>
        <v/>
      </c>
    </row>
    <row r="178" spans="20:28" x14ac:dyDescent="0.25">
      <c r="T178" s="2" t="str">
        <f t="shared" si="35"/>
        <v/>
      </c>
      <c r="U178" s="2" t="str">
        <f t="shared" si="36"/>
        <v/>
      </c>
      <c r="V178" s="2" t="str">
        <f t="shared" si="37"/>
        <v/>
      </c>
      <c r="W178" s="2" t="str">
        <f t="shared" si="38"/>
        <v/>
      </c>
      <c r="X178" s="2">
        <f t="shared" si="39"/>
        <v>6</v>
      </c>
      <c r="Y178" s="2" t="str">
        <f t="shared" si="40"/>
        <v/>
      </c>
      <c r="Z178" s="2" t="str">
        <f t="shared" si="41"/>
        <v/>
      </c>
      <c r="AA178" s="2" t="str">
        <f t="shared" si="34"/>
        <v/>
      </c>
      <c r="AB178" s="2" t="str">
        <f t="shared" si="42"/>
        <v/>
      </c>
    </row>
    <row r="179" spans="20:28" x14ac:dyDescent="0.25">
      <c r="T179" s="2" t="str">
        <f t="shared" si="35"/>
        <v/>
      </c>
      <c r="U179" s="2" t="str">
        <f t="shared" si="36"/>
        <v/>
      </c>
      <c r="V179" s="2" t="str">
        <f t="shared" si="37"/>
        <v/>
      </c>
      <c r="W179" s="2" t="str">
        <f t="shared" si="38"/>
        <v/>
      </c>
      <c r="X179" s="2">
        <f t="shared" si="39"/>
        <v>6</v>
      </c>
      <c r="Y179" s="2" t="str">
        <f t="shared" si="40"/>
        <v/>
      </c>
      <c r="Z179" s="2" t="str">
        <f t="shared" si="41"/>
        <v/>
      </c>
      <c r="AA179" s="2" t="str">
        <f t="shared" si="34"/>
        <v/>
      </c>
      <c r="AB179" s="2" t="str">
        <f t="shared" si="42"/>
        <v/>
      </c>
    </row>
    <row r="180" spans="20:28" x14ac:dyDescent="0.25">
      <c r="T180" s="2" t="str">
        <f t="shared" si="35"/>
        <v/>
      </c>
      <c r="U180" s="2" t="str">
        <f t="shared" si="36"/>
        <v/>
      </c>
      <c r="V180" s="2" t="str">
        <f t="shared" si="37"/>
        <v/>
      </c>
      <c r="W180" s="2" t="str">
        <f t="shared" si="38"/>
        <v/>
      </c>
      <c r="X180" s="2">
        <f t="shared" si="39"/>
        <v>6</v>
      </c>
      <c r="Y180" s="2" t="str">
        <f t="shared" si="40"/>
        <v/>
      </c>
      <c r="Z180" s="2" t="str">
        <f t="shared" si="41"/>
        <v/>
      </c>
      <c r="AA180" s="2" t="str">
        <f t="shared" si="34"/>
        <v/>
      </c>
      <c r="AB180" s="2" t="str">
        <f t="shared" si="42"/>
        <v/>
      </c>
    </row>
    <row r="181" spans="20:28" x14ac:dyDescent="0.25">
      <c r="T181" s="2" t="str">
        <f t="shared" si="35"/>
        <v/>
      </c>
      <c r="U181" s="2" t="str">
        <f t="shared" si="36"/>
        <v/>
      </c>
      <c r="V181" s="2" t="str">
        <f t="shared" si="37"/>
        <v/>
      </c>
      <c r="W181" s="2" t="str">
        <f t="shared" si="38"/>
        <v/>
      </c>
      <c r="X181" s="2">
        <f t="shared" si="39"/>
        <v>6</v>
      </c>
      <c r="Y181" s="2" t="str">
        <f t="shared" si="40"/>
        <v/>
      </c>
      <c r="Z181" s="2" t="str">
        <f t="shared" si="41"/>
        <v/>
      </c>
      <c r="AA181" s="2" t="str">
        <f t="shared" si="34"/>
        <v/>
      </c>
      <c r="AB181" s="2" t="str">
        <f t="shared" si="42"/>
        <v/>
      </c>
    </row>
    <row r="182" spans="20:28" x14ac:dyDescent="0.25">
      <c r="T182" s="2" t="str">
        <f t="shared" si="35"/>
        <v/>
      </c>
      <c r="U182" s="2" t="str">
        <f t="shared" si="36"/>
        <v/>
      </c>
      <c r="V182" s="2" t="str">
        <f t="shared" si="37"/>
        <v/>
      </c>
      <c r="W182" s="2" t="str">
        <f t="shared" si="38"/>
        <v/>
      </c>
      <c r="X182" s="2">
        <f t="shared" si="39"/>
        <v>6</v>
      </c>
      <c r="Y182" s="2" t="str">
        <f t="shared" si="40"/>
        <v/>
      </c>
      <c r="Z182" s="2" t="str">
        <f t="shared" si="41"/>
        <v/>
      </c>
      <c r="AA182" s="2" t="str">
        <f t="shared" si="34"/>
        <v/>
      </c>
      <c r="AB182" s="2" t="str">
        <f t="shared" si="42"/>
        <v/>
      </c>
    </row>
    <row r="183" spans="20:28" x14ac:dyDescent="0.25">
      <c r="T183" s="2" t="str">
        <f t="shared" si="35"/>
        <v/>
      </c>
      <c r="U183" s="2" t="str">
        <f t="shared" si="36"/>
        <v/>
      </c>
      <c r="V183" s="2" t="str">
        <f t="shared" si="37"/>
        <v/>
      </c>
      <c r="W183" s="2" t="str">
        <f t="shared" si="38"/>
        <v/>
      </c>
      <c r="X183" s="2">
        <f t="shared" si="39"/>
        <v>6</v>
      </c>
      <c r="Y183" s="2" t="str">
        <f t="shared" si="40"/>
        <v/>
      </c>
      <c r="Z183" s="2" t="str">
        <f t="shared" si="41"/>
        <v/>
      </c>
      <c r="AA183" s="2" t="str">
        <f t="shared" si="34"/>
        <v/>
      </c>
      <c r="AB183" s="2" t="str">
        <f t="shared" si="42"/>
        <v/>
      </c>
    </row>
    <row r="184" spans="20:28" x14ac:dyDescent="0.25">
      <c r="T184" s="2" t="str">
        <f t="shared" si="35"/>
        <v/>
      </c>
      <c r="U184" s="2" t="str">
        <f t="shared" si="36"/>
        <v/>
      </c>
      <c r="V184" s="2" t="str">
        <f t="shared" si="37"/>
        <v/>
      </c>
      <c r="W184" s="2" t="str">
        <f t="shared" si="38"/>
        <v/>
      </c>
      <c r="X184" s="2">
        <f t="shared" si="39"/>
        <v>6</v>
      </c>
      <c r="Y184" s="2" t="str">
        <f t="shared" si="40"/>
        <v/>
      </c>
      <c r="Z184" s="2" t="str">
        <f t="shared" si="41"/>
        <v/>
      </c>
      <c r="AA184" s="2" t="str">
        <f t="shared" si="34"/>
        <v/>
      </c>
      <c r="AB184" s="2" t="str">
        <f t="shared" si="42"/>
        <v/>
      </c>
    </row>
    <row r="185" spans="20:28" x14ac:dyDescent="0.25">
      <c r="T185" s="2" t="str">
        <f t="shared" si="35"/>
        <v/>
      </c>
      <c r="U185" s="2" t="str">
        <f t="shared" si="36"/>
        <v/>
      </c>
      <c r="V185" s="2" t="str">
        <f t="shared" si="37"/>
        <v/>
      </c>
      <c r="W185" s="2" t="str">
        <f t="shared" si="38"/>
        <v/>
      </c>
      <c r="X185" s="2">
        <f t="shared" si="39"/>
        <v>6</v>
      </c>
      <c r="Y185" s="2" t="str">
        <f t="shared" si="40"/>
        <v/>
      </c>
      <c r="Z185" s="2" t="str">
        <f t="shared" si="41"/>
        <v/>
      </c>
      <c r="AA185" s="2" t="str">
        <f t="shared" si="34"/>
        <v/>
      </c>
      <c r="AB185" s="2" t="str">
        <f t="shared" si="42"/>
        <v/>
      </c>
    </row>
    <row r="186" spans="20:28" x14ac:dyDescent="0.25">
      <c r="T186" s="2" t="str">
        <f t="shared" si="35"/>
        <v/>
      </c>
      <c r="U186" s="2" t="str">
        <f t="shared" si="36"/>
        <v/>
      </c>
      <c r="V186" s="2" t="str">
        <f t="shared" si="37"/>
        <v/>
      </c>
      <c r="W186" s="2" t="str">
        <f t="shared" si="38"/>
        <v/>
      </c>
      <c r="X186" s="2">
        <f t="shared" si="39"/>
        <v>6</v>
      </c>
      <c r="Y186" s="2" t="str">
        <f t="shared" si="40"/>
        <v/>
      </c>
      <c r="Z186" s="2" t="str">
        <f t="shared" si="41"/>
        <v/>
      </c>
      <c r="AA186" s="2" t="str">
        <f t="shared" si="34"/>
        <v/>
      </c>
      <c r="AB186" s="2" t="str">
        <f t="shared" si="42"/>
        <v/>
      </c>
    </row>
    <row r="187" spans="20:28" x14ac:dyDescent="0.25">
      <c r="T187" s="2" t="str">
        <f t="shared" si="35"/>
        <v/>
      </c>
      <c r="U187" s="2" t="str">
        <f t="shared" si="36"/>
        <v/>
      </c>
      <c r="V187" s="2" t="str">
        <f t="shared" si="37"/>
        <v/>
      </c>
      <c r="W187" s="2" t="str">
        <f t="shared" si="38"/>
        <v/>
      </c>
      <c r="X187" s="2">
        <f t="shared" si="39"/>
        <v>6</v>
      </c>
      <c r="Y187" s="2" t="str">
        <f t="shared" si="40"/>
        <v/>
      </c>
      <c r="Z187" s="2" t="str">
        <f t="shared" si="41"/>
        <v/>
      </c>
      <c r="AA187" s="2" t="str">
        <f t="shared" si="34"/>
        <v/>
      </c>
      <c r="AB187" s="2" t="str">
        <f t="shared" si="42"/>
        <v/>
      </c>
    </row>
    <row r="188" spans="20:28" x14ac:dyDescent="0.25">
      <c r="T188" s="2" t="str">
        <f t="shared" si="35"/>
        <v/>
      </c>
      <c r="U188" s="2" t="str">
        <f t="shared" si="36"/>
        <v/>
      </c>
      <c r="V188" s="2" t="str">
        <f t="shared" si="37"/>
        <v/>
      </c>
      <c r="W188" s="2" t="str">
        <f t="shared" si="38"/>
        <v/>
      </c>
      <c r="X188" s="2">
        <f t="shared" si="39"/>
        <v>6</v>
      </c>
      <c r="Y188" s="2" t="str">
        <f t="shared" si="40"/>
        <v/>
      </c>
      <c r="Z188" s="2" t="str">
        <f t="shared" si="41"/>
        <v/>
      </c>
      <c r="AA188" s="2" t="str">
        <f t="shared" si="34"/>
        <v/>
      </c>
      <c r="AB188" s="2" t="str">
        <f t="shared" si="42"/>
        <v/>
      </c>
    </row>
    <row r="189" spans="20:28" x14ac:dyDescent="0.25">
      <c r="T189" s="2" t="str">
        <f t="shared" si="35"/>
        <v/>
      </c>
      <c r="U189" s="2" t="str">
        <f t="shared" si="36"/>
        <v/>
      </c>
      <c r="V189" s="2" t="str">
        <f t="shared" si="37"/>
        <v/>
      </c>
      <c r="W189" s="2" t="str">
        <f t="shared" si="38"/>
        <v/>
      </c>
      <c r="X189" s="2">
        <f t="shared" si="39"/>
        <v>6</v>
      </c>
      <c r="Y189" s="2" t="str">
        <f t="shared" si="40"/>
        <v/>
      </c>
      <c r="Z189" s="2" t="str">
        <f t="shared" si="41"/>
        <v/>
      </c>
      <c r="AA189" s="2" t="str">
        <f t="shared" si="34"/>
        <v/>
      </c>
      <c r="AB189" s="2" t="str">
        <f t="shared" si="42"/>
        <v/>
      </c>
    </row>
    <row r="190" spans="20:28" x14ac:dyDescent="0.25">
      <c r="T190" s="2" t="str">
        <f t="shared" si="35"/>
        <v/>
      </c>
      <c r="U190" s="2" t="str">
        <f t="shared" si="36"/>
        <v/>
      </c>
      <c r="V190" s="2" t="str">
        <f t="shared" si="37"/>
        <v/>
      </c>
      <c r="W190" s="2" t="str">
        <f t="shared" si="38"/>
        <v/>
      </c>
      <c r="X190" s="2">
        <f t="shared" si="39"/>
        <v>6</v>
      </c>
      <c r="Y190" s="2" t="str">
        <f t="shared" si="40"/>
        <v/>
      </c>
      <c r="Z190" s="2" t="str">
        <f t="shared" si="41"/>
        <v/>
      </c>
      <c r="AA190" s="2" t="str">
        <f t="shared" si="34"/>
        <v/>
      </c>
      <c r="AB190" s="2" t="str">
        <f t="shared" si="42"/>
        <v/>
      </c>
    </row>
    <row r="191" spans="20:28" x14ac:dyDescent="0.25">
      <c r="T191" s="2" t="str">
        <f t="shared" si="35"/>
        <v/>
      </c>
      <c r="U191" s="2" t="str">
        <f t="shared" si="36"/>
        <v/>
      </c>
      <c r="V191" s="2" t="str">
        <f t="shared" si="37"/>
        <v/>
      </c>
      <c r="W191" s="2" t="str">
        <f t="shared" si="38"/>
        <v/>
      </c>
      <c r="X191" s="2">
        <f t="shared" si="39"/>
        <v>6</v>
      </c>
      <c r="Y191" s="2" t="str">
        <f t="shared" si="40"/>
        <v/>
      </c>
      <c r="Z191" s="2" t="str">
        <f t="shared" si="41"/>
        <v/>
      </c>
      <c r="AA191" s="2" t="str">
        <f t="shared" si="34"/>
        <v/>
      </c>
      <c r="AB191" s="2" t="str">
        <f t="shared" si="42"/>
        <v/>
      </c>
    </row>
    <row r="192" spans="20:28" x14ac:dyDescent="0.25">
      <c r="T192" s="2" t="str">
        <f t="shared" si="35"/>
        <v/>
      </c>
      <c r="U192" s="2" t="str">
        <f t="shared" si="36"/>
        <v/>
      </c>
      <c r="V192" s="2" t="str">
        <f t="shared" si="37"/>
        <v/>
      </c>
      <c r="W192" s="2" t="str">
        <f t="shared" si="38"/>
        <v/>
      </c>
      <c r="X192" s="2">
        <f t="shared" si="39"/>
        <v>6</v>
      </c>
      <c r="Y192" s="2" t="str">
        <f t="shared" si="40"/>
        <v/>
      </c>
      <c r="Z192" s="2" t="str">
        <f t="shared" si="41"/>
        <v/>
      </c>
      <c r="AA192" s="2" t="str">
        <f t="shared" si="34"/>
        <v/>
      </c>
      <c r="AB192" s="2" t="str">
        <f t="shared" si="42"/>
        <v/>
      </c>
    </row>
    <row r="193" spans="20:28" x14ac:dyDescent="0.25">
      <c r="T193" s="2" t="str">
        <f t="shared" si="35"/>
        <v/>
      </c>
      <c r="U193" s="2" t="str">
        <f t="shared" si="36"/>
        <v/>
      </c>
      <c r="V193" s="2" t="str">
        <f t="shared" si="37"/>
        <v/>
      </c>
      <c r="W193" s="2" t="str">
        <f t="shared" si="38"/>
        <v/>
      </c>
      <c r="X193" s="2">
        <f t="shared" si="39"/>
        <v>6</v>
      </c>
      <c r="Y193" s="2" t="str">
        <f t="shared" si="40"/>
        <v/>
      </c>
      <c r="Z193" s="2" t="str">
        <f t="shared" si="41"/>
        <v/>
      </c>
      <c r="AA193" s="2" t="str">
        <f t="shared" si="34"/>
        <v/>
      </c>
      <c r="AB193" s="2" t="str">
        <f t="shared" si="42"/>
        <v/>
      </c>
    </row>
    <row r="194" spans="20:28" x14ac:dyDescent="0.25">
      <c r="T194" s="2" t="str">
        <f t="shared" si="35"/>
        <v/>
      </c>
      <c r="U194" s="2" t="str">
        <f t="shared" si="36"/>
        <v/>
      </c>
      <c r="V194" s="2" t="str">
        <f t="shared" si="37"/>
        <v/>
      </c>
      <c r="W194" s="2" t="str">
        <f t="shared" si="38"/>
        <v/>
      </c>
      <c r="X194" s="2">
        <f t="shared" si="39"/>
        <v>6</v>
      </c>
      <c r="Y194" s="2" t="str">
        <f t="shared" si="40"/>
        <v/>
      </c>
      <c r="Z194" s="2" t="str">
        <f t="shared" si="41"/>
        <v/>
      </c>
      <c r="AA194" s="2" t="str">
        <f t="shared" si="34"/>
        <v/>
      </c>
      <c r="AB194" s="2" t="str">
        <f t="shared" si="42"/>
        <v/>
      </c>
    </row>
    <row r="195" spans="20:28" x14ac:dyDescent="0.25">
      <c r="W195" s="2" t="str">
        <f t="shared" si="38"/>
        <v/>
      </c>
      <c r="X195" s="2">
        <f t="shared" si="39"/>
        <v>6</v>
      </c>
      <c r="Y195" s="2" t="str">
        <f t="shared" si="40"/>
        <v/>
      </c>
      <c r="Z195" s="2" t="str">
        <f t="shared" si="41"/>
        <v/>
      </c>
      <c r="AA195" s="2" t="str">
        <f t="shared" ref="AA195:AA258" si="43">IF(ISNUMBER(SEARCH("@",Y195)),Y196,"")</f>
        <v/>
      </c>
      <c r="AB195" s="2" t="str">
        <f t="shared" si="42"/>
        <v/>
      </c>
    </row>
    <row r="196" spans="20:28" x14ac:dyDescent="0.25">
      <c r="W196" s="2" t="str">
        <f t="shared" ref="W196:W259" si="44">IF(MOD(ROW(),3)=0,IF(H197="Dog",IF(H198&gt;=0.75,H198,""),IF(I198&gt;=0.75,I198,"")),"")</f>
        <v/>
      </c>
      <c r="X196" s="2">
        <f t="shared" ref="X196:X259" si="45">IF(ISNUMBER(CODE(Z196)),X195+1,X195)</f>
        <v>6</v>
      </c>
      <c r="Y196" s="2" t="str">
        <f t="shared" ref="Y196:Y259" si="46">INDEX($O$3:$W$50,1+INT((ROW(A194)-1)/COLUMNS($O$3:$W$50)),MOD(ROW(A194)-1+COLUMNS($O$3:$W$50),COLUMNS($O$3:$W$50))+1)</f>
        <v/>
      </c>
      <c r="Z196" s="2" t="str">
        <f t="shared" ref="Z196:Z259" si="47">IF(ISNUMBER(SEARCH("@",Y196)),Y196,"")</f>
        <v/>
      </c>
      <c r="AA196" s="2" t="str">
        <f t="shared" si="43"/>
        <v/>
      </c>
      <c r="AB196" s="2" t="str">
        <f t="shared" ref="AB196:AB259" si="48">IF(ISNUMBER(SEARCH("@",Y196)),Y198,"")</f>
        <v/>
      </c>
    </row>
    <row r="197" spans="20:28" x14ac:dyDescent="0.25">
      <c r="W197" s="2" t="str">
        <f t="shared" si="44"/>
        <v/>
      </c>
      <c r="X197" s="2">
        <f t="shared" si="45"/>
        <v>6</v>
      </c>
      <c r="Y197" s="2" t="str">
        <f t="shared" si="46"/>
        <v/>
      </c>
      <c r="Z197" s="2" t="str">
        <f t="shared" si="47"/>
        <v/>
      </c>
      <c r="AA197" s="2" t="str">
        <f t="shared" si="43"/>
        <v/>
      </c>
      <c r="AB197" s="2" t="str">
        <f t="shared" si="48"/>
        <v/>
      </c>
    </row>
    <row r="198" spans="20:28" x14ac:dyDescent="0.25">
      <c r="W198" s="2" t="str">
        <f t="shared" si="44"/>
        <v/>
      </c>
      <c r="X198" s="2">
        <f t="shared" si="45"/>
        <v>6</v>
      </c>
      <c r="Y198" s="2" t="str">
        <f t="shared" si="46"/>
        <v/>
      </c>
      <c r="Z198" s="2" t="str">
        <f t="shared" si="47"/>
        <v/>
      </c>
      <c r="AA198" s="2" t="str">
        <f t="shared" si="43"/>
        <v/>
      </c>
      <c r="AB198" s="2" t="str">
        <f t="shared" si="48"/>
        <v/>
      </c>
    </row>
    <row r="199" spans="20:28" x14ac:dyDescent="0.25">
      <c r="W199" s="2" t="str">
        <f t="shared" si="44"/>
        <v/>
      </c>
      <c r="X199" s="2">
        <f t="shared" si="45"/>
        <v>6</v>
      </c>
      <c r="Y199" s="2" t="str">
        <f t="shared" si="46"/>
        <v/>
      </c>
      <c r="Z199" s="2" t="str">
        <f t="shared" si="47"/>
        <v/>
      </c>
      <c r="AA199" s="2" t="str">
        <f t="shared" si="43"/>
        <v/>
      </c>
      <c r="AB199" s="2" t="str">
        <f t="shared" si="48"/>
        <v/>
      </c>
    </row>
    <row r="200" spans="20:28" x14ac:dyDescent="0.25">
      <c r="W200" s="2" t="str">
        <f t="shared" si="44"/>
        <v/>
      </c>
      <c r="X200" s="2">
        <f t="shared" si="45"/>
        <v>6</v>
      </c>
      <c r="Y200" s="2" t="str">
        <f t="shared" si="46"/>
        <v/>
      </c>
      <c r="Z200" s="2" t="str">
        <f t="shared" si="47"/>
        <v/>
      </c>
      <c r="AA200" s="2" t="str">
        <f t="shared" si="43"/>
        <v/>
      </c>
      <c r="AB200" s="2" t="str">
        <f t="shared" si="48"/>
        <v/>
      </c>
    </row>
    <row r="201" spans="20:28" x14ac:dyDescent="0.25">
      <c r="W201" s="2" t="str">
        <f t="shared" si="44"/>
        <v/>
      </c>
      <c r="X201" s="2">
        <f t="shared" si="45"/>
        <v>6</v>
      </c>
      <c r="Y201" s="2" t="str">
        <f t="shared" si="46"/>
        <v/>
      </c>
      <c r="Z201" s="2" t="str">
        <f t="shared" si="47"/>
        <v/>
      </c>
      <c r="AA201" s="2" t="str">
        <f t="shared" si="43"/>
        <v/>
      </c>
      <c r="AB201" s="2" t="str">
        <f t="shared" si="48"/>
        <v/>
      </c>
    </row>
    <row r="202" spans="20:28" x14ac:dyDescent="0.25">
      <c r="W202" s="2" t="str">
        <f t="shared" si="44"/>
        <v/>
      </c>
      <c r="X202" s="2">
        <f t="shared" si="45"/>
        <v>6</v>
      </c>
      <c r="Y202" s="2" t="str">
        <f t="shared" si="46"/>
        <v/>
      </c>
      <c r="Z202" s="2" t="str">
        <f t="shared" si="47"/>
        <v/>
      </c>
      <c r="AA202" s="2" t="str">
        <f t="shared" si="43"/>
        <v/>
      </c>
      <c r="AB202" s="2" t="str">
        <f t="shared" si="48"/>
        <v/>
      </c>
    </row>
    <row r="203" spans="20:28" x14ac:dyDescent="0.25">
      <c r="W203" s="2" t="str">
        <f t="shared" si="44"/>
        <v/>
      </c>
      <c r="X203" s="2">
        <f t="shared" si="45"/>
        <v>6</v>
      </c>
      <c r="Y203" s="2" t="str">
        <f t="shared" si="46"/>
        <v/>
      </c>
      <c r="Z203" s="2" t="str">
        <f t="shared" si="47"/>
        <v/>
      </c>
      <c r="AA203" s="2" t="str">
        <f t="shared" si="43"/>
        <v/>
      </c>
      <c r="AB203" s="2" t="str">
        <f t="shared" si="48"/>
        <v/>
      </c>
    </row>
    <row r="204" spans="20:28" x14ac:dyDescent="0.25">
      <c r="W204" s="2" t="str">
        <f t="shared" si="44"/>
        <v/>
      </c>
      <c r="X204" s="2">
        <f t="shared" si="45"/>
        <v>6</v>
      </c>
      <c r="Y204" s="2" t="str">
        <f t="shared" si="46"/>
        <v/>
      </c>
      <c r="Z204" s="2" t="str">
        <f t="shared" si="47"/>
        <v/>
      </c>
      <c r="AA204" s="2" t="str">
        <f t="shared" si="43"/>
        <v/>
      </c>
      <c r="AB204" s="2" t="str">
        <f t="shared" si="48"/>
        <v/>
      </c>
    </row>
    <row r="205" spans="20:28" x14ac:dyDescent="0.25">
      <c r="W205" s="2" t="str">
        <f t="shared" si="44"/>
        <v/>
      </c>
      <c r="X205" s="2">
        <f t="shared" si="45"/>
        <v>6</v>
      </c>
      <c r="Y205" s="2" t="str">
        <f t="shared" si="46"/>
        <v/>
      </c>
      <c r="Z205" s="2" t="str">
        <f t="shared" si="47"/>
        <v/>
      </c>
      <c r="AA205" s="2" t="str">
        <f t="shared" si="43"/>
        <v/>
      </c>
      <c r="AB205" s="2" t="str">
        <f t="shared" si="48"/>
        <v/>
      </c>
    </row>
    <row r="206" spans="20:28" x14ac:dyDescent="0.25">
      <c r="W206" s="2" t="str">
        <f t="shared" si="44"/>
        <v/>
      </c>
      <c r="X206" s="2">
        <f t="shared" si="45"/>
        <v>6</v>
      </c>
      <c r="Y206" s="2" t="str">
        <f t="shared" si="46"/>
        <v/>
      </c>
      <c r="Z206" s="2" t="str">
        <f t="shared" si="47"/>
        <v/>
      </c>
      <c r="AA206" s="2" t="str">
        <f t="shared" si="43"/>
        <v/>
      </c>
      <c r="AB206" s="2" t="str">
        <f t="shared" si="48"/>
        <v/>
      </c>
    </row>
    <row r="207" spans="20:28" x14ac:dyDescent="0.25">
      <c r="W207" s="2" t="str">
        <f t="shared" si="44"/>
        <v/>
      </c>
      <c r="X207" s="2">
        <f t="shared" si="45"/>
        <v>6</v>
      </c>
      <c r="Y207" s="2" t="str">
        <f t="shared" si="46"/>
        <v/>
      </c>
      <c r="Z207" s="2" t="str">
        <f t="shared" si="47"/>
        <v/>
      </c>
      <c r="AA207" s="2" t="str">
        <f t="shared" si="43"/>
        <v/>
      </c>
      <c r="AB207" s="2" t="str">
        <f t="shared" si="48"/>
        <v/>
      </c>
    </row>
    <row r="208" spans="20:28" x14ac:dyDescent="0.25">
      <c r="W208" s="2" t="str">
        <f t="shared" si="44"/>
        <v/>
      </c>
      <c r="X208" s="2">
        <f t="shared" si="45"/>
        <v>6</v>
      </c>
      <c r="Y208" s="2" t="str">
        <f t="shared" si="46"/>
        <v/>
      </c>
      <c r="Z208" s="2" t="str">
        <f t="shared" si="47"/>
        <v/>
      </c>
      <c r="AA208" s="2" t="str">
        <f t="shared" si="43"/>
        <v/>
      </c>
      <c r="AB208" s="2" t="str">
        <f t="shared" si="48"/>
        <v/>
      </c>
    </row>
    <row r="209" spans="23:28" x14ac:dyDescent="0.25">
      <c r="W209" s="2" t="str">
        <f t="shared" si="44"/>
        <v/>
      </c>
      <c r="X209" s="2">
        <f t="shared" si="45"/>
        <v>6</v>
      </c>
      <c r="Y209" s="2" t="str">
        <f t="shared" si="46"/>
        <v/>
      </c>
      <c r="Z209" s="2" t="str">
        <f t="shared" si="47"/>
        <v/>
      </c>
      <c r="AA209" s="2" t="str">
        <f t="shared" si="43"/>
        <v/>
      </c>
      <c r="AB209" s="2" t="str">
        <f t="shared" si="48"/>
        <v/>
      </c>
    </row>
    <row r="210" spans="23:28" x14ac:dyDescent="0.25">
      <c r="W210" s="2" t="str">
        <f t="shared" si="44"/>
        <v/>
      </c>
      <c r="X210" s="2">
        <f t="shared" si="45"/>
        <v>6</v>
      </c>
      <c r="Y210" s="2" t="str">
        <f t="shared" si="46"/>
        <v/>
      </c>
      <c r="Z210" s="2" t="str">
        <f t="shared" si="47"/>
        <v/>
      </c>
      <c r="AA210" s="2" t="str">
        <f t="shared" si="43"/>
        <v/>
      </c>
      <c r="AB210" s="2" t="str">
        <f t="shared" si="48"/>
        <v/>
      </c>
    </row>
    <row r="211" spans="23:28" x14ac:dyDescent="0.25">
      <c r="W211" s="2" t="str">
        <f t="shared" si="44"/>
        <v/>
      </c>
      <c r="X211" s="2">
        <f t="shared" si="45"/>
        <v>6</v>
      </c>
      <c r="Y211" s="2" t="str">
        <f t="shared" si="46"/>
        <v/>
      </c>
      <c r="Z211" s="2" t="str">
        <f t="shared" si="47"/>
        <v/>
      </c>
      <c r="AA211" s="2" t="str">
        <f t="shared" si="43"/>
        <v/>
      </c>
      <c r="AB211" s="2" t="str">
        <f t="shared" si="48"/>
        <v/>
      </c>
    </row>
    <row r="212" spans="23:28" x14ac:dyDescent="0.25">
      <c r="W212" s="2" t="str">
        <f t="shared" si="44"/>
        <v/>
      </c>
      <c r="X212" s="2">
        <f t="shared" si="45"/>
        <v>6</v>
      </c>
      <c r="Y212" s="2" t="str">
        <f t="shared" si="46"/>
        <v/>
      </c>
      <c r="Z212" s="2" t="str">
        <f t="shared" si="47"/>
        <v/>
      </c>
      <c r="AA212" s="2" t="str">
        <f t="shared" si="43"/>
        <v/>
      </c>
      <c r="AB212" s="2" t="str">
        <f t="shared" si="48"/>
        <v/>
      </c>
    </row>
    <row r="213" spans="23:28" x14ac:dyDescent="0.25">
      <c r="W213" s="2" t="str">
        <f t="shared" si="44"/>
        <v/>
      </c>
      <c r="X213" s="2">
        <f t="shared" si="45"/>
        <v>6</v>
      </c>
      <c r="Y213" s="2" t="str">
        <f t="shared" si="46"/>
        <v/>
      </c>
      <c r="Z213" s="2" t="str">
        <f t="shared" si="47"/>
        <v/>
      </c>
      <c r="AA213" s="2" t="str">
        <f t="shared" si="43"/>
        <v/>
      </c>
      <c r="AB213" s="2" t="str">
        <f t="shared" si="48"/>
        <v/>
      </c>
    </row>
    <row r="214" spans="23:28" x14ac:dyDescent="0.25">
      <c r="W214" s="2" t="str">
        <f t="shared" si="44"/>
        <v/>
      </c>
      <c r="X214" s="2">
        <f t="shared" si="45"/>
        <v>6</v>
      </c>
      <c r="Y214" s="2" t="str">
        <f t="shared" si="46"/>
        <v/>
      </c>
      <c r="Z214" s="2" t="str">
        <f t="shared" si="47"/>
        <v/>
      </c>
      <c r="AA214" s="2" t="str">
        <f t="shared" si="43"/>
        <v/>
      </c>
      <c r="AB214" s="2" t="str">
        <f t="shared" si="48"/>
        <v/>
      </c>
    </row>
    <row r="215" spans="23:28" x14ac:dyDescent="0.25">
      <c r="W215" s="2" t="str">
        <f t="shared" si="44"/>
        <v/>
      </c>
      <c r="X215" s="2">
        <f t="shared" si="45"/>
        <v>6</v>
      </c>
      <c r="Y215" s="2" t="str">
        <f t="shared" si="46"/>
        <v/>
      </c>
      <c r="Z215" s="2" t="str">
        <f t="shared" si="47"/>
        <v/>
      </c>
      <c r="AA215" s="2" t="str">
        <f t="shared" si="43"/>
        <v/>
      </c>
      <c r="AB215" s="2" t="str">
        <f t="shared" si="48"/>
        <v/>
      </c>
    </row>
    <row r="216" spans="23:28" x14ac:dyDescent="0.25">
      <c r="W216" s="2" t="str">
        <f t="shared" si="44"/>
        <v/>
      </c>
      <c r="X216" s="2">
        <f t="shared" si="45"/>
        <v>6</v>
      </c>
      <c r="Y216" s="2" t="str">
        <f t="shared" si="46"/>
        <v/>
      </c>
      <c r="Z216" s="2" t="str">
        <f t="shared" si="47"/>
        <v/>
      </c>
      <c r="AA216" s="2" t="str">
        <f t="shared" si="43"/>
        <v/>
      </c>
      <c r="AB216" s="2" t="str">
        <f t="shared" si="48"/>
        <v/>
      </c>
    </row>
    <row r="217" spans="23:28" x14ac:dyDescent="0.25">
      <c r="W217" s="2" t="str">
        <f t="shared" si="44"/>
        <v/>
      </c>
      <c r="X217" s="2">
        <f t="shared" si="45"/>
        <v>6</v>
      </c>
      <c r="Y217" s="2" t="str">
        <f t="shared" si="46"/>
        <v/>
      </c>
      <c r="Z217" s="2" t="str">
        <f t="shared" si="47"/>
        <v/>
      </c>
      <c r="AA217" s="2" t="str">
        <f t="shared" si="43"/>
        <v/>
      </c>
      <c r="AB217" s="2" t="str">
        <f t="shared" si="48"/>
        <v/>
      </c>
    </row>
    <row r="218" spans="23:28" x14ac:dyDescent="0.25">
      <c r="W218" s="2" t="str">
        <f t="shared" si="44"/>
        <v/>
      </c>
      <c r="X218" s="2">
        <f t="shared" si="45"/>
        <v>6</v>
      </c>
      <c r="Y218" s="2" t="str">
        <f t="shared" si="46"/>
        <v/>
      </c>
      <c r="Z218" s="2" t="str">
        <f t="shared" si="47"/>
        <v/>
      </c>
      <c r="AA218" s="2" t="str">
        <f t="shared" si="43"/>
        <v/>
      </c>
      <c r="AB218" s="2" t="str">
        <f t="shared" si="48"/>
        <v/>
      </c>
    </row>
    <row r="219" spans="23:28" x14ac:dyDescent="0.25">
      <c r="W219" s="2" t="str">
        <f t="shared" si="44"/>
        <v/>
      </c>
      <c r="X219" s="2">
        <f t="shared" si="45"/>
        <v>6</v>
      </c>
      <c r="Y219" s="2" t="str">
        <f t="shared" si="46"/>
        <v/>
      </c>
      <c r="Z219" s="2" t="str">
        <f t="shared" si="47"/>
        <v/>
      </c>
      <c r="AA219" s="2" t="str">
        <f t="shared" si="43"/>
        <v/>
      </c>
      <c r="AB219" s="2" t="str">
        <f t="shared" si="48"/>
        <v/>
      </c>
    </row>
    <row r="220" spans="23:28" x14ac:dyDescent="0.25">
      <c r="W220" s="2" t="str">
        <f t="shared" si="44"/>
        <v/>
      </c>
      <c r="X220" s="2">
        <f t="shared" si="45"/>
        <v>6</v>
      </c>
      <c r="Y220" s="2" t="str">
        <f t="shared" si="46"/>
        <v/>
      </c>
      <c r="Z220" s="2" t="str">
        <f t="shared" si="47"/>
        <v/>
      </c>
      <c r="AA220" s="2" t="str">
        <f t="shared" si="43"/>
        <v/>
      </c>
      <c r="AB220" s="2" t="str">
        <f t="shared" si="48"/>
        <v/>
      </c>
    </row>
    <row r="221" spans="23:28" x14ac:dyDescent="0.25">
      <c r="W221" s="2" t="str">
        <f t="shared" si="44"/>
        <v/>
      </c>
      <c r="X221" s="2">
        <f t="shared" si="45"/>
        <v>6</v>
      </c>
      <c r="Y221" s="2" t="str">
        <f t="shared" si="46"/>
        <v/>
      </c>
      <c r="Z221" s="2" t="str">
        <f t="shared" si="47"/>
        <v/>
      </c>
      <c r="AA221" s="2" t="str">
        <f t="shared" si="43"/>
        <v/>
      </c>
      <c r="AB221" s="2" t="str">
        <f t="shared" si="48"/>
        <v/>
      </c>
    </row>
    <row r="222" spans="23:28" x14ac:dyDescent="0.25">
      <c r="W222" s="2" t="str">
        <f t="shared" si="44"/>
        <v/>
      </c>
      <c r="X222" s="2">
        <f t="shared" si="45"/>
        <v>6</v>
      </c>
      <c r="Y222" s="2" t="str">
        <f t="shared" si="46"/>
        <v/>
      </c>
      <c r="Z222" s="2" t="str">
        <f t="shared" si="47"/>
        <v/>
      </c>
      <c r="AA222" s="2" t="str">
        <f t="shared" si="43"/>
        <v/>
      </c>
      <c r="AB222" s="2" t="str">
        <f t="shared" si="48"/>
        <v/>
      </c>
    </row>
    <row r="223" spans="23:28" x14ac:dyDescent="0.25">
      <c r="W223" s="2" t="str">
        <f t="shared" si="44"/>
        <v/>
      </c>
      <c r="X223" s="2">
        <f t="shared" si="45"/>
        <v>6</v>
      </c>
      <c r="Y223" s="2" t="str">
        <f t="shared" si="46"/>
        <v/>
      </c>
      <c r="Z223" s="2" t="str">
        <f t="shared" si="47"/>
        <v/>
      </c>
      <c r="AA223" s="2" t="str">
        <f t="shared" si="43"/>
        <v/>
      </c>
      <c r="AB223" s="2" t="str">
        <f t="shared" si="48"/>
        <v/>
      </c>
    </row>
    <row r="224" spans="23:28" x14ac:dyDescent="0.25">
      <c r="W224" s="2" t="str">
        <f t="shared" si="44"/>
        <v/>
      </c>
      <c r="X224" s="2">
        <f t="shared" si="45"/>
        <v>6</v>
      </c>
      <c r="Y224" s="2" t="str">
        <f t="shared" si="46"/>
        <v/>
      </c>
      <c r="Z224" s="2" t="str">
        <f t="shared" si="47"/>
        <v/>
      </c>
      <c r="AA224" s="2" t="str">
        <f t="shared" si="43"/>
        <v/>
      </c>
      <c r="AB224" s="2" t="str">
        <f t="shared" si="48"/>
        <v/>
      </c>
    </row>
    <row r="225" spans="23:28" x14ac:dyDescent="0.25">
      <c r="W225" s="2" t="str">
        <f t="shared" si="44"/>
        <v/>
      </c>
      <c r="X225" s="2">
        <f t="shared" si="45"/>
        <v>6</v>
      </c>
      <c r="Y225" s="2" t="str">
        <f t="shared" si="46"/>
        <v/>
      </c>
      <c r="Z225" s="2" t="str">
        <f t="shared" si="47"/>
        <v/>
      </c>
      <c r="AA225" s="2" t="str">
        <f t="shared" si="43"/>
        <v/>
      </c>
      <c r="AB225" s="2" t="str">
        <f t="shared" si="48"/>
        <v/>
      </c>
    </row>
    <row r="226" spans="23:28" x14ac:dyDescent="0.25">
      <c r="W226" s="2" t="str">
        <f t="shared" si="44"/>
        <v/>
      </c>
      <c r="X226" s="2">
        <f t="shared" si="45"/>
        <v>6</v>
      </c>
      <c r="Y226" s="2" t="str">
        <f t="shared" si="46"/>
        <v/>
      </c>
      <c r="Z226" s="2" t="str">
        <f t="shared" si="47"/>
        <v/>
      </c>
      <c r="AA226" s="2" t="str">
        <f t="shared" si="43"/>
        <v/>
      </c>
      <c r="AB226" s="2" t="str">
        <f t="shared" si="48"/>
        <v/>
      </c>
    </row>
    <row r="227" spans="23:28" x14ac:dyDescent="0.25">
      <c r="W227" s="2" t="str">
        <f t="shared" si="44"/>
        <v/>
      </c>
      <c r="X227" s="2">
        <f t="shared" si="45"/>
        <v>6</v>
      </c>
      <c r="Y227" s="2" t="str">
        <f t="shared" si="46"/>
        <v/>
      </c>
      <c r="Z227" s="2" t="str">
        <f t="shared" si="47"/>
        <v/>
      </c>
      <c r="AA227" s="2" t="str">
        <f t="shared" si="43"/>
        <v/>
      </c>
      <c r="AB227" s="2" t="str">
        <f t="shared" si="48"/>
        <v/>
      </c>
    </row>
    <row r="228" spans="23:28" x14ac:dyDescent="0.25">
      <c r="W228" s="2" t="str">
        <f t="shared" si="44"/>
        <v/>
      </c>
      <c r="X228" s="2">
        <f t="shared" si="45"/>
        <v>6</v>
      </c>
      <c r="Y228" s="2" t="str">
        <f t="shared" si="46"/>
        <v/>
      </c>
      <c r="Z228" s="2" t="str">
        <f t="shared" si="47"/>
        <v/>
      </c>
      <c r="AA228" s="2" t="str">
        <f t="shared" si="43"/>
        <v/>
      </c>
      <c r="AB228" s="2" t="str">
        <f t="shared" si="48"/>
        <v/>
      </c>
    </row>
    <row r="229" spans="23:28" x14ac:dyDescent="0.25">
      <c r="W229" s="2" t="str">
        <f t="shared" si="44"/>
        <v/>
      </c>
      <c r="X229" s="2">
        <f t="shared" si="45"/>
        <v>6</v>
      </c>
      <c r="Y229" s="2" t="str">
        <f t="shared" si="46"/>
        <v/>
      </c>
      <c r="Z229" s="2" t="str">
        <f t="shared" si="47"/>
        <v/>
      </c>
      <c r="AA229" s="2" t="str">
        <f t="shared" si="43"/>
        <v/>
      </c>
      <c r="AB229" s="2" t="str">
        <f t="shared" si="48"/>
        <v/>
      </c>
    </row>
    <row r="230" spans="23:28" x14ac:dyDescent="0.25">
      <c r="W230" s="2" t="str">
        <f t="shared" si="44"/>
        <v/>
      </c>
      <c r="X230" s="2">
        <f t="shared" si="45"/>
        <v>6</v>
      </c>
      <c r="Y230" s="2" t="str">
        <f t="shared" si="46"/>
        <v/>
      </c>
      <c r="Z230" s="2" t="str">
        <f t="shared" si="47"/>
        <v/>
      </c>
      <c r="AA230" s="2" t="str">
        <f t="shared" si="43"/>
        <v/>
      </c>
      <c r="AB230" s="2" t="str">
        <f t="shared" si="48"/>
        <v/>
      </c>
    </row>
    <row r="231" spans="23:28" x14ac:dyDescent="0.25">
      <c r="W231" s="2" t="str">
        <f t="shared" si="44"/>
        <v/>
      </c>
      <c r="X231" s="2">
        <f t="shared" si="45"/>
        <v>6</v>
      </c>
      <c r="Y231" s="2" t="str">
        <f t="shared" si="46"/>
        <v/>
      </c>
      <c r="Z231" s="2" t="str">
        <f t="shared" si="47"/>
        <v/>
      </c>
      <c r="AA231" s="2" t="str">
        <f t="shared" si="43"/>
        <v/>
      </c>
      <c r="AB231" s="2" t="str">
        <f t="shared" si="48"/>
        <v/>
      </c>
    </row>
    <row r="232" spans="23:28" x14ac:dyDescent="0.25">
      <c r="W232" s="2" t="str">
        <f t="shared" si="44"/>
        <v/>
      </c>
      <c r="X232" s="2">
        <f t="shared" si="45"/>
        <v>6</v>
      </c>
      <c r="Y232" s="2" t="str">
        <f t="shared" si="46"/>
        <v/>
      </c>
      <c r="Z232" s="2" t="str">
        <f t="shared" si="47"/>
        <v/>
      </c>
      <c r="AA232" s="2" t="str">
        <f t="shared" si="43"/>
        <v/>
      </c>
      <c r="AB232" s="2" t="str">
        <f t="shared" si="48"/>
        <v/>
      </c>
    </row>
    <row r="233" spans="23:28" x14ac:dyDescent="0.25">
      <c r="W233" s="2" t="str">
        <f t="shared" si="44"/>
        <v/>
      </c>
      <c r="X233" s="2">
        <f t="shared" si="45"/>
        <v>6</v>
      </c>
      <c r="Y233" s="2" t="str">
        <f t="shared" si="46"/>
        <v/>
      </c>
      <c r="Z233" s="2" t="str">
        <f t="shared" si="47"/>
        <v/>
      </c>
      <c r="AA233" s="2" t="str">
        <f t="shared" si="43"/>
        <v/>
      </c>
      <c r="AB233" s="2" t="str">
        <f t="shared" si="48"/>
        <v/>
      </c>
    </row>
    <row r="234" spans="23:28" x14ac:dyDescent="0.25">
      <c r="W234" s="2" t="str">
        <f t="shared" si="44"/>
        <v/>
      </c>
      <c r="X234" s="2">
        <f t="shared" si="45"/>
        <v>6</v>
      </c>
      <c r="Y234" s="2" t="str">
        <f t="shared" si="46"/>
        <v/>
      </c>
      <c r="Z234" s="2" t="str">
        <f t="shared" si="47"/>
        <v/>
      </c>
      <c r="AA234" s="2" t="str">
        <f t="shared" si="43"/>
        <v/>
      </c>
      <c r="AB234" s="2" t="str">
        <f t="shared" si="48"/>
        <v/>
      </c>
    </row>
    <row r="235" spans="23:28" x14ac:dyDescent="0.25">
      <c r="W235" s="2" t="str">
        <f t="shared" si="44"/>
        <v/>
      </c>
      <c r="X235" s="2">
        <f t="shared" si="45"/>
        <v>6</v>
      </c>
      <c r="Y235" s="2" t="str">
        <f t="shared" si="46"/>
        <v/>
      </c>
      <c r="Z235" s="2" t="str">
        <f t="shared" si="47"/>
        <v/>
      </c>
      <c r="AA235" s="2" t="str">
        <f t="shared" si="43"/>
        <v/>
      </c>
      <c r="AB235" s="2" t="str">
        <f t="shared" si="48"/>
        <v/>
      </c>
    </row>
    <row r="236" spans="23:28" x14ac:dyDescent="0.25">
      <c r="W236" s="2" t="str">
        <f t="shared" si="44"/>
        <v/>
      </c>
      <c r="X236" s="2">
        <f t="shared" si="45"/>
        <v>6</v>
      </c>
      <c r="Y236" s="2" t="str">
        <f t="shared" si="46"/>
        <v/>
      </c>
      <c r="Z236" s="2" t="str">
        <f t="shared" si="47"/>
        <v/>
      </c>
      <c r="AA236" s="2" t="str">
        <f t="shared" si="43"/>
        <v/>
      </c>
      <c r="AB236" s="2" t="str">
        <f t="shared" si="48"/>
        <v/>
      </c>
    </row>
    <row r="237" spans="23:28" x14ac:dyDescent="0.25">
      <c r="W237" s="2" t="str">
        <f t="shared" si="44"/>
        <v/>
      </c>
      <c r="X237" s="2">
        <f t="shared" si="45"/>
        <v>6</v>
      </c>
      <c r="Y237" s="2" t="str">
        <f t="shared" si="46"/>
        <v/>
      </c>
      <c r="Z237" s="2" t="str">
        <f t="shared" si="47"/>
        <v/>
      </c>
      <c r="AA237" s="2" t="str">
        <f t="shared" si="43"/>
        <v/>
      </c>
      <c r="AB237" s="2" t="str">
        <f t="shared" si="48"/>
        <v/>
      </c>
    </row>
    <row r="238" spans="23:28" x14ac:dyDescent="0.25">
      <c r="W238" s="2" t="str">
        <f t="shared" si="44"/>
        <v/>
      </c>
      <c r="X238" s="2">
        <f t="shared" si="45"/>
        <v>6</v>
      </c>
      <c r="Y238" s="2" t="str">
        <f t="shared" si="46"/>
        <v/>
      </c>
      <c r="Z238" s="2" t="str">
        <f t="shared" si="47"/>
        <v/>
      </c>
      <c r="AA238" s="2" t="str">
        <f t="shared" si="43"/>
        <v/>
      </c>
      <c r="AB238" s="2" t="str">
        <f t="shared" si="48"/>
        <v/>
      </c>
    </row>
    <row r="239" spans="23:28" x14ac:dyDescent="0.25">
      <c r="W239" s="2" t="str">
        <f t="shared" si="44"/>
        <v/>
      </c>
      <c r="X239" s="2">
        <f t="shared" si="45"/>
        <v>6</v>
      </c>
      <c r="Y239" s="2" t="str">
        <f t="shared" si="46"/>
        <v/>
      </c>
      <c r="Z239" s="2" t="str">
        <f t="shared" si="47"/>
        <v/>
      </c>
      <c r="AA239" s="2" t="str">
        <f t="shared" si="43"/>
        <v/>
      </c>
      <c r="AB239" s="2" t="str">
        <f t="shared" si="48"/>
        <v/>
      </c>
    </row>
    <row r="240" spans="23:28" x14ac:dyDescent="0.25">
      <c r="W240" s="2" t="str">
        <f t="shared" si="44"/>
        <v/>
      </c>
      <c r="X240" s="2">
        <f t="shared" si="45"/>
        <v>6</v>
      </c>
      <c r="Y240" s="2" t="str">
        <f t="shared" si="46"/>
        <v/>
      </c>
      <c r="Z240" s="2" t="str">
        <f t="shared" si="47"/>
        <v/>
      </c>
      <c r="AA240" s="2" t="str">
        <f t="shared" si="43"/>
        <v/>
      </c>
      <c r="AB240" s="2" t="str">
        <f t="shared" si="48"/>
        <v/>
      </c>
    </row>
    <row r="241" spans="23:28" x14ac:dyDescent="0.25">
      <c r="W241" s="2" t="str">
        <f t="shared" si="44"/>
        <v/>
      </c>
      <c r="X241" s="2">
        <f t="shared" si="45"/>
        <v>6</v>
      </c>
      <c r="Y241" s="2" t="str">
        <f t="shared" si="46"/>
        <v/>
      </c>
      <c r="Z241" s="2" t="str">
        <f t="shared" si="47"/>
        <v/>
      </c>
      <c r="AA241" s="2" t="str">
        <f t="shared" si="43"/>
        <v/>
      </c>
      <c r="AB241" s="2" t="str">
        <f t="shared" si="48"/>
        <v/>
      </c>
    </row>
    <row r="242" spans="23:28" x14ac:dyDescent="0.25">
      <c r="W242" s="2" t="str">
        <f t="shared" si="44"/>
        <v/>
      </c>
      <c r="X242" s="2">
        <f t="shared" si="45"/>
        <v>6</v>
      </c>
      <c r="Y242" s="2" t="str">
        <f t="shared" si="46"/>
        <v/>
      </c>
      <c r="Z242" s="2" t="str">
        <f t="shared" si="47"/>
        <v/>
      </c>
      <c r="AA242" s="2" t="str">
        <f t="shared" si="43"/>
        <v/>
      </c>
      <c r="AB242" s="2" t="str">
        <f t="shared" si="48"/>
        <v/>
      </c>
    </row>
    <row r="243" spans="23:28" x14ac:dyDescent="0.25">
      <c r="W243" s="2" t="str">
        <f t="shared" si="44"/>
        <v/>
      </c>
      <c r="X243" s="2">
        <f t="shared" si="45"/>
        <v>6</v>
      </c>
      <c r="Y243" s="2" t="str">
        <f t="shared" si="46"/>
        <v/>
      </c>
      <c r="Z243" s="2" t="str">
        <f t="shared" si="47"/>
        <v/>
      </c>
      <c r="AA243" s="2" t="str">
        <f t="shared" si="43"/>
        <v/>
      </c>
      <c r="AB243" s="2" t="str">
        <f t="shared" si="48"/>
        <v/>
      </c>
    </row>
    <row r="244" spans="23:28" x14ac:dyDescent="0.25">
      <c r="W244" s="2" t="str">
        <f t="shared" si="44"/>
        <v/>
      </c>
      <c r="X244" s="2">
        <f t="shared" si="45"/>
        <v>6</v>
      </c>
      <c r="Y244" s="2" t="str">
        <f t="shared" si="46"/>
        <v/>
      </c>
      <c r="Z244" s="2" t="str">
        <f t="shared" si="47"/>
        <v/>
      </c>
      <c r="AA244" s="2" t="str">
        <f t="shared" si="43"/>
        <v/>
      </c>
      <c r="AB244" s="2" t="str">
        <f t="shared" si="48"/>
        <v/>
      </c>
    </row>
    <row r="245" spans="23:28" x14ac:dyDescent="0.25">
      <c r="W245" s="2" t="str">
        <f t="shared" si="44"/>
        <v/>
      </c>
      <c r="X245" s="2">
        <f t="shared" si="45"/>
        <v>6</v>
      </c>
      <c r="Y245" s="2" t="str">
        <f t="shared" si="46"/>
        <v/>
      </c>
      <c r="Z245" s="2" t="str">
        <f t="shared" si="47"/>
        <v/>
      </c>
      <c r="AA245" s="2" t="str">
        <f t="shared" si="43"/>
        <v/>
      </c>
      <c r="AB245" s="2" t="str">
        <f t="shared" si="48"/>
        <v/>
      </c>
    </row>
    <row r="246" spans="23:28" x14ac:dyDescent="0.25">
      <c r="W246" s="2" t="str">
        <f t="shared" si="44"/>
        <v/>
      </c>
      <c r="X246" s="2">
        <f t="shared" si="45"/>
        <v>6</v>
      </c>
      <c r="Y246" s="2" t="str">
        <f t="shared" si="46"/>
        <v/>
      </c>
      <c r="Z246" s="2" t="str">
        <f t="shared" si="47"/>
        <v/>
      </c>
      <c r="AA246" s="2" t="str">
        <f t="shared" si="43"/>
        <v/>
      </c>
      <c r="AB246" s="2" t="str">
        <f t="shared" si="48"/>
        <v/>
      </c>
    </row>
    <row r="247" spans="23:28" x14ac:dyDescent="0.25">
      <c r="W247" s="2" t="str">
        <f t="shared" si="44"/>
        <v/>
      </c>
      <c r="X247" s="2">
        <f t="shared" si="45"/>
        <v>6</v>
      </c>
      <c r="Y247" s="2" t="str">
        <f t="shared" si="46"/>
        <v/>
      </c>
      <c r="Z247" s="2" t="str">
        <f t="shared" si="47"/>
        <v/>
      </c>
      <c r="AA247" s="2" t="str">
        <f t="shared" si="43"/>
        <v/>
      </c>
      <c r="AB247" s="2" t="str">
        <f t="shared" si="48"/>
        <v/>
      </c>
    </row>
    <row r="248" spans="23:28" x14ac:dyDescent="0.25">
      <c r="W248" s="2" t="str">
        <f t="shared" si="44"/>
        <v/>
      </c>
      <c r="X248" s="2">
        <f t="shared" si="45"/>
        <v>6</v>
      </c>
      <c r="Y248" s="2" t="str">
        <f t="shared" si="46"/>
        <v/>
      </c>
      <c r="Z248" s="2" t="str">
        <f t="shared" si="47"/>
        <v/>
      </c>
      <c r="AA248" s="2" t="str">
        <f t="shared" si="43"/>
        <v/>
      </c>
      <c r="AB248" s="2" t="str">
        <f t="shared" si="48"/>
        <v/>
      </c>
    </row>
    <row r="249" spans="23:28" x14ac:dyDescent="0.25">
      <c r="W249" s="2" t="str">
        <f t="shared" si="44"/>
        <v/>
      </c>
      <c r="X249" s="2">
        <f t="shared" si="45"/>
        <v>6</v>
      </c>
      <c r="Y249" s="2" t="str">
        <f t="shared" si="46"/>
        <v/>
      </c>
      <c r="Z249" s="2" t="str">
        <f t="shared" si="47"/>
        <v/>
      </c>
      <c r="AA249" s="2" t="str">
        <f t="shared" si="43"/>
        <v/>
      </c>
      <c r="AB249" s="2" t="str">
        <f t="shared" si="48"/>
        <v/>
      </c>
    </row>
    <row r="250" spans="23:28" x14ac:dyDescent="0.25">
      <c r="W250" s="2" t="str">
        <f t="shared" si="44"/>
        <v/>
      </c>
      <c r="X250" s="2">
        <f t="shared" si="45"/>
        <v>6</v>
      </c>
      <c r="Y250" s="2" t="str">
        <f t="shared" si="46"/>
        <v/>
      </c>
      <c r="Z250" s="2" t="str">
        <f t="shared" si="47"/>
        <v/>
      </c>
      <c r="AA250" s="2" t="str">
        <f t="shared" si="43"/>
        <v/>
      </c>
      <c r="AB250" s="2" t="str">
        <f t="shared" si="48"/>
        <v/>
      </c>
    </row>
    <row r="251" spans="23:28" x14ac:dyDescent="0.25">
      <c r="W251" s="2" t="str">
        <f t="shared" si="44"/>
        <v/>
      </c>
      <c r="X251" s="2">
        <f t="shared" si="45"/>
        <v>6</v>
      </c>
      <c r="Y251" s="2" t="str">
        <f t="shared" si="46"/>
        <v/>
      </c>
      <c r="Z251" s="2" t="str">
        <f t="shared" si="47"/>
        <v/>
      </c>
      <c r="AA251" s="2" t="str">
        <f t="shared" si="43"/>
        <v/>
      </c>
      <c r="AB251" s="2" t="str">
        <f t="shared" si="48"/>
        <v/>
      </c>
    </row>
    <row r="252" spans="23:28" x14ac:dyDescent="0.25">
      <c r="W252" s="2" t="str">
        <f t="shared" si="44"/>
        <v/>
      </c>
      <c r="X252" s="2">
        <f t="shared" si="45"/>
        <v>6</v>
      </c>
      <c r="Y252" s="2" t="str">
        <f t="shared" si="46"/>
        <v/>
      </c>
      <c r="Z252" s="2" t="str">
        <f t="shared" si="47"/>
        <v/>
      </c>
      <c r="AA252" s="2" t="str">
        <f t="shared" si="43"/>
        <v/>
      </c>
      <c r="AB252" s="2" t="str">
        <f t="shared" si="48"/>
        <v/>
      </c>
    </row>
    <row r="253" spans="23:28" x14ac:dyDescent="0.25">
      <c r="W253" s="2" t="str">
        <f t="shared" si="44"/>
        <v/>
      </c>
      <c r="X253" s="2">
        <f t="shared" si="45"/>
        <v>6</v>
      </c>
      <c r="Y253" s="2" t="str">
        <f t="shared" si="46"/>
        <v/>
      </c>
      <c r="Z253" s="2" t="str">
        <f t="shared" si="47"/>
        <v/>
      </c>
      <c r="AA253" s="2" t="str">
        <f t="shared" si="43"/>
        <v/>
      </c>
      <c r="AB253" s="2" t="str">
        <f t="shared" si="48"/>
        <v/>
      </c>
    </row>
    <row r="254" spans="23:28" x14ac:dyDescent="0.25">
      <c r="W254" s="2" t="str">
        <f t="shared" si="44"/>
        <v/>
      </c>
      <c r="X254" s="2">
        <f t="shared" si="45"/>
        <v>6</v>
      </c>
      <c r="Y254" s="2" t="str">
        <f t="shared" si="46"/>
        <v/>
      </c>
      <c r="Z254" s="2" t="str">
        <f t="shared" si="47"/>
        <v/>
      </c>
      <c r="AA254" s="2" t="str">
        <f t="shared" si="43"/>
        <v/>
      </c>
      <c r="AB254" s="2" t="str">
        <f t="shared" si="48"/>
        <v/>
      </c>
    </row>
    <row r="255" spans="23:28" x14ac:dyDescent="0.25">
      <c r="W255" s="2" t="str">
        <f t="shared" si="44"/>
        <v/>
      </c>
      <c r="X255" s="2">
        <f t="shared" si="45"/>
        <v>6</v>
      </c>
      <c r="Y255" s="2" t="str">
        <f t="shared" si="46"/>
        <v/>
      </c>
      <c r="Z255" s="2" t="str">
        <f t="shared" si="47"/>
        <v/>
      </c>
      <c r="AA255" s="2" t="str">
        <f t="shared" si="43"/>
        <v/>
      </c>
      <c r="AB255" s="2" t="str">
        <f t="shared" si="48"/>
        <v/>
      </c>
    </row>
    <row r="256" spans="23:28" x14ac:dyDescent="0.25">
      <c r="W256" s="2" t="str">
        <f t="shared" si="44"/>
        <v/>
      </c>
      <c r="X256" s="2">
        <f t="shared" si="45"/>
        <v>6</v>
      </c>
      <c r="Y256" s="2" t="str">
        <f t="shared" si="46"/>
        <v/>
      </c>
      <c r="Z256" s="2" t="str">
        <f t="shared" si="47"/>
        <v/>
      </c>
      <c r="AA256" s="2" t="str">
        <f t="shared" si="43"/>
        <v/>
      </c>
      <c r="AB256" s="2" t="str">
        <f t="shared" si="48"/>
        <v/>
      </c>
    </row>
    <row r="257" spans="23:28" x14ac:dyDescent="0.25">
      <c r="W257" s="2" t="str">
        <f t="shared" si="44"/>
        <v/>
      </c>
      <c r="X257" s="2">
        <f t="shared" si="45"/>
        <v>6</v>
      </c>
      <c r="Y257" s="2" t="str">
        <f t="shared" si="46"/>
        <v/>
      </c>
      <c r="Z257" s="2" t="str">
        <f t="shared" si="47"/>
        <v/>
      </c>
      <c r="AA257" s="2" t="str">
        <f t="shared" si="43"/>
        <v/>
      </c>
      <c r="AB257" s="2" t="str">
        <f t="shared" si="48"/>
        <v/>
      </c>
    </row>
    <row r="258" spans="23:28" x14ac:dyDescent="0.25">
      <c r="W258" s="2" t="str">
        <f t="shared" si="44"/>
        <v/>
      </c>
      <c r="X258" s="2">
        <f t="shared" si="45"/>
        <v>6</v>
      </c>
      <c r="Y258" s="2" t="str">
        <f t="shared" si="46"/>
        <v/>
      </c>
      <c r="Z258" s="2" t="str">
        <f t="shared" si="47"/>
        <v/>
      </c>
      <c r="AA258" s="2" t="str">
        <f t="shared" si="43"/>
        <v/>
      </c>
      <c r="AB258" s="2" t="str">
        <f t="shared" si="48"/>
        <v/>
      </c>
    </row>
    <row r="259" spans="23:28" x14ac:dyDescent="0.25">
      <c r="W259" s="2" t="str">
        <f t="shared" si="44"/>
        <v/>
      </c>
      <c r="X259" s="2">
        <f t="shared" si="45"/>
        <v>6</v>
      </c>
      <c r="Y259" s="2" t="str">
        <f t="shared" si="46"/>
        <v/>
      </c>
      <c r="Z259" s="2" t="str">
        <f t="shared" si="47"/>
        <v/>
      </c>
      <c r="AA259" s="2" t="str">
        <f t="shared" ref="AA259:AA290" si="49">IF(ISNUMBER(SEARCH("@",Y259)),Y260,"")</f>
        <v/>
      </c>
      <c r="AB259" s="2" t="str">
        <f t="shared" si="48"/>
        <v/>
      </c>
    </row>
    <row r="260" spans="23:28" x14ac:dyDescent="0.25">
      <c r="W260" s="2" t="str">
        <f t="shared" ref="W260:W290" si="50">IF(MOD(ROW(),3)=0,IF(H261="Dog",IF(H262&gt;=0.75,H262,""),IF(I262&gt;=0.75,I262,"")),"")</f>
        <v/>
      </c>
      <c r="X260" s="2">
        <f t="shared" ref="X260:X323" si="51">IF(ISNUMBER(CODE(Z260)),X259+1,X259)</f>
        <v>6</v>
      </c>
      <c r="Y260" s="2" t="str">
        <f t="shared" ref="Y260:Y290" si="52">INDEX($O$3:$W$50,1+INT((ROW(A258)-1)/COLUMNS($O$3:$W$50)),MOD(ROW(A258)-1+COLUMNS($O$3:$W$50),COLUMNS($O$3:$W$50))+1)</f>
        <v/>
      </c>
      <c r="Z260" s="2" t="str">
        <f t="shared" ref="Z260:Z290" si="53">IF(ISNUMBER(SEARCH("@",Y260)),Y260,"")</f>
        <v/>
      </c>
      <c r="AA260" s="2" t="str">
        <f t="shared" si="49"/>
        <v/>
      </c>
      <c r="AB260" s="2" t="str">
        <f t="shared" ref="AB260:AB290" si="54">IF(ISNUMBER(SEARCH("@",Y260)),Y262,"")</f>
        <v/>
      </c>
    </row>
    <row r="261" spans="23:28" x14ac:dyDescent="0.25">
      <c r="W261" s="2" t="str">
        <f t="shared" si="50"/>
        <v/>
      </c>
      <c r="X261" s="2">
        <f t="shared" si="51"/>
        <v>6</v>
      </c>
      <c r="Y261" s="2" t="str">
        <f t="shared" si="52"/>
        <v/>
      </c>
      <c r="Z261" s="2" t="str">
        <f t="shared" si="53"/>
        <v/>
      </c>
      <c r="AA261" s="2" t="str">
        <f t="shared" si="49"/>
        <v/>
      </c>
      <c r="AB261" s="2" t="str">
        <f t="shared" si="54"/>
        <v/>
      </c>
    </row>
    <row r="262" spans="23:28" x14ac:dyDescent="0.25">
      <c r="W262" s="2" t="str">
        <f t="shared" si="50"/>
        <v/>
      </c>
      <c r="X262" s="2">
        <f t="shared" si="51"/>
        <v>6</v>
      </c>
      <c r="Y262" s="2" t="str">
        <f t="shared" si="52"/>
        <v/>
      </c>
      <c r="Z262" s="2" t="str">
        <f t="shared" si="53"/>
        <v/>
      </c>
      <c r="AA262" s="2" t="str">
        <f t="shared" si="49"/>
        <v/>
      </c>
      <c r="AB262" s="2" t="str">
        <f t="shared" si="54"/>
        <v/>
      </c>
    </row>
    <row r="263" spans="23:28" x14ac:dyDescent="0.25">
      <c r="W263" s="2" t="str">
        <f t="shared" si="50"/>
        <v/>
      </c>
      <c r="X263" s="2">
        <f t="shared" si="51"/>
        <v>6</v>
      </c>
      <c r="Y263" s="2" t="str">
        <f t="shared" si="52"/>
        <v/>
      </c>
      <c r="Z263" s="2" t="str">
        <f t="shared" si="53"/>
        <v/>
      </c>
      <c r="AA263" s="2" t="str">
        <f t="shared" si="49"/>
        <v/>
      </c>
      <c r="AB263" s="2" t="str">
        <f t="shared" si="54"/>
        <v/>
      </c>
    </row>
    <row r="264" spans="23:28" x14ac:dyDescent="0.25">
      <c r="W264" s="2" t="str">
        <f t="shared" si="50"/>
        <v/>
      </c>
      <c r="X264" s="2">
        <f t="shared" si="51"/>
        <v>6</v>
      </c>
      <c r="Y264" s="2" t="str">
        <f t="shared" si="52"/>
        <v/>
      </c>
      <c r="Z264" s="2" t="str">
        <f t="shared" si="53"/>
        <v/>
      </c>
      <c r="AA264" s="2" t="str">
        <f t="shared" si="49"/>
        <v/>
      </c>
      <c r="AB264" s="2" t="str">
        <f t="shared" si="54"/>
        <v/>
      </c>
    </row>
    <row r="265" spans="23:28" x14ac:dyDescent="0.25">
      <c r="W265" s="2" t="str">
        <f t="shared" si="50"/>
        <v/>
      </c>
      <c r="X265" s="2">
        <f t="shared" si="51"/>
        <v>6</v>
      </c>
      <c r="Y265" s="2" t="str">
        <f t="shared" si="52"/>
        <v/>
      </c>
      <c r="Z265" s="2" t="str">
        <f t="shared" si="53"/>
        <v/>
      </c>
      <c r="AA265" s="2" t="str">
        <f t="shared" si="49"/>
        <v/>
      </c>
      <c r="AB265" s="2" t="str">
        <f t="shared" si="54"/>
        <v/>
      </c>
    </row>
    <row r="266" spans="23:28" x14ac:dyDescent="0.25">
      <c r="W266" s="2" t="str">
        <f t="shared" si="50"/>
        <v/>
      </c>
      <c r="X266" s="2">
        <f t="shared" si="51"/>
        <v>6</v>
      </c>
      <c r="Y266" s="2" t="str">
        <f t="shared" si="52"/>
        <v/>
      </c>
      <c r="Z266" s="2" t="str">
        <f t="shared" si="53"/>
        <v/>
      </c>
      <c r="AA266" s="2" t="str">
        <f t="shared" si="49"/>
        <v/>
      </c>
      <c r="AB266" s="2" t="str">
        <f t="shared" si="54"/>
        <v/>
      </c>
    </row>
    <row r="267" spans="23:28" x14ac:dyDescent="0.25">
      <c r="W267" s="2" t="str">
        <f t="shared" si="50"/>
        <v/>
      </c>
      <c r="X267" s="2">
        <f t="shared" si="51"/>
        <v>6</v>
      </c>
      <c r="Y267" s="2" t="str">
        <f t="shared" si="52"/>
        <v/>
      </c>
      <c r="Z267" s="2" t="str">
        <f t="shared" si="53"/>
        <v/>
      </c>
      <c r="AA267" s="2" t="str">
        <f t="shared" si="49"/>
        <v/>
      </c>
      <c r="AB267" s="2" t="str">
        <f t="shared" si="54"/>
        <v/>
      </c>
    </row>
    <row r="268" spans="23:28" x14ac:dyDescent="0.25">
      <c r="W268" s="2" t="str">
        <f t="shared" si="50"/>
        <v/>
      </c>
      <c r="X268" s="2">
        <f t="shared" si="51"/>
        <v>6</v>
      </c>
      <c r="Y268" s="2" t="str">
        <f t="shared" si="52"/>
        <v/>
      </c>
      <c r="Z268" s="2" t="str">
        <f t="shared" si="53"/>
        <v/>
      </c>
      <c r="AA268" s="2" t="str">
        <f t="shared" si="49"/>
        <v/>
      </c>
      <c r="AB268" s="2" t="str">
        <f t="shared" si="54"/>
        <v/>
      </c>
    </row>
    <row r="269" spans="23:28" x14ac:dyDescent="0.25">
      <c r="W269" s="2" t="str">
        <f t="shared" si="50"/>
        <v/>
      </c>
      <c r="X269" s="2">
        <f t="shared" si="51"/>
        <v>6</v>
      </c>
      <c r="Y269" s="2" t="str">
        <f t="shared" si="52"/>
        <v/>
      </c>
      <c r="Z269" s="2" t="str">
        <f t="shared" si="53"/>
        <v/>
      </c>
      <c r="AA269" s="2" t="str">
        <f t="shared" si="49"/>
        <v/>
      </c>
      <c r="AB269" s="2" t="str">
        <f t="shared" si="54"/>
        <v/>
      </c>
    </row>
    <row r="270" spans="23:28" x14ac:dyDescent="0.25">
      <c r="W270" s="2" t="str">
        <f t="shared" si="50"/>
        <v/>
      </c>
      <c r="X270" s="2">
        <f t="shared" si="51"/>
        <v>6</v>
      </c>
      <c r="Y270" s="2" t="str">
        <f t="shared" si="52"/>
        <v/>
      </c>
      <c r="Z270" s="2" t="str">
        <f t="shared" si="53"/>
        <v/>
      </c>
      <c r="AA270" s="2" t="str">
        <f t="shared" si="49"/>
        <v/>
      </c>
      <c r="AB270" s="2" t="str">
        <f t="shared" si="54"/>
        <v/>
      </c>
    </row>
    <row r="271" spans="23:28" x14ac:dyDescent="0.25">
      <c r="W271" s="2" t="str">
        <f t="shared" si="50"/>
        <v/>
      </c>
      <c r="X271" s="2">
        <f t="shared" si="51"/>
        <v>6</v>
      </c>
      <c r="Y271" s="2" t="str">
        <f t="shared" si="52"/>
        <v/>
      </c>
      <c r="Z271" s="2" t="str">
        <f t="shared" si="53"/>
        <v/>
      </c>
      <c r="AA271" s="2" t="str">
        <f t="shared" si="49"/>
        <v/>
      </c>
      <c r="AB271" s="2" t="str">
        <f t="shared" si="54"/>
        <v/>
      </c>
    </row>
    <row r="272" spans="23:28" x14ac:dyDescent="0.25">
      <c r="W272" s="2" t="str">
        <f t="shared" si="50"/>
        <v/>
      </c>
      <c r="X272" s="2">
        <f t="shared" si="51"/>
        <v>6</v>
      </c>
      <c r="Y272" s="2" t="str">
        <f t="shared" si="52"/>
        <v/>
      </c>
      <c r="Z272" s="2" t="str">
        <f t="shared" si="53"/>
        <v/>
      </c>
      <c r="AA272" s="2" t="str">
        <f t="shared" si="49"/>
        <v/>
      </c>
      <c r="AB272" s="2" t="str">
        <f t="shared" si="54"/>
        <v/>
      </c>
    </row>
    <row r="273" spans="23:28" x14ac:dyDescent="0.25">
      <c r="W273" s="2" t="str">
        <f t="shared" si="50"/>
        <v/>
      </c>
      <c r="X273" s="2">
        <f t="shared" si="51"/>
        <v>6</v>
      </c>
      <c r="Y273" s="2" t="str">
        <f t="shared" si="52"/>
        <v/>
      </c>
      <c r="Z273" s="2" t="str">
        <f t="shared" si="53"/>
        <v/>
      </c>
      <c r="AA273" s="2" t="str">
        <f t="shared" si="49"/>
        <v/>
      </c>
      <c r="AB273" s="2" t="str">
        <f t="shared" si="54"/>
        <v/>
      </c>
    </row>
    <row r="274" spans="23:28" x14ac:dyDescent="0.25">
      <c r="W274" s="2" t="str">
        <f t="shared" si="50"/>
        <v/>
      </c>
      <c r="X274" s="2">
        <f t="shared" si="51"/>
        <v>6</v>
      </c>
      <c r="Y274" s="2" t="str">
        <f t="shared" si="52"/>
        <v/>
      </c>
      <c r="Z274" s="2" t="str">
        <f t="shared" si="53"/>
        <v/>
      </c>
      <c r="AA274" s="2" t="str">
        <f t="shared" si="49"/>
        <v/>
      </c>
      <c r="AB274" s="2" t="str">
        <f t="shared" si="54"/>
        <v/>
      </c>
    </row>
    <row r="275" spans="23:28" x14ac:dyDescent="0.25">
      <c r="W275" s="2" t="str">
        <f t="shared" si="50"/>
        <v/>
      </c>
      <c r="X275" s="2">
        <f t="shared" si="51"/>
        <v>6</v>
      </c>
      <c r="Y275" s="2" t="str">
        <f t="shared" si="52"/>
        <v/>
      </c>
      <c r="Z275" s="2" t="str">
        <f t="shared" si="53"/>
        <v/>
      </c>
      <c r="AA275" s="2" t="str">
        <f t="shared" si="49"/>
        <v/>
      </c>
      <c r="AB275" s="2" t="str">
        <f t="shared" si="54"/>
        <v/>
      </c>
    </row>
    <row r="276" spans="23:28" x14ac:dyDescent="0.25">
      <c r="W276" s="2" t="str">
        <f t="shared" si="50"/>
        <v/>
      </c>
      <c r="X276" s="2">
        <f t="shared" si="51"/>
        <v>6</v>
      </c>
      <c r="Y276" s="2" t="str">
        <f t="shared" si="52"/>
        <v/>
      </c>
      <c r="Z276" s="2" t="str">
        <f t="shared" si="53"/>
        <v/>
      </c>
      <c r="AA276" s="2" t="str">
        <f t="shared" si="49"/>
        <v/>
      </c>
      <c r="AB276" s="2" t="str">
        <f t="shared" si="54"/>
        <v/>
      </c>
    </row>
    <row r="277" spans="23:28" x14ac:dyDescent="0.25">
      <c r="W277" s="2" t="str">
        <f t="shared" si="50"/>
        <v/>
      </c>
      <c r="X277" s="2">
        <f t="shared" si="51"/>
        <v>6</v>
      </c>
      <c r="Y277" s="2" t="str">
        <f t="shared" si="52"/>
        <v/>
      </c>
      <c r="Z277" s="2" t="str">
        <f t="shared" si="53"/>
        <v/>
      </c>
      <c r="AA277" s="2" t="str">
        <f t="shared" si="49"/>
        <v/>
      </c>
      <c r="AB277" s="2" t="str">
        <f t="shared" si="54"/>
        <v/>
      </c>
    </row>
    <row r="278" spans="23:28" x14ac:dyDescent="0.25">
      <c r="W278" s="2" t="str">
        <f t="shared" si="50"/>
        <v/>
      </c>
      <c r="X278" s="2">
        <f t="shared" si="51"/>
        <v>6</v>
      </c>
      <c r="Y278" s="2" t="str">
        <f t="shared" si="52"/>
        <v/>
      </c>
      <c r="Z278" s="2" t="str">
        <f t="shared" si="53"/>
        <v/>
      </c>
      <c r="AA278" s="2" t="str">
        <f t="shared" si="49"/>
        <v/>
      </c>
      <c r="AB278" s="2" t="str">
        <f t="shared" si="54"/>
        <v/>
      </c>
    </row>
    <row r="279" spans="23:28" x14ac:dyDescent="0.25">
      <c r="W279" s="2" t="str">
        <f t="shared" si="50"/>
        <v/>
      </c>
      <c r="X279" s="2">
        <f t="shared" si="51"/>
        <v>6</v>
      </c>
      <c r="Y279" s="2" t="str">
        <f t="shared" si="52"/>
        <v/>
      </c>
      <c r="Z279" s="2" t="str">
        <f t="shared" si="53"/>
        <v/>
      </c>
      <c r="AA279" s="2" t="str">
        <f t="shared" si="49"/>
        <v/>
      </c>
      <c r="AB279" s="2" t="str">
        <f t="shared" si="54"/>
        <v/>
      </c>
    </row>
    <row r="280" spans="23:28" x14ac:dyDescent="0.25">
      <c r="W280" s="2" t="str">
        <f t="shared" si="50"/>
        <v/>
      </c>
      <c r="X280" s="2">
        <f t="shared" si="51"/>
        <v>6</v>
      </c>
      <c r="Y280" s="2" t="str">
        <f t="shared" si="52"/>
        <v/>
      </c>
      <c r="Z280" s="2" t="str">
        <f t="shared" si="53"/>
        <v/>
      </c>
      <c r="AA280" s="2" t="str">
        <f t="shared" si="49"/>
        <v/>
      </c>
      <c r="AB280" s="2" t="str">
        <f t="shared" si="54"/>
        <v/>
      </c>
    </row>
    <row r="281" spans="23:28" x14ac:dyDescent="0.25">
      <c r="W281" s="2" t="str">
        <f t="shared" si="50"/>
        <v/>
      </c>
      <c r="X281" s="2">
        <f t="shared" si="51"/>
        <v>6</v>
      </c>
      <c r="Y281" s="2" t="str">
        <f t="shared" si="52"/>
        <v/>
      </c>
      <c r="Z281" s="2" t="str">
        <f t="shared" si="53"/>
        <v/>
      </c>
      <c r="AA281" s="2" t="str">
        <f t="shared" si="49"/>
        <v/>
      </c>
      <c r="AB281" s="2" t="str">
        <f t="shared" si="54"/>
        <v/>
      </c>
    </row>
    <row r="282" spans="23:28" x14ac:dyDescent="0.25">
      <c r="W282" s="2" t="str">
        <f t="shared" si="50"/>
        <v/>
      </c>
      <c r="X282" s="2">
        <f t="shared" si="51"/>
        <v>6</v>
      </c>
      <c r="Y282" s="2" t="str">
        <f t="shared" si="52"/>
        <v/>
      </c>
      <c r="Z282" s="2" t="str">
        <f t="shared" si="53"/>
        <v/>
      </c>
      <c r="AA282" s="2" t="str">
        <f t="shared" si="49"/>
        <v/>
      </c>
      <c r="AB282" s="2" t="str">
        <f t="shared" si="54"/>
        <v/>
      </c>
    </row>
    <row r="283" spans="23:28" x14ac:dyDescent="0.25">
      <c r="W283" s="2" t="str">
        <f t="shared" si="50"/>
        <v/>
      </c>
      <c r="X283" s="2">
        <f t="shared" si="51"/>
        <v>6</v>
      </c>
      <c r="Y283" s="2" t="str">
        <f t="shared" si="52"/>
        <v/>
      </c>
      <c r="Z283" s="2" t="str">
        <f t="shared" si="53"/>
        <v/>
      </c>
      <c r="AA283" s="2" t="str">
        <f t="shared" si="49"/>
        <v/>
      </c>
      <c r="AB283" s="2" t="str">
        <f t="shared" si="54"/>
        <v/>
      </c>
    </row>
    <row r="284" spans="23:28" x14ac:dyDescent="0.25">
      <c r="W284" s="2" t="str">
        <f t="shared" si="50"/>
        <v/>
      </c>
      <c r="X284" s="2">
        <f t="shared" si="51"/>
        <v>6</v>
      </c>
      <c r="Y284" s="2" t="str">
        <f t="shared" si="52"/>
        <v/>
      </c>
      <c r="Z284" s="2" t="str">
        <f t="shared" si="53"/>
        <v/>
      </c>
      <c r="AA284" s="2" t="str">
        <f t="shared" si="49"/>
        <v/>
      </c>
      <c r="AB284" s="2" t="str">
        <f t="shared" si="54"/>
        <v/>
      </c>
    </row>
    <row r="285" spans="23:28" x14ac:dyDescent="0.25">
      <c r="W285" s="2" t="str">
        <f t="shared" si="50"/>
        <v/>
      </c>
      <c r="X285" s="2">
        <f t="shared" si="51"/>
        <v>6</v>
      </c>
      <c r="Y285" s="2" t="str">
        <f t="shared" si="52"/>
        <v/>
      </c>
      <c r="Z285" s="2" t="str">
        <f t="shared" si="53"/>
        <v/>
      </c>
      <c r="AA285" s="2" t="str">
        <f t="shared" si="49"/>
        <v/>
      </c>
      <c r="AB285" s="2" t="str">
        <f t="shared" si="54"/>
        <v/>
      </c>
    </row>
    <row r="286" spans="23:28" x14ac:dyDescent="0.25">
      <c r="W286" s="2" t="str">
        <f t="shared" si="50"/>
        <v/>
      </c>
      <c r="X286" s="2">
        <f t="shared" si="51"/>
        <v>6</v>
      </c>
      <c r="Y286" s="2" t="str">
        <f t="shared" si="52"/>
        <v/>
      </c>
      <c r="Z286" s="2" t="str">
        <f t="shared" si="53"/>
        <v/>
      </c>
      <c r="AA286" s="2" t="str">
        <f t="shared" si="49"/>
        <v/>
      </c>
      <c r="AB286" s="2" t="str">
        <f t="shared" si="54"/>
        <v/>
      </c>
    </row>
    <row r="287" spans="23:28" x14ac:dyDescent="0.25">
      <c r="W287" s="2" t="str">
        <f t="shared" si="50"/>
        <v/>
      </c>
      <c r="X287" s="2">
        <f t="shared" si="51"/>
        <v>6</v>
      </c>
      <c r="Y287" s="2" t="str">
        <f t="shared" si="52"/>
        <v/>
      </c>
      <c r="Z287" s="2" t="str">
        <f t="shared" si="53"/>
        <v/>
      </c>
      <c r="AA287" s="2" t="str">
        <f t="shared" si="49"/>
        <v/>
      </c>
      <c r="AB287" s="2" t="str">
        <f t="shared" si="54"/>
        <v/>
      </c>
    </row>
    <row r="288" spans="23:28" x14ac:dyDescent="0.25">
      <c r="W288" s="2" t="str">
        <f t="shared" si="50"/>
        <v/>
      </c>
      <c r="X288" s="2">
        <f t="shared" si="51"/>
        <v>6</v>
      </c>
      <c r="Y288" s="2" t="str">
        <f t="shared" si="52"/>
        <v/>
      </c>
      <c r="Z288" s="2" t="str">
        <f t="shared" si="53"/>
        <v/>
      </c>
      <c r="AA288" s="2" t="str">
        <f t="shared" si="49"/>
        <v/>
      </c>
      <c r="AB288" s="2" t="str">
        <f t="shared" si="54"/>
        <v/>
      </c>
    </row>
    <row r="289" spans="23:28" x14ac:dyDescent="0.25">
      <c r="W289" s="2" t="str">
        <f t="shared" si="50"/>
        <v/>
      </c>
      <c r="X289" s="2">
        <f t="shared" si="51"/>
        <v>6</v>
      </c>
      <c r="Y289" s="2" t="str">
        <f t="shared" si="52"/>
        <v/>
      </c>
      <c r="Z289" s="2" t="str">
        <f t="shared" si="53"/>
        <v/>
      </c>
      <c r="AA289" s="2" t="str">
        <f t="shared" si="49"/>
        <v/>
      </c>
      <c r="AB289" s="2" t="str">
        <f t="shared" si="54"/>
        <v/>
      </c>
    </row>
    <row r="290" spans="23:28" x14ac:dyDescent="0.25">
      <c r="W290" s="2" t="str">
        <f t="shared" si="50"/>
        <v/>
      </c>
      <c r="X290" s="2">
        <f t="shared" si="51"/>
        <v>6</v>
      </c>
      <c r="Y290" s="2" t="str">
        <f t="shared" si="52"/>
        <v/>
      </c>
      <c r="Z290" s="2" t="str">
        <f t="shared" si="53"/>
        <v/>
      </c>
      <c r="AA290" s="2" t="str">
        <f t="shared" si="49"/>
        <v/>
      </c>
      <c r="AB290" s="2" t="str">
        <f t="shared" si="54"/>
        <v/>
      </c>
    </row>
    <row r="291" spans="23:28" x14ac:dyDescent="0.25">
      <c r="X291" s="2">
        <f t="shared" si="51"/>
        <v>6</v>
      </c>
      <c r="Y291" s="2" t="str">
        <f>INDEX($O$3:$W$50,1+INT((ROW(A289)-1)/COLUMNS($O$3:$W$50)),MOD(ROW(A289)-1+COLUMNS($O$3:$W$50),COLUMNS($O$3:$W$50))+1)</f>
        <v/>
      </c>
    </row>
    <row r="292" spans="23:28" x14ac:dyDescent="0.25">
      <c r="X292" s="2">
        <f t="shared" si="51"/>
        <v>6</v>
      </c>
      <c r="Y292" s="2" t="str">
        <f t="shared" ref="Y292:Y355" si="55">INDEX($O$3:$W$50,1+INT((ROW(A290)-1)/COLUMNS($O$3:$W$50)),MOD(ROW(A290)-1+COLUMNS($O$3:$W$50),COLUMNS($O$3:$W$50))+1)</f>
        <v/>
      </c>
    </row>
    <row r="293" spans="23:28" x14ac:dyDescent="0.25">
      <c r="X293" s="2">
        <f t="shared" si="51"/>
        <v>6</v>
      </c>
      <c r="Y293" s="2" t="str">
        <f t="shared" si="55"/>
        <v/>
      </c>
    </row>
    <row r="294" spans="23:28" x14ac:dyDescent="0.25">
      <c r="X294" s="2">
        <f t="shared" si="51"/>
        <v>6</v>
      </c>
      <c r="Y294" s="2" t="str">
        <f t="shared" si="55"/>
        <v/>
      </c>
    </row>
    <row r="295" spans="23:28" x14ac:dyDescent="0.25">
      <c r="X295" s="2">
        <f t="shared" si="51"/>
        <v>6</v>
      </c>
      <c r="Y295" s="2" t="str">
        <f t="shared" si="55"/>
        <v/>
      </c>
    </row>
    <row r="296" spans="23:28" x14ac:dyDescent="0.25">
      <c r="X296" s="2">
        <f t="shared" si="51"/>
        <v>6</v>
      </c>
      <c r="Y296" s="2" t="str">
        <f t="shared" si="55"/>
        <v/>
      </c>
    </row>
    <row r="297" spans="23:28" x14ac:dyDescent="0.25">
      <c r="X297" s="2">
        <f t="shared" si="51"/>
        <v>6</v>
      </c>
      <c r="Y297" s="2" t="str">
        <f t="shared" si="55"/>
        <v/>
      </c>
    </row>
    <row r="298" spans="23:28" x14ac:dyDescent="0.25">
      <c r="X298" s="2">
        <f t="shared" si="51"/>
        <v>6</v>
      </c>
      <c r="Y298" s="2" t="str">
        <f t="shared" si="55"/>
        <v/>
      </c>
    </row>
    <row r="299" spans="23:28" x14ac:dyDescent="0.25">
      <c r="X299" s="2">
        <f t="shared" si="51"/>
        <v>6</v>
      </c>
      <c r="Y299" s="2" t="str">
        <f t="shared" si="55"/>
        <v/>
      </c>
    </row>
    <row r="300" spans="23:28" x14ac:dyDescent="0.25">
      <c r="X300" s="2">
        <f t="shared" si="51"/>
        <v>6</v>
      </c>
      <c r="Y300" s="2" t="str">
        <f t="shared" si="55"/>
        <v/>
      </c>
    </row>
    <row r="301" spans="23:28" x14ac:dyDescent="0.25">
      <c r="X301" s="2">
        <f t="shared" si="51"/>
        <v>6</v>
      </c>
      <c r="Y301" s="2" t="str">
        <f t="shared" si="55"/>
        <v/>
      </c>
    </row>
    <row r="302" spans="23:28" x14ac:dyDescent="0.25">
      <c r="X302" s="2">
        <f t="shared" si="51"/>
        <v>6</v>
      </c>
      <c r="Y302" s="2" t="str">
        <f t="shared" si="55"/>
        <v/>
      </c>
    </row>
    <row r="303" spans="23:28" x14ac:dyDescent="0.25">
      <c r="X303" s="2">
        <f t="shared" si="51"/>
        <v>6</v>
      </c>
      <c r="Y303" s="2" t="str">
        <f t="shared" si="55"/>
        <v/>
      </c>
    </row>
    <row r="304" spans="23:28" x14ac:dyDescent="0.25">
      <c r="X304" s="2">
        <f t="shared" si="51"/>
        <v>6</v>
      </c>
      <c r="Y304" s="2" t="str">
        <f t="shared" si="55"/>
        <v/>
      </c>
    </row>
    <row r="305" spans="24:25" x14ac:dyDescent="0.25">
      <c r="X305" s="2">
        <f t="shared" si="51"/>
        <v>6</v>
      </c>
      <c r="Y305" s="2" t="str">
        <f t="shared" si="55"/>
        <v/>
      </c>
    </row>
    <row r="306" spans="24:25" x14ac:dyDescent="0.25">
      <c r="X306" s="2">
        <f t="shared" si="51"/>
        <v>6</v>
      </c>
      <c r="Y306" s="2" t="str">
        <f t="shared" si="55"/>
        <v/>
      </c>
    </row>
    <row r="307" spans="24:25" x14ac:dyDescent="0.25">
      <c r="X307" s="2">
        <f t="shared" si="51"/>
        <v>6</v>
      </c>
      <c r="Y307" s="2" t="str">
        <f t="shared" si="55"/>
        <v/>
      </c>
    </row>
    <row r="308" spans="24:25" x14ac:dyDescent="0.25">
      <c r="X308" s="2">
        <f t="shared" si="51"/>
        <v>6</v>
      </c>
      <c r="Y308" s="2" t="str">
        <f t="shared" si="55"/>
        <v/>
      </c>
    </row>
    <row r="309" spans="24:25" x14ac:dyDescent="0.25">
      <c r="X309" s="2">
        <f t="shared" si="51"/>
        <v>6</v>
      </c>
      <c r="Y309" s="2" t="str">
        <f t="shared" si="55"/>
        <v/>
      </c>
    </row>
    <row r="310" spans="24:25" x14ac:dyDescent="0.25">
      <c r="X310" s="2">
        <f t="shared" si="51"/>
        <v>6</v>
      </c>
      <c r="Y310" s="2" t="str">
        <f t="shared" si="55"/>
        <v/>
      </c>
    </row>
    <row r="311" spans="24:25" x14ac:dyDescent="0.25">
      <c r="X311" s="2">
        <f t="shared" si="51"/>
        <v>6</v>
      </c>
      <c r="Y311" s="2" t="str">
        <f t="shared" si="55"/>
        <v/>
      </c>
    </row>
    <row r="312" spans="24:25" x14ac:dyDescent="0.25">
      <c r="X312" s="2">
        <f t="shared" si="51"/>
        <v>6</v>
      </c>
      <c r="Y312" s="2" t="str">
        <f t="shared" si="55"/>
        <v/>
      </c>
    </row>
    <row r="313" spans="24:25" x14ac:dyDescent="0.25">
      <c r="X313" s="2">
        <f t="shared" si="51"/>
        <v>6</v>
      </c>
      <c r="Y313" s="2" t="str">
        <f t="shared" si="55"/>
        <v/>
      </c>
    </row>
    <row r="314" spans="24:25" x14ac:dyDescent="0.25">
      <c r="X314" s="2">
        <f t="shared" si="51"/>
        <v>6</v>
      </c>
      <c r="Y314" s="2" t="str">
        <f t="shared" si="55"/>
        <v/>
      </c>
    </row>
    <row r="315" spans="24:25" x14ac:dyDescent="0.25">
      <c r="X315" s="2">
        <f t="shared" si="51"/>
        <v>6</v>
      </c>
      <c r="Y315" s="2" t="str">
        <f t="shared" si="55"/>
        <v/>
      </c>
    </row>
    <row r="316" spans="24:25" x14ac:dyDescent="0.25">
      <c r="X316" s="2">
        <f t="shared" si="51"/>
        <v>6</v>
      </c>
      <c r="Y316" s="2" t="str">
        <f t="shared" si="55"/>
        <v/>
      </c>
    </row>
    <row r="317" spans="24:25" x14ac:dyDescent="0.25">
      <c r="X317" s="2">
        <f t="shared" si="51"/>
        <v>6</v>
      </c>
      <c r="Y317" s="2" t="str">
        <f t="shared" si="55"/>
        <v/>
      </c>
    </row>
    <row r="318" spans="24:25" x14ac:dyDescent="0.25">
      <c r="X318" s="2">
        <f t="shared" si="51"/>
        <v>6</v>
      </c>
      <c r="Y318" s="2" t="str">
        <f t="shared" si="55"/>
        <v/>
      </c>
    </row>
    <row r="319" spans="24:25" x14ac:dyDescent="0.25">
      <c r="X319" s="2">
        <f t="shared" si="51"/>
        <v>6</v>
      </c>
      <c r="Y319" s="2" t="str">
        <f t="shared" si="55"/>
        <v/>
      </c>
    </row>
    <row r="320" spans="24:25" x14ac:dyDescent="0.25">
      <c r="X320" s="2">
        <f t="shared" si="51"/>
        <v>6</v>
      </c>
      <c r="Y320" s="2" t="str">
        <f t="shared" si="55"/>
        <v/>
      </c>
    </row>
    <row r="321" spans="24:25" x14ac:dyDescent="0.25">
      <c r="X321" s="2">
        <f t="shared" si="51"/>
        <v>6</v>
      </c>
      <c r="Y321" s="2" t="str">
        <f t="shared" si="55"/>
        <v/>
      </c>
    </row>
    <row r="322" spans="24:25" x14ac:dyDescent="0.25">
      <c r="X322" s="2">
        <f t="shared" si="51"/>
        <v>6</v>
      </c>
      <c r="Y322" s="2" t="str">
        <f t="shared" si="55"/>
        <v/>
      </c>
    </row>
    <row r="323" spans="24:25" x14ac:dyDescent="0.25">
      <c r="X323" s="2">
        <f t="shared" si="51"/>
        <v>6</v>
      </c>
      <c r="Y323" s="2" t="str">
        <f t="shared" si="55"/>
        <v/>
      </c>
    </row>
    <row r="324" spans="24:25" x14ac:dyDescent="0.25">
      <c r="X324" s="2">
        <f t="shared" ref="X324:X387" si="56">IF(ISNUMBER(CODE(Z324)),X323+1,X323)</f>
        <v>6</v>
      </c>
      <c r="Y324" s="2" t="str">
        <f t="shared" si="55"/>
        <v/>
      </c>
    </row>
    <row r="325" spans="24:25" x14ac:dyDescent="0.25">
      <c r="X325" s="2">
        <f t="shared" si="56"/>
        <v>6</v>
      </c>
      <c r="Y325" s="2" t="str">
        <f t="shared" si="55"/>
        <v/>
      </c>
    </row>
    <row r="326" spans="24:25" x14ac:dyDescent="0.25">
      <c r="X326" s="2">
        <f t="shared" si="56"/>
        <v>6</v>
      </c>
      <c r="Y326" s="2" t="str">
        <f t="shared" si="55"/>
        <v/>
      </c>
    </row>
    <row r="327" spans="24:25" x14ac:dyDescent="0.25">
      <c r="X327" s="2">
        <f t="shared" si="56"/>
        <v>6</v>
      </c>
      <c r="Y327" s="2" t="str">
        <f t="shared" si="55"/>
        <v/>
      </c>
    </row>
    <row r="328" spans="24:25" x14ac:dyDescent="0.25">
      <c r="X328" s="2">
        <f t="shared" si="56"/>
        <v>6</v>
      </c>
      <c r="Y328" s="2" t="str">
        <f t="shared" si="55"/>
        <v/>
      </c>
    </row>
    <row r="329" spans="24:25" x14ac:dyDescent="0.25">
      <c r="X329" s="2">
        <f t="shared" si="56"/>
        <v>6</v>
      </c>
      <c r="Y329" s="2" t="str">
        <f t="shared" si="55"/>
        <v/>
      </c>
    </row>
    <row r="330" spans="24:25" x14ac:dyDescent="0.25">
      <c r="X330" s="2">
        <f t="shared" si="56"/>
        <v>6</v>
      </c>
      <c r="Y330" s="2" t="str">
        <f t="shared" si="55"/>
        <v/>
      </c>
    </row>
    <row r="331" spans="24:25" x14ac:dyDescent="0.25">
      <c r="X331" s="2">
        <f t="shared" si="56"/>
        <v>6</v>
      </c>
      <c r="Y331" s="2" t="str">
        <f t="shared" si="55"/>
        <v/>
      </c>
    </row>
    <row r="332" spans="24:25" x14ac:dyDescent="0.25">
      <c r="X332" s="2">
        <f t="shared" si="56"/>
        <v>6</v>
      </c>
      <c r="Y332" s="2" t="str">
        <f t="shared" si="55"/>
        <v/>
      </c>
    </row>
    <row r="333" spans="24:25" x14ac:dyDescent="0.25">
      <c r="X333" s="2">
        <f t="shared" si="56"/>
        <v>6</v>
      </c>
      <c r="Y333" s="2" t="str">
        <f t="shared" si="55"/>
        <v/>
      </c>
    </row>
    <row r="334" spans="24:25" x14ac:dyDescent="0.25">
      <c r="X334" s="2">
        <f t="shared" si="56"/>
        <v>6</v>
      </c>
      <c r="Y334" s="2" t="str">
        <f t="shared" si="55"/>
        <v/>
      </c>
    </row>
    <row r="335" spans="24:25" x14ac:dyDescent="0.25">
      <c r="X335" s="2">
        <f t="shared" si="56"/>
        <v>6</v>
      </c>
      <c r="Y335" s="2" t="str">
        <f t="shared" si="55"/>
        <v/>
      </c>
    </row>
    <row r="336" spans="24:25" x14ac:dyDescent="0.25">
      <c r="X336" s="2">
        <f t="shared" si="56"/>
        <v>6</v>
      </c>
      <c r="Y336" s="2" t="str">
        <f t="shared" si="55"/>
        <v/>
      </c>
    </row>
    <row r="337" spans="24:25" x14ac:dyDescent="0.25">
      <c r="X337" s="2">
        <f t="shared" si="56"/>
        <v>6</v>
      </c>
      <c r="Y337" s="2" t="str">
        <f t="shared" si="55"/>
        <v/>
      </c>
    </row>
    <row r="338" spans="24:25" x14ac:dyDescent="0.25">
      <c r="X338" s="2">
        <f t="shared" si="56"/>
        <v>6</v>
      </c>
      <c r="Y338" s="2" t="str">
        <f t="shared" si="55"/>
        <v/>
      </c>
    </row>
    <row r="339" spans="24:25" x14ac:dyDescent="0.25">
      <c r="X339" s="2">
        <f t="shared" si="56"/>
        <v>6</v>
      </c>
      <c r="Y339" s="2" t="str">
        <f t="shared" si="55"/>
        <v/>
      </c>
    </row>
    <row r="340" spans="24:25" x14ac:dyDescent="0.25">
      <c r="X340" s="2">
        <f t="shared" si="56"/>
        <v>6</v>
      </c>
      <c r="Y340" s="2" t="str">
        <f t="shared" si="55"/>
        <v/>
      </c>
    </row>
    <row r="341" spans="24:25" x14ac:dyDescent="0.25">
      <c r="X341" s="2">
        <f t="shared" si="56"/>
        <v>6</v>
      </c>
      <c r="Y341" s="2" t="str">
        <f t="shared" si="55"/>
        <v/>
      </c>
    </row>
    <row r="342" spans="24:25" x14ac:dyDescent="0.25">
      <c r="X342" s="2">
        <f t="shared" si="56"/>
        <v>6</v>
      </c>
      <c r="Y342" s="2" t="str">
        <f t="shared" si="55"/>
        <v/>
      </c>
    </row>
    <row r="343" spans="24:25" x14ac:dyDescent="0.25">
      <c r="X343" s="2">
        <f t="shared" si="56"/>
        <v>6</v>
      </c>
      <c r="Y343" s="2" t="str">
        <f t="shared" si="55"/>
        <v/>
      </c>
    </row>
    <row r="344" spans="24:25" x14ac:dyDescent="0.25">
      <c r="X344" s="2">
        <f t="shared" si="56"/>
        <v>6</v>
      </c>
      <c r="Y344" s="2" t="str">
        <f t="shared" si="55"/>
        <v/>
      </c>
    </row>
    <row r="345" spans="24:25" x14ac:dyDescent="0.25">
      <c r="X345" s="2">
        <f t="shared" si="56"/>
        <v>6</v>
      </c>
      <c r="Y345" s="2" t="str">
        <f t="shared" si="55"/>
        <v/>
      </c>
    </row>
    <row r="346" spans="24:25" x14ac:dyDescent="0.25">
      <c r="X346" s="2">
        <f t="shared" si="56"/>
        <v>6</v>
      </c>
      <c r="Y346" s="2" t="str">
        <f t="shared" si="55"/>
        <v/>
      </c>
    </row>
    <row r="347" spans="24:25" x14ac:dyDescent="0.25">
      <c r="X347" s="2">
        <f t="shared" si="56"/>
        <v>6</v>
      </c>
      <c r="Y347" s="2" t="str">
        <f t="shared" si="55"/>
        <v/>
      </c>
    </row>
    <row r="348" spans="24:25" x14ac:dyDescent="0.25">
      <c r="X348" s="2">
        <f t="shared" si="56"/>
        <v>6</v>
      </c>
      <c r="Y348" s="2" t="str">
        <f t="shared" si="55"/>
        <v/>
      </c>
    </row>
    <row r="349" spans="24:25" x14ac:dyDescent="0.25">
      <c r="X349" s="2">
        <f t="shared" si="56"/>
        <v>6</v>
      </c>
      <c r="Y349" s="2" t="str">
        <f t="shared" si="55"/>
        <v/>
      </c>
    </row>
    <row r="350" spans="24:25" x14ac:dyDescent="0.25">
      <c r="X350" s="2">
        <f t="shared" si="56"/>
        <v>6</v>
      </c>
      <c r="Y350" s="2" t="str">
        <f t="shared" si="55"/>
        <v/>
      </c>
    </row>
    <row r="351" spans="24:25" x14ac:dyDescent="0.25">
      <c r="X351" s="2">
        <f t="shared" si="56"/>
        <v>6</v>
      </c>
      <c r="Y351" s="2" t="str">
        <f t="shared" si="55"/>
        <v/>
      </c>
    </row>
    <row r="352" spans="24:25" x14ac:dyDescent="0.25">
      <c r="X352" s="2">
        <f t="shared" si="56"/>
        <v>6</v>
      </c>
      <c r="Y352" s="2" t="str">
        <f t="shared" si="55"/>
        <v/>
      </c>
    </row>
    <row r="353" spans="24:25" x14ac:dyDescent="0.25">
      <c r="X353" s="2">
        <f t="shared" si="56"/>
        <v>6</v>
      </c>
      <c r="Y353" s="2" t="str">
        <f t="shared" si="55"/>
        <v/>
      </c>
    </row>
    <row r="354" spans="24:25" x14ac:dyDescent="0.25">
      <c r="X354" s="2">
        <f t="shared" si="56"/>
        <v>6</v>
      </c>
      <c r="Y354" s="2" t="str">
        <f t="shared" si="55"/>
        <v/>
      </c>
    </row>
    <row r="355" spans="24:25" x14ac:dyDescent="0.25">
      <c r="X355" s="2">
        <f t="shared" si="56"/>
        <v>6</v>
      </c>
      <c r="Y355" s="2" t="str">
        <f t="shared" si="55"/>
        <v/>
      </c>
    </row>
    <row r="356" spans="24:25" x14ac:dyDescent="0.25">
      <c r="X356" s="2">
        <f t="shared" si="56"/>
        <v>6</v>
      </c>
      <c r="Y356" s="2" t="str">
        <f t="shared" ref="Y356:Y419" si="57">INDEX($O$3:$W$50,1+INT((ROW(A354)-1)/COLUMNS($O$3:$W$50)),MOD(ROW(A354)-1+COLUMNS($O$3:$W$50),COLUMNS($O$3:$W$50))+1)</f>
        <v/>
      </c>
    </row>
    <row r="357" spans="24:25" x14ac:dyDescent="0.25">
      <c r="X357" s="2">
        <f t="shared" si="56"/>
        <v>6</v>
      </c>
      <c r="Y357" s="2" t="str">
        <f t="shared" si="57"/>
        <v/>
      </c>
    </row>
    <row r="358" spans="24:25" x14ac:dyDescent="0.25">
      <c r="X358" s="2">
        <f t="shared" si="56"/>
        <v>6</v>
      </c>
      <c r="Y358" s="2" t="str">
        <f t="shared" si="57"/>
        <v/>
      </c>
    </row>
    <row r="359" spans="24:25" x14ac:dyDescent="0.25">
      <c r="X359" s="2">
        <f t="shared" si="56"/>
        <v>6</v>
      </c>
      <c r="Y359" s="2" t="str">
        <f t="shared" si="57"/>
        <v/>
      </c>
    </row>
    <row r="360" spans="24:25" x14ac:dyDescent="0.25">
      <c r="X360" s="2">
        <f t="shared" si="56"/>
        <v>6</v>
      </c>
      <c r="Y360" s="2" t="str">
        <f t="shared" si="57"/>
        <v/>
      </c>
    </row>
    <row r="361" spans="24:25" x14ac:dyDescent="0.25">
      <c r="X361" s="2">
        <f t="shared" si="56"/>
        <v>6</v>
      </c>
      <c r="Y361" s="2" t="str">
        <f t="shared" si="57"/>
        <v/>
      </c>
    </row>
    <row r="362" spans="24:25" x14ac:dyDescent="0.25">
      <c r="X362" s="2">
        <f t="shared" si="56"/>
        <v>6</v>
      </c>
      <c r="Y362" s="2" t="str">
        <f t="shared" si="57"/>
        <v/>
      </c>
    </row>
    <row r="363" spans="24:25" x14ac:dyDescent="0.25">
      <c r="X363" s="2">
        <f t="shared" si="56"/>
        <v>6</v>
      </c>
      <c r="Y363" s="2" t="str">
        <f t="shared" si="57"/>
        <v/>
      </c>
    </row>
    <row r="364" spans="24:25" x14ac:dyDescent="0.25">
      <c r="X364" s="2">
        <f t="shared" si="56"/>
        <v>6</v>
      </c>
      <c r="Y364" s="2" t="str">
        <f t="shared" si="57"/>
        <v/>
      </c>
    </row>
    <row r="365" spans="24:25" x14ac:dyDescent="0.25">
      <c r="X365" s="2">
        <f t="shared" si="56"/>
        <v>6</v>
      </c>
      <c r="Y365" s="2" t="str">
        <f t="shared" si="57"/>
        <v/>
      </c>
    </row>
    <row r="366" spans="24:25" x14ac:dyDescent="0.25">
      <c r="X366" s="2">
        <f t="shared" si="56"/>
        <v>6</v>
      </c>
      <c r="Y366" s="2" t="str">
        <f t="shared" si="57"/>
        <v/>
      </c>
    </row>
    <row r="367" spans="24:25" x14ac:dyDescent="0.25">
      <c r="X367" s="2">
        <f t="shared" si="56"/>
        <v>6</v>
      </c>
      <c r="Y367" s="2" t="str">
        <f t="shared" si="57"/>
        <v/>
      </c>
    </row>
    <row r="368" spans="24:25" x14ac:dyDescent="0.25">
      <c r="X368" s="2">
        <f t="shared" si="56"/>
        <v>6</v>
      </c>
      <c r="Y368" s="2" t="str">
        <f t="shared" si="57"/>
        <v/>
      </c>
    </row>
    <row r="369" spans="24:25" x14ac:dyDescent="0.25">
      <c r="X369" s="2">
        <f t="shared" si="56"/>
        <v>6</v>
      </c>
      <c r="Y369" s="2" t="str">
        <f t="shared" si="57"/>
        <v/>
      </c>
    </row>
    <row r="370" spans="24:25" x14ac:dyDescent="0.25">
      <c r="X370" s="2">
        <f t="shared" si="56"/>
        <v>6</v>
      </c>
      <c r="Y370" s="2" t="str">
        <f t="shared" si="57"/>
        <v/>
      </c>
    </row>
    <row r="371" spans="24:25" x14ac:dyDescent="0.25">
      <c r="X371" s="2">
        <f t="shared" si="56"/>
        <v>6</v>
      </c>
      <c r="Y371" s="2" t="str">
        <f t="shared" si="57"/>
        <v/>
      </c>
    </row>
    <row r="372" spans="24:25" x14ac:dyDescent="0.25">
      <c r="X372" s="2">
        <f t="shared" si="56"/>
        <v>6</v>
      </c>
      <c r="Y372" s="2" t="str">
        <f t="shared" si="57"/>
        <v/>
      </c>
    </row>
    <row r="373" spans="24:25" x14ac:dyDescent="0.25">
      <c r="X373" s="2">
        <f t="shared" si="56"/>
        <v>6</v>
      </c>
      <c r="Y373" s="2" t="str">
        <f t="shared" si="57"/>
        <v/>
      </c>
    </row>
    <row r="374" spans="24:25" x14ac:dyDescent="0.25">
      <c r="X374" s="2">
        <f t="shared" si="56"/>
        <v>6</v>
      </c>
      <c r="Y374" s="2" t="str">
        <f t="shared" si="57"/>
        <v/>
      </c>
    </row>
    <row r="375" spans="24:25" x14ac:dyDescent="0.25">
      <c r="X375" s="2">
        <f t="shared" si="56"/>
        <v>6</v>
      </c>
      <c r="Y375" s="2" t="str">
        <f t="shared" si="57"/>
        <v/>
      </c>
    </row>
    <row r="376" spans="24:25" x14ac:dyDescent="0.25">
      <c r="X376" s="2">
        <f t="shared" si="56"/>
        <v>6</v>
      </c>
      <c r="Y376" s="2" t="str">
        <f t="shared" si="57"/>
        <v/>
      </c>
    </row>
    <row r="377" spans="24:25" x14ac:dyDescent="0.25">
      <c r="X377" s="2">
        <f t="shared" si="56"/>
        <v>6</v>
      </c>
      <c r="Y377" s="2" t="str">
        <f t="shared" si="57"/>
        <v/>
      </c>
    </row>
    <row r="378" spans="24:25" x14ac:dyDescent="0.25">
      <c r="X378" s="2">
        <f t="shared" si="56"/>
        <v>6</v>
      </c>
      <c r="Y378" s="2" t="str">
        <f t="shared" si="57"/>
        <v/>
      </c>
    </row>
    <row r="379" spans="24:25" x14ac:dyDescent="0.25">
      <c r="X379" s="2">
        <f t="shared" si="56"/>
        <v>6</v>
      </c>
      <c r="Y379" s="2" t="str">
        <f t="shared" si="57"/>
        <v/>
      </c>
    </row>
    <row r="380" spans="24:25" x14ac:dyDescent="0.25">
      <c r="X380" s="2">
        <f t="shared" si="56"/>
        <v>6</v>
      </c>
      <c r="Y380" s="2" t="str">
        <f t="shared" si="57"/>
        <v/>
      </c>
    </row>
    <row r="381" spans="24:25" x14ac:dyDescent="0.25">
      <c r="X381" s="2">
        <f t="shared" si="56"/>
        <v>6</v>
      </c>
      <c r="Y381" s="2" t="str">
        <f t="shared" si="57"/>
        <v/>
      </c>
    </row>
    <row r="382" spans="24:25" x14ac:dyDescent="0.25">
      <c r="X382" s="2">
        <f t="shared" si="56"/>
        <v>6</v>
      </c>
      <c r="Y382" s="2" t="str">
        <f t="shared" si="57"/>
        <v/>
      </c>
    </row>
    <row r="383" spans="24:25" x14ac:dyDescent="0.25">
      <c r="X383" s="2">
        <f t="shared" si="56"/>
        <v>6</v>
      </c>
      <c r="Y383" s="2" t="str">
        <f t="shared" si="57"/>
        <v/>
      </c>
    </row>
    <row r="384" spans="24:25" x14ac:dyDescent="0.25">
      <c r="X384" s="2">
        <f t="shared" si="56"/>
        <v>6</v>
      </c>
      <c r="Y384" s="2" t="str">
        <f t="shared" si="57"/>
        <v/>
      </c>
    </row>
    <row r="385" spans="24:25" x14ac:dyDescent="0.25">
      <c r="X385" s="2">
        <f t="shared" si="56"/>
        <v>6</v>
      </c>
      <c r="Y385" s="2" t="str">
        <f t="shared" si="57"/>
        <v/>
      </c>
    </row>
    <row r="386" spans="24:25" x14ac:dyDescent="0.25">
      <c r="X386" s="2">
        <f t="shared" si="56"/>
        <v>6</v>
      </c>
      <c r="Y386" s="2" t="str">
        <f t="shared" si="57"/>
        <v/>
      </c>
    </row>
    <row r="387" spans="24:25" x14ac:dyDescent="0.25">
      <c r="X387" s="2">
        <f t="shared" si="56"/>
        <v>6</v>
      </c>
      <c r="Y387" s="2" t="str">
        <f t="shared" si="57"/>
        <v/>
      </c>
    </row>
    <row r="388" spans="24:25" x14ac:dyDescent="0.25">
      <c r="X388" s="2">
        <f t="shared" ref="X388:X434" si="58">IF(ISNUMBER(CODE(Z388)),X387+1,X387)</f>
        <v>6</v>
      </c>
      <c r="Y388" s="2" t="str">
        <f t="shared" si="57"/>
        <v/>
      </c>
    </row>
    <row r="389" spans="24:25" x14ac:dyDescent="0.25">
      <c r="X389" s="2">
        <f t="shared" si="58"/>
        <v>6</v>
      </c>
      <c r="Y389" s="2" t="str">
        <f t="shared" si="57"/>
        <v/>
      </c>
    </row>
    <row r="390" spans="24:25" x14ac:dyDescent="0.25">
      <c r="X390" s="2">
        <f t="shared" si="58"/>
        <v>6</v>
      </c>
      <c r="Y390" s="2" t="str">
        <f t="shared" si="57"/>
        <v/>
      </c>
    </row>
    <row r="391" spans="24:25" x14ac:dyDescent="0.25">
      <c r="X391" s="2">
        <f t="shared" si="58"/>
        <v>6</v>
      </c>
      <c r="Y391" s="2" t="str">
        <f t="shared" si="57"/>
        <v/>
      </c>
    </row>
    <row r="392" spans="24:25" x14ac:dyDescent="0.25">
      <c r="X392" s="2">
        <f t="shared" si="58"/>
        <v>6</v>
      </c>
      <c r="Y392" s="2" t="str">
        <f t="shared" si="57"/>
        <v/>
      </c>
    </row>
    <row r="393" spans="24:25" x14ac:dyDescent="0.25">
      <c r="X393" s="2">
        <f t="shared" si="58"/>
        <v>6</v>
      </c>
      <c r="Y393" s="2" t="str">
        <f t="shared" si="57"/>
        <v/>
      </c>
    </row>
    <row r="394" spans="24:25" x14ac:dyDescent="0.25">
      <c r="X394" s="2">
        <f t="shared" si="58"/>
        <v>6</v>
      </c>
      <c r="Y394" s="2" t="str">
        <f t="shared" si="57"/>
        <v/>
      </c>
    </row>
    <row r="395" spans="24:25" x14ac:dyDescent="0.25">
      <c r="X395" s="2">
        <f t="shared" si="58"/>
        <v>6</v>
      </c>
      <c r="Y395" s="2" t="str">
        <f t="shared" si="57"/>
        <v/>
      </c>
    </row>
    <row r="396" spans="24:25" x14ac:dyDescent="0.25">
      <c r="X396" s="2">
        <f t="shared" si="58"/>
        <v>6</v>
      </c>
      <c r="Y396" s="2" t="str">
        <f t="shared" si="57"/>
        <v/>
      </c>
    </row>
    <row r="397" spans="24:25" x14ac:dyDescent="0.25">
      <c r="X397" s="2">
        <f t="shared" si="58"/>
        <v>6</v>
      </c>
      <c r="Y397" s="2" t="str">
        <f t="shared" si="57"/>
        <v/>
      </c>
    </row>
    <row r="398" spans="24:25" x14ac:dyDescent="0.25">
      <c r="X398" s="2">
        <f t="shared" si="58"/>
        <v>6</v>
      </c>
      <c r="Y398" s="2" t="str">
        <f t="shared" si="57"/>
        <v/>
      </c>
    </row>
    <row r="399" spans="24:25" x14ac:dyDescent="0.25">
      <c r="X399" s="2">
        <f t="shared" si="58"/>
        <v>6</v>
      </c>
      <c r="Y399" s="2" t="str">
        <f t="shared" si="57"/>
        <v/>
      </c>
    </row>
    <row r="400" spans="24:25" x14ac:dyDescent="0.25">
      <c r="X400" s="2">
        <f t="shared" si="58"/>
        <v>6</v>
      </c>
      <c r="Y400" s="2" t="str">
        <f t="shared" si="57"/>
        <v/>
      </c>
    </row>
    <row r="401" spans="24:25" x14ac:dyDescent="0.25">
      <c r="X401" s="2">
        <f t="shared" si="58"/>
        <v>6</v>
      </c>
      <c r="Y401" s="2" t="str">
        <f t="shared" si="57"/>
        <v/>
      </c>
    </row>
    <row r="402" spans="24:25" x14ac:dyDescent="0.25">
      <c r="X402" s="2">
        <f t="shared" si="58"/>
        <v>6</v>
      </c>
      <c r="Y402" s="2" t="str">
        <f t="shared" si="57"/>
        <v/>
      </c>
    </row>
    <row r="403" spans="24:25" x14ac:dyDescent="0.25">
      <c r="X403" s="2">
        <f t="shared" si="58"/>
        <v>6</v>
      </c>
      <c r="Y403" s="2" t="str">
        <f t="shared" si="57"/>
        <v/>
      </c>
    </row>
    <row r="404" spans="24:25" x14ac:dyDescent="0.25">
      <c r="X404" s="2">
        <f t="shared" si="58"/>
        <v>6</v>
      </c>
      <c r="Y404" s="2" t="str">
        <f t="shared" si="57"/>
        <v/>
      </c>
    </row>
    <row r="405" spans="24:25" x14ac:dyDescent="0.25">
      <c r="X405" s="2">
        <f t="shared" si="58"/>
        <v>6</v>
      </c>
      <c r="Y405" s="2" t="str">
        <f t="shared" si="57"/>
        <v/>
      </c>
    </row>
    <row r="406" spans="24:25" x14ac:dyDescent="0.25">
      <c r="X406" s="2">
        <f t="shared" si="58"/>
        <v>6</v>
      </c>
      <c r="Y406" s="2" t="str">
        <f t="shared" si="57"/>
        <v/>
      </c>
    </row>
    <row r="407" spans="24:25" x14ac:dyDescent="0.25">
      <c r="X407" s="2">
        <f t="shared" si="58"/>
        <v>6</v>
      </c>
      <c r="Y407" s="2" t="str">
        <f t="shared" si="57"/>
        <v/>
      </c>
    </row>
    <row r="408" spans="24:25" x14ac:dyDescent="0.25">
      <c r="X408" s="2">
        <f t="shared" si="58"/>
        <v>6</v>
      </c>
      <c r="Y408" s="2" t="str">
        <f t="shared" si="57"/>
        <v/>
      </c>
    </row>
    <row r="409" spans="24:25" x14ac:dyDescent="0.25">
      <c r="X409" s="2">
        <f t="shared" si="58"/>
        <v>6</v>
      </c>
      <c r="Y409" s="2" t="str">
        <f t="shared" si="57"/>
        <v/>
      </c>
    </row>
    <row r="410" spans="24:25" x14ac:dyDescent="0.25">
      <c r="X410" s="2">
        <f t="shared" si="58"/>
        <v>6</v>
      </c>
      <c r="Y410" s="2" t="str">
        <f t="shared" si="57"/>
        <v/>
      </c>
    </row>
    <row r="411" spans="24:25" x14ac:dyDescent="0.25">
      <c r="X411" s="2">
        <f t="shared" si="58"/>
        <v>6</v>
      </c>
      <c r="Y411" s="2" t="str">
        <f t="shared" si="57"/>
        <v/>
      </c>
    </row>
    <row r="412" spans="24:25" x14ac:dyDescent="0.25">
      <c r="X412" s="2">
        <f t="shared" si="58"/>
        <v>6</v>
      </c>
      <c r="Y412" s="2" t="str">
        <f t="shared" si="57"/>
        <v/>
      </c>
    </row>
    <row r="413" spans="24:25" x14ac:dyDescent="0.25">
      <c r="X413" s="2">
        <f t="shared" si="58"/>
        <v>6</v>
      </c>
      <c r="Y413" s="2" t="str">
        <f t="shared" si="57"/>
        <v/>
      </c>
    </row>
    <row r="414" spans="24:25" x14ac:dyDescent="0.25">
      <c r="X414" s="2">
        <f t="shared" si="58"/>
        <v>6</v>
      </c>
      <c r="Y414" s="2" t="str">
        <f t="shared" si="57"/>
        <v/>
      </c>
    </row>
    <row r="415" spans="24:25" x14ac:dyDescent="0.25">
      <c r="X415" s="2">
        <f t="shared" si="58"/>
        <v>6</v>
      </c>
      <c r="Y415" s="2" t="str">
        <f t="shared" si="57"/>
        <v/>
      </c>
    </row>
    <row r="416" spans="24:25" x14ac:dyDescent="0.25">
      <c r="X416" s="2">
        <f t="shared" si="58"/>
        <v>6</v>
      </c>
      <c r="Y416" s="2" t="str">
        <f t="shared" si="57"/>
        <v/>
      </c>
    </row>
    <row r="417" spans="24:25" x14ac:dyDescent="0.25">
      <c r="X417" s="2">
        <f t="shared" si="58"/>
        <v>6</v>
      </c>
      <c r="Y417" s="2" t="str">
        <f t="shared" si="57"/>
        <v/>
      </c>
    </row>
    <row r="418" spans="24:25" x14ac:dyDescent="0.25">
      <c r="X418" s="2">
        <f t="shared" si="58"/>
        <v>6</v>
      </c>
      <c r="Y418" s="2" t="str">
        <f t="shared" si="57"/>
        <v/>
      </c>
    </row>
    <row r="419" spans="24:25" x14ac:dyDescent="0.25">
      <c r="X419" s="2">
        <f t="shared" si="58"/>
        <v>6</v>
      </c>
      <c r="Y419" s="2" t="str">
        <f t="shared" si="57"/>
        <v/>
      </c>
    </row>
    <row r="420" spans="24:25" x14ac:dyDescent="0.25">
      <c r="X420" s="2">
        <f t="shared" si="58"/>
        <v>6</v>
      </c>
      <c r="Y420" s="2" t="str">
        <f t="shared" ref="Y420:Y434" si="59">INDEX($O$3:$W$50,1+INT((ROW(A418)-1)/COLUMNS($O$3:$W$50)),MOD(ROW(A418)-1+COLUMNS($O$3:$W$50),COLUMNS($O$3:$W$50))+1)</f>
        <v/>
      </c>
    </row>
    <row r="421" spans="24:25" x14ac:dyDescent="0.25">
      <c r="X421" s="2">
        <f t="shared" si="58"/>
        <v>6</v>
      </c>
      <c r="Y421" s="2" t="str">
        <f t="shared" si="59"/>
        <v/>
      </c>
    </row>
    <row r="422" spans="24:25" x14ac:dyDescent="0.25">
      <c r="X422" s="2">
        <f t="shared" si="58"/>
        <v>6</v>
      </c>
      <c r="Y422" s="2" t="str">
        <f t="shared" si="59"/>
        <v/>
      </c>
    </row>
    <row r="423" spans="24:25" x14ac:dyDescent="0.25">
      <c r="X423" s="2">
        <f t="shared" si="58"/>
        <v>6</v>
      </c>
      <c r="Y423" s="2" t="str">
        <f t="shared" si="59"/>
        <v/>
      </c>
    </row>
    <row r="424" spans="24:25" x14ac:dyDescent="0.25">
      <c r="X424" s="2">
        <f t="shared" si="58"/>
        <v>6</v>
      </c>
      <c r="Y424" s="2" t="str">
        <f t="shared" si="59"/>
        <v/>
      </c>
    </row>
    <row r="425" spans="24:25" x14ac:dyDescent="0.25">
      <c r="X425" s="2">
        <f t="shared" si="58"/>
        <v>6</v>
      </c>
      <c r="Y425" s="2" t="str">
        <f t="shared" si="59"/>
        <v/>
      </c>
    </row>
    <row r="426" spans="24:25" x14ac:dyDescent="0.25">
      <c r="X426" s="2">
        <f t="shared" si="58"/>
        <v>6</v>
      </c>
      <c r="Y426" s="2" t="str">
        <f t="shared" si="59"/>
        <v/>
      </c>
    </row>
    <row r="427" spans="24:25" x14ac:dyDescent="0.25">
      <c r="X427" s="2">
        <f t="shared" si="58"/>
        <v>6</v>
      </c>
      <c r="Y427" s="2" t="str">
        <f t="shared" si="59"/>
        <v/>
      </c>
    </row>
    <row r="428" spans="24:25" x14ac:dyDescent="0.25">
      <c r="X428" s="2">
        <f t="shared" si="58"/>
        <v>6</v>
      </c>
      <c r="Y428" s="2" t="str">
        <f t="shared" si="59"/>
        <v/>
      </c>
    </row>
    <row r="429" spans="24:25" x14ac:dyDescent="0.25">
      <c r="X429" s="2">
        <f t="shared" si="58"/>
        <v>6</v>
      </c>
      <c r="Y429" s="2" t="str">
        <f t="shared" si="59"/>
        <v/>
      </c>
    </row>
    <row r="430" spans="24:25" x14ac:dyDescent="0.25">
      <c r="X430" s="2">
        <f t="shared" si="58"/>
        <v>6</v>
      </c>
      <c r="Y430" s="2" t="str">
        <f t="shared" si="59"/>
        <v/>
      </c>
    </row>
    <row r="431" spans="24:25" x14ac:dyDescent="0.25">
      <c r="X431" s="2">
        <f t="shared" si="58"/>
        <v>6</v>
      </c>
      <c r="Y431" s="2" t="str">
        <f t="shared" si="59"/>
        <v/>
      </c>
    </row>
    <row r="432" spans="24:25" x14ac:dyDescent="0.25">
      <c r="X432" s="2">
        <f t="shared" si="58"/>
        <v>6</v>
      </c>
      <c r="Y432" s="2" t="str">
        <f t="shared" si="59"/>
        <v/>
      </c>
    </row>
    <row r="433" spans="24:25" x14ac:dyDescent="0.25">
      <c r="X433" s="2">
        <f t="shared" si="58"/>
        <v>6</v>
      </c>
      <c r="Y433" s="2" t="str">
        <f t="shared" si="59"/>
        <v/>
      </c>
    </row>
    <row r="434" spans="24:25" x14ac:dyDescent="0.25">
      <c r="X434" s="2">
        <f t="shared" si="58"/>
        <v>6</v>
      </c>
      <c r="Y434" s="2" t="str">
        <f t="shared" si="59"/>
        <v/>
      </c>
    </row>
  </sheetData>
  <mergeCells count="5">
    <mergeCell ref="I1:J1"/>
    <mergeCell ref="K1:L1"/>
    <mergeCell ref="H2:I2"/>
    <mergeCell ref="J2:K2"/>
    <mergeCell ref="L2:M2"/>
  </mergeCells>
  <conditionalFormatting sqref="B3:D101">
    <cfRule type="expression" dxfId="0" priority="1">
      <formula>IF($A3=1,1,0)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2:H18"/>
  <sheetViews>
    <sheetView workbookViewId="0">
      <selection activeCell="D6" sqref="D6"/>
    </sheetView>
  </sheetViews>
  <sheetFormatPr defaultRowHeight="15" x14ac:dyDescent="0.25"/>
  <cols>
    <col min="3" max="3" width="5.140625" style="25" customWidth="1"/>
    <col min="4" max="4" width="12.85546875" style="40" bestFit="1" customWidth="1"/>
  </cols>
  <sheetData>
    <row r="2" spans="3:8" ht="18.75" x14ac:dyDescent="0.3">
      <c r="F2" s="125" t="s">
        <v>939</v>
      </c>
      <c r="G2" s="125"/>
      <c r="H2" s="125"/>
    </row>
    <row r="3" spans="3:8" ht="37.5" x14ac:dyDescent="0.3">
      <c r="D3" s="50" t="s">
        <v>940</v>
      </c>
      <c r="F3" s="126">
        <f>ROUND(IF(PRODUCT(C4:C18)-1&gt;1,(PRODUCT(C4:C18)-1)*100,-100/(PRODUCT(C4:C18)-1)),0)</f>
        <v>264</v>
      </c>
      <c r="G3" s="126"/>
      <c r="H3" s="126"/>
    </row>
    <row r="4" spans="3:8" x14ac:dyDescent="0.25">
      <c r="C4" s="2">
        <f>IF(ISBLANK(D4),"",IF(D4&lt;0,-100/D4+1,D4/100+1))</f>
        <v>1.9090909090909092</v>
      </c>
      <c r="D4" s="30">
        <v>-110</v>
      </c>
    </row>
    <row r="5" spans="3:8" x14ac:dyDescent="0.25">
      <c r="C5" s="2">
        <f t="shared" ref="C5:C18" si="0">IF(ISBLANK(D5),"",IF(D5&lt;0,-100/D5+1,D5/100+1))</f>
        <v>1.9090909090909092</v>
      </c>
      <c r="D5" s="30">
        <v>-110</v>
      </c>
    </row>
    <row r="6" spans="3:8" x14ac:dyDescent="0.25">
      <c r="C6" s="2" t="str">
        <f t="shared" si="0"/>
        <v/>
      </c>
      <c r="D6" s="30"/>
    </row>
    <row r="7" spans="3:8" x14ac:dyDescent="0.25">
      <c r="C7" s="2" t="str">
        <f t="shared" si="0"/>
        <v/>
      </c>
      <c r="D7" s="30"/>
    </row>
    <row r="8" spans="3:8" x14ac:dyDescent="0.25">
      <c r="C8" s="2" t="str">
        <f t="shared" si="0"/>
        <v/>
      </c>
      <c r="D8" s="30"/>
    </row>
    <row r="9" spans="3:8" x14ac:dyDescent="0.25">
      <c r="C9" s="2" t="str">
        <f t="shared" si="0"/>
        <v/>
      </c>
      <c r="D9" s="30"/>
    </row>
    <row r="10" spans="3:8" x14ac:dyDescent="0.25">
      <c r="C10" s="2" t="str">
        <f t="shared" si="0"/>
        <v/>
      </c>
      <c r="D10" s="30"/>
    </row>
    <row r="11" spans="3:8" x14ac:dyDescent="0.25">
      <c r="C11" s="2" t="str">
        <f t="shared" si="0"/>
        <v/>
      </c>
      <c r="D11" s="30"/>
    </row>
    <row r="12" spans="3:8" x14ac:dyDescent="0.25">
      <c r="C12" s="2" t="str">
        <f t="shared" si="0"/>
        <v/>
      </c>
      <c r="D12" s="30"/>
    </row>
    <row r="13" spans="3:8" x14ac:dyDescent="0.25">
      <c r="C13" s="2" t="str">
        <f t="shared" si="0"/>
        <v/>
      </c>
      <c r="D13" s="30"/>
    </row>
    <row r="14" spans="3:8" x14ac:dyDescent="0.25">
      <c r="C14" s="2" t="str">
        <f t="shared" si="0"/>
        <v/>
      </c>
      <c r="D14" s="30"/>
    </row>
    <row r="15" spans="3:8" x14ac:dyDescent="0.25">
      <c r="C15" s="2" t="str">
        <f t="shared" si="0"/>
        <v/>
      </c>
      <c r="D15" s="30"/>
    </row>
    <row r="16" spans="3:8" x14ac:dyDescent="0.25">
      <c r="C16" s="2" t="str">
        <f t="shared" si="0"/>
        <v/>
      </c>
      <c r="D16" s="30"/>
    </row>
    <row r="17" spans="3:4" x14ac:dyDescent="0.25">
      <c r="C17" s="2" t="str">
        <f t="shared" si="0"/>
        <v/>
      </c>
      <c r="D17" s="30"/>
    </row>
    <row r="18" spans="3:4" x14ac:dyDescent="0.25">
      <c r="C18" s="2" t="str">
        <f t="shared" si="0"/>
        <v/>
      </c>
      <c r="D18" s="30"/>
    </row>
  </sheetData>
  <mergeCells count="2">
    <mergeCell ref="F2:H2"/>
    <mergeCell ref="F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 Year Review</vt:lpstr>
      <vt:lpstr>Summary</vt:lpstr>
      <vt:lpstr>Bets</vt:lpstr>
      <vt:lpstr>NBA Organizer</vt:lpstr>
      <vt:lpstr>NFL Organizer</vt:lpstr>
      <vt:lpstr>Parlay Calculator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Riordan</dc:creator>
  <cp:lastModifiedBy>Philips</cp:lastModifiedBy>
  <dcterms:created xsi:type="dcterms:W3CDTF">2018-11-29T21:08:22Z</dcterms:created>
  <dcterms:modified xsi:type="dcterms:W3CDTF">2020-01-27T20:52:44Z</dcterms:modified>
</cp:coreProperties>
</file>