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tables/table7.xml" ContentType="application/vnd.openxmlformats-officedocument.spreadsheetml.table+xml"/>
  <Override PartName="/xl/queryTables/queryTable2.xml" ContentType="application/vnd.openxmlformats-officedocument.spreadsheetml.queryTable+xml"/>
  <Override PartName="/xl/tables/table8.xml" ContentType="application/vnd.openxmlformats-officedocument.spreadsheetml.table+xml"/>
  <Override PartName="/xl/queryTables/queryTable3.xml" ContentType="application/vnd.openxmlformats-officedocument.spreadsheetml.queryTable+xml"/>
  <Override PartName="/xl/tables/table9.xml" ContentType="application/vnd.openxmlformats-officedocument.spreadsheetml.table+xml"/>
  <Override PartName="/xl/queryTables/queryTable4.xml" ContentType="application/vnd.openxmlformats-officedocument.spreadsheetml.queryTable+xml"/>
  <Override PartName="/xl/tables/table10.xml" ContentType="application/vnd.openxmlformats-officedocument.spreadsheetml.table+xml"/>
  <Override PartName="/xl/queryTables/queryTable5.xml" ContentType="application/vnd.openxmlformats-officedocument.spreadsheetml.queryTable+xml"/>
  <Override PartName="/xl/tables/table11.xml" ContentType="application/vnd.openxmlformats-officedocument.spreadsheetml.table+xml"/>
  <Override PartName="/xl/queryTables/queryTable6.xml" ContentType="application/vnd.openxmlformats-officedocument.spreadsheetml.queryTable+xml"/>
  <Override PartName="/xl/tables/table12.xml" ContentType="application/vnd.openxmlformats-officedocument.spreadsheetml.table+xml"/>
  <Override PartName="/xl/queryTables/queryTable7.xml" ContentType="application/vnd.openxmlformats-officedocument.spreadsheetml.queryTable+xml"/>
  <Override PartName="/xl/tables/table13.xml" ContentType="application/vnd.openxmlformats-officedocument.spreadsheetml.table+xml"/>
  <Override PartName="/xl/queryTables/queryTable8.xml" ContentType="application/vnd.openxmlformats-officedocument.spreadsheetml.queryTable+xml"/>
  <Override PartName="/xl/tables/table14.xml" ContentType="application/vnd.openxmlformats-officedocument.spreadsheetml.table+xml"/>
  <Override PartName="/xl/queryTables/queryTable9.xml" ContentType="application/vnd.openxmlformats-officedocument.spreadsheetml.queryTable+xml"/>
  <Override PartName="/xl/tables/table15.xml" ContentType="application/vnd.openxmlformats-officedocument.spreadsheetml.table+xml"/>
  <Override PartName="/xl/queryTables/queryTable10.xml" ContentType="application/vnd.openxmlformats-officedocument.spreadsheetml.queryTable+xml"/>
  <Override PartName="/xl/tables/table16.xml" ContentType="application/vnd.openxmlformats-officedocument.spreadsheetml.table+xml"/>
  <Override PartName="/xl/queryTables/queryTable1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320015673\Documents\Sports\NBA\"/>
    </mc:Choice>
  </mc:AlternateContent>
  <bookViews>
    <workbookView xWindow="0" yWindow="0" windowWidth="28800" windowHeight="11700" activeTab="1"/>
  </bookViews>
  <sheets>
    <sheet name="Graphs" sheetId="17" r:id="rId1"/>
    <sheet name="Selections" sheetId="15" r:id="rId2"/>
    <sheet name="Tracker" sheetId="9" r:id="rId3"/>
    <sheet name="Simulator" sheetId="8" r:id="rId4"/>
    <sheet name="Offense" sheetId="5" r:id="rId5"/>
    <sheet name="Defense" sheetId="7" r:id="rId6"/>
    <sheet name="Team Analysis" sheetId="16" r:id="rId7"/>
    <sheet name="Offense per 100 Poss." sheetId="1" r:id="rId8"/>
    <sheet name="Defense per 100 Poss." sheetId="2" r:id="rId9"/>
    <sheet name="Misc. Stats" sheetId="3" r:id="rId10"/>
    <sheet name="AdvancedPlayerStats" sheetId="11" r:id="rId11"/>
    <sheet name="Scores" sheetId="6" r:id="rId12"/>
    <sheet name="ScoreImport (thru April)" sheetId="14" r:id="rId13"/>
  </sheets>
  <definedNames>
    <definedName name="ExternalData_1" localSheetId="10" hidden="1">AdvancedPlayerStats!$A$1:$AC$625</definedName>
    <definedName name="ExternalData_1" localSheetId="8" hidden="1">'Defense per 100 Poss.'!$A$1:$Y$31</definedName>
    <definedName name="ExternalData_1" localSheetId="9" hidden="1">'Misc. Stats'!$A$1:$AB$39</definedName>
    <definedName name="ExternalData_1" localSheetId="7" hidden="1">'Offense per 100 Poss.'!$A$1:$Y$31</definedName>
    <definedName name="ExternalData_1" localSheetId="12" hidden="1">'ScoreImport (thru April)'!$A$1:$J$1231</definedName>
    <definedName name="ExternalData_1" localSheetId="6" hidden="1">'Team Analysis'!$B$2:$F$32</definedName>
    <definedName name="ExternalData_2" localSheetId="6" hidden="1">'Team Analysis'!$H$2:$L$32</definedName>
    <definedName name="ExternalData_3" localSheetId="6" hidden="1">'Team Analysis'!$N$2:$R$32</definedName>
    <definedName name="ExternalData_4" localSheetId="6" hidden="1">'Team Analysis'!$T$2:$X$30</definedName>
    <definedName name="ExternalData_5" localSheetId="6" hidden="1">'Team Analysis'!$Z$2:$AD$30</definedName>
    <definedName name="ExternalData_6" localSheetId="6" hidden="1">'Team Analysis'!$AF$2:$AJ$32</definedName>
    <definedName name="OU">#REF!</definedName>
    <definedName name="SFO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eam Per 100 Poss Stats Table_55174ace-6dc9-42e9-ab64-0d39b20eb87d" name="Team Per 100 Poss Stats Table" connection="Query - Team Per 100 Poss Stats Table"/>
          <x15:modelTable id="Opponent Per 100 Poss Stats Table_edd6d02f-3809-4599-a4c4-292d083df921" name="Opponent Per 100 Poss Stats Table" connection="Query - Opponent Per 100 Poss Stats Table"/>
          <x15:modelTable id="Miscellaneous Stats Table_abf14599-18d5-43b3-8583-53fcbf095ac8" name="Miscellaneous Stats Table" connection="Query - Miscellaneous Stats Table"/>
        </x15:modelTables>
      </x15:dataModel>
    </ext>
  </extLst>
</workbook>
</file>

<file path=xl/calcChain.xml><?xml version="1.0" encoding="utf-8"?>
<calcChain xmlns="http://schemas.openxmlformats.org/spreadsheetml/2006/main">
  <c r="C547" i="9" l="1"/>
  <c r="C548" i="9"/>
  <c r="C549" i="9"/>
  <c r="C550" i="9"/>
  <c r="C551" i="9"/>
  <c r="C552" i="9"/>
  <c r="C553" i="9"/>
  <c r="C554" i="9"/>
  <c r="C555" i="9"/>
  <c r="C556" i="9"/>
  <c r="C557" i="9"/>
  <c r="C558" i="9"/>
  <c r="I547" i="9"/>
  <c r="I548" i="9"/>
  <c r="I549" i="9"/>
  <c r="I550" i="9"/>
  <c r="I551" i="9"/>
  <c r="I552" i="9"/>
  <c r="I553" i="9"/>
  <c r="I554" i="9"/>
  <c r="I555" i="9"/>
  <c r="I556" i="9"/>
  <c r="I557" i="9"/>
  <c r="I558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K547" i="9"/>
  <c r="K548" i="9"/>
  <c r="K549" i="9"/>
  <c r="K550" i="9"/>
  <c r="K551" i="9"/>
  <c r="K552" i="9"/>
  <c r="K553" i="9"/>
  <c r="K554" i="9"/>
  <c r="K555" i="9"/>
  <c r="K556" i="9"/>
  <c r="K557" i="9"/>
  <c r="K558" i="9"/>
  <c r="L547" i="9"/>
  <c r="L548" i="9"/>
  <c r="L549" i="9"/>
  <c r="L550" i="9"/>
  <c r="L551" i="9"/>
  <c r="L552" i="9"/>
  <c r="L553" i="9"/>
  <c r="L554" i="9"/>
  <c r="L555" i="9"/>
  <c r="L556" i="9"/>
  <c r="L557" i="9"/>
  <c r="L558" i="9"/>
  <c r="M547" i="9"/>
  <c r="M548" i="9"/>
  <c r="M549" i="9"/>
  <c r="M550" i="9"/>
  <c r="M551" i="9"/>
  <c r="M552" i="9"/>
  <c r="M553" i="9"/>
  <c r="M554" i="9"/>
  <c r="M555" i="9"/>
  <c r="M556" i="9"/>
  <c r="M557" i="9"/>
  <c r="M558" i="9"/>
  <c r="R547" i="9"/>
  <c r="Q547" i="9" s="1"/>
  <c r="R548" i="9"/>
  <c r="Q548" i="9" s="1"/>
  <c r="R549" i="9"/>
  <c r="Q549" i="9" s="1"/>
  <c r="R550" i="9"/>
  <c r="Q550" i="9" s="1"/>
  <c r="R551" i="9"/>
  <c r="Q551" i="9" s="1"/>
  <c r="R552" i="9"/>
  <c r="Q552" i="9" s="1"/>
  <c r="R553" i="9"/>
  <c r="Q553" i="9" s="1"/>
  <c r="R554" i="9"/>
  <c r="Q554" i="9" s="1"/>
  <c r="R555" i="9"/>
  <c r="Q555" i="9" s="1"/>
  <c r="R556" i="9"/>
  <c r="Q556" i="9" s="1"/>
  <c r="R557" i="9"/>
  <c r="Q557" i="9" s="1"/>
  <c r="R558" i="9"/>
  <c r="Q558" i="9" s="1"/>
  <c r="C529" i="9" l="1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I529" i="9"/>
  <c r="I530" i="9"/>
  <c r="I531" i="9"/>
  <c r="I532" i="9"/>
  <c r="I533" i="9"/>
  <c r="I534" i="9"/>
  <c r="I535" i="9"/>
  <c r="I536" i="9"/>
  <c r="I537" i="9"/>
  <c r="I538" i="9"/>
  <c r="I539" i="9"/>
  <c r="I540" i="9"/>
  <c r="I541" i="9"/>
  <c r="I542" i="9"/>
  <c r="I543" i="9"/>
  <c r="I544" i="9"/>
  <c r="I545" i="9"/>
  <c r="I546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K529" i="9"/>
  <c r="K530" i="9"/>
  <c r="K531" i="9"/>
  <c r="K532" i="9"/>
  <c r="K533" i="9"/>
  <c r="K534" i="9"/>
  <c r="K535" i="9"/>
  <c r="K536" i="9"/>
  <c r="K537" i="9"/>
  <c r="K538" i="9"/>
  <c r="K539" i="9"/>
  <c r="K540" i="9"/>
  <c r="K541" i="9"/>
  <c r="K542" i="9"/>
  <c r="K543" i="9"/>
  <c r="K544" i="9"/>
  <c r="K545" i="9"/>
  <c r="K546" i="9"/>
  <c r="L529" i="9"/>
  <c r="L530" i="9"/>
  <c r="L531" i="9"/>
  <c r="M531" i="9" s="1"/>
  <c r="L532" i="9"/>
  <c r="L533" i="9"/>
  <c r="M533" i="9" s="1"/>
  <c r="L534" i="9"/>
  <c r="L535" i="9"/>
  <c r="M535" i="9" s="1"/>
  <c r="L536" i="9"/>
  <c r="L537" i="9"/>
  <c r="L538" i="9"/>
  <c r="L539" i="9"/>
  <c r="M539" i="9" s="1"/>
  <c r="L540" i="9"/>
  <c r="L541" i="9"/>
  <c r="L542" i="9"/>
  <c r="L543" i="9"/>
  <c r="M543" i="9" s="1"/>
  <c r="L544" i="9"/>
  <c r="L545" i="9"/>
  <c r="L546" i="9"/>
  <c r="M529" i="9"/>
  <c r="M530" i="9"/>
  <c r="M532" i="9"/>
  <c r="M534" i="9"/>
  <c r="M536" i="9"/>
  <c r="M537" i="9"/>
  <c r="M538" i="9"/>
  <c r="M540" i="9"/>
  <c r="M541" i="9"/>
  <c r="M542" i="9"/>
  <c r="M544" i="9"/>
  <c r="M545" i="9"/>
  <c r="M546" i="9"/>
  <c r="R529" i="9"/>
  <c r="Q529" i="9" s="1"/>
  <c r="R530" i="9"/>
  <c r="Q530" i="9" s="1"/>
  <c r="R531" i="9"/>
  <c r="Q531" i="9" s="1"/>
  <c r="R532" i="9"/>
  <c r="Q532" i="9" s="1"/>
  <c r="R533" i="9"/>
  <c r="Q533" i="9" s="1"/>
  <c r="R534" i="9"/>
  <c r="Q534" i="9" s="1"/>
  <c r="R535" i="9"/>
  <c r="Q535" i="9" s="1"/>
  <c r="R536" i="9"/>
  <c r="Q536" i="9" s="1"/>
  <c r="R537" i="9"/>
  <c r="Q537" i="9" s="1"/>
  <c r="R538" i="9"/>
  <c r="Q538" i="9" s="1"/>
  <c r="R539" i="9"/>
  <c r="Q539" i="9" s="1"/>
  <c r="R540" i="9"/>
  <c r="Q540" i="9" s="1"/>
  <c r="R541" i="9"/>
  <c r="Q541" i="9" s="1"/>
  <c r="R542" i="9"/>
  <c r="Q542" i="9" s="1"/>
  <c r="R543" i="9"/>
  <c r="Q543" i="9" s="1"/>
  <c r="R544" i="9"/>
  <c r="Q544" i="9" s="1"/>
  <c r="R545" i="9"/>
  <c r="Q545" i="9" s="1"/>
  <c r="R546" i="9"/>
  <c r="Q546" i="9" s="1"/>
  <c r="N16" i="15"/>
  <c r="N17" i="15"/>
  <c r="N18" i="15"/>
  <c r="N19" i="15"/>
  <c r="N20" i="15"/>
  <c r="N21" i="15"/>
  <c r="U16" i="15"/>
  <c r="U17" i="15"/>
  <c r="U18" i="15"/>
  <c r="U19" i="15"/>
  <c r="U20" i="15"/>
  <c r="U21" i="15"/>
  <c r="V16" i="15"/>
  <c r="X16" i="15" s="1"/>
  <c r="V17" i="15"/>
  <c r="V18" i="15"/>
  <c r="X18" i="15" s="1"/>
  <c r="V19" i="15"/>
  <c r="V20" i="15"/>
  <c r="X20" i="15" s="1"/>
  <c r="V21" i="15"/>
  <c r="X17" i="15"/>
  <c r="X19" i="15"/>
  <c r="X21" i="15"/>
  <c r="Y16" i="15"/>
  <c r="K16" i="15" s="1"/>
  <c r="Y17" i="15"/>
  <c r="K17" i="15" s="1"/>
  <c r="Y18" i="15"/>
  <c r="K18" i="15" s="1"/>
  <c r="Y19" i="15"/>
  <c r="K19" i="15" s="1"/>
  <c r="Y20" i="15"/>
  <c r="K20" i="15" s="1"/>
  <c r="Y21" i="15"/>
  <c r="K21" i="15" s="1"/>
  <c r="W19" i="15" l="1"/>
  <c r="T19" i="15"/>
  <c r="S19" i="15" s="1"/>
  <c r="W18" i="15"/>
  <c r="T18" i="15"/>
  <c r="S18" i="15" s="1"/>
  <c r="W21" i="15"/>
  <c r="W17" i="15"/>
  <c r="T21" i="15"/>
  <c r="S21" i="15" s="1"/>
  <c r="T17" i="15"/>
  <c r="S17" i="15" s="1"/>
  <c r="W20" i="15"/>
  <c r="W16" i="15"/>
  <c r="T20" i="15"/>
  <c r="S20" i="15" s="1"/>
  <c r="T16" i="15"/>
  <c r="S16" i="15" s="1"/>
  <c r="C523" i="9"/>
  <c r="C524" i="9"/>
  <c r="C525" i="9"/>
  <c r="C526" i="9"/>
  <c r="C527" i="9"/>
  <c r="C528" i="9"/>
  <c r="I523" i="9"/>
  <c r="I524" i="9"/>
  <c r="I525" i="9"/>
  <c r="I526" i="9"/>
  <c r="I527" i="9"/>
  <c r="I528" i="9"/>
  <c r="J523" i="9"/>
  <c r="J524" i="9"/>
  <c r="J525" i="9"/>
  <c r="J526" i="9"/>
  <c r="J527" i="9"/>
  <c r="J528" i="9"/>
  <c r="K523" i="9"/>
  <c r="K524" i="9"/>
  <c r="K525" i="9"/>
  <c r="K526" i="9"/>
  <c r="K527" i="9"/>
  <c r="K528" i="9"/>
  <c r="L523" i="9"/>
  <c r="L524" i="9"/>
  <c r="L525" i="9"/>
  <c r="M525" i="9" s="1"/>
  <c r="L526" i="9"/>
  <c r="L527" i="9"/>
  <c r="L528" i="9"/>
  <c r="M523" i="9"/>
  <c r="M524" i="9"/>
  <c r="M526" i="9"/>
  <c r="M527" i="9"/>
  <c r="M528" i="9"/>
  <c r="R523" i="9"/>
  <c r="Q523" i="9" s="1"/>
  <c r="R524" i="9"/>
  <c r="Q524" i="9" s="1"/>
  <c r="R525" i="9"/>
  <c r="Q525" i="9" s="1"/>
  <c r="R526" i="9"/>
  <c r="Q526" i="9" s="1"/>
  <c r="R527" i="9"/>
  <c r="Q527" i="9" s="1"/>
  <c r="R528" i="9"/>
  <c r="Q528" i="9" s="1"/>
  <c r="AD448" i="11"/>
  <c r="AD449" i="11"/>
  <c r="AD450" i="11"/>
  <c r="AD451" i="11"/>
  <c r="AD452" i="11"/>
  <c r="AD453" i="11"/>
  <c r="AD454" i="11"/>
  <c r="AD455" i="11"/>
  <c r="AD456" i="11"/>
  <c r="AD457" i="11"/>
  <c r="AD458" i="11"/>
  <c r="AD459" i="11"/>
  <c r="AD460" i="11"/>
  <c r="AD461" i="11"/>
  <c r="AD462" i="11"/>
  <c r="AD463" i="11"/>
  <c r="AD464" i="11"/>
  <c r="AD465" i="11"/>
  <c r="AD466" i="11"/>
  <c r="AD467" i="11"/>
  <c r="AD468" i="11"/>
  <c r="AD469" i="11"/>
  <c r="AD470" i="11"/>
  <c r="AD471" i="11"/>
  <c r="AD472" i="11"/>
  <c r="AD473" i="11"/>
  <c r="AD474" i="11"/>
  <c r="AD475" i="11"/>
  <c r="AD476" i="11"/>
  <c r="AD477" i="11"/>
  <c r="AD478" i="11"/>
  <c r="AD479" i="11"/>
  <c r="AD480" i="11"/>
  <c r="AD481" i="11"/>
  <c r="AD482" i="11"/>
  <c r="AD483" i="11"/>
  <c r="AD484" i="11"/>
  <c r="AD485" i="11"/>
  <c r="AD486" i="11"/>
  <c r="AD487" i="11"/>
  <c r="AD488" i="11"/>
  <c r="AD489" i="11"/>
  <c r="AD490" i="11"/>
  <c r="AD491" i="11"/>
  <c r="AD492" i="11"/>
  <c r="AD493" i="11"/>
  <c r="AD494" i="11"/>
  <c r="AD495" i="11"/>
  <c r="AD496" i="11"/>
  <c r="AD497" i="11"/>
  <c r="AD498" i="11"/>
  <c r="AD499" i="11"/>
  <c r="AD500" i="11"/>
  <c r="AD501" i="11"/>
  <c r="AD502" i="11"/>
  <c r="AD503" i="11"/>
  <c r="AD504" i="11"/>
  <c r="AD505" i="11"/>
  <c r="AD506" i="11"/>
  <c r="AD507" i="11"/>
  <c r="AD508" i="11"/>
  <c r="AD509" i="11"/>
  <c r="AD510" i="11"/>
  <c r="AD511" i="11"/>
  <c r="AD512" i="11"/>
  <c r="AD513" i="11"/>
  <c r="AD514" i="11"/>
  <c r="AD515" i="11"/>
  <c r="AD516" i="11"/>
  <c r="AD517" i="11"/>
  <c r="AD518" i="11"/>
  <c r="AD519" i="11"/>
  <c r="AD520" i="11"/>
  <c r="AD521" i="11"/>
  <c r="AD522" i="11"/>
  <c r="AD523" i="11"/>
  <c r="AD524" i="11"/>
  <c r="AD525" i="11"/>
  <c r="AD526" i="11"/>
  <c r="AD527" i="11"/>
  <c r="AD528" i="11"/>
  <c r="AD529" i="11"/>
  <c r="AD530" i="11"/>
  <c r="AD531" i="11"/>
  <c r="AD532" i="11"/>
  <c r="AD533" i="11"/>
  <c r="AD534" i="11"/>
  <c r="AD535" i="11"/>
  <c r="AD536" i="11"/>
  <c r="AD537" i="11"/>
  <c r="AD538" i="11"/>
  <c r="AD539" i="11"/>
  <c r="AD540" i="11"/>
  <c r="AD541" i="11"/>
  <c r="AD542" i="11"/>
  <c r="AD543" i="11"/>
  <c r="AD544" i="11"/>
  <c r="AD545" i="11"/>
  <c r="AD546" i="11"/>
  <c r="AD547" i="11"/>
  <c r="AD548" i="11"/>
  <c r="AD549" i="11"/>
  <c r="AD550" i="11"/>
  <c r="AD551" i="11"/>
  <c r="AD552" i="11"/>
  <c r="AD553" i="11"/>
  <c r="AD554" i="11"/>
  <c r="AD555" i="11"/>
  <c r="AD556" i="11"/>
  <c r="AD557" i="11"/>
  <c r="AD558" i="11"/>
  <c r="AD559" i="11"/>
  <c r="AD560" i="11"/>
  <c r="AD561" i="11"/>
  <c r="AD562" i="11"/>
  <c r="AD563" i="11"/>
  <c r="AD564" i="11"/>
  <c r="AD565" i="11"/>
  <c r="AD566" i="11"/>
  <c r="AD567" i="11"/>
  <c r="AD568" i="11"/>
  <c r="AD569" i="11"/>
  <c r="AD570" i="11"/>
  <c r="AD571" i="11"/>
  <c r="AD572" i="11"/>
  <c r="AD573" i="11"/>
  <c r="AD574" i="11"/>
  <c r="AD575" i="11"/>
  <c r="AD576" i="11"/>
  <c r="AD577" i="11"/>
  <c r="AD578" i="11"/>
  <c r="AD579" i="11"/>
  <c r="AD580" i="11"/>
  <c r="AD581" i="11"/>
  <c r="AD582" i="11"/>
  <c r="AD583" i="11"/>
  <c r="AD584" i="11"/>
  <c r="AD585" i="11"/>
  <c r="AD586" i="11"/>
  <c r="AD587" i="11"/>
  <c r="AD588" i="11"/>
  <c r="AD589" i="11"/>
  <c r="AD590" i="11"/>
  <c r="AD591" i="11"/>
  <c r="AD592" i="11"/>
  <c r="AD593" i="11"/>
  <c r="AD594" i="11"/>
  <c r="AD595" i="11"/>
  <c r="AD596" i="11"/>
  <c r="AD597" i="11"/>
  <c r="AD598" i="11"/>
  <c r="AD599" i="11"/>
  <c r="AD600" i="11"/>
  <c r="AD601" i="11"/>
  <c r="AD602" i="11"/>
  <c r="AD603" i="11"/>
  <c r="AD604" i="11"/>
  <c r="AD605" i="11"/>
  <c r="AD606" i="11"/>
  <c r="AD607" i="11"/>
  <c r="AD608" i="11"/>
  <c r="AD609" i="11"/>
  <c r="AD610" i="11"/>
  <c r="AD611" i="11"/>
  <c r="AD612" i="11"/>
  <c r="AD613" i="11"/>
  <c r="AD614" i="11"/>
  <c r="AD615" i="11"/>
  <c r="AD616" i="11"/>
  <c r="AD617" i="11"/>
  <c r="AD618" i="11"/>
  <c r="AD619" i="11"/>
  <c r="AD620" i="11"/>
  <c r="AD621" i="11"/>
  <c r="AD622" i="11"/>
  <c r="AD3" i="11"/>
  <c r="AD4" i="11"/>
  <c r="AD5" i="11"/>
  <c r="AD6" i="11"/>
  <c r="AD7" i="11"/>
  <c r="AD8" i="11"/>
  <c r="AD9" i="11"/>
  <c r="AD10" i="11"/>
  <c r="AD11" i="11"/>
  <c r="AD12" i="11"/>
  <c r="AD13" i="11"/>
  <c r="AD14" i="11"/>
  <c r="AD15" i="11"/>
  <c r="AD16" i="11"/>
  <c r="AD17" i="11"/>
  <c r="AD18" i="11"/>
  <c r="AD19" i="11"/>
  <c r="AD20" i="11"/>
  <c r="AD21" i="11"/>
  <c r="AD22" i="11"/>
  <c r="AD23" i="11"/>
  <c r="AD24" i="11"/>
  <c r="AD25" i="11"/>
  <c r="AD26" i="11"/>
  <c r="AD27" i="11"/>
  <c r="AD28" i="11"/>
  <c r="AD29" i="11"/>
  <c r="AD30" i="11"/>
  <c r="AD31" i="11"/>
  <c r="AD32" i="11"/>
  <c r="AD33" i="11"/>
  <c r="AD34" i="11"/>
  <c r="AD35" i="11"/>
  <c r="AD36" i="11"/>
  <c r="AD37" i="11"/>
  <c r="AD38" i="11"/>
  <c r="AD39" i="11"/>
  <c r="AD40" i="11"/>
  <c r="AD41" i="11"/>
  <c r="AD42" i="11"/>
  <c r="AD43" i="11"/>
  <c r="AD44" i="11"/>
  <c r="AD45" i="11"/>
  <c r="AD46" i="11"/>
  <c r="AD47" i="11"/>
  <c r="AD48" i="11"/>
  <c r="AD49" i="11"/>
  <c r="AD50" i="11"/>
  <c r="AD51" i="11"/>
  <c r="AD52" i="11"/>
  <c r="AD53" i="11"/>
  <c r="AD54" i="11"/>
  <c r="AD55" i="11"/>
  <c r="AD56" i="11"/>
  <c r="AD57" i="11"/>
  <c r="AD58" i="11"/>
  <c r="AD59" i="11"/>
  <c r="AD60" i="11"/>
  <c r="AD61" i="11"/>
  <c r="AD62" i="11"/>
  <c r="AD63" i="11"/>
  <c r="AD64" i="11"/>
  <c r="AD65" i="11"/>
  <c r="AD66" i="11"/>
  <c r="AD67" i="11"/>
  <c r="AD68" i="11"/>
  <c r="AD69" i="11"/>
  <c r="AD70" i="11"/>
  <c r="AD71" i="11"/>
  <c r="AD72" i="11"/>
  <c r="AD73" i="11"/>
  <c r="AD74" i="11"/>
  <c r="AD75" i="11"/>
  <c r="AD76" i="11"/>
  <c r="AD77" i="11"/>
  <c r="AD78" i="11"/>
  <c r="AD79" i="11"/>
  <c r="AD80" i="11"/>
  <c r="AD81" i="11"/>
  <c r="AD82" i="11"/>
  <c r="AD83" i="11"/>
  <c r="AD84" i="11"/>
  <c r="AD85" i="11"/>
  <c r="AD86" i="11"/>
  <c r="AD87" i="11"/>
  <c r="AD88" i="11"/>
  <c r="AD89" i="11"/>
  <c r="AD90" i="11"/>
  <c r="AD91" i="11"/>
  <c r="AD92" i="11"/>
  <c r="AD93" i="11"/>
  <c r="AD94" i="11"/>
  <c r="AD95" i="11"/>
  <c r="AD96" i="11"/>
  <c r="AD97" i="11"/>
  <c r="AD98" i="11"/>
  <c r="AD99" i="11"/>
  <c r="AD100" i="11"/>
  <c r="AD101" i="11"/>
  <c r="AD102" i="11"/>
  <c r="AD103" i="11"/>
  <c r="AD104" i="11"/>
  <c r="AD105" i="11"/>
  <c r="AD106" i="11"/>
  <c r="AD107" i="11"/>
  <c r="AD108" i="11"/>
  <c r="AD109" i="11"/>
  <c r="AD110" i="11"/>
  <c r="AD111" i="11"/>
  <c r="AD112" i="11"/>
  <c r="AD113" i="11"/>
  <c r="AD114" i="11"/>
  <c r="AD115" i="11"/>
  <c r="AD116" i="11"/>
  <c r="AD117" i="11"/>
  <c r="AD118" i="11"/>
  <c r="AD119" i="11"/>
  <c r="AD120" i="11"/>
  <c r="AD121" i="11"/>
  <c r="AD122" i="11"/>
  <c r="AD123" i="11"/>
  <c r="AD124" i="11"/>
  <c r="AD125" i="11"/>
  <c r="AD126" i="11"/>
  <c r="AD127" i="11"/>
  <c r="AD128" i="11"/>
  <c r="AD129" i="11"/>
  <c r="AD130" i="11"/>
  <c r="AD131" i="11"/>
  <c r="AD132" i="11"/>
  <c r="AD133" i="11"/>
  <c r="AD134" i="11"/>
  <c r="AD135" i="11"/>
  <c r="AD136" i="11"/>
  <c r="AD137" i="11"/>
  <c r="AD138" i="11"/>
  <c r="AD139" i="11"/>
  <c r="AD140" i="11"/>
  <c r="AD141" i="11"/>
  <c r="AD142" i="11"/>
  <c r="AD143" i="11"/>
  <c r="AD144" i="11"/>
  <c r="AD145" i="11"/>
  <c r="AD146" i="11"/>
  <c r="AD147" i="11"/>
  <c r="AD148" i="11"/>
  <c r="AD149" i="11"/>
  <c r="AD150" i="11"/>
  <c r="AD151" i="11"/>
  <c r="AD152" i="11"/>
  <c r="AD153" i="11"/>
  <c r="AD154" i="11"/>
  <c r="AD155" i="11"/>
  <c r="AD156" i="11"/>
  <c r="AD157" i="11"/>
  <c r="AD158" i="11"/>
  <c r="AD159" i="11"/>
  <c r="AD160" i="11"/>
  <c r="AD161" i="11"/>
  <c r="AD162" i="11"/>
  <c r="AD163" i="11"/>
  <c r="AD164" i="11"/>
  <c r="AD165" i="11"/>
  <c r="AD166" i="11"/>
  <c r="AD167" i="11"/>
  <c r="AD168" i="11"/>
  <c r="AD169" i="11"/>
  <c r="AD170" i="11"/>
  <c r="AD171" i="11"/>
  <c r="AD172" i="11"/>
  <c r="AD173" i="11"/>
  <c r="AD174" i="11"/>
  <c r="AD175" i="11"/>
  <c r="AD176" i="11"/>
  <c r="AD177" i="11"/>
  <c r="AD178" i="11"/>
  <c r="AD179" i="11"/>
  <c r="AD180" i="11"/>
  <c r="AD181" i="11"/>
  <c r="AD182" i="11"/>
  <c r="AD183" i="11"/>
  <c r="AD184" i="11"/>
  <c r="AD185" i="11"/>
  <c r="AD186" i="11"/>
  <c r="AD187" i="11"/>
  <c r="AD188" i="11"/>
  <c r="AD189" i="11"/>
  <c r="AD190" i="11"/>
  <c r="AD191" i="11"/>
  <c r="AD192" i="11"/>
  <c r="AD193" i="11"/>
  <c r="AD194" i="11"/>
  <c r="AD195" i="11"/>
  <c r="AD196" i="11"/>
  <c r="AD197" i="11"/>
  <c r="AD198" i="11"/>
  <c r="AD199" i="11"/>
  <c r="AD200" i="11"/>
  <c r="AD201" i="11"/>
  <c r="AD202" i="11"/>
  <c r="AD203" i="11"/>
  <c r="AD204" i="11"/>
  <c r="AD205" i="11"/>
  <c r="AD206" i="11"/>
  <c r="AD207" i="11"/>
  <c r="AD208" i="11"/>
  <c r="AD209" i="11"/>
  <c r="AD210" i="11"/>
  <c r="AD211" i="11"/>
  <c r="AD212" i="11"/>
  <c r="AD213" i="11"/>
  <c r="AD214" i="11"/>
  <c r="AD215" i="11"/>
  <c r="AD216" i="11"/>
  <c r="AD217" i="11"/>
  <c r="AD218" i="11"/>
  <c r="AD219" i="11"/>
  <c r="AD220" i="11"/>
  <c r="AD221" i="11"/>
  <c r="AD222" i="11"/>
  <c r="AD223" i="11"/>
  <c r="AD224" i="11"/>
  <c r="AD225" i="11"/>
  <c r="AD226" i="11"/>
  <c r="AD227" i="11"/>
  <c r="AD228" i="11"/>
  <c r="AD229" i="11"/>
  <c r="AD230" i="11"/>
  <c r="AD231" i="11"/>
  <c r="AD232" i="11"/>
  <c r="AD233" i="11"/>
  <c r="AD234" i="11"/>
  <c r="AD235" i="11"/>
  <c r="AD236" i="11"/>
  <c r="AD237" i="11"/>
  <c r="AD238" i="11"/>
  <c r="AD239" i="11"/>
  <c r="AD240" i="11"/>
  <c r="AD241" i="11"/>
  <c r="AD242" i="11"/>
  <c r="AD243" i="11"/>
  <c r="AD244" i="11"/>
  <c r="AD245" i="11"/>
  <c r="AD246" i="11"/>
  <c r="AD247" i="11"/>
  <c r="AD248" i="11"/>
  <c r="AD249" i="11"/>
  <c r="AD250" i="11"/>
  <c r="AD251" i="11"/>
  <c r="AD252" i="11"/>
  <c r="AD253" i="11"/>
  <c r="AD254" i="11"/>
  <c r="AD255" i="11"/>
  <c r="AD256" i="11"/>
  <c r="AD257" i="11"/>
  <c r="AD258" i="11"/>
  <c r="AD259" i="11"/>
  <c r="AD260" i="11"/>
  <c r="AD261" i="11"/>
  <c r="AD262" i="11"/>
  <c r="AD263" i="11"/>
  <c r="AD264" i="11"/>
  <c r="AD265" i="11"/>
  <c r="AD266" i="11"/>
  <c r="AD267" i="11"/>
  <c r="AD268" i="11"/>
  <c r="AD269" i="11"/>
  <c r="AD270" i="11"/>
  <c r="AD271" i="11"/>
  <c r="AD272" i="11"/>
  <c r="AD273" i="11"/>
  <c r="AD274" i="11"/>
  <c r="AD275" i="11"/>
  <c r="AD276" i="11"/>
  <c r="AD277" i="11"/>
  <c r="AD278" i="11"/>
  <c r="AD279" i="11"/>
  <c r="AD280" i="11"/>
  <c r="AD281" i="11"/>
  <c r="AD282" i="11"/>
  <c r="AD283" i="11"/>
  <c r="AD284" i="11"/>
  <c r="AD285" i="11"/>
  <c r="AD286" i="11"/>
  <c r="AD287" i="11"/>
  <c r="AD288" i="11"/>
  <c r="AD289" i="11"/>
  <c r="AD290" i="11"/>
  <c r="AD291" i="11"/>
  <c r="AD292" i="11"/>
  <c r="AD293" i="11"/>
  <c r="AD294" i="11"/>
  <c r="AD295" i="11"/>
  <c r="AD296" i="11"/>
  <c r="AD297" i="11"/>
  <c r="AD298" i="11"/>
  <c r="AD299" i="11"/>
  <c r="AD300" i="11"/>
  <c r="AD301" i="11"/>
  <c r="AD302" i="11"/>
  <c r="AD303" i="11"/>
  <c r="AD304" i="11"/>
  <c r="AD305" i="11"/>
  <c r="AD306" i="11"/>
  <c r="AD307" i="11"/>
  <c r="AD308" i="11"/>
  <c r="AD309" i="11"/>
  <c r="AD310" i="11"/>
  <c r="AD311" i="11"/>
  <c r="AD312" i="11"/>
  <c r="AD313" i="11"/>
  <c r="AD314" i="11"/>
  <c r="AD315" i="11"/>
  <c r="AD316" i="11"/>
  <c r="AD317" i="11"/>
  <c r="AD318" i="11"/>
  <c r="AD319" i="11"/>
  <c r="AD320" i="11"/>
  <c r="AD321" i="11"/>
  <c r="AD322" i="11"/>
  <c r="AD323" i="11"/>
  <c r="AD324" i="11"/>
  <c r="AD325" i="11"/>
  <c r="AD326" i="11"/>
  <c r="AD327" i="11"/>
  <c r="AD328" i="11"/>
  <c r="AD329" i="11"/>
  <c r="AD330" i="11"/>
  <c r="AD331" i="11"/>
  <c r="AD332" i="11"/>
  <c r="AD333" i="11"/>
  <c r="AD334" i="11"/>
  <c r="AD335" i="11"/>
  <c r="AD336" i="11"/>
  <c r="AD337" i="11"/>
  <c r="AD338" i="11"/>
  <c r="AD339" i="11"/>
  <c r="AD340" i="11"/>
  <c r="AD341" i="11"/>
  <c r="AD342" i="11"/>
  <c r="AD343" i="11"/>
  <c r="AD344" i="11"/>
  <c r="AD345" i="11"/>
  <c r="AD346" i="11"/>
  <c r="AD347" i="11"/>
  <c r="AD348" i="11"/>
  <c r="AD349" i="11"/>
  <c r="AD350" i="11"/>
  <c r="AD351" i="11"/>
  <c r="AD352" i="11"/>
  <c r="AD353" i="11"/>
  <c r="AD354" i="11"/>
  <c r="AD355" i="11"/>
  <c r="AD356" i="11"/>
  <c r="AD357" i="11"/>
  <c r="AD358" i="11"/>
  <c r="AD359" i="11"/>
  <c r="AD360" i="11"/>
  <c r="AD361" i="11"/>
  <c r="AD362" i="11"/>
  <c r="AD363" i="11"/>
  <c r="AD364" i="11"/>
  <c r="AD365" i="11"/>
  <c r="AD366" i="11"/>
  <c r="AD367" i="11"/>
  <c r="AD368" i="11"/>
  <c r="AD369" i="11"/>
  <c r="AD370" i="11"/>
  <c r="AD371" i="11"/>
  <c r="AD372" i="11"/>
  <c r="AD373" i="11"/>
  <c r="AD374" i="11"/>
  <c r="AD375" i="11"/>
  <c r="AD376" i="11"/>
  <c r="AD377" i="11"/>
  <c r="AD378" i="11"/>
  <c r="AD379" i="11"/>
  <c r="AD380" i="11"/>
  <c r="AD381" i="11"/>
  <c r="AD382" i="11"/>
  <c r="AD383" i="11"/>
  <c r="AD384" i="11"/>
  <c r="AD385" i="11"/>
  <c r="AD386" i="11"/>
  <c r="AD387" i="11"/>
  <c r="AD388" i="11"/>
  <c r="AD389" i="11"/>
  <c r="AD390" i="11"/>
  <c r="AD391" i="11"/>
  <c r="AD392" i="11"/>
  <c r="AD393" i="11"/>
  <c r="AD394" i="11"/>
  <c r="AD395" i="11"/>
  <c r="AD396" i="11"/>
  <c r="AD397" i="11"/>
  <c r="AD398" i="11"/>
  <c r="AD399" i="11"/>
  <c r="AD400" i="11"/>
  <c r="AD401" i="11"/>
  <c r="AD402" i="11"/>
  <c r="AD403" i="11"/>
  <c r="AD404" i="11"/>
  <c r="AD405" i="11"/>
  <c r="AD406" i="11"/>
  <c r="AD407" i="11"/>
  <c r="AD408" i="11"/>
  <c r="AD409" i="11"/>
  <c r="AD410" i="11"/>
  <c r="AD411" i="11"/>
  <c r="AD412" i="11"/>
  <c r="AD413" i="11"/>
  <c r="AD414" i="11"/>
  <c r="AD415" i="11"/>
  <c r="AD416" i="11"/>
  <c r="AD417" i="11"/>
  <c r="AD418" i="11"/>
  <c r="AD419" i="11"/>
  <c r="AD420" i="11"/>
  <c r="AD421" i="11"/>
  <c r="AD422" i="11"/>
  <c r="AD423" i="11"/>
  <c r="AD424" i="11"/>
  <c r="AD425" i="11"/>
  <c r="AD426" i="11"/>
  <c r="AD427" i="11"/>
  <c r="AD428" i="11"/>
  <c r="AD429" i="11"/>
  <c r="AD430" i="11"/>
  <c r="AD431" i="11"/>
  <c r="AD432" i="11"/>
  <c r="AD433" i="11"/>
  <c r="AD434" i="11"/>
  <c r="AD435" i="11"/>
  <c r="AD436" i="11"/>
  <c r="AD437" i="11"/>
  <c r="AD438" i="11"/>
  <c r="AD439" i="11"/>
  <c r="AD440" i="11"/>
  <c r="AD441" i="11"/>
  <c r="AD442" i="11"/>
  <c r="AD443" i="11"/>
  <c r="AD444" i="11"/>
  <c r="AD445" i="11"/>
  <c r="AD446" i="11"/>
  <c r="AD447" i="11"/>
  <c r="N32" i="15" l="1"/>
  <c r="N33" i="15"/>
  <c r="N34" i="15"/>
  <c r="N35" i="15"/>
  <c r="N36" i="15"/>
  <c r="N37" i="15"/>
  <c r="N38" i="15"/>
  <c r="N39" i="15"/>
  <c r="N40" i="15"/>
  <c r="N41" i="15"/>
  <c r="U32" i="15"/>
  <c r="U33" i="15"/>
  <c r="U34" i="15"/>
  <c r="U35" i="15"/>
  <c r="U36" i="15"/>
  <c r="U37" i="15"/>
  <c r="U38" i="15"/>
  <c r="U39" i="15"/>
  <c r="U40" i="15"/>
  <c r="U41" i="15"/>
  <c r="V32" i="15"/>
  <c r="X32" i="15" s="1"/>
  <c r="V33" i="15"/>
  <c r="V34" i="15"/>
  <c r="V35" i="15"/>
  <c r="V36" i="15"/>
  <c r="V37" i="15"/>
  <c r="V38" i="15"/>
  <c r="V39" i="15"/>
  <c r="V40" i="15"/>
  <c r="V41" i="15"/>
  <c r="X33" i="15"/>
  <c r="W33" i="15" s="1"/>
  <c r="X34" i="15"/>
  <c r="X35" i="15"/>
  <c r="X36" i="15"/>
  <c r="X37" i="15"/>
  <c r="X38" i="15"/>
  <c r="X39" i="15"/>
  <c r="X40" i="15"/>
  <c r="X41" i="15"/>
  <c r="W41" i="15" s="1"/>
  <c r="Y32" i="15"/>
  <c r="Y33" i="15"/>
  <c r="Y34" i="15"/>
  <c r="Y35" i="15"/>
  <c r="Y36" i="15"/>
  <c r="Y37" i="15"/>
  <c r="Y38" i="15"/>
  <c r="Y39" i="15"/>
  <c r="Y40" i="15"/>
  <c r="Y41" i="15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K503" i="9"/>
  <c r="K504" i="9"/>
  <c r="K505" i="9"/>
  <c r="K506" i="9"/>
  <c r="K507" i="9"/>
  <c r="K508" i="9"/>
  <c r="K509" i="9"/>
  <c r="K510" i="9"/>
  <c r="K511" i="9"/>
  <c r="K512" i="9"/>
  <c r="K513" i="9"/>
  <c r="K514" i="9"/>
  <c r="K515" i="9"/>
  <c r="K516" i="9"/>
  <c r="K517" i="9"/>
  <c r="K518" i="9"/>
  <c r="K519" i="9"/>
  <c r="K520" i="9"/>
  <c r="K521" i="9"/>
  <c r="K522" i="9"/>
  <c r="L503" i="9"/>
  <c r="L504" i="9"/>
  <c r="L505" i="9"/>
  <c r="L506" i="9"/>
  <c r="L507" i="9"/>
  <c r="L508" i="9"/>
  <c r="L509" i="9"/>
  <c r="L510" i="9"/>
  <c r="L511" i="9"/>
  <c r="L512" i="9"/>
  <c r="L513" i="9"/>
  <c r="L514" i="9"/>
  <c r="L515" i="9"/>
  <c r="L516" i="9"/>
  <c r="L517" i="9"/>
  <c r="L518" i="9"/>
  <c r="L519" i="9"/>
  <c r="L520" i="9"/>
  <c r="L521" i="9"/>
  <c r="L52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518" i="9"/>
  <c r="M519" i="9"/>
  <c r="M520" i="9"/>
  <c r="M521" i="9"/>
  <c r="M522" i="9"/>
  <c r="R503" i="9"/>
  <c r="Q503" i="9" s="1"/>
  <c r="R504" i="9"/>
  <c r="Q504" i="9" s="1"/>
  <c r="R505" i="9"/>
  <c r="Q505" i="9" s="1"/>
  <c r="R506" i="9"/>
  <c r="Q506" i="9" s="1"/>
  <c r="R507" i="9"/>
  <c r="Q507" i="9" s="1"/>
  <c r="R508" i="9"/>
  <c r="Q508" i="9" s="1"/>
  <c r="R509" i="9"/>
  <c r="Q509" i="9" s="1"/>
  <c r="R510" i="9"/>
  <c r="Q510" i="9" s="1"/>
  <c r="R511" i="9"/>
  <c r="Q511" i="9" s="1"/>
  <c r="R512" i="9"/>
  <c r="Q512" i="9" s="1"/>
  <c r="R513" i="9"/>
  <c r="Q513" i="9" s="1"/>
  <c r="R514" i="9"/>
  <c r="Q514" i="9" s="1"/>
  <c r="R515" i="9"/>
  <c r="Q515" i="9" s="1"/>
  <c r="R516" i="9"/>
  <c r="Q516" i="9" s="1"/>
  <c r="R517" i="9"/>
  <c r="Q517" i="9" s="1"/>
  <c r="R518" i="9"/>
  <c r="Q518" i="9" s="1"/>
  <c r="R519" i="9"/>
  <c r="Q519" i="9" s="1"/>
  <c r="R520" i="9"/>
  <c r="Q520" i="9" s="1"/>
  <c r="R521" i="9"/>
  <c r="Q521" i="9" s="1"/>
  <c r="R522" i="9"/>
  <c r="Q522" i="9" s="1"/>
  <c r="W37" i="15" l="1"/>
  <c r="T41" i="15"/>
  <c r="S41" i="15" s="1"/>
  <c r="T37" i="15"/>
  <c r="S37" i="15" s="1"/>
  <c r="T33" i="15"/>
  <c r="S33" i="15" s="1"/>
  <c r="W40" i="15"/>
  <c r="W36" i="15"/>
  <c r="W32" i="15"/>
  <c r="T40" i="15"/>
  <c r="S40" i="15" s="1"/>
  <c r="T36" i="15"/>
  <c r="S36" i="15" s="1"/>
  <c r="T32" i="15"/>
  <c r="S32" i="15" s="1"/>
  <c r="W39" i="15"/>
  <c r="W35" i="15"/>
  <c r="T39" i="15"/>
  <c r="S39" i="15" s="1"/>
  <c r="T35" i="15"/>
  <c r="S35" i="15" s="1"/>
  <c r="W38" i="15"/>
  <c r="W34" i="15"/>
  <c r="T38" i="15"/>
  <c r="S38" i="15" s="1"/>
  <c r="T34" i="15"/>
  <c r="S34" i="15" s="1"/>
  <c r="I496" i="9" l="1"/>
  <c r="I495" i="9"/>
  <c r="C495" i="9"/>
  <c r="C496" i="9"/>
  <c r="C497" i="9"/>
  <c r="C498" i="9"/>
  <c r="C499" i="9"/>
  <c r="C500" i="9"/>
  <c r="C501" i="9"/>
  <c r="C502" i="9"/>
  <c r="I497" i="9"/>
  <c r="I498" i="9"/>
  <c r="I499" i="9"/>
  <c r="I500" i="9"/>
  <c r="I501" i="9"/>
  <c r="I502" i="9"/>
  <c r="J495" i="9"/>
  <c r="J496" i="9"/>
  <c r="J497" i="9"/>
  <c r="J498" i="9"/>
  <c r="J499" i="9"/>
  <c r="J500" i="9"/>
  <c r="J501" i="9"/>
  <c r="J502" i="9"/>
  <c r="K495" i="9"/>
  <c r="K496" i="9"/>
  <c r="K497" i="9"/>
  <c r="K498" i="9"/>
  <c r="K499" i="9"/>
  <c r="K500" i="9"/>
  <c r="K501" i="9"/>
  <c r="K502" i="9"/>
  <c r="L495" i="9"/>
  <c r="L496" i="9"/>
  <c r="L497" i="9"/>
  <c r="L498" i="9"/>
  <c r="L499" i="9"/>
  <c r="L500" i="9"/>
  <c r="L501" i="9"/>
  <c r="L502" i="9"/>
  <c r="M495" i="9"/>
  <c r="M496" i="9"/>
  <c r="M497" i="9"/>
  <c r="M498" i="9"/>
  <c r="M499" i="9"/>
  <c r="M500" i="9"/>
  <c r="M501" i="9"/>
  <c r="M502" i="9"/>
  <c r="R495" i="9"/>
  <c r="Q495" i="9" s="1"/>
  <c r="R496" i="9"/>
  <c r="Q496" i="9" s="1"/>
  <c r="R497" i="9"/>
  <c r="Q497" i="9" s="1"/>
  <c r="R498" i="9"/>
  <c r="Q498" i="9" s="1"/>
  <c r="R499" i="9"/>
  <c r="Q499" i="9" s="1"/>
  <c r="R500" i="9"/>
  <c r="Q500" i="9" s="1"/>
  <c r="R501" i="9"/>
  <c r="Q501" i="9" s="1"/>
  <c r="R502" i="9"/>
  <c r="Q502" i="9" s="1"/>
  <c r="C477" i="9" l="1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489" i="9"/>
  <c r="I490" i="9"/>
  <c r="I491" i="9"/>
  <c r="I492" i="9"/>
  <c r="I493" i="9"/>
  <c r="I494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K477" i="9"/>
  <c r="K478" i="9"/>
  <c r="K479" i="9"/>
  <c r="K480" i="9"/>
  <c r="K481" i="9"/>
  <c r="K482" i="9"/>
  <c r="K483" i="9"/>
  <c r="K484" i="9"/>
  <c r="K485" i="9"/>
  <c r="K486" i="9"/>
  <c r="K487" i="9"/>
  <c r="K488" i="9"/>
  <c r="K489" i="9"/>
  <c r="K490" i="9"/>
  <c r="K491" i="9"/>
  <c r="K492" i="9"/>
  <c r="K493" i="9"/>
  <c r="K494" i="9"/>
  <c r="L477" i="9"/>
  <c r="L478" i="9"/>
  <c r="L479" i="9"/>
  <c r="M479" i="9" s="1"/>
  <c r="L480" i="9"/>
  <c r="L481" i="9"/>
  <c r="M481" i="9" s="1"/>
  <c r="L482" i="9"/>
  <c r="L483" i="9"/>
  <c r="M483" i="9" s="1"/>
  <c r="L484" i="9"/>
  <c r="L485" i="9"/>
  <c r="M485" i="9" s="1"/>
  <c r="L486" i="9"/>
  <c r="L487" i="9"/>
  <c r="M487" i="9" s="1"/>
  <c r="L488" i="9"/>
  <c r="L489" i="9"/>
  <c r="M489" i="9" s="1"/>
  <c r="L490" i="9"/>
  <c r="L491" i="9"/>
  <c r="M491" i="9" s="1"/>
  <c r="L492" i="9"/>
  <c r="L493" i="9"/>
  <c r="L494" i="9"/>
  <c r="M477" i="9"/>
  <c r="M478" i="9"/>
  <c r="M480" i="9"/>
  <c r="M482" i="9"/>
  <c r="M484" i="9"/>
  <c r="M486" i="9"/>
  <c r="M488" i="9"/>
  <c r="M490" i="9"/>
  <c r="M492" i="9"/>
  <c r="M493" i="9"/>
  <c r="M494" i="9"/>
  <c r="R477" i="9"/>
  <c r="Q477" i="9" s="1"/>
  <c r="R478" i="9"/>
  <c r="Q478" i="9" s="1"/>
  <c r="R479" i="9"/>
  <c r="Q479" i="9" s="1"/>
  <c r="R480" i="9"/>
  <c r="Q480" i="9" s="1"/>
  <c r="R481" i="9"/>
  <c r="Q481" i="9" s="1"/>
  <c r="R482" i="9"/>
  <c r="Q482" i="9" s="1"/>
  <c r="R483" i="9"/>
  <c r="Q483" i="9" s="1"/>
  <c r="R484" i="9"/>
  <c r="Q484" i="9" s="1"/>
  <c r="R485" i="9"/>
  <c r="Q485" i="9" s="1"/>
  <c r="R486" i="9"/>
  <c r="Q486" i="9" s="1"/>
  <c r="R487" i="9"/>
  <c r="Q487" i="9" s="1"/>
  <c r="R488" i="9"/>
  <c r="Q488" i="9" s="1"/>
  <c r="R489" i="9"/>
  <c r="Q489" i="9" s="1"/>
  <c r="R490" i="9"/>
  <c r="Q490" i="9" s="1"/>
  <c r="R491" i="9"/>
  <c r="Q491" i="9" s="1"/>
  <c r="R492" i="9"/>
  <c r="Q492" i="9" s="1"/>
  <c r="R493" i="9"/>
  <c r="Q493" i="9" s="1"/>
  <c r="R494" i="9"/>
  <c r="Q494" i="9" s="1"/>
  <c r="Y10" i="15" l="1"/>
  <c r="K10" i="15" s="1"/>
  <c r="Y11" i="15"/>
  <c r="K11" i="15" s="1"/>
  <c r="Y12" i="15"/>
  <c r="K12" i="15" s="1"/>
  <c r="Y13" i="15"/>
  <c r="K13" i="15" s="1"/>
  <c r="Y14" i="15"/>
  <c r="K14" i="15" s="1"/>
  <c r="Y15" i="15"/>
  <c r="K15" i="15" s="1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I476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K476" i="9"/>
  <c r="L461" i="9"/>
  <c r="L462" i="9"/>
  <c r="L463" i="9"/>
  <c r="L464" i="9"/>
  <c r="L465" i="9"/>
  <c r="L466" i="9"/>
  <c r="L467" i="9"/>
  <c r="L468" i="9"/>
  <c r="L469" i="9"/>
  <c r="L470" i="9"/>
  <c r="L471" i="9"/>
  <c r="L472" i="9"/>
  <c r="L473" i="9"/>
  <c r="L474" i="9"/>
  <c r="L475" i="9"/>
  <c r="L476" i="9"/>
  <c r="M461" i="9"/>
  <c r="M462" i="9"/>
  <c r="M463" i="9"/>
  <c r="M464" i="9"/>
  <c r="M465" i="9"/>
  <c r="M466" i="9"/>
  <c r="M467" i="9"/>
  <c r="M468" i="9"/>
  <c r="M469" i="9"/>
  <c r="M470" i="9"/>
  <c r="M471" i="9"/>
  <c r="M472" i="9"/>
  <c r="M473" i="9"/>
  <c r="M474" i="9"/>
  <c r="M475" i="9"/>
  <c r="M476" i="9"/>
  <c r="R461" i="9"/>
  <c r="Q461" i="9" s="1"/>
  <c r="R462" i="9"/>
  <c r="Q462" i="9" s="1"/>
  <c r="R463" i="9"/>
  <c r="Q463" i="9" s="1"/>
  <c r="R464" i="9"/>
  <c r="Q464" i="9" s="1"/>
  <c r="R465" i="9"/>
  <c r="Q465" i="9" s="1"/>
  <c r="R466" i="9"/>
  <c r="Q466" i="9" s="1"/>
  <c r="R467" i="9"/>
  <c r="Q467" i="9" s="1"/>
  <c r="R468" i="9"/>
  <c r="Q468" i="9" s="1"/>
  <c r="R469" i="9"/>
  <c r="Q469" i="9" s="1"/>
  <c r="R470" i="9"/>
  <c r="Q470" i="9" s="1"/>
  <c r="R471" i="9"/>
  <c r="Q471" i="9" s="1"/>
  <c r="R472" i="9"/>
  <c r="Q472" i="9" s="1"/>
  <c r="R473" i="9"/>
  <c r="Q473" i="9" s="1"/>
  <c r="R474" i="9"/>
  <c r="Q474" i="9" s="1"/>
  <c r="R475" i="9"/>
  <c r="Q475" i="9" s="1"/>
  <c r="R476" i="9"/>
  <c r="Q476" i="9" s="1"/>
  <c r="C447" i="9" l="1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I447" i="9"/>
  <c r="I448" i="9"/>
  <c r="I449" i="9"/>
  <c r="I450" i="9"/>
  <c r="I451" i="9"/>
  <c r="I452" i="9"/>
  <c r="I453" i="9"/>
  <c r="I454" i="9"/>
  <c r="I455" i="9"/>
  <c r="I456" i="9"/>
  <c r="I457" i="9"/>
  <c r="I458" i="9"/>
  <c r="I459" i="9"/>
  <c r="I460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L447" i="9"/>
  <c r="L448" i="9"/>
  <c r="L449" i="9"/>
  <c r="M449" i="9" s="1"/>
  <c r="L450" i="9"/>
  <c r="L451" i="9"/>
  <c r="M451" i="9" s="1"/>
  <c r="L452" i="9"/>
  <c r="L453" i="9"/>
  <c r="M453" i="9" s="1"/>
  <c r="L454" i="9"/>
  <c r="L455" i="9"/>
  <c r="L456" i="9"/>
  <c r="L457" i="9"/>
  <c r="M457" i="9" s="1"/>
  <c r="L458" i="9"/>
  <c r="L459" i="9"/>
  <c r="L460" i="9"/>
  <c r="M447" i="9"/>
  <c r="M448" i="9"/>
  <c r="M450" i="9"/>
  <c r="M452" i="9"/>
  <c r="M454" i="9"/>
  <c r="M455" i="9"/>
  <c r="M456" i="9"/>
  <c r="M458" i="9"/>
  <c r="M459" i="9"/>
  <c r="M460" i="9"/>
  <c r="R447" i="9"/>
  <c r="Q447" i="9" s="1"/>
  <c r="R448" i="9"/>
  <c r="Q448" i="9" s="1"/>
  <c r="R449" i="9"/>
  <c r="Q449" i="9" s="1"/>
  <c r="R450" i="9"/>
  <c r="Q450" i="9" s="1"/>
  <c r="R451" i="9"/>
  <c r="Q451" i="9" s="1"/>
  <c r="R452" i="9"/>
  <c r="Q452" i="9" s="1"/>
  <c r="R453" i="9"/>
  <c r="Q453" i="9" s="1"/>
  <c r="R454" i="9"/>
  <c r="Q454" i="9" s="1"/>
  <c r="R455" i="9"/>
  <c r="Q455" i="9" s="1"/>
  <c r="R456" i="9"/>
  <c r="Q456" i="9" s="1"/>
  <c r="R457" i="9"/>
  <c r="Q457" i="9" s="1"/>
  <c r="R458" i="9"/>
  <c r="Q458" i="9" s="1"/>
  <c r="R459" i="9"/>
  <c r="Q459" i="9" s="1"/>
  <c r="R460" i="9"/>
  <c r="Q460" i="9" s="1"/>
  <c r="C427" i="9" l="1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I427" i="9"/>
  <c r="I428" i="9"/>
  <c r="I429" i="9"/>
  <c r="I430" i="9"/>
  <c r="I431" i="9"/>
  <c r="I432" i="9"/>
  <c r="I433" i="9"/>
  <c r="I434" i="9"/>
  <c r="I435" i="9"/>
  <c r="I436" i="9"/>
  <c r="I437" i="9"/>
  <c r="I438" i="9"/>
  <c r="I439" i="9"/>
  <c r="I440" i="9"/>
  <c r="I441" i="9"/>
  <c r="I442" i="9"/>
  <c r="I443" i="9"/>
  <c r="I444" i="9"/>
  <c r="I445" i="9"/>
  <c r="I44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L427" i="9"/>
  <c r="L428" i="9"/>
  <c r="L429" i="9"/>
  <c r="L430" i="9"/>
  <c r="L431" i="9"/>
  <c r="L432" i="9"/>
  <c r="L433" i="9"/>
  <c r="L434" i="9"/>
  <c r="L435" i="9"/>
  <c r="L436" i="9"/>
  <c r="L437" i="9"/>
  <c r="L438" i="9"/>
  <c r="L439" i="9"/>
  <c r="L440" i="9"/>
  <c r="L441" i="9"/>
  <c r="L442" i="9"/>
  <c r="L443" i="9"/>
  <c r="L444" i="9"/>
  <c r="L445" i="9"/>
  <c r="L44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445" i="9"/>
  <c r="M446" i="9"/>
  <c r="R427" i="9"/>
  <c r="Q427" i="9" s="1"/>
  <c r="R428" i="9"/>
  <c r="Q428" i="9" s="1"/>
  <c r="R429" i="9"/>
  <c r="Q429" i="9" s="1"/>
  <c r="R430" i="9"/>
  <c r="Q430" i="9" s="1"/>
  <c r="R431" i="9"/>
  <c r="Q431" i="9" s="1"/>
  <c r="R432" i="9"/>
  <c r="Q432" i="9" s="1"/>
  <c r="R433" i="9"/>
  <c r="Q433" i="9" s="1"/>
  <c r="R434" i="9"/>
  <c r="Q434" i="9" s="1"/>
  <c r="R435" i="9"/>
  <c r="Q435" i="9" s="1"/>
  <c r="R436" i="9"/>
  <c r="Q436" i="9" s="1"/>
  <c r="R437" i="9"/>
  <c r="Q437" i="9" s="1"/>
  <c r="R438" i="9"/>
  <c r="Q438" i="9" s="1"/>
  <c r="R439" i="9"/>
  <c r="Q439" i="9" s="1"/>
  <c r="R440" i="9"/>
  <c r="Q440" i="9" s="1"/>
  <c r="R441" i="9"/>
  <c r="Q441" i="9" s="1"/>
  <c r="R442" i="9"/>
  <c r="Q442" i="9" s="1"/>
  <c r="R443" i="9"/>
  <c r="Q443" i="9" s="1"/>
  <c r="R444" i="9"/>
  <c r="Q444" i="9" s="1"/>
  <c r="R445" i="9"/>
  <c r="Q445" i="9" s="1"/>
  <c r="R446" i="9"/>
  <c r="Q446" i="9" s="1"/>
  <c r="K23" i="8"/>
  <c r="K24" i="8"/>
  <c r="K25" i="8"/>
  <c r="K26" i="8"/>
  <c r="K27" i="8"/>
  <c r="K28" i="8"/>
  <c r="K29" i="8"/>
  <c r="K30" i="8"/>
  <c r="K31" i="8"/>
  <c r="K3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C422" i="9" l="1"/>
  <c r="C423" i="9"/>
  <c r="C424" i="9"/>
  <c r="C425" i="9"/>
  <c r="C426" i="9"/>
  <c r="I422" i="9"/>
  <c r="I423" i="9"/>
  <c r="I424" i="9"/>
  <c r="I425" i="9"/>
  <c r="I426" i="9"/>
  <c r="J422" i="9"/>
  <c r="J423" i="9"/>
  <c r="J424" i="9"/>
  <c r="J425" i="9"/>
  <c r="J426" i="9"/>
  <c r="K422" i="9"/>
  <c r="K423" i="9"/>
  <c r="K424" i="9"/>
  <c r="K425" i="9"/>
  <c r="K426" i="9"/>
  <c r="L422" i="9"/>
  <c r="L423" i="9"/>
  <c r="L424" i="9"/>
  <c r="L425" i="9"/>
  <c r="M425" i="9" s="1"/>
  <c r="L426" i="9"/>
  <c r="M422" i="9"/>
  <c r="M423" i="9"/>
  <c r="M424" i="9"/>
  <c r="M426" i="9"/>
  <c r="R422" i="9"/>
  <c r="Q422" i="9" s="1"/>
  <c r="R423" i="9"/>
  <c r="Q423" i="9" s="1"/>
  <c r="R424" i="9"/>
  <c r="Q424" i="9" s="1"/>
  <c r="R425" i="9"/>
  <c r="Q425" i="9" s="1"/>
  <c r="R426" i="9"/>
  <c r="Q426" i="9" s="1"/>
  <c r="N14" i="15"/>
  <c r="N15" i="15"/>
  <c r="U14" i="15"/>
  <c r="U15" i="15"/>
  <c r="V14" i="15"/>
  <c r="X14" i="15" s="1"/>
  <c r="V15" i="15"/>
  <c r="X15" i="15"/>
  <c r="C410" i="9"/>
  <c r="C411" i="9"/>
  <c r="C412" i="9"/>
  <c r="C413" i="9"/>
  <c r="C414" i="9"/>
  <c r="C415" i="9"/>
  <c r="C416" i="9"/>
  <c r="C417" i="9"/>
  <c r="C418" i="9"/>
  <c r="C419" i="9"/>
  <c r="C420" i="9"/>
  <c r="C421" i="9"/>
  <c r="I410" i="9"/>
  <c r="I411" i="9"/>
  <c r="I412" i="9"/>
  <c r="I413" i="9"/>
  <c r="I414" i="9"/>
  <c r="I415" i="9"/>
  <c r="I416" i="9"/>
  <c r="I417" i="9"/>
  <c r="I418" i="9"/>
  <c r="I419" i="9"/>
  <c r="I420" i="9"/>
  <c r="I421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K410" i="9"/>
  <c r="K411" i="9"/>
  <c r="K412" i="9"/>
  <c r="K413" i="9"/>
  <c r="K414" i="9"/>
  <c r="K415" i="9"/>
  <c r="K416" i="9"/>
  <c r="K417" i="9"/>
  <c r="K418" i="9"/>
  <c r="K419" i="9"/>
  <c r="K420" i="9"/>
  <c r="K421" i="9"/>
  <c r="L410" i="9"/>
  <c r="M410" i="9" s="1"/>
  <c r="L411" i="9"/>
  <c r="M411" i="9" s="1"/>
  <c r="L412" i="9"/>
  <c r="L413" i="9"/>
  <c r="M413" i="9" s="1"/>
  <c r="L414" i="9"/>
  <c r="L415" i="9"/>
  <c r="M415" i="9" s="1"/>
  <c r="L416" i="9"/>
  <c r="L417" i="9"/>
  <c r="L418" i="9"/>
  <c r="L419" i="9"/>
  <c r="M419" i="9" s="1"/>
  <c r="L420" i="9"/>
  <c r="L421" i="9"/>
  <c r="M421" i="9" s="1"/>
  <c r="M412" i="9"/>
  <c r="M414" i="9"/>
  <c r="M416" i="9"/>
  <c r="M417" i="9"/>
  <c r="M418" i="9"/>
  <c r="M420" i="9"/>
  <c r="R410" i="9"/>
  <c r="Q410" i="9" s="1"/>
  <c r="R411" i="9"/>
  <c r="Q411" i="9" s="1"/>
  <c r="R412" i="9"/>
  <c r="Q412" i="9" s="1"/>
  <c r="R413" i="9"/>
  <c r="Q413" i="9" s="1"/>
  <c r="R414" i="9"/>
  <c r="Q414" i="9" s="1"/>
  <c r="R415" i="9"/>
  <c r="Q415" i="9" s="1"/>
  <c r="R416" i="9"/>
  <c r="Q416" i="9" s="1"/>
  <c r="R417" i="9"/>
  <c r="Q417" i="9" s="1"/>
  <c r="R418" i="9"/>
  <c r="Q418" i="9" s="1"/>
  <c r="R419" i="9"/>
  <c r="Q419" i="9" s="1"/>
  <c r="R420" i="9"/>
  <c r="Q420" i="9" s="1"/>
  <c r="R421" i="9"/>
  <c r="Q421" i="9" s="1"/>
  <c r="W15" i="15" l="1"/>
  <c r="T15" i="15"/>
  <c r="S15" i="15" s="1"/>
  <c r="W14" i="15"/>
  <c r="T14" i="15"/>
  <c r="S14" i="15" s="1"/>
  <c r="C406" i="9"/>
  <c r="C407" i="9"/>
  <c r="C408" i="9"/>
  <c r="C409" i="9"/>
  <c r="I406" i="9"/>
  <c r="I407" i="9"/>
  <c r="I408" i="9"/>
  <c r="I409" i="9"/>
  <c r="J406" i="9"/>
  <c r="J407" i="9"/>
  <c r="J408" i="9"/>
  <c r="J409" i="9"/>
  <c r="K406" i="9"/>
  <c r="K407" i="9"/>
  <c r="K408" i="9"/>
  <c r="K409" i="9"/>
  <c r="L406" i="9"/>
  <c r="L407" i="9"/>
  <c r="L408" i="9"/>
  <c r="M408" i="9" s="1"/>
  <c r="L409" i="9"/>
  <c r="M406" i="9"/>
  <c r="M407" i="9"/>
  <c r="M409" i="9"/>
  <c r="R406" i="9"/>
  <c r="Q406" i="9" s="1"/>
  <c r="R407" i="9"/>
  <c r="Q407" i="9" s="1"/>
  <c r="R408" i="9"/>
  <c r="Q408" i="9" s="1"/>
  <c r="R409" i="9"/>
  <c r="Q409" i="9" s="1"/>
  <c r="C394" i="9" l="1"/>
  <c r="C395" i="9"/>
  <c r="C396" i="9"/>
  <c r="C397" i="9"/>
  <c r="C398" i="9"/>
  <c r="C399" i="9"/>
  <c r="C400" i="9"/>
  <c r="C401" i="9"/>
  <c r="C402" i="9"/>
  <c r="C403" i="9"/>
  <c r="C404" i="9"/>
  <c r="C405" i="9"/>
  <c r="I394" i="9"/>
  <c r="I395" i="9"/>
  <c r="I396" i="9"/>
  <c r="I397" i="9"/>
  <c r="I398" i="9"/>
  <c r="I399" i="9"/>
  <c r="I400" i="9"/>
  <c r="I401" i="9"/>
  <c r="I402" i="9"/>
  <c r="I403" i="9"/>
  <c r="I404" i="9"/>
  <c r="I405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L394" i="9"/>
  <c r="L395" i="9"/>
  <c r="L396" i="9"/>
  <c r="L397" i="9"/>
  <c r="L398" i="9"/>
  <c r="L399" i="9"/>
  <c r="L400" i="9"/>
  <c r="L401" i="9"/>
  <c r="L402" i="9"/>
  <c r="L403" i="9"/>
  <c r="L404" i="9"/>
  <c r="L405" i="9"/>
  <c r="M394" i="9"/>
  <c r="M395" i="9"/>
  <c r="M396" i="9"/>
  <c r="M397" i="9"/>
  <c r="M398" i="9"/>
  <c r="M399" i="9"/>
  <c r="M400" i="9"/>
  <c r="M401" i="9"/>
  <c r="M402" i="9"/>
  <c r="M403" i="9"/>
  <c r="M404" i="9"/>
  <c r="M405" i="9"/>
  <c r="R394" i="9"/>
  <c r="Q394" i="9" s="1"/>
  <c r="R395" i="9"/>
  <c r="Q395" i="9" s="1"/>
  <c r="R396" i="9"/>
  <c r="Q396" i="9" s="1"/>
  <c r="R397" i="9"/>
  <c r="Q397" i="9" s="1"/>
  <c r="R398" i="9"/>
  <c r="Q398" i="9" s="1"/>
  <c r="R399" i="9"/>
  <c r="Q399" i="9" s="1"/>
  <c r="R400" i="9"/>
  <c r="Q400" i="9" s="1"/>
  <c r="R401" i="9"/>
  <c r="Q401" i="9" s="1"/>
  <c r="R402" i="9"/>
  <c r="Q402" i="9" s="1"/>
  <c r="R403" i="9"/>
  <c r="Q403" i="9" s="1"/>
  <c r="R404" i="9"/>
  <c r="Q404" i="9" s="1"/>
  <c r="R405" i="9"/>
  <c r="Q405" i="9" s="1"/>
  <c r="C387" i="9" l="1"/>
  <c r="C388" i="9"/>
  <c r="C389" i="9"/>
  <c r="C390" i="9"/>
  <c r="C391" i="9"/>
  <c r="C392" i="9"/>
  <c r="C393" i="9"/>
  <c r="I387" i="9"/>
  <c r="I388" i="9"/>
  <c r="I389" i="9"/>
  <c r="I390" i="9"/>
  <c r="I391" i="9"/>
  <c r="I392" i="9"/>
  <c r="I393" i="9"/>
  <c r="J387" i="9"/>
  <c r="J388" i="9"/>
  <c r="J389" i="9"/>
  <c r="J390" i="9"/>
  <c r="J391" i="9"/>
  <c r="J392" i="9"/>
  <c r="J393" i="9"/>
  <c r="K387" i="9"/>
  <c r="K388" i="9"/>
  <c r="K389" i="9"/>
  <c r="K390" i="9"/>
  <c r="K391" i="9"/>
  <c r="K392" i="9"/>
  <c r="K393" i="9"/>
  <c r="L387" i="9"/>
  <c r="M387" i="9" s="1"/>
  <c r="L388" i="9"/>
  <c r="M388" i="9" s="1"/>
  <c r="L389" i="9"/>
  <c r="L390" i="9"/>
  <c r="M390" i="9" s="1"/>
  <c r="L391" i="9"/>
  <c r="M391" i="9" s="1"/>
  <c r="L392" i="9"/>
  <c r="M392" i="9" s="1"/>
  <c r="L393" i="9"/>
  <c r="M393" i="9" s="1"/>
  <c r="M389" i="9"/>
  <c r="R387" i="9"/>
  <c r="Q387" i="9" s="1"/>
  <c r="R388" i="9"/>
  <c r="Q388" i="9" s="1"/>
  <c r="R389" i="9"/>
  <c r="Q389" i="9" s="1"/>
  <c r="R390" i="9"/>
  <c r="Q390" i="9" s="1"/>
  <c r="R391" i="9"/>
  <c r="Q391" i="9" s="1"/>
  <c r="R392" i="9"/>
  <c r="Q392" i="9" s="1"/>
  <c r="R393" i="9"/>
  <c r="Q393" i="9" s="1"/>
  <c r="BW2" i="9" l="1"/>
  <c r="BV2" i="9"/>
  <c r="BT3" i="9"/>
  <c r="BG3" i="9"/>
  <c r="CD2" i="9" s="1"/>
  <c r="AT3" i="9"/>
  <c r="AT4" i="9" s="1"/>
  <c r="AT5" i="9" s="1"/>
  <c r="AT6" i="9" s="1"/>
  <c r="AT7" i="9" s="1"/>
  <c r="AT8" i="9" s="1"/>
  <c r="AT9" i="9" s="1"/>
  <c r="AT10" i="9" s="1"/>
  <c r="AT11" i="9" s="1"/>
  <c r="AT12" i="9" s="1"/>
  <c r="AT13" i="9" s="1"/>
  <c r="AT14" i="9" s="1"/>
  <c r="AT15" i="9" s="1"/>
  <c r="AT16" i="9" s="1"/>
  <c r="AT17" i="9" s="1"/>
  <c r="AT18" i="9" s="1"/>
  <c r="R4" i="9"/>
  <c r="Q4" i="9" s="1"/>
  <c r="R5" i="9"/>
  <c r="Q5" i="9" s="1"/>
  <c r="R6" i="9"/>
  <c r="Q6" i="9" s="1"/>
  <c r="R7" i="9"/>
  <c r="Q7" i="9" s="1"/>
  <c r="R8" i="9"/>
  <c r="Q8" i="9" s="1"/>
  <c r="R9" i="9"/>
  <c r="Q9" i="9" s="1"/>
  <c r="R10" i="9"/>
  <c r="Q10" i="9" s="1"/>
  <c r="R11" i="9"/>
  <c r="Q11" i="9" s="1"/>
  <c r="R12" i="9"/>
  <c r="Q12" i="9" s="1"/>
  <c r="R13" i="9"/>
  <c r="Q13" i="9" s="1"/>
  <c r="R14" i="9"/>
  <c r="Q14" i="9" s="1"/>
  <c r="R15" i="9"/>
  <c r="Q15" i="9" s="1"/>
  <c r="R16" i="9"/>
  <c r="Q16" i="9" s="1"/>
  <c r="R17" i="9"/>
  <c r="Q17" i="9" s="1"/>
  <c r="R18" i="9"/>
  <c r="Q18" i="9" s="1"/>
  <c r="R19" i="9"/>
  <c r="Q19" i="9" s="1"/>
  <c r="R20" i="9"/>
  <c r="Q20" i="9" s="1"/>
  <c r="R21" i="9"/>
  <c r="Q21" i="9" s="1"/>
  <c r="R22" i="9"/>
  <c r="Q22" i="9" s="1"/>
  <c r="R23" i="9"/>
  <c r="Q23" i="9" s="1"/>
  <c r="R24" i="9"/>
  <c r="Q24" i="9" s="1"/>
  <c r="R25" i="9"/>
  <c r="Q25" i="9" s="1"/>
  <c r="R26" i="9"/>
  <c r="Q26" i="9" s="1"/>
  <c r="R27" i="9"/>
  <c r="Q27" i="9" s="1"/>
  <c r="R28" i="9"/>
  <c r="Q28" i="9" s="1"/>
  <c r="R29" i="9"/>
  <c r="Q29" i="9" s="1"/>
  <c r="R30" i="9"/>
  <c r="Q30" i="9" s="1"/>
  <c r="R31" i="9"/>
  <c r="Q31" i="9" s="1"/>
  <c r="R32" i="9"/>
  <c r="Q32" i="9" s="1"/>
  <c r="R33" i="9"/>
  <c r="Q33" i="9" s="1"/>
  <c r="R34" i="9"/>
  <c r="Q34" i="9" s="1"/>
  <c r="R35" i="9"/>
  <c r="Q35" i="9" s="1"/>
  <c r="R36" i="9"/>
  <c r="Q36" i="9" s="1"/>
  <c r="R37" i="9"/>
  <c r="Q37" i="9" s="1"/>
  <c r="R38" i="9"/>
  <c r="Q38" i="9" s="1"/>
  <c r="R39" i="9"/>
  <c r="Q39" i="9" s="1"/>
  <c r="R40" i="9"/>
  <c r="Q40" i="9" s="1"/>
  <c r="R41" i="9"/>
  <c r="Q41" i="9" s="1"/>
  <c r="R42" i="9"/>
  <c r="Q42" i="9" s="1"/>
  <c r="R43" i="9"/>
  <c r="Q43" i="9" s="1"/>
  <c r="R44" i="9"/>
  <c r="Q44" i="9" s="1"/>
  <c r="R45" i="9"/>
  <c r="Q45" i="9" s="1"/>
  <c r="R46" i="9"/>
  <c r="Q46" i="9" s="1"/>
  <c r="R47" i="9"/>
  <c r="Q47" i="9" s="1"/>
  <c r="R48" i="9"/>
  <c r="Q48" i="9" s="1"/>
  <c r="R49" i="9"/>
  <c r="Q49" i="9" s="1"/>
  <c r="R50" i="9"/>
  <c r="Q50" i="9" s="1"/>
  <c r="R51" i="9"/>
  <c r="Q51" i="9" s="1"/>
  <c r="R52" i="9"/>
  <c r="Q52" i="9" s="1"/>
  <c r="R53" i="9"/>
  <c r="Q53" i="9" s="1"/>
  <c r="R54" i="9"/>
  <c r="Q54" i="9" s="1"/>
  <c r="R55" i="9"/>
  <c r="Q55" i="9" s="1"/>
  <c r="R56" i="9"/>
  <c r="Q56" i="9" s="1"/>
  <c r="R57" i="9"/>
  <c r="Q57" i="9" s="1"/>
  <c r="R58" i="9"/>
  <c r="Q58" i="9" s="1"/>
  <c r="R59" i="9"/>
  <c r="Q59" i="9" s="1"/>
  <c r="R60" i="9"/>
  <c r="Q60" i="9" s="1"/>
  <c r="R61" i="9"/>
  <c r="Q61" i="9" s="1"/>
  <c r="R62" i="9"/>
  <c r="Q62" i="9" s="1"/>
  <c r="R63" i="9"/>
  <c r="Q63" i="9" s="1"/>
  <c r="R64" i="9"/>
  <c r="Q64" i="9" s="1"/>
  <c r="R65" i="9"/>
  <c r="Q65" i="9" s="1"/>
  <c r="R66" i="9"/>
  <c r="Q66" i="9" s="1"/>
  <c r="R67" i="9"/>
  <c r="Q67" i="9" s="1"/>
  <c r="R68" i="9"/>
  <c r="Q68" i="9" s="1"/>
  <c r="R69" i="9"/>
  <c r="Q69" i="9" s="1"/>
  <c r="R70" i="9"/>
  <c r="Q70" i="9" s="1"/>
  <c r="R71" i="9"/>
  <c r="Q71" i="9" s="1"/>
  <c r="R72" i="9"/>
  <c r="Q72" i="9" s="1"/>
  <c r="R73" i="9"/>
  <c r="Q73" i="9" s="1"/>
  <c r="R74" i="9"/>
  <c r="Q74" i="9" s="1"/>
  <c r="R75" i="9"/>
  <c r="Q75" i="9" s="1"/>
  <c r="R76" i="9"/>
  <c r="Q76" i="9" s="1"/>
  <c r="R77" i="9"/>
  <c r="Q77" i="9" s="1"/>
  <c r="R78" i="9"/>
  <c r="Q78" i="9" s="1"/>
  <c r="R79" i="9"/>
  <c r="Q79" i="9" s="1"/>
  <c r="R80" i="9"/>
  <c r="Q80" i="9" s="1"/>
  <c r="R81" i="9"/>
  <c r="Q81" i="9" s="1"/>
  <c r="R82" i="9"/>
  <c r="Q82" i="9" s="1"/>
  <c r="R83" i="9"/>
  <c r="Q83" i="9" s="1"/>
  <c r="R84" i="9"/>
  <c r="Q84" i="9" s="1"/>
  <c r="R85" i="9"/>
  <c r="Q85" i="9" s="1"/>
  <c r="R86" i="9"/>
  <c r="Q86" i="9" s="1"/>
  <c r="R87" i="9"/>
  <c r="Q87" i="9" s="1"/>
  <c r="R88" i="9"/>
  <c r="Q88" i="9" s="1"/>
  <c r="R89" i="9"/>
  <c r="Q89" i="9" s="1"/>
  <c r="R90" i="9"/>
  <c r="Q90" i="9" s="1"/>
  <c r="R91" i="9"/>
  <c r="Q91" i="9" s="1"/>
  <c r="R92" i="9"/>
  <c r="Q92" i="9" s="1"/>
  <c r="R93" i="9"/>
  <c r="Q93" i="9" s="1"/>
  <c r="R94" i="9"/>
  <c r="Q94" i="9" s="1"/>
  <c r="R95" i="9"/>
  <c r="Q95" i="9" s="1"/>
  <c r="R96" i="9"/>
  <c r="Q96" i="9" s="1"/>
  <c r="R97" i="9"/>
  <c r="Q97" i="9" s="1"/>
  <c r="R98" i="9"/>
  <c r="Q98" i="9" s="1"/>
  <c r="R99" i="9"/>
  <c r="Q99" i="9" s="1"/>
  <c r="R100" i="9"/>
  <c r="Q100" i="9" s="1"/>
  <c r="R101" i="9"/>
  <c r="Q101" i="9" s="1"/>
  <c r="R102" i="9"/>
  <c r="Q102" i="9" s="1"/>
  <c r="R103" i="9"/>
  <c r="Q103" i="9" s="1"/>
  <c r="R104" i="9"/>
  <c r="Q104" i="9" s="1"/>
  <c r="R105" i="9"/>
  <c r="Q105" i="9" s="1"/>
  <c r="R106" i="9"/>
  <c r="Q106" i="9" s="1"/>
  <c r="R107" i="9"/>
  <c r="Q107" i="9" s="1"/>
  <c r="R108" i="9"/>
  <c r="Q108" i="9" s="1"/>
  <c r="R109" i="9"/>
  <c r="Q109" i="9" s="1"/>
  <c r="R110" i="9"/>
  <c r="Q110" i="9" s="1"/>
  <c r="R111" i="9"/>
  <c r="Q111" i="9" s="1"/>
  <c r="R112" i="9"/>
  <c r="Q112" i="9" s="1"/>
  <c r="R113" i="9"/>
  <c r="Q113" i="9" s="1"/>
  <c r="R114" i="9"/>
  <c r="Q114" i="9" s="1"/>
  <c r="R115" i="9"/>
  <c r="Q115" i="9" s="1"/>
  <c r="R116" i="9"/>
  <c r="Q116" i="9" s="1"/>
  <c r="R117" i="9"/>
  <c r="Q117" i="9" s="1"/>
  <c r="R118" i="9"/>
  <c r="Q118" i="9" s="1"/>
  <c r="R119" i="9"/>
  <c r="Q119" i="9" s="1"/>
  <c r="R120" i="9"/>
  <c r="Q120" i="9" s="1"/>
  <c r="R121" i="9"/>
  <c r="Q121" i="9" s="1"/>
  <c r="R122" i="9"/>
  <c r="Q122" i="9" s="1"/>
  <c r="R123" i="9"/>
  <c r="Q123" i="9" s="1"/>
  <c r="R124" i="9"/>
  <c r="Q124" i="9" s="1"/>
  <c r="R125" i="9"/>
  <c r="Q125" i="9" s="1"/>
  <c r="R126" i="9"/>
  <c r="Q126" i="9" s="1"/>
  <c r="R127" i="9"/>
  <c r="Q127" i="9" s="1"/>
  <c r="R128" i="9"/>
  <c r="Q128" i="9" s="1"/>
  <c r="R129" i="9"/>
  <c r="Q129" i="9" s="1"/>
  <c r="R130" i="9"/>
  <c r="Q130" i="9" s="1"/>
  <c r="R131" i="9"/>
  <c r="Q131" i="9" s="1"/>
  <c r="R132" i="9"/>
  <c r="Q132" i="9" s="1"/>
  <c r="R133" i="9"/>
  <c r="Q133" i="9" s="1"/>
  <c r="R134" i="9"/>
  <c r="Q134" i="9" s="1"/>
  <c r="R135" i="9"/>
  <c r="Q135" i="9" s="1"/>
  <c r="R136" i="9"/>
  <c r="Q136" i="9" s="1"/>
  <c r="R137" i="9"/>
  <c r="Q137" i="9" s="1"/>
  <c r="R138" i="9"/>
  <c r="Q138" i="9" s="1"/>
  <c r="R139" i="9"/>
  <c r="Q139" i="9" s="1"/>
  <c r="R140" i="9"/>
  <c r="Q140" i="9" s="1"/>
  <c r="R141" i="9"/>
  <c r="Q141" i="9" s="1"/>
  <c r="R142" i="9"/>
  <c r="Q142" i="9" s="1"/>
  <c r="R143" i="9"/>
  <c r="Q143" i="9" s="1"/>
  <c r="R144" i="9"/>
  <c r="Q144" i="9" s="1"/>
  <c r="R145" i="9"/>
  <c r="Q145" i="9" s="1"/>
  <c r="R146" i="9"/>
  <c r="Q146" i="9" s="1"/>
  <c r="R147" i="9"/>
  <c r="Q147" i="9" s="1"/>
  <c r="R148" i="9"/>
  <c r="Q148" i="9" s="1"/>
  <c r="R149" i="9"/>
  <c r="Q149" i="9" s="1"/>
  <c r="R150" i="9"/>
  <c r="Q150" i="9" s="1"/>
  <c r="R151" i="9"/>
  <c r="Q151" i="9" s="1"/>
  <c r="R152" i="9"/>
  <c r="Q152" i="9" s="1"/>
  <c r="R153" i="9"/>
  <c r="Q153" i="9" s="1"/>
  <c r="R154" i="9"/>
  <c r="Q154" i="9" s="1"/>
  <c r="R155" i="9"/>
  <c r="Q155" i="9" s="1"/>
  <c r="R156" i="9"/>
  <c r="Q156" i="9" s="1"/>
  <c r="R157" i="9"/>
  <c r="Q157" i="9" s="1"/>
  <c r="R158" i="9"/>
  <c r="Q158" i="9" s="1"/>
  <c r="R159" i="9"/>
  <c r="Q159" i="9" s="1"/>
  <c r="R160" i="9"/>
  <c r="Q160" i="9" s="1"/>
  <c r="R161" i="9"/>
  <c r="Q161" i="9" s="1"/>
  <c r="R162" i="9"/>
  <c r="Q162" i="9" s="1"/>
  <c r="R163" i="9"/>
  <c r="Q163" i="9" s="1"/>
  <c r="R164" i="9"/>
  <c r="Q164" i="9" s="1"/>
  <c r="R165" i="9"/>
  <c r="Q165" i="9" s="1"/>
  <c r="R166" i="9"/>
  <c r="Q166" i="9" s="1"/>
  <c r="R167" i="9"/>
  <c r="Q167" i="9" s="1"/>
  <c r="R168" i="9"/>
  <c r="Q168" i="9" s="1"/>
  <c r="R169" i="9"/>
  <c r="Q169" i="9" s="1"/>
  <c r="R170" i="9"/>
  <c r="Q170" i="9" s="1"/>
  <c r="R171" i="9"/>
  <c r="Q171" i="9" s="1"/>
  <c r="R172" i="9"/>
  <c r="Q172" i="9" s="1"/>
  <c r="R173" i="9"/>
  <c r="Q173" i="9" s="1"/>
  <c r="R174" i="9"/>
  <c r="Q174" i="9" s="1"/>
  <c r="R175" i="9"/>
  <c r="Q175" i="9" s="1"/>
  <c r="R176" i="9"/>
  <c r="Q176" i="9" s="1"/>
  <c r="R177" i="9"/>
  <c r="Q177" i="9" s="1"/>
  <c r="R178" i="9"/>
  <c r="Q178" i="9" s="1"/>
  <c r="R179" i="9"/>
  <c r="Q179" i="9" s="1"/>
  <c r="R180" i="9"/>
  <c r="Q180" i="9" s="1"/>
  <c r="R181" i="9"/>
  <c r="Q181" i="9" s="1"/>
  <c r="R182" i="9"/>
  <c r="Q182" i="9" s="1"/>
  <c r="R183" i="9"/>
  <c r="Q183" i="9" s="1"/>
  <c r="R184" i="9"/>
  <c r="Q184" i="9" s="1"/>
  <c r="R185" i="9"/>
  <c r="Q185" i="9" s="1"/>
  <c r="R186" i="9"/>
  <c r="Q186" i="9" s="1"/>
  <c r="R187" i="9"/>
  <c r="Q187" i="9" s="1"/>
  <c r="R188" i="9"/>
  <c r="Q188" i="9" s="1"/>
  <c r="R189" i="9"/>
  <c r="Q189" i="9" s="1"/>
  <c r="R190" i="9"/>
  <c r="Q190" i="9" s="1"/>
  <c r="R191" i="9"/>
  <c r="Q191" i="9" s="1"/>
  <c r="R192" i="9"/>
  <c r="Q192" i="9" s="1"/>
  <c r="R193" i="9"/>
  <c r="Q193" i="9" s="1"/>
  <c r="R194" i="9"/>
  <c r="Q194" i="9" s="1"/>
  <c r="R195" i="9"/>
  <c r="Q195" i="9" s="1"/>
  <c r="R196" i="9"/>
  <c r="Q196" i="9" s="1"/>
  <c r="R197" i="9"/>
  <c r="Q197" i="9" s="1"/>
  <c r="R198" i="9"/>
  <c r="Q198" i="9" s="1"/>
  <c r="R199" i="9"/>
  <c r="Q199" i="9" s="1"/>
  <c r="R200" i="9"/>
  <c r="Q200" i="9" s="1"/>
  <c r="R201" i="9"/>
  <c r="Q201" i="9" s="1"/>
  <c r="R202" i="9"/>
  <c r="Q202" i="9" s="1"/>
  <c r="R203" i="9"/>
  <c r="Q203" i="9" s="1"/>
  <c r="R204" i="9"/>
  <c r="Q204" i="9" s="1"/>
  <c r="R205" i="9"/>
  <c r="Q205" i="9" s="1"/>
  <c r="R206" i="9"/>
  <c r="Q206" i="9" s="1"/>
  <c r="R207" i="9"/>
  <c r="Q207" i="9" s="1"/>
  <c r="R208" i="9"/>
  <c r="Q208" i="9" s="1"/>
  <c r="R209" i="9"/>
  <c r="Q209" i="9" s="1"/>
  <c r="R210" i="9"/>
  <c r="Q210" i="9" s="1"/>
  <c r="R211" i="9"/>
  <c r="Q211" i="9" s="1"/>
  <c r="R212" i="9"/>
  <c r="Q212" i="9" s="1"/>
  <c r="R213" i="9"/>
  <c r="Q213" i="9" s="1"/>
  <c r="R214" i="9"/>
  <c r="Q214" i="9" s="1"/>
  <c r="R215" i="9"/>
  <c r="Q215" i="9" s="1"/>
  <c r="R216" i="9"/>
  <c r="Q216" i="9" s="1"/>
  <c r="R217" i="9"/>
  <c r="Q217" i="9" s="1"/>
  <c r="R218" i="9"/>
  <c r="Q218" i="9" s="1"/>
  <c r="R219" i="9"/>
  <c r="Q219" i="9" s="1"/>
  <c r="R220" i="9"/>
  <c r="Q220" i="9" s="1"/>
  <c r="R221" i="9"/>
  <c r="Q221" i="9" s="1"/>
  <c r="R222" i="9"/>
  <c r="Q222" i="9" s="1"/>
  <c r="R223" i="9"/>
  <c r="Q223" i="9" s="1"/>
  <c r="R224" i="9"/>
  <c r="Q224" i="9" s="1"/>
  <c r="R225" i="9"/>
  <c r="Q225" i="9" s="1"/>
  <c r="R226" i="9"/>
  <c r="Q226" i="9" s="1"/>
  <c r="R227" i="9"/>
  <c r="Q227" i="9" s="1"/>
  <c r="R228" i="9"/>
  <c r="Q228" i="9" s="1"/>
  <c r="R229" i="9"/>
  <c r="Q229" i="9" s="1"/>
  <c r="R230" i="9"/>
  <c r="Q230" i="9" s="1"/>
  <c r="R231" i="9"/>
  <c r="Q231" i="9" s="1"/>
  <c r="R232" i="9"/>
  <c r="Q232" i="9" s="1"/>
  <c r="R233" i="9"/>
  <c r="Q233" i="9" s="1"/>
  <c r="R234" i="9"/>
  <c r="Q234" i="9" s="1"/>
  <c r="R235" i="9"/>
  <c r="Q235" i="9" s="1"/>
  <c r="R236" i="9"/>
  <c r="Q236" i="9" s="1"/>
  <c r="R237" i="9"/>
  <c r="Q237" i="9" s="1"/>
  <c r="R238" i="9"/>
  <c r="Q238" i="9" s="1"/>
  <c r="R239" i="9"/>
  <c r="Q239" i="9" s="1"/>
  <c r="R240" i="9"/>
  <c r="Q240" i="9" s="1"/>
  <c r="R241" i="9"/>
  <c r="Q241" i="9" s="1"/>
  <c r="R242" i="9"/>
  <c r="Q242" i="9" s="1"/>
  <c r="R243" i="9"/>
  <c r="Q243" i="9" s="1"/>
  <c r="R244" i="9"/>
  <c r="Q244" i="9" s="1"/>
  <c r="R245" i="9"/>
  <c r="Q245" i="9" s="1"/>
  <c r="R246" i="9"/>
  <c r="Q246" i="9" s="1"/>
  <c r="R247" i="9"/>
  <c r="Q247" i="9" s="1"/>
  <c r="R248" i="9"/>
  <c r="Q248" i="9" s="1"/>
  <c r="R249" i="9"/>
  <c r="Q249" i="9" s="1"/>
  <c r="R250" i="9"/>
  <c r="Q250" i="9" s="1"/>
  <c r="R251" i="9"/>
  <c r="Q251" i="9" s="1"/>
  <c r="R252" i="9"/>
  <c r="Q252" i="9" s="1"/>
  <c r="R253" i="9"/>
  <c r="Q253" i="9" s="1"/>
  <c r="R254" i="9"/>
  <c r="Q254" i="9" s="1"/>
  <c r="R255" i="9"/>
  <c r="Q255" i="9" s="1"/>
  <c r="R256" i="9"/>
  <c r="Q256" i="9" s="1"/>
  <c r="R257" i="9"/>
  <c r="Q257" i="9" s="1"/>
  <c r="R258" i="9"/>
  <c r="Q258" i="9" s="1"/>
  <c r="R259" i="9"/>
  <c r="Q259" i="9" s="1"/>
  <c r="R260" i="9"/>
  <c r="Q260" i="9" s="1"/>
  <c r="R261" i="9"/>
  <c r="Q261" i="9" s="1"/>
  <c r="R262" i="9"/>
  <c r="Q262" i="9" s="1"/>
  <c r="R263" i="9"/>
  <c r="Q263" i="9" s="1"/>
  <c r="R264" i="9"/>
  <c r="Q264" i="9" s="1"/>
  <c r="R265" i="9"/>
  <c r="Q265" i="9" s="1"/>
  <c r="R266" i="9"/>
  <c r="Q266" i="9" s="1"/>
  <c r="R267" i="9"/>
  <c r="Q267" i="9" s="1"/>
  <c r="R268" i="9"/>
  <c r="Q268" i="9" s="1"/>
  <c r="R269" i="9"/>
  <c r="Q269" i="9" s="1"/>
  <c r="R270" i="9"/>
  <c r="Q270" i="9" s="1"/>
  <c r="R271" i="9"/>
  <c r="Q271" i="9" s="1"/>
  <c r="R272" i="9"/>
  <c r="Q272" i="9" s="1"/>
  <c r="R273" i="9"/>
  <c r="Q273" i="9" s="1"/>
  <c r="R274" i="9"/>
  <c r="Q274" i="9" s="1"/>
  <c r="R275" i="9"/>
  <c r="Q275" i="9" s="1"/>
  <c r="R276" i="9"/>
  <c r="Q276" i="9" s="1"/>
  <c r="R277" i="9"/>
  <c r="Q277" i="9" s="1"/>
  <c r="R278" i="9"/>
  <c r="Q278" i="9" s="1"/>
  <c r="R279" i="9"/>
  <c r="Q279" i="9" s="1"/>
  <c r="R280" i="9"/>
  <c r="Q280" i="9" s="1"/>
  <c r="R281" i="9"/>
  <c r="Q281" i="9" s="1"/>
  <c r="R282" i="9"/>
  <c r="Q282" i="9" s="1"/>
  <c r="R283" i="9"/>
  <c r="Q283" i="9" s="1"/>
  <c r="R284" i="9"/>
  <c r="Q284" i="9" s="1"/>
  <c r="R285" i="9"/>
  <c r="Q285" i="9" s="1"/>
  <c r="R286" i="9"/>
  <c r="Q286" i="9" s="1"/>
  <c r="R287" i="9"/>
  <c r="Q287" i="9" s="1"/>
  <c r="R288" i="9"/>
  <c r="Q288" i="9" s="1"/>
  <c r="R289" i="9"/>
  <c r="Q289" i="9" s="1"/>
  <c r="R290" i="9"/>
  <c r="Q290" i="9" s="1"/>
  <c r="R291" i="9"/>
  <c r="Q291" i="9" s="1"/>
  <c r="R292" i="9"/>
  <c r="Q292" i="9" s="1"/>
  <c r="R293" i="9"/>
  <c r="Q293" i="9" s="1"/>
  <c r="R294" i="9"/>
  <c r="Q294" i="9" s="1"/>
  <c r="R295" i="9"/>
  <c r="Q295" i="9" s="1"/>
  <c r="R296" i="9"/>
  <c r="Q296" i="9" s="1"/>
  <c r="R297" i="9"/>
  <c r="Q297" i="9" s="1"/>
  <c r="R298" i="9"/>
  <c r="Q298" i="9" s="1"/>
  <c r="R299" i="9"/>
  <c r="Q299" i="9" s="1"/>
  <c r="R300" i="9"/>
  <c r="Q300" i="9" s="1"/>
  <c r="R301" i="9"/>
  <c r="Q301" i="9" s="1"/>
  <c r="R302" i="9"/>
  <c r="Q302" i="9" s="1"/>
  <c r="R303" i="9"/>
  <c r="Q303" i="9" s="1"/>
  <c r="R304" i="9"/>
  <c r="Q304" i="9" s="1"/>
  <c r="R305" i="9"/>
  <c r="Q305" i="9" s="1"/>
  <c r="R306" i="9"/>
  <c r="Q306" i="9" s="1"/>
  <c r="R307" i="9"/>
  <c r="Q307" i="9" s="1"/>
  <c r="R308" i="9"/>
  <c r="Q308" i="9" s="1"/>
  <c r="R309" i="9"/>
  <c r="Q309" i="9" s="1"/>
  <c r="R310" i="9"/>
  <c r="Q310" i="9" s="1"/>
  <c r="R311" i="9"/>
  <c r="Q311" i="9" s="1"/>
  <c r="R312" i="9"/>
  <c r="Q312" i="9" s="1"/>
  <c r="R313" i="9"/>
  <c r="Q313" i="9" s="1"/>
  <c r="R314" i="9"/>
  <c r="Q314" i="9" s="1"/>
  <c r="R315" i="9"/>
  <c r="Q315" i="9" s="1"/>
  <c r="R316" i="9"/>
  <c r="Q316" i="9" s="1"/>
  <c r="R317" i="9"/>
  <c r="Q317" i="9" s="1"/>
  <c r="R318" i="9"/>
  <c r="Q318" i="9" s="1"/>
  <c r="R319" i="9"/>
  <c r="Q319" i="9" s="1"/>
  <c r="R320" i="9"/>
  <c r="Q320" i="9" s="1"/>
  <c r="R321" i="9"/>
  <c r="Q321" i="9" s="1"/>
  <c r="R322" i="9"/>
  <c r="Q322" i="9" s="1"/>
  <c r="R323" i="9"/>
  <c r="Q323" i="9" s="1"/>
  <c r="R324" i="9"/>
  <c r="Q324" i="9" s="1"/>
  <c r="R325" i="9"/>
  <c r="Q325" i="9" s="1"/>
  <c r="R326" i="9"/>
  <c r="Q326" i="9" s="1"/>
  <c r="R327" i="9"/>
  <c r="Q327" i="9" s="1"/>
  <c r="R328" i="9"/>
  <c r="Q328" i="9" s="1"/>
  <c r="R329" i="9"/>
  <c r="Q329" i="9" s="1"/>
  <c r="R330" i="9"/>
  <c r="Q330" i="9" s="1"/>
  <c r="R331" i="9"/>
  <c r="Q331" i="9" s="1"/>
  <c r="R332" i="9"/>
  <c r="Q332" i="9" s="1"/>
  <c r="R333" i="9"/>
  <c r="Q333" i="9" s="1"/>
  <c r="R334" i="9"/>
  <c r="Q334" i="9" s="1"/>
  <c r="R335" i="9"/>
  <c r="Q335" i="9" s="1"/>
  <c r="R336" i="9"/>
  <c r="Q336" i="9" s="1"/>
  <c r="R337" i="9"/>
  <c r="Q337" i="9" s="1"/>
  <c r="R338" i="9"/>
  <c r="Q338" i="9" s="1"/>
  <c r="R339" i="9"/>
  <c r="Q339" i="9" s="1"/>
  <c r="R340" i="9"/>
  <c r="Q340" i="9" s="1"/>
  <c r="R341" i="9"/>
  <c r="Q341" i="9" s="1"/>
  <c r="R342" i="9"/>
  <c r="Q342" i="9" s="1"/>
  <c r="R343" i="9"/>
  <c r="Q343" i="9" s="1"/>
  <c r="R344" i="9"/>
  <c r="Q344" i="9" s="1"/>
  <c r="R345" i="9"/>
  <c r="Q345" i="9" s="1"/>
  <c r="R346" i="9"/>
  <c r="Q346" i="9" s="1"/>
  <c r="R347" i="9"/>
  <c r="Q347" i="9" s="1"/>
  <c r="R348" i="9"/>
  <c r="Q348" i="9" s="1"/>
  <c r="R349" i="9"/>
  <c r="Q349" i="9" s="1"/>
  <c r="R350" i="9"/>
  <c r="Q350" i="9" s="1"/>
  <c r="R351" i="9"/>
  <c r="Q351" i="9" s="1"/>
  <c r="R352" i="9"/>
  <c r="Q352" i="9" s="1"/>
  <c r="R353" i="9"/>
  <c r="Q353" i="9" s="1"/>
  <c r="R354" i="9"/>
  <c r="Q354" i="9" s="1"/>
  <c r="R355" i="9"/>
  <c r="Q355" i="9" s="1"/>
  <c r="R356" i="9"/>
  <c r="Q356" i="9" s="1"/>
  <c r="R357" i="9"/>
  <c r="Q357" i="9" s="1"/>
  <c r="R358" i="9"/>
  <c r="Q358" i="9" s="1"/>
  <c r="R359" i="9"/>
  <c r="Q359" i="9" s="1"/>
  <c r="R360" i="9"/>
  <c r="Q360" i="9" s="1"/>
  <c r="R361" i="9"/>
  <c r="Q361" i="9" s="1"/>
  <c r="R362" i="9"/>
  <c r="Q362" i="9" s="1"/>
  <c r="R363" i="9"/>
  <c r="Q363" i="9" s="1"/>
  <c r="R364" i="9"/>
  <c r="Q364" i="9" s="1"/>
  <c r="R365" i="9"/>
  <c r="Q365" i="9" s="1"/>
  <c r="R366" i="9"/>
  <c r="Q366" i="9" s="1"/>
  <c r="R367" i="9"/>
  <c r="Q367" i="9" s="1"/>
  <c r="R368" i="9"/>
  <c r="Q368" i="9" s="1"/>
  <c r="R369" i="9"/>
  <c r="Q369" i="9" s="1"/>
  <c r="R370" i="9"/>
  <c r="Q370" i="9" s="1"/>
  <c r="R371" i="9"/>
  <c r="Q371" i="9" s="1"/>
  <c r="R372" i="9"/>
  <c r="Q372" i="9" s="1"/>
  <c r="R373" i="9"/>
  <c r="Q373" i="9" s="1"/>
  <c r="R374" i="9"/>
  <c r="Q374" i="9" s="1"/>
  <c r="R375" i="9"/>
  <c r="Q375" i="9" s="1"/>
  <c r="R376" i="9"/>
  <c r="Q376" i="9" s="1"/>
  <c r="R377" i="9"/>
  <c r="Q377" i="9" s="1"/>
  <c r="R378" i="9"/>
  <c r="Q378" i="9" s="1"/>
  <c r="R379" i="9"/>
  <c r="Q379" i="9" s="1"/>
  <c r="R380" i="9"/>
  <c r="Q380" i="9" s="1"/>
  <c r="R381" i="9"/>
  <c r="Q381" i="9" s="1"/>
  <c r="R382" i="9"/>
  <c r="Q382" i="9" s="1"/>
  <c r="R383" i="9"/>
  <c r="Q383" i="9" s="1"/>
  <c r="R384" i="9"/>
  <c r="Q384" i="9" s="1"/>
  <c r="R385" i="9"/>
  <c r="Q385" i="9" s="1"/>
  <c r="R386" i="9"/>
  <c r="Q386" i="9" s="1"/>
  <c r="BZ2" i="9" l="1"/>
  <c r="AU2" i="9"/>
  <c r="AW5" i="9"/>
  <c r="AW2" i="9"/>
  <c r="AW6" i="9"/>
  <c r="AW10" i="9"/>
  <c r="AW4" i="9"/>
  <c r="AW12" i="9"/>
  <c r="AW9" i="9"/>
  <c r="AW3" i="9"/>
  <c r="AW7" i="9"/>
  <c r="AW11" i="9"/>
  <c r="AW8" i="9"/>
  <c r="AW13" i="9"/>
  <c r="CA2" i="9"/>
  <c r="CE2" i="9"/>
  <c r="BX2" i="9"/>
  <c r="CB2" i="9"/>
  <c r="BY2" i="9"/>
  <c r="CC2" i="9"/>
  <c r="BB3" i="9"/>
  <c r="AV10" i="9"/>
  <c r="AZ2" i="9"/>
  <c r="AY11" i="9"/>
  <c r="AX6" i="9"/>
  <c r="BD2" i="9"/>
  <c r="AV17" i="9"/>
  <c r="AV5" i="9"/>
  <c r="BA2" i="9"/>
  <c r="AZ10" i="9"/>
  <c r="AY7" i="9"/>
  <c r="AZ3" i="9"/>
  <c r="BD13" i="9"/>
  <c r="BB12" i="9"/>
  <c r="BB10" i="9"/>
  <c r="BC8" i="9"/>
  <c r="BD6" i="9"/>
  <c r="BD4" i="9"/>
  <c r="AV14" i="9"/>
  <c r="AY9" i="9"/>
  <c r="BE3" i="9"/>
  <c r="BE4" i="9"/>
  <c r="BE5" i="9"/>
  <c r="BE6" i="9"/>
  <c r="BE7" i="9"/>
  <c r="BE8" i="9"/>
  <c r="BE9" i="9"/>
  <c r="BE10" i="9"/>
  <c r="BE11" i="9"/>
  <c r="BE12" i="9"/>
  <c r="BE13" i="9"/>
  <c r="BB2" i="9"/>
  <c r="BA3" i="9"/>
  <c r="BA4" i="9"/>
  <c r="BA5" i="9"/>
  <c r="BA6" i="9"/>
  <c r="BA7" i="9"/>
  <c r="BA8" i="9"/>
  <c r="BA9" i="9"/>
  <c r="BA10" i="9"/>
  <c r="BA11" i="9"/>
  <c r="BA12" i="9"/>
  <c r="BA13" i="9"/>
  <c r="BD3" i="9"/>
  <c r="BB5" i="9"/>
  <c r="BC6" i="9"/>
  <c r="BD7" i="9"/>
  <c r="BB9" i="9"/>
  <c r="BC10" i="9"/>
  <c r="BD11" i="9"/>
  <c r="BB13" i="9"/>
  <c r="AX3" i="9"/>
  <c r="AY4" i="9"/>
  <c r="AZ5" i="9"/>
  <c r="AX7" i="9"/>
  <c r="AY8" i="9"/>
  <c r="AZ9" i="9"/>
  <c r="AX11" i="9"/>
  <c r="AY12" i="9"/>
  <c r="AZ13" i="9"/>
  <c r="AY18" i="9"/>
  <c r="AV13" i="9"/>
  <c r="AZ12" i="9"/>
  <c r="AY5" i="9"/>
  <c r="BE2" i="9"/>
  <c r="AV2" i="9"/>
  <c r="AV16" i="9"/>
  <c r="AV12" i="9"/>
  <c r="AV8" i="9"/>
  <c r="AV4" i="9"/>
  <c r="AX2" i="9"/>
  <c r="AX12" i="9"/>
  <c r="AY10" i="9"/>
  <c r="AZ8" i="9"/>
  <c r="AZ6" i="9"/>
  <c r="AX5" i="9"/>
  <c r="AY3" i="9"/>
  <c r="BC13" i="9"/>
  <c r="BC11" i="9"/>
  <c r="BD9" i="9"/>
  <c r="BB8" i="9"/>
  <c r="BB6" i="9"/>
  <c r="BC4" i="9"/>
  <c r="AV6" i="9"/>
  <c r="AX13" i="9"/>
  <c r="AZ7" i="9"/>
  <c r="AX4" i="9"/>
  <c r="BC12" i="9"/>
  <c r="BD10" i="9"/>
  <c r="BD8" i="9"/>
  <c r="BB7" i="9"/>
  <c r="BC5" i="9"/>
  <c r="BC3" i="9"/>
  <c r="AV9" i="9"/>
  <c r="AX9" i="9"/>
  <c r="AV15" i="9"/>
  <c r="AV11" i="9"/>
  <c r="AV7" i="9"/>
  <c r="AV3" i="9"/>
  <c r="AY2" i="9"/>
  <c r="AX18" i="9"/>
  <c r="AY13" i="9"/>
  <c r="AZ11" i="9"/>
  <c r="AX10" i="9"/>
  <c r="AX8" i="9"/>
  <c r="AY6" i="9"/>
  <c r="AZ4" i="9"/>
  <c r="BC2" i="9"/>
  <c r="BB18" i="9"/>
  <c r="BD12" i="9"/>
  <c r="BB11" i="9"/>
  <c r="BC9" i="9"/>
  <c r="BC7" i="9"/>
  <c r="BD5" i="9"/>
  <c r="BB4" i="9"/>
  <c r="BU2" i="9"/>
  <c r="BT4" i="9"/>
  <c r="BW3" i="9" s="1"/>
  <c r="BH2" i="9"/>
  <c r="BI2" i="9"/>
  <c r="BG4" i="9"/>
  <c r="CC3" i="9" s="1"/>
  <c r="AT19" i="9"/>
  <c r="AU17" i="9"/>
  <c r="AU16" i="9"/>
  <c r="AU3" i="9"/>
  <c r="AU13" i="9"/>
  <c r="AU8" i="9"/>
  <c r="AU9" i="9"/>
  <c r="AU12" i="9"/>
  <c r="AU15" i="9"/>
  <c r="AU11" i="9"/>
  <c r="AU7" i="9"/>
  <c r="AU10" i="9"/>
  <c r="AU6" i="9"/>
  <c r="C384" i="9"/>
  <c r="C385" i="9"/>
  <c r="C386" i="9"/>
  <c r="I384" i="9"/>
  <c r="I385" i="9"/>
  <c r="I386" i="9"/>
  <c r="J384" i="9"/>
  <c r="J385" i="9"/>
  <c r="J386" i="9"/>
  <c r="K384" i="9"/>
  <c r="K385" i="9"/>
  <c r="K386" i="9"/>
  <c r="L384" i="9"/>
  <c r="L385" i="9"/>
  <c r="M385" i="9" s="1"/>
  <c r="L386" i="9"/>
  <c r="M384" i="9"/>
  <c r="M386" i="9"/>
  <c r="BJ3" i="9" l="1"/>
  <c r="AZ18" i="9"/>
  <c r="AW18" i="9"/>
  <c r="BC18" i="9"/>
  <c r="CD3" i="9"/>
  <c r="AV18" i="9"/>
  <c r="BA18" i="9"/>
  <c r="BE18" i="9"/>
  <c r="CA3" i="9"/>
  <c r="BZ3" i="9"/>
  <c r="BU3" i="9"/>
  <c r="BM3" i="9"/>
  <c r="CB3" i="9"/>
  <c r="BX3" i="9"/>
  <c r="BQ3" i="9"/>
  <c r="BN3" i="9"/>
  <c r="BD18" i="9"/>
  <c r="BV3" i="9"/>
  <c r="BY3" i="9"/>
  <c r="CE3" i="9"/>
  <c r="BT5" i="9"/>
  <c r="BG5" i="9"/>
  <c r="BI4" i="9" s="1"/>
  <c r="BO3" i="9"/>
  <c r="BR3" i="9"/>
  <c r="BK3" i="9"/>
  <c r="BH4" i="9"/>
  <c r="BL3" i="9"/>
  <c r="BI3" i="9"/>
  <c r="BH3" i="9"/>
  <c r="BP3" i="9"/>
  <c r="AT20" i="9"/>
  <c r="AW19" i="9" s="1"/>
  <c r="AU19" i="9"/>
  <c r="AU18" i="9"/>
  <c r="AU14" i="9"/>
  <c r="AU4" i="9"/>
  <c r="AU5" i="9"/>
  <c r="N70" i="15"/>
  <c r="N71" i="15"/>
  <c r="U70" i="15"/>
  <c r="U71" i="15"/>
  <c r="V70" i="15"/>
  <c r="V71" i="15"/>
  <c r="X70" i="15"/>
  <c r="X71" i="15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I366" i="9"/>
  <c r="I367" i="9"/>
  <c r="AW14" i="9" s="1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AW16" i="9" s="1"/>
  <c r="I381" i="9"/>
  <c r="I382" i="9"/>
  <c r="I383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K366" i="9"/>
  <c r="K367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L366" i="9"/>
  <c r="M366" i="9" s="1"/>
  <c r="L367" i="9"/>
  <c r="L368" i="9"/>
  <c r="M368" i="9" s="1"/>
  <c r="L369" i="9"/>
  <c r="L370" i="9"/>
  <c r="M370" i="9" s="1"/>
  <c r="L371" i="9"/>
  <c r="L372" i="9"/>
  <c r="M372" i="9" s="1"/>
  <c r="L373" i="9"/>
  <c r="L374" i="9"/>
  <c r="M374" i="9" s="1"/>
  <c r="L375" i="9"/>
  <c r="L376" i="9"/>
  <c r="M376" i="9" s="1"/>
  <c r="L377" i="9"/>
  <c r="L378" i="9"/>
  <c r="L379" i="9"/>
  <c r="L380" i="9"/>
  <c r="M380" i="9" s="1"/>
  <c r="L381" i="9"/>
  <c r="L382" i="9"/>
  <c r="M382" i="9" s="1"/>
  <c r="L383" i="9"/>
  <c r="M367" i="9"/>
  <c r="M369" i="9"/>
  <c r="M371" i="9"/>
  <c r="M373" i="9"/>
  <c r="M375" i="9"/>
  <c r="M377" i="9"/>
  <c r="M378" i="9"/>
  <c r="M379" i="9"/>
  <c r="M381" i="9"/>
  <c r="M383" i="9"/>
  <c r="J21" i="8"/>
  <c r="J22" i="8"/>
  <c r="J23" i="8"/>
  <c r="J24" i="8"/>
  <c r="J25" i="8"/>
  <c r="J26" i="8"/>
  <c r="J27" i="8"/>
  <c r="J28" i="8"/>
  <c r="J29" i="8"/>
  <c r="J30" i="8"/>
  <c r="J31" i="8"/>
  <c r="J32" i="8"/>
  <c r="BR4" i="9" l="1"/>
  <c r="AV19" i="9"/>
  <c r="BA19" i="9"/>
  <c r="BD19" i="9"/>
  <c r="AY19" i="9"/>
  <c r="BC19" i="9"/>
  <c r="BV4" i="9"/>
  <c r="BB19" i="9"/>
  <c r="AZ19" i="9"/>
  <c r="BE19" i="9"/>
  <c r="AX19" i="9"/>
  <c r="BP4" i="9"/>
  <c r="BL4" i="9"/>
  <c r="BQ4" i="9"/>
  <c r="BR2" i="9"/>
  <c r="BO2" i="9"/>
  <c r="BP2" i="9"/>
  <c r="BQ2" i="9"/>
  <c r="BN2" i="9"/>
  <c r="BK2" i="9"/>
  <c r="BL2" i="9"/>
  <c r="BM2" i="9"/>
  <c r="AY14" i="9"/>
  <c r="AZ14" i="9"/>
  <c r="BA14" i="9"/>
  <c r="AX14" i="9"/>
  <c r="BK4" i="9"/>
  <c r="BE14" i="9"/>
  <c r="BC14" i="9"/>
  <c r="BB14" i="9"/>
  <c r="BD14" i="9"/>
  <c r="BC16" i="9"/>
  <c r="BD16" i="9"/>
  <c r="BB16" i="9"/>
  <c r="BE16" i="9"/>
  <c r="AY16" i="9"/>
  <c r="BA16" i="9"/>
  <c r="AX16" i="9"/>
  <c r="AZ16" i="9"/>
  <c r="BJ2" i="9"/>
  <c r="BM4" i="9"/>
  <c r="BO4" i="9"/>
  <c r="BT6" i="9"/>
  <c r="BV5" i="9" s="1"/>
  <c r="BU5" i="9"/>
  <c r="BU4" i="9"/>
  <c r="BG6" i="9"/>
  <c r="CC5" i="9" s="1"/>
  <c r="BN4" i="9"/>
  <c r="BJ4" i="9"/>
  <c r="AT21" i="9"/>
  <c r="T70" i="15"/>
  <c r="S70" i="15" s="1"/>
  <c r="T71" i="15"/>
  <c r="S71" i="15" s="1"/>
  <c r="W71" i="15"/>
  <c r="W70" i="15"/>
  <c r="CD5" i="9" l="1"/>
  <c r="BX5" i="9"/>
  <c r="CA5" i="9"/>
  <c r="CB5" i="9"/>
  <c r="BY5" i="9"/>
  <c r="CE5" i="9"/>
  <c r="AV20" i="9"/>
  <c r="BW5" i="9"/>
  <c r="BZ5" i="9"/>
  <c r="BT7" i="9"/>
  <c r="BV6" i="9" s="1"/>
  <c r="BH5" i="9"/>
  <c r="BI5" i="9"/>
  <c r="BG7" i="9"/>
  <c r="CA6" i="9" s="1"/>
  <c r="AT22" i="9"/>
  <c r="AU20" i="9"/>
  <c r="C360" i="9"/>
  <c r="C361" i="9"/>
  <c r="C362" i="9"/>
  <c r="C363" i="9"/>
  <c r="C364" i="9"/>
  <c r="C365" i="9"/>
  <c r="I360" i="9"/>
  <c r="AW20" i="9" s="1"/>
  <c r="I361" i="9"/>
  <c r="I362" i="9"/>
  <c r="I363" i="9"/>
  <c r="AW15" i="9" s="1"/>
  <c r="I364" i="9"/>
  <c r="I365" i="9"/>
  <c r="AW21" i="9" s="1"/>
  <c r="J360" i="9"/>
  <c r="J361" i="9"/>
  <c r="J362" i="9"/>
  <c r="J363" i="9"/>
  <c r="J364" i="9"/>
  <c r="J365" i="9"/>
  <c r="K360" i="9"/>
  <c r="K361" i="9"/>
  <c r="K362" i="9"/>
  <c r="K363" i="9"/>
  <c r="K364" i="9"/>
  <c r="K365" i="9"/>
  <c r="L360" i="9"/>
  <c r="M360" i="9" s="1"/>
  <c r="L361" i="9"/>
  <c r="M361" i="9" s="1"/>
  <c r="L362" i="9"/>
  <c r="M362" i="9" s="1"/>
  <c r="L363" i="9"/>
  <c r="L364" i="9"/>
  <c r="M364" i="9" s="1"/>
  <c r="L365" i="9"/>
  <c r="M365" i="9" s="1"/>
  <c r="M363" i="9"/>
  <c r="BH6" i="9" l="1"/>
  <c r="CD6" i="9"/>
  <c r="BW6" i="9"/>
  <c r="AW17" i="9"/>
  <c r="BP5" i="9"/>
  <c r="CB6" i="9"/>
  <c r="BX6" i="9"/>
  <c r="BY6" i="9"/>
  <c r="CE6" i="9"/>
  <c r="AU21" i="9"/>
  <c r="BI6" i="9"/>
  <c r="CC6" i="9"/>
  <c r="AV21" i="9"/>
  <c r="BZ6" i="9"/>
  <c r="BK5" i="9"/>
  <c r="BC21" i="9"/>
  <c r="BE21" i="9"/>
  <c r="BB21" i="9"/>
  <c r="BD21" i="9"/>
  <c r="CC4" i="9"/>
  <c r="CB4" i="9"/>
  <c r="CD4" i="9"/>
  <c r="CE4" i="9"/>
  <c r="BA21" i="9"/>
  <c r="AX21" i="9"/>
  <c r="AY21" i="9"/>
  <c r="AZ21" i="9"/>
  <c r="BY4" i="9"/>
  <c r="BZ4" i="9"/>
  <c r="CA4" i="9"/>
  <c r="BX4" i="9"/>
  <c r="BO6" i="9"/>
  <c r="BQ5" i="9"/>
  <c r="BC15" i="9"/>
  <c r="BE15" i="9"/>
  <c r="BD15" i="9"/>
  <c r="BB15" i="9"/>
  <c r="AX20" i="9"/>
  <c r="AZ20" i="9"/>
  <c r="AY20" i="9"/>
  <c r="BA20" i="9"/>
  <c r="BR6" i="9"/>
  <c r="BE17" i="9"/>
  <c r="BD17" i="9"/>
  <c r="BC17" i="9"/>
  <c r="BB17" i="9"/>
  <c r="AZ17" i="9"/>
  <c r="AX17" i="9"/>
  <c r="AY17" i="9"/>
  <c r="BA17" i="9"/>
  <c r="BL5" i="9"/>
  <c r="BM5" i="9"/>
  <c r="BN5" i="9"/>
  <c r="BD20" i="9"/>
  <c r="BB20" i="9"/>
  <c r="BE20" i="9"/>
  <c r="BC20" i="9"/>
  <c r="BJ5" i="9"/>
  <c r="BA15" i="9"/>
  <c r="AZ15" i="9"/>
  <c r="AX15" i="9"/>
  <c r="AY15" i="9"/>
  <c r="BW4" i="9"/>
  <c r="BK6" i="9"/>
  <c r="BM6" i="9"/>
  <c r="BR5" i="9"/>
  <c r="BO5" i="9"/>
  <c r="BT8" i="9"/>
  <c r="BV7" i="9" s="1"/>
  <c r="BU6" i="9"/>
  <c r="BQ7" i="9"/>
  <c r="BJ7" i="9"/>
  <c r="BG8" i="9"/>
  <c r="BZ7" i="9" s="1"/>
  <c r="BO7" i="9"/>
  <c r="BR7" i="9"/>
  <c r="BP7" i="9"/>
  <c r="BN6" i="9"/>
  <c r="BP6" i="9"/>
  <c r="BJ6" i="9"/>
  <c r="BQ6" i="9"/>
  <c r="BL6" i="9"/>
  <c r="AT23" i="9"/>
  <c r="BC22" i="9" s="1"/>
  <c r="H25" i="8"/>
  <c r="H26" i="8"/>
  <c r="H27" i="8"/>
  <c r="H28" i="8"/>
  <c r="H29" i="8"/>
  <c r="H30" i="8"/>
  <c r="H31" i="8"/>
  <c r="H32" i="8"/>
  <c r="AW22" i="9" l="1"/>
  <c r="BL7" i="9"/>
  <c r="BE22" i="9"/>
  <c r="AY22" i="9"/>
  <c r="CB7" i="9"/>
  <c r="CE7" i="9"/>
  <c r="BH7" i="9"/>
  <c r="BK7" i="9"/>
  <c r="BW7" i="9"/>
  <c r="BA22" i="9"/>
  <c r="AX22" i="9"/>
  <c r="CA7" i="9"/>
  <c r="BU7" i="9"/>
  <c r="AY23" i="9"/>
  <c r="BB22" i="9"/>
  <c r="BD22" i="9"/>
  <c r="AV22" i="9"/>
  <c r="CD7" i="9"/>
  <c r="CC7" i="9"/>
  <c r="AZ22" i="9"/>
  <c r="BY7" i="9"/>
  <c r="BX7" i="9"/>
  <c r="BT9" i="9"/>
  <c r="BV8" i="9" s="1"/>
  <c r="BU8" i="9"/>
  <c r="BG9" i="9"/>
  <c r="CE8" i="9" s="1"/>
  <c r="BM7" i="9"/>
  <c r="BN7" i="9"/>
  <c r="BI7" i="9"/>
  <c r="AT24" i="9"/>
  <c r="AW23" i="9" s="1"/>
  <c r="AU23" i="9"/>
  <c r="AU22" i="9"/>
  <c r="C353" i="9"/>
  <c r="C354" i="9"/>
  <c r="C355" i="9"/>
  <c r="C356" i="9"/>
  <c r="C357" i="9"/>
  <c r="C358" i="9"/>
  <c r="C359" i="9"/>
  <c r="I353" i="9"/>
  <c r="I354" i="9"/>
  <c r="I355" i="9"/>
  <c r="I356" i="9"/>
  <c r="I357" i="9"/>
  <c r="I358" i="9"/>
  <c r="I359" i="9"/>
  <c r="J353" i="9"/>
  <c r="J354" i="9"/>
  <c r="J355" i="9"/>
  <c r="J356" i="9"/>
  <c r="J357" i="9"/>
  <c r="J358" i="9"/>
  <c r="J359" i="9"/>
  <c r="K353" i="9"/>
  <c r="K354" i="9"/>
  <c r="K355" i="9"/>
  <c r="K356" i="9"/>
  <c r="K357" i="9"/>
  <c r="K358" i="9"/>
  <c r="K359" i="9"/>
  <c r="L353" i="9"/>
  <c r="M353" i="9" s="1"/>
  <c r="L354" i="9"/>
  <c r="L355" i="9"/>
  <c r="M355" i="9" s="1"/>
  <c r="L356" i="9"/>
  <c r="L357" i="9"/>
  <c r="M357" i="9" s="1"/>
  <c r="L358" i="9"/>
  <c r="M358" i="9" s="1"/>
  <c r="L359" i="9"/>
  <c r="M359" i="9" s="1"/>
  <c r="M354" i="9"/>
  <c r="M356" i="9"/>
  <c r="CB8" i="9" l="1"/>
  <c r="BL8" i="9"/>
  <c r="BW8" i="9"/>
  <c r="CC8" i="9"/>
  <c r="AZ23" i="9"/>
  <c r="BY8" i="9"/>
  <c r="BP8" i="9"/>
  <c r="BH8" i="9"/>
  <c r="CA8" i="9"/>
  <c r="BA23" i="9"/>
  <c r="BM8" i="9"/>
  <c r="BR8" i="9"/>
  <c r="BE23" i="9"/>
  <c r="BZ8" i="9"/>
  <c r="AV23" i="9"/>
  <c r="AX23" i="9"/>
  <c r="BC23" i="9"/>
  <c r="CD8" i="9"/>
  <c r="BX8" i="9"/>
  <c r="BB23" i="9"/>
  <c r="BD23" i="9"/>
  <c r="BT10" i="9"/>
  <c r="BG10" i="9"/>
  <c r="BY9" i="9" s="1"/>
  <c r="BQ8" i="9"/>
  <c r="BO8" i="9"/>
  <c r="BN8" i="9"/>
  <c r="BI8" i="9"/>
  <c r="BK8" i="9"/>
  <c r="BJ8" i="9"/>
  <c r="AT25" i="9"/>
  <c r="BA24" i="9" s="1"/>
  <c r="C345" i="9"/>
  <c r="C346" i="9"/>
  <c r="C347" i="9"/>
  <c r="C348" i="9"/>
  <c r="C349" i="9"/>
  <c r="C350" i="9"/>
  <c r="C351" i="9"/>
  <c r="C352" i="9"/>
  <c r="I345" i="9"/>
  <c r="I346" i="9"/>
  <c r="I347" i="9"/>
  <c r="I348" i="9"/>
  <c r="I349" i="9"/>
  <c r="I350" i="9"/>
  <c r="I351" i="9"/>
  <c r="I352" i="9"/>
  <c r="J345" i="9"/>
  <c r="J346" i="9"/>
  <c r="J347" i="9"/>
  <c r="J348" i="9"/>
  <c r="J349" i="9"/>
  <c r="J350" i="9"/>
  <c r="J351" i="9"/>
  <c r="J352" i="9"/>
  <c r="K345" i="9"/>
  <c r="K346" i="9"/>
  <c r="K347" i="9"/>
  <c r="K348" i="9"/>
  <c r="K349" i="9"/>
  <c r="K350" i="9"/>
  <c r="K351" i="9"/>
  <c r="K352" i="9"/>
  <c r="L345" i="9"/>
  <c r="L346" i="9"/>
  <c r="L347" i="9"/>
  <c r="L348" i="9"/>
  <c r="L349" i="9"/>
  <c r="L350" i="9"/>
  <c r="L351" i="9"/>
  <c r="M351" i="9" s="1"/>
  <c r="L352" i="9"/>
  <c r="M345" i="9"/>
  <c r="M346" i="9"/>
  <c r="M347" i="9"/>
  <c r="M348" i="9"/>
  <c r="M349" i="9"/>
  <c r="M350" i="9"/>
  <c r="M352" i="9"/>
  <c r="CB9" i="9" l="1"/>
  <c r="AV24" i="9"/>
  <c r="BB24" i="9"/>
  <c r="AW24" i="9"/>
  <c r="AX24" i="9"/>
  <c r="CC9" i="9"/>
  <c r="CA9" i="9"/>
  <c r="BE24" i="9"/>
  <c r="BD24" i="9"/>
  <c r="BU9" i="9"/>
  <c r="BX9" i="9"/>
  <c r="CE9" i="9"/>
  <c r="AY24" i="9"/>
  <c r="BW9" i="9"/>
  <c r="CD9" i="9"/>
  <c r="BZ9" i="9"/>
  <c r="BC24" i="9"/>
  <c r="AZ24" i="9"/>
  <c r="BV9" i="9"/>
  <c r="BT11" i="9"/>
  <c r="BG11" i="9"/>
  <c r="BN9" i="9"/>
  <c r="BL9" i="9"/>
  <c r="BJ9" i="9"/>
  <c r="BR9" i="9"/>
  <c r="BH9" i="9"/>
  <c r="BQ9" i="9"/>
  <c r="BM9" i="9"/>
  <c r="BO9" i="9"/>
  <c r="BI9" i="9"/>
  <c r="BP9" i="9"/>
  <c r="BK9" i="9"/>
  <c r="AT26" i="9"/>
  <c r="BC25" i="9" s="1"/>
  <c r="AU25" i="9"/>
  <c r="AU24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L329" i="9"/>
  <c r="L330" i="9"/>
  <c r="L331" i="9"/>
  <c r="L332" i="9"/>
  <c r="L333" i="9"/>
  <c r="L334" i="9"/>
  <c r="L335" i="9"/>
  <c r="L336" i="9"/>
  <c r="M336" i="9" s="1"/>
  <c r="L337" i="9"/>
  <c r="L338" i="9"/>
  <c r="M338" i="9" s="1"/>
  <c r="L339" i="9"/>
  <c r="M339" i="9" s="1"/>
  <c r="L340" i="9"/>
  <c r="L341" i="9"/>
  <c r="M341" i="9" s="1"/>
  <c r="L342" i="9"/>
  <c r="L343" i="9"/>
  <c r="M343" i="9" s="1"/>
  <c r="L344" i="9"/>
  <c r="M329" i="9"/>
  <c r="M330" i="9"/>
  <c r="M331" i="9"/>
  <c r="M332" i="9"/>
  <c r="M333" i="9"/>
  <c r="M334" i="9"/>
  <c r="M335" i="9"/>
  <c r="M337" i="9"/>
  <c r="M340" i="9"/>
  <c r="M342" i="9"/>
  <c r="M344" i="9"/>
  <c r="AY25" i="9" l="1"/>
  <c r="AW25" i="9"/>
  <c r="BI10" i="9"/>
  <c r="BO10" i="9"/>
  <c r="BK10" i="9"/>
  <c r="BP10" i="9"/>
  <c r="BB25" i="9"/>
  <c r="BA25" i="9"/>
  <c r="CA10" i="9"/>
  <c r="CD10" i="9"/>
  <c r="CE10" i="9"/>
  <c r="BX10" i="9"/>
  <c r="BN10" i="9"/>
  <c r="BQ10" i="9"/>
  <c r="BL10" i="9"/>
  <c r="AX25" i="9"/>
  <c r="AZ25" i="9"/>
  <c r="BE25" i="9"/>
  <c r="CB10" i="9"/>
  <c r="BY10" i="9"/>
  <c r="BV10" i="9"/>
  <c r="BR10" i="9"/>
  <c r="BJ10" i="9"/>
  <c r="BU10" i="9"/>
  <c r="BW10" i="9"/>
  <c r="BD25" i="9"/>
  <c r="AV25" i="9"/>
  <c r="BZ10" i="9"/>
  <c r="CC10" i="9"/>
  <c r="BT12" i="9"/>
  <c r="BV11" i="9" s="1"/>
  <c r="BG12" i="9"/>
  <c r="BZ11" i="9" s="1"/>
  <c r="BJ11" i="9"/>
  <c r="BM10" i="9"/>
  <c r="BH10" i="9"/>
  <c r="AT27" i="9"/>
  <c r="BB26" i="9" s="1"/>
  <c r="C324" i="9"/>
  <c r="C325" i="9"/>
  <c r="C326" i="9"/>
  <c r="C327" i="9"/>
  <c r="C328" i="9"/>
  <c r="I324" i="9"/>
  <c r="I325" i="9"/>
  <c r="I326" i="9"/>
  <c r="I327" i="9"/>
  <c r="I328" i="9"/>
  <c r="J324" i="9"/>
  <c r="J325" i="9"/>
  <c r="J326" i="9"/>
  <c r="J327" i="9"/>
  <c r="J328" i="9"/>
  <c r="K324" i="9"/>
  <c r="K325" i="9"/>
  <c r="K326" i="9"/>
  <c r="K327" i="9"/>
  <c r="K328" i="9"/>
  <c r="L324" i="9"/>
  <c r="M324" i="9" s="1"/>
  <c r="L325" i="9"/>
  <c r="L326" i="9"/>
  <c r="L327" i="9"/>
  <c r="L328" i="9"/>
  <c r="M325" i="9"/>
  <c r="M326" i="9"/>
  <c r="M327" i="9"/>
  <c r="M328" i="9"/>
  <c r="BU11" i="9" l="1"/>
  <c r="AY26" i="9"/>
  <c r="CD11" i="9"/>
  <c r="AW26" i="9"/>
  <c r="BQ11" i="9"/>
  <c r="AX26" i="9"/>
  <c r="BC26" i="9"/>
  <c r="BW11" i="9"/>
  <c r="CB11" i="9"/>
  <c r="BX11" i="9"/>
  <c r="BD26" i="9"/>
  <c r="BA26" i="9"/>
  <c r="CC11" i="9"/>
  <c r="CA11" i="9"/>
  <c r="BE26" i="9"/>
  <c r="AZ26" i="9"/>
  <c r="AV26" i="9"/>
  <c r="BY11" i="9"/>
  <c r="CE11" i="9"/>
  <c r="BT13" i="9"/>
  <c r="BO11" i="9"/>
  <c r="BH11" i="9"/>
  <c r="BK11" i="9"/>
  <c r="BG13" i="9"/>
  <c r="CE12" i="9" s="1"/>
  <c r="BR12" i="9"/>
  <c r="BH12" i="9"/>
  <c r="BL12" i="9"/>
  <c r="BI12" i="9"/>
  <c r="BO12" i="9"/>
  <c r="BR11" i="9"/>
  <c r="BL11" i="9"/>
  <c r="BM11" i="9"/>
  <c r="BN11" i="9"/>
  <c r="BP11" i="9"/>
  <c r="BI11" i="9"/>
  <c r="AT28" i="9"/>
  <c r="AZ27" i="9" s="1"/>
  <c r="AU27" i="9"/>
  <c r="AU26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L309" i="9"/>
  <c r="L310" i="9"/>
  <c r="M310" i="9" s="1"/>
  <c r="L311" i="9"/>
  <c r="L312" i="9"/>
  <c r="L313" i="9"/>
  <c r="M313" i="9" s="1"/>
  <c r="L314" i="9"/>
  <c r="L315" i="9"/>
  <c r="M315" i="9" s="1"/>
  <c r="L316" i="9"/>
  <c r="L317" i="9"/>
  <c r="M317" i="9" s="1"/>
  <c r="L318" i="9"/>
  <c r="L319" i="9"/>
  <c r="M319" i="9" s="1"/>
  <c r="L320" i="9"/>
  <c r="L321" i="9"/>
  <c r="M321" i="9" s="1"/>
  <c r="L322" i="9"/>
  <c r="L323" i="9"/>
  <c r="M323" i="9" s="1"/>
  <c r="M309" i="9"/>
  <c r="M311" i="9"/>
  <c r="M312" i="9"/>
  <c r="M314" i="9"/>
  <c r="M316" i="9"/>
  <c r="M318" i="9"/>
  <c r="M320" i="9"/>
  <c r="M322" i="9"/>
  <c r="AW27" i="9" l="1"/>
  <c r="AX27" i="9"/>
  <c r="BZ12" i="9"/>
  <c r="CC12" i="9"/>
  <c r="CD12" i="9"/>
  <c r="AY27" i="9"/>
  <c r="BA27" i="9"/>
  <c r="BM12" i="9"/>
  <c r="BP12" i="9"/>
  <c r="BN12" i="9"/>
  <c r="BW12" i="9"/>
  <c r="BX12" i="9"/>
  <c r="CA12" i="9"/>
  <c r="BC27" i="9"/>
  <c r="BD27" i="9"/>
  <c r="BQ12" i="9"/>
  <c r="BK12" i="9"/>
  <c r="BJ12" i="9"/>
  <c r="BU12" i="9"/>
  <c r="BV12" i="9"/>
  <c r="CB12" i="9"/>
  <c r="BY12" i="9"/>
  <c r="AV27" i="9"/>
  <c r="BB27" i="9"/>
  <c r="BE27" i="9"/>
  <c r="BT14" i="9"/>
  <c r="BG14" i="9"/>
  <c r="AT29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L295" i="9"/>
  <c r="M295" i="9" s="1"/>
  <c r="L296" i="9"/>
  <c r="L297" i="9"/>
  <c r="M297" i="9" s="1"/>
  <c r="L298" i="9"/>
  <c r="L299" i="9"/>
  <c r="M299" i="9" s="1"/>
  <c r="L300" i="9"/>
  <c r="L301" i="9"/>
  <c r="M301" i="9" s="1"/>
  <c r="L302" i="9"/>
  <c r="L303" i="9"/>
  <c r="M303" i="9" s="1"/>
  <c r="L304" i="9"/>
  <c r="L305" i="9"/>
  <c r="M305" i="9" s="1"/>
  <c r="L306" i="9"/>
  <c r="L307" i="9"/>
  <c r="M307" i="9" s="1"/>
  <c r="L308" i="9"/>
  <c r="M296" i="9"/>
  <c r="M298" i="9"/>
  <c r="M300" i="9"/>
  <c r="M302" i="9"/>
  <c r="M304" i="9"/>
  <c r="M306" i="9"/>
  <c r="M308" i="9"/>
  <c r="AI3" i="9"/>
  <c r="AF4" i="9"/>
  <c r="AF5" i="9" s="1"/>
  <c r="AV28" i="9" l="1"/>
  <c r="AZ28" i="9"/>
  <c r="AW28" i="9"/>
  <c r="BD28" i="9"/>
  <c r="BO13" i="9"/>
  <c r="BJ13" i="9"/>
  <c r="AY28" i="9"/>
  <c r="BB28" i="9"/>
  <c r="CE13" i="9"/>
  <c r="CC13" i="9"/>
  <c r="CA13" i="9"/>
  <c r="BY13" i="9"/>
  <c r="BM13" i="9"/>
  <c r="BU13" i="9"/>
  <c r="BR13" i="9"/>
  <c r="BH13" i="9"/>
  <c r="BE28" i="9"/>
  <c r="AX28" i="9"/>
  <c r="BW13" i="9"/>
  <c r="BX13" i="9"/>
  <c r="BZ13" i="9"/>
  <c r="BN13" i="9"/>
  <c r="BP13" i="9"/>
  <c r="BA28" i="9"/>
  <c r="BC28" i="9"/>
  <c r="BV13" i="9"/>
  <c r="CB13" i="9"/>
  <c r="CD13" i="9"/>
  <c r="BT15" i="9"/>
  <c r="BW14" i="9" s="1"/>
  <c r="BI13" i="9"/>
  <c r="BQ13" i="9"/>
  <c r="BG15" i="9"/>
  <c r="BY14" i="9" s="1"/>
  <c r="BL13" i="9"/>
  <c r="BK13" i="9"/>
  <c r="AT30" i="9"/>
  <c r="AU29" i="9" s="1"/>
  <c r="AU28" i="9"/>
  <c r="AQ5" i="9"/>
  <c r="AI27" i="15" s="1"/>
  <c r="AG3" i="9"/>
  <c r="AA25" i="15" s="1"/>
  <c r="AQ3" i="9"/>
  <c r="AI25" i="15" s="1"/>
  <c r="AN3" i="9"/>
  <c r="AF25" i="15" s="1"/>
  <c r="AM3" i="9"/>
  <c r="AE25" i="15" s="1"/>
  <c r="AJ3" i="9"/>
  <c r="AB25" i="15" s="1"/>
  <c r="AO4" i="9"/>
  <c r="AG26" i="15" s="1"/>
  <c r="AJ4" i="9"/>
  <c r="AB26" i="15" s="1"/>
  <c r="AQ4" i="9"/>
  <c r="AI26" i="15" s="1"/>
  <c r="AP3" i="9"/>
  <c r="AH25" i="15" s="1"/>
  <c r="AM4" i="9"/>
  <c r="AE26" i="15" s="1"/>
  <c r="AL3" i="9"/>
  <c r="AD25" i="15" s="1"/>
  <c r="AP4" i="9"/>
  <c r="AH26" i="15" s="1"/>
  <c r="AO3" i="9"/>
  <c r="AG25" i="15" s="1"/>
  <c r="AL4" i="9"/>
  <c r="AD26" i="15" s="1"/>
  <c r="AK3" i="9"/>
  <c r="AC25" i="15" s="1"/>
  <c r="AN4" i="9"/>
  <c r="AF26" i="15" s="1"/>
  <c r="AK4" i="9"/>
  <c r="AC26" i="15" s="1"/>
  <c r="AF6" i="9"/>
  <c r="AK5" i="9" s="1"/>
  <c r="AC27" i="15" s="1"/>
  <c r="AH5" i="9"/>
  <c r="AI4" i="9"/>
  <c r="AH3" i="9"/>
  <c r="AH4" i="9"/>
  <c r="AG4" i="9"/>
  <c r="AA26" i="15" s="1"/>
  <c r="N13" i="15"/>
  <c r="U13" i="15"/>
  <c r="V13" i="15"/>
  <c r="X13" i="15" s="1"/>
  <c r="N11" i="15"/>
  <c r="U11" i="15"/>
  <c r="V11" i="15"/>
  <c r="X11" i="15" s="1"/>
  <c r="C287" i="9"/>
  <c r="C288" i="9"/>
  <c r="C289" i="9"/>
  <c r="C290" i="9"/>
  <c r="C291" i="9"/>
  <c r="C292" i="9"/>
  <c r="C293" i="9"/>
  <c r="C294" i="9"/>
  <c r="I287" i="9"/>
  <c r="I288" i="9"/>
  <c r="I289" i="9"/>
  <c r="I290" i="9"/>
  <c r="I291" i="9"/>
  <c r="I292" i="9"/>
  <c r="I293" i="9"/>
  <c r="I294" i="9"/>
  <c r="J287" i="9"/>
  <c r="J288" i="9"/>
  <c r="J289" i="9"/>
  <c r="J290" i="9"/>
  <c r="J291" i="9"/>
  <c r="J292" i="9"/>
  <c r="J293" i="9"/>
  <c r="J294" i="9"/>
  <c r="K287" i="9"/>
  <c r="K288" i="9"/>
  <c r="K289" i="9"/>
  <c r="K290" i="9"/>
  <c r="K291" i="9"/>
  <c r="K292" i="9"/>
  <c r="K293" i="9"/>
  <c r="K294" i="9"/>
  <c r="L287" i="9"/>
  <c r="L288" i="9"/>
  <c r="M288" i="9" s="1"/>
  <c r="L289" i="9"/>
  <c r="M289" i="9" s="1"/>
  <c r="L290" i="9"/>
  <c r="M290" i="9" s="1"/>
  <c r="L291" i="9"/>
  <c r="M291" i="9" s="1"/>
  <c r="L292" i="9"/>
  <c r="L293" i="9"/>
  <c r="M293" i="9" s="1"/>
  <c r="L294" i="9"/>
  <c r="M287" i="9"/>
  <c r="M292" i="9"/>
  <c r="M294" i="9"/>
  <c r="BQ14" i="9" l="1"/>
  <c r="BE29" i="9"/>
  <c r="BX14" i="9"/>
  <c r="AG5" i="9"/>
  <c r="AA27" i="15" s="1"/>
  <c r="BN14" i="9"/>
  <c r="BK14" i="9"/>
  <c r="BU14" i="9"/>
  <c r="CA14" i="9"/>
  <c r="AM5" i="9"/>
  <c r="AE27" i="15" s="1"/>
  <c r="BD29" i="9"/>
  <c r="BI14" i="9"/>
  <c r="BJ14" i="9"/>
  <c r="AW29" i="9"/>
  <c r="BB29" i="9"/>
  <c r="BC29" i="9"/>
  <c r="CD14" i="9"/>
  <c r="CC14" i="9"/>
  <c r="AJ5" i="9"/>
  <c r="AB27" i="15" s="1"/>
  <c r="AX29" i="9"/>
  <c r="BA29" i="9"/>
  <c r="BZ14" i="9"/>
  <c r="AF7" i="9"/>
  <c r="AG6" i="9" s="1"/>
  <c r="AA28" i="15" s="1"/>
  <c r="BP14" i="9"/>
  <c r="BV14" i="9"/>
  <c r="AY29" i="9"/>
  <c r="AV29" i="9"/>
  <c r="AZ29" i="9"/>
  <c r="CB14" i="9"/>
  <c r="CE14" i="9"/>
  <c r="BT16" i="9"/>
  <c r="BW15" i="9" s="1"/>
  <c r="BQ15" i="9"/>
  <c r="BL15" i="9"/>
  <c r="BG16" i="9"/>
  <c r="CB15" i="9" s="1"/>
  <c r="BR14" i="9"/>
  <c r="BL14" i="9"/>
  <c r="BM14" i="9"/>
  <c r="BO14" i="9"/>
  <c r="BH14" i="9"/>
  <c r="AT31" i="9"/>
  <c r="AW30" i="9" s="1"/>
  <c r="AP6" i="9"/>
  <c r="AH28" i="15" s="1"/>
  <c r="AL6" i="9"/>
  <c r="AD28" i="15" s="1"/>
  <c r="AM6" i="9"/>
  <c r="AE28" i="15" s="1"/>
  <c r="AO6" i="9"/>
  <c r="AG28" i="15" s="1"/>
  <c r="AN6" i="9"/>
  <c r="AF28" i="15" s="1"/>
  <c r="AK6" i="9"/>
  <c r="AC28" i="15" s="1"/>
  <c r="AJ6" i="9"/>
  <c r="AB28" i="15" s="1"/>
  <c r="AQ6" i="9"/>
  <c r="AI28" i="15" s="1"/>
  <c r="AL5" i="9"/>
  <c r="AD27" i="15" s="1"/>
  <c r="AN5" i="9"/>
  <c r="AF27" i="15" s="1"/>
  <c r="AP5" i="9"/>
  <c r="AH27" i="15" s="1"/>
  <c r="AO5" i="9"/>
  <c r="AG27" i="15" s="1"/>
  <c r="W13" i="15"/>
  <c r="T13" i="15"/>
  <c r="S13" i="15" s="1"/>
  <c r="T11" i="15"/>
  <c r="S11" i="15" s="1"/>
  <c r="AH6" i="9"/>
  <c r="AI5" i="9"/>
  <c r="AI6" i="9"/>
  <c r="W11" i="15"/>
  <c r="AF8" i="9"/>
  <c r="AM7" i="9" s="1"/>
  <c r="BN15" i="9" l="1"/>
  <c r="BR15" i="9"/>
  <c r="BI15" i="9"/>
  <c r="BC30" i="9"/>
  <c r="BH15" i="9"/>
  <c r="BP15" i="9"/>
  <c r="BX15" i="9"/>
  <c r="AX30" i="9"/>
  <c r="BJ15" i="9"/>
  <c r="CC15" i="9"/>
  <c r="BE30" i="9"/>
  <c r="BZ15" i="9"/>
  <c r="AY30" i="9"/>
  <c r="BO15" i="9"/>
  <c r="BU15" i="9"/>
  <c r="CA15" i="9"/>
  <c r="CD15" i="9"/>
  <c r="BD30" i="9"/>
  <c r="BB30" i="9"/>
  <c r="BV15" i="9"/>
  <c r="CE15" i="9"/>
  <c r="BY15" i="9"/>
  <c r="AZ30" i="9"/>
  <c r="BA30" i="9"/>
  <c r="AV30" i="9"/>
  <c r="BT17" i="9"/>
  <c r="BW16" i="9" s="1"/>
  <c r="BG17" i="9"/>
  <c r="CA16" i="9" s="1"/>
  <c r="BR16" i="9"/>
  <c r="BI16" i="9"/>
  <c r="BO16" i="9"/>
  <c r="BQ16" i="9"/>
  <c r="BK16" i="9"/>
  <c r="BP16" i="9"/>
  <c r="BL16" i="9"/>
  <c r="BH16" i="9"/>
  <c r="BM16" i="9"/>
  <c r="BK15" i="9"/>
  <c r="BM15" i="9"/>
  <c r="AT32" i="9"/>
  <c r="AU31" i="9"/>
  <c r="AU30" i="9"/>
  <c r="AJ7" i="9"/>
  <c r="AB29" i="15" s="1"/>
  <c r="AL7" i="9"/>
  <c r="AD29" i="15" s="1"/>
  <c r="AK7" i="9"/>
  <c r="AC29" i="15" s="1"/>
  <c r="AP7" i="9"/>
  <c r="AH29" i="15" s="1"/>
  <c r="AG7" i="9"/>
  <c r="AA29" i="15" s="1"/>
  <c r="AN7" i="9"/>
  <c r="AF29" i="15" s="1"/>
  <c r="AO7" i="9"/>
  <c r="AG29" i="15" s="1"/>
  <c r="AQ7" i="9"/>
  <c r="AI29" i="15" s="1"/>
  <c r="AE29" i="15"/>
  <c r="AI7" i="9"/>
  <c r="AH7" i="9"/>
  <c r="AF9" i="9"/>
  <c r="AP8" i="9" s="1"/>
  <c r="N10" i="15"/>
  <c r="N12" i="15"/>
  <c r="V10" i="15"/>
  <c r="V12" i="15"/>
  <c r="U10" i="15"/>
  <c r="U12" i="15"/>
  <c r="AU33" i="15"/>
  <c r="AU17" i="15"/>
  <c r="AU18" i="15"/>
  <c r="AU16" i="15"/>
  <c r="AU22" i="15"/>
  <c r="AU31" i="15"/>
  <c r="AU35" i="15"/>
  <c r="AU14" i="15"/>
  <c r="AU39" i="15"/>
  <c r="AU12" i="15"/>
  <c r="AU15" i="15"/>
  <c r="AU28" i="15"/>
  <c r="AU19" i="15"/>
  <c r="AU13" i="15"/>
  <c r="AU20" i="15"/>
  <c r="AU38" i="15"/>
  <c r="AU32" i="15"/>
  <c r="AU24" i="15"/>
  <c r="AU29" i="15"/>
  <c r="AU11" i="15"/>
  <c r="AU23" i="15"/>
  <c r="AU10" i="15"/>
  <c r="AU25" i="15"/>
  <c r="AU30" i="15"/>
  <c r="AU37" i="15"/>
  <c r="AU21" i="15"/>
  <c r="AU34" i="15"/>
  <c r="AU36" i="15"/>
  <c r="AU27" i="15"/>
  <c r="AU26" i="15"/>
  <c r="AT33" i="15"/>
  <c r="AT17" i="15"/>
  <c r="AT18" i="15"/>
  <c r="AT16" i="15"/>
  <c r="AT22" i="15"/>
  <c r="AT31" i="15"/>
  <c r="AT35" i="15"/>
  <c r="AT14" i="15"/>
  <c r="AT39" i="15"/>
  <c r="AT12" i="15"/>
  <c r="AT15" i="15"/>
  <c r="AT28" i="15"/>
  <c r="AT19" i="15"/>
  <c r="AT13" i="15"/>
  <c r="AT20" i="15"/>
  <c r="AT38" i="15"/>
  <c r="AT32" i="15"/>
  <c r="AT24" i="15"/>
  <c r="AT29" i="15"/>
  <c r="AT11" i="15"/>
  <c r="AT23" i="15"/>
  <c r="AT10" i="15"/>
  <c r="AT25" i="15"/>
  <c r="AT30" i="15"/>
  <c r="AT37" i="15"/>
  <c r="AT21" i="15"/>
  <c r="AT34" i="15"/>
  <c r="AT36" i="15"/>
  <c r="AT27" i="15"/>
  <c r="AT26" i="15"/>
  <c r="AS33" i="15"/>
  <c r="AS17" i="15"/>
  <c r="AS18" i="15"/>
  <c r="AS16" i="15"/>
  <c r="AS22" i="15"/>
  <c r="AS31" i="15"/>
  <c r="AS35" i="15"/>
  <c r="AS14" i="15"/>
  <c r="H70" i="15" s="1"/>
  <c r="O70" i="15" s="1"/>
  <c r="AS39" i="15"/>
  <c r="AS12" i="15"/>
  <c r="AS15" i="15"/>
  <c r="AS28" i="15"/>
  <c r="AS19" i="15"/>
  <c r="AS13" i="15"/>
  <c r="AS20" i="15"/>
  <c r="AS38" i="15"/>
  <c r="AS32" i="15"/>
  <c r="AS24" i="15"/>
  <c r="AS29" i="15"/>
  <c r="AS11" i="15"/>
  <c r="AS23" i="15"/>
  <c r="AS10" i="15"/>
  <c r="AS25" i="15"/>
  <c r="AS30" i="15"/>
  <c r="AS37" i="15"/>
  <c r="AS21" i="15"/>
  <c r="AS34" i="15"/>
  <c r="AS36" i="15"/>
  <c r="AS27" i="15"/>
  <c r="AS26" i="15"/>
  <c r="AR33" i="15"/>
  <c r="AR17" i="15"/>
  <c r="AR18" i="15"/>
  <c r="AR16" i="15"/>
  <c r="AR22" i="15"/>
  <c r="AR31" i="15"/>
  <c r="AR35" i="15"/>
  <c r="AR14" i="15"/>
  <c r="AR39" i="15"/>
  <c r="AR12" i="15"/>
  <c r="AR15" i="15"/>
  <c r="H16" i="15" s="1"/>
  <c r="O16" i="15" s="1"/>
  <c r="AR28" i="15"/>
  <c r="AR19" i="15"/>
  <c r="AR13" i="15"/>
  <c r="O40" i="15" s="1"/>
  <c r="AR20" i="15"/>
  <c r="AR38" i="15"/>
  <c r="AR32" i="15"/>
  <c r="AR24" i="15"/>
  <c r="AR29" i="15"/>
  <c r="AR11" i="15"/>
  <c r="AR23" i="15"/>
  <c r="AR10" i="15"/>
  <c r="AR25" i="15"/>
  <c r="AR30" i="15"/>
  <c r="AR37" i="15"/>
  <c r="AR21" i="15"/>
  <c r="AR34" i="15"/>
  <c r="AR36" i="15"/>
  <c r="AR27" i="15"/>
  <c r="AR26" i="15"/>
  <c r="AP33" i="15"/>
  <c r="AP17" i="15"/>
  <c r="AP18" i="15"/>
  <c r="AP16" i="15"/>
  <c r="AP22" i="15"/>
  <c r="AP31" i="15"/>
  <c r="AP35" i="15"/>
  <c r="AP14" i="15"/>
  <c r="AP39" i="15"/>
  <c r="AP12" i="15"/>
  <c r="AP15" i="15"/>
  <c r="AP28" i="15"/>
  <c r="AP19" i="15"/>
  <c r="AP13" i="15"/>
  <c r="AP20" i="15"/>
  <c r="AP38" i="15"/>
  <c r="AP32" i="15"/>
  <c r="AP24" i="15"/>
  <c r="AP29" i="15"/>
  <c r="AP11" i="15"/>
  <c r="AP23" i="15"/>
  <c r="AP10" i="15"/>
  <c r="AP25" i="15"/>
  <c r="AP30" i="15"/>
  <c r="AP37" i="15"/>
  <c r="AP21" i="15"/>
  <c r="AP34" i="15"/>
  <c r="AP36" i="15"/>
  <c r="AP27" i="15"/>
  <c r="AP26" i="15"/>
  <c r="AQ33" i="15"/>
  <c r="AQ17" i="15"/>
  <c r="AQ18" i="15"/>
  <c r="AQ16" i="15"/>
  <c r="AQ22" i="15"/>
  <c r="AQ31" i="15"/>
  <c r="AQ35" i="15"/>
  <c r="AQ14" i="15"/>
  <c r="AQ39" i="15"/>
  <c r="AQ12" i="15"/>
  <c r="AQ15" i="15"/>
  <c r="AQ28" i="15"/>
  <c r="AQ19" i="15"/>
  <c r="AQ13" i="15"/>
  <c r="AQ20" i="15"/>
  <c r="AQ38" i="15"/>
  <c r="AQ32" i="15"/>
  <c r="AQ24" i="15"/>
  <c r="AQ29" i="15"/>
  <c r="AQ11" i="15"/>
  <c r="AQ23" i="15"/>
  <c r="AQ10" i="15"/>
  <c r="AQ25" i="15"/>
  <c r="AQ30" i="15"/>
  <c r="AQ37" i="15"/>
  <c r="AQ21" i="15"/>
  <c r="AQ34" i="15"/>
  <c r="AQ36" i="15"/>
  <c r="AQ27" i="15"/>
  <c r="AQ26" i="15"/>
  <c r="AO33" i="15"/>
  <c r="AO17" i="15"/>
  <c r="AO18" i="15"/>
  <c r="AO16" i="15"/>
  <c r="AO22" i="15"/>
  <c r="AO31" i="15"/>
  <c r="AO35" i="15"/>
  <c r="AO14" i="15"/>
  <c r="AO39" i="15"/>
  <c r="AO12" i="15"/>
  <c r="AO15" i="15"/>
  <c r="AO28" i="15"/>
  <c r="AO19" i="15"/>
  <c r="AO13" i="15"/>
  <c r="AO20" i="15"/>
  <c r="AO38" i="15"/>
  <c r="AO32" i="15"/>
  <c r="AO24" i="15"/>
  <c r="AO29" i="15"/>
  <c r="AO11" i="15"/>
  <c r="AO23" i="15"/>
  <c r="AO10" i="15"/>
  <c r="AO25" i="15"/>
  <c r="AO30" i="15"/>
  <c r="AO37" i="15"/>
  <c r="AO21" i="15"/>
  <c r="AO34" i="15"/>
  <c r="AO36" i="15"/>
  <c r="AO27" i="15"/>
  <c r="AO26" i="15"/>
  <c r="AN33" i="15"/>
  <c r="AN17" i="15"/>
  <c r="AN18" i="15"/>
  <c r="AN16" i="15"/>
  <c r="AN22" i="15"/>
  <c r="AN31" i="15"/>
  <c r="AN35" i="15"/>
  <c r="AN14" i="15"/>
  <c r="AN39" i="15"/>
  <c r="AN12" i="15"/>
  <c r="AN15" i="15"/>
  <c r="H17" i="15" s="1"/>
  <c r="O17" i="15" s="1"/>
  <c r="AN28" i="15"/>
  <c r="AN19" i="15"/>
  <c r="AN13" i="15"/>
  <c r="AN20" i="15"/>
  <c r="AN38" i="15"/>
  <c r="AN32" i="15"/>
  <c r="AN24" i="15"/>
  <c r="O35" i="15" s="1"/>
  <c r="AN29" i="15"/>
  <c r="AN11" i="15"/>
  <c r="AN23" i="15"/>
  <c r="AN10" i="15"/>
  <c r="AN25" i="15"/>
  <c r="AN30" i="15"/>
  <c r="AN37" i="15"/>
  <c r="AN21" i="15"/>
  <c r="AN34" i="15"/>
  <c r="AN36" i="15"/>
  <c r="AN27" i="15"/>
  <c r="AN26" i="15"/>
  <c r="H20" i="15" l="1"/>
  <c r="O20" i="15" s="1"/>
  <c r="H19" i="15"/>
  <c r="O19" i="15" s="1"/>
  <c r="H21" i="15"/>
  <c r="O21" i="15" s="1"/>
  <c r="H18" i="15"/>
  <c r="O18" i="15" s="1"/>
  <c r="BC31" i="9"/>
  <c r="AZ31" i="9"/>
  <c r="AY31" i="9"/>
  <c r="BX16" i="9"/>
  <c r="CD16" i="9"/>
  <c r="AW31" i="9"/>
  <c r="O33" i="15"/>
  <c r="O32" i="15"/>
  <c r="O41" i="15"/>
  <c r="O39" i="15"/>
  <c r="O37" i="15"/>
  <c r="O38" i="15"/>
  <c r="O36" i="15"/>
  <c r="O34" i="15"/>
  <c r="H14" i="15"/>
  <c r="O14" i="15" s="1"/>
  <c r="BY16" i="9"/>
  <c r="CB16" i="9"/>
  <c r="BA31" i="9"/>
  <c r="BB31" i="9"/>
  <c r="BD31" i="9"/>
  <c r="AK8" i="9"/>
  <c r="AC30" i="15" s="1"/>
  <c r="CC16" i="9"/>
  <c r="BE31" i="9"/>
  <c r="CE17" i="9"/>
  <c r="BV16" i="9"/>
  <c r="BZ16" i="9"/>
  <c r="CE16" i="9"/>
  <c r="AV31" i="9"/>
  <c r="AX31" i="9"/>
  <c r="H71" i="15"/>
  <c r="O71" i="15" s="1"/>
  <c r="H15" i="15"/>
  <c r="O15" i="15" s="1"/>
  <c r="BT18" i="9"/>
  <c r="BU17" i="9" s="1"/>
  <c r="BU16" i="9"/>
  <c r="BG18" i="9"/>
  <c r="BY17" i="9" s="1"/>
  <c r="BN16" i="9"/>
  <c r="BJ16" i="9"/>
  <c r="AT33" i="9"/>
  <c r="AM8" i="9"/>
  <c r="AE30" i="15" s="1"/>
  <c r="AO8" i="9"/>
  <c r="AG30" i="15" s="1"/>
  <c r="AJ8" i="9"/>
  <c r="AB30" i="15" s="1"/>
  <c r="AQ8" i="9"/>
  <c r="AI30" i="15" s="1"/>
  <c r="AN8" i="9"/>
  <c r="AF30" i="15" s="1"/>
  <c r="AL8" i="9"/>
  <c r="AD30" i="15" s="1"/>
  <c r="AI8" i="9"/>
  <c r="AH30" i="15"/>
  <c r="AH8" i="9"/>
  <c r="AF10" i="9"/>
  <c r="AQ9" i="9" s="1"/>
  <c r="AG8" i="9"/>
  <c r="AA30" i="15" s="1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K262" i="9"/>
  <c r="L262" i="9"/>
  <c r="M262" i="9" s="1"/>
  <c r="K263" i="9"/>
  <c r="L263" i="9"/>
  <c r="M263" i="9" s="1"/>
  <c r="K264" i="9"/>
  <c r="L264" i="9"/>
  <c r="M264" i="9"/>
  <c r="K265" i="9"/>
  <c r="L265" i="9"/>
  <c r="M265" i="9" s="1"/>
  <c r="K266" i="9"/>
  <c r="L266" i="9"/>
  <c r="M266" i="9"/>
  <c r="K267" i="9"/>
  <c r="L267" i="9"/>
  <c r="M267" i="9"/>
  <c r="K268" i="9"/>
  <c r="L268" i="9"/>
  <c r="M268" i="9" s="1"/>
  <c r="K269" i="9"/>
  <c r="L269" i="9"/>
  <c r="M269" i="9"/>
  <c r="K270" i="9"/>
  <c r="L270" i="9"/>
  <c r="M270" i="9" s="1"/>
  <c r="K271" i="9"/>
  <c r="L271" i="9"/>
  <c r="M271" i="9" s="1"/>
  <c r="K272" i="9"/>
  <c r="L272" i="9"/>
  <c r="M272" i="9"/>
  <c r="K273" i="9"/>
  <c r="L273" i="9"/>
  <c r="M273" i="9" s="1"/>
  <c r="K274" i="9"/>
  <c r="L274" i="9"/>
  <c r="M274" i="9"/>
  <c r="K275" i="9"/>
  <c r="L275" i="9"/>
  <c r="M275" i="9" s="1"/>
  <c r="K276" i="9"/>
  <c r="L276" i="9"/>
  <c r="M276" i="9"/>
  <c r="K277" i="9"/>
  <c r="L277" i="9"/>
  <c r="M277" i="9" s="1"/>
  <c r="K278" i="9"/>
  <c r="L278" i="9"/>
  <c r="M278" i="9"/>
  <c r="K279" i="9"/>
  <c r="L279" i="9"/>
  <c r="M279" i="9" s="1"/>
  <c r="K280" i="9"/>
  <c r="L280" i="9"/>
  <c r="M280" i="9"/>
  <c r="K281" i="9"/>
  <c r="L281" i="9"/>
  <c r="M281" i="9" s="1"/>
  <c r="K282" i="9"/>
  <c r="L282" i="9"/>
  <c r="M282" i="9"/>
  <c r="K283" i="9"/>
  <c r="L283" i="9"/>
  <c r="M283" i="9"/>
  <c r="K284" i="9"/>
  <c r="L284" i="9"/>
  <c r="M284" i="9" s="1"/>
  <c r="K285" i="9"/>
  <c r="L285" i="9"/>
  <c r="M285" i="9" s="1"/>
  <c r="K286" i="9"/>
  <c r="L286" i="9"/>
  <c r="M286" i="9"/>
  <c r="C277" i="9"/>
  <c r="C278" i="9"/>
  <c r="C279" i="9"/>
  <c r="C280" i="9"/>
  <c r="C281" i="9"/>
  <c r="C282" i="9"/>
  <c r="C283" i="9"/>
  <c r="C284" i="9"/>
  <c r="C285" i="9"/>
  <c r="C286" i="9"/>
  <c r="I277" i="9"/>
  <c r="I278" i="9"/>
  <c r="I279" i="9"/>
  <c r="I280" i="9"/>
  <c r="I281" i="9"/>
  <c r="I282" i="9"/>
  <c r="I283" i="9"/>
  <c r="I284" i="9"/>
  <c r="I285" i="9"/>
  <c r="I286" i="9"/>
  <c r="X12" i="15"/>
  <c r="BC32" i="9" l="1"/>
  <c r="BE32" i="9"/>
  <c r="BD32" i="9"/>
  <c r="AW32" i="9"/>
  <c r="CC17" i="9"/>
  <c r="CA17" i="9"/>
  <c r="AZ32" i="9"/>
  <c r="BA32" i="9"/>
  <c r="AV32" i="9"/>
  <c r="BW17" i="9"/>
  <c r="CB17" i="9"/>
  <c r="CD17" i="9"/>
  <c r="BB32" i="9"/>
  <c r="BV17" i="9"/>
  <c r="AI9" i="9"/>
  <c r="BX17" i="9"/>
  <c r="BZ17" i="9"/>
  <c r="AY32" i="9"/>
  <c r="AX32" i="9"/>
  <c r="BT19" i="9"/>
  <c r="BU18" i="9"/>
  <c r="BG19" i="9"/>
  <c r="BY18" i="9" s="1"/>
  <c r="BL17" i="9"/>
  <c r="BN17" i="9"/>
  <c r="BH17" i="9"/>
  <c r="BP17" i="9"/>
  <c r="BI17" i="9"/>
  <c r="BM17" i="9"/>
  <c r="BJ17" i="9"/>
  <c r="BO17" i="9"/>
  <c r="BQ17" i="9"/>
  <c r="BR17" i="9"/>
  <c r="BK17" i="9"/>
  <c r="AT34" i="9"/>
  <c r="AU33" i="9"/>
  <c r="AU32" i="9"/>
  <c r="AO9" i="9"/>
  <c r="AG31" i="15" s="1"/>
  <c r="AN9" i="9"/>
  <c r="AF31" i="15" s="1"/>
  <c r="AL9" i="9"/>
  <c r="AD31" i="15" s="1"/>
  <c r="AM9" i="9"/>
  <c r="AE31" i="15" s="1"/>
  <c r="AP9" i="9"/>
  <c r="AH31" i="15" s="1"/>
  <c r="AG9" i="9"/>
  <c r="AA31" i="15" s="1"/>
  <c r="AK9" i="9"/>
  <c r="AC31" i="15" s="1"/>
  <c r="AJ9" i="9"/>
  <c r="AB31" i="15" s="1"/>
  <c r="T12" i="15"/>
  <c r="S12" i="15" s="1"/>
  <c r="AH9" i="9"/>
  <c r="AI31" i="15"/>
  <c r="AF11" i="9"/>
  <c r="AN10" i="9" s="1"/>
  <c r="W12" i="15"/>
  <c r="X10" i="15"/>
  <c r="C265" i="9"/>
  <c r="C266" i="9"/>
  <c r="C267" i="9"/>
  <c r="C268" i="9"/>
  <c r="C269" i="9"/>
  <c r="C270" i="9"/>
  <c r="C271" i="9"/>
  <c r="C272" i="9"/>
  <c r="C273" i="9"/>
  <c r="C274" i="9"/>
  <c r="C275" i="9"/>
  <c r="C276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K259" i="9"/>
  <c r="L259" i="9"/>
  <c r="M259" i="9" s="1"/>
  <c r="K260" i="9"/>
  <c r="L260" i="9"/>
  <c r="M260" i="9" s="1"/>
  <c r="K261" i="9"/>
  <c r="L261" i="9"/>
  <c r="M261" i="9"/>
  <c r="BM18" i="9" l="1"/>
  <c r="BO18" i="9"/>
  <c r="AV33" i="9"/>
  <c r="BX18" i="9"/>
  <c r="BR18" i="9"/>
  <c r="BJ18" i="9"/>
  <c r="BA33" i="9"/>
  <c r="AW33" i="9"/>
  <c r="BQ18" i="9"/>
  <c r="CA18" i="9"/>
  <c r="AX33" i="9"/>
  <c r="BE33" i="9"/>
  <c r="CE18" i="9"/>
  <c r="CB18" i="9"/>
  <c r="AJ10" i="9"/>
  <c r="BB33" i="9"/>
  <c r="BC33" i="9"/>
  <c r="BZ18" i="9"/>
  <c r="BW18" i="9"/>
  <c r="BP18" i="9"/>
  <c r="BI18" i="9"/>
  <c r="AY33" i="9"/>
  <c r="BD33" i="9"/>
  <c r="AZ33" i="9"/>
  <c r="CD18" i="9"/>
  <c r="CC18" i="9"/>
  <c r="BV18" i="9"/>
  <c r="BT20" i="9"/>
  <c r="BV19" i="9" s="1"/>
  <c r="BH19" i="9"/>
  <c r="BG20" i="9"/>
  <c r="CD19" i="9" s="1"/>
  <c r="BK18" i="9"/>
  <c r="BL18" i="9"/>
  <c r="BN18" i="9"/>
  <c r="BH18" i="9"/>
  <c r="AT35" i="9"/>
  <c r="AK10" i="9"/>
  <c r="AC32" i="15" s="1"/>
  <c r="AO10" i="9"/>
  <c r="AG32" i="15" s="1"/>
  <c r="AM10" i="9"/>
  <c r="AE32" i="15" s="1"/>
  <c r="AQ10" i="9"/>
  <c r="AI32" i="15" s="1"/>
  <c r="AL10" i="9"/>
  <c r="AD32" i="15" s="1"/>
  <c r="AP10" i="9"/>
  <c r="AH32" i="15" s="1"/>
  <c r="T10" i="15"/>
  <c r="S10" i="15" s="1"/>
  <c r="AB32" i="15"/>
  <c r="AG10" i="9"/>
  <c r="AA32" i="15" s="1"/>
  <c r="AF32" i="15"/>
  <c r="AI10" i="9"/>
  <c r="AH10" i="9"/>
  <c r="AF12" i="9"/>
  <c r="AP11" i="9" s="1"/>
  <c r="H12" i="15"/>
  <c r="O12" i="15" s="1"/>
  <c r="W10" i="15"/>
  <c r="H10" i="15" s="1"/>
  <c r="C262" i="9"/>
  <c r="C263" i="9"/>
  <c r="C264" i="9"/>
  <c r="I262" i="9"/>
  <c r="I263" i="9"/>
  <c r="I264" i="9"/>
  <c r="AV34" i="9" l="1"/>
  <c r="BZ19" i="9"/>
  <c r="CE19" i="9"/>
  <c r="BJ19" i="9"/>
  <c r="AO11" i="9"/>
  <c r="AW34" i="9"/>
  <c r="AY34" i="9"/>
  <c r="BE34" i="9"/>
  <c r="AM11" i="9"/>
  <c r="AE33" i="15" s="1"/>
  <c r="BL19" i="9"/>
  <c r="BU19" i="9"/>
  <c r="CB19" i="9"/>
  <c r="BW19" i="9"/>
  <c r="AN11" i="9"/>
  <c r="AF33" i="15" s="1"/>
  <c r="BY19" i="9"/>
  <c r="BX19" i="9"/>
  <c r="BD34" i="9"/>
  <c r="BC34" i="9"/>
  <c r="BB34" i="9"/>
  <c r="AL11" i="9"/>
  <c r="AD33" i="15" s="1"/>
  <c r="CC19" i="9"/>
  <c r="CA19" i="9"/>
  <c r="BA34" i="9"/>
  <c r="AX34" i="9"/>
  <c r="AZ34" i="9"/>
  <c r="BT21" i="9"/>
  <c r="BU20" i="9"/>
  <c r="BJ20" i="9"/>
  <c r="BG21" i="9"/>
  <c r="CC20" i="9" s="1"/>
  <c r="BP20" i="9"/>
  <c r="BI20" i="9"/>
  <c r="BK20" i="9"/>
  <c r="BQ20" i="9"/>
  <c r="BP19" i="9"/>
  <c r="BQ19" i="9"/>
  <c r="BK19" i="9"/>
  <c r="BR19" i="9"/>
  <c r="BM19" i="9"/>
  <c r="BO19" i="9"/>
  <c r="BN19" i="9"/>
  <c r="BI19" i="9"/>
  <c r="AT36" i="9"/>
  <c r="AU34" i="9"/>
  <c r="AQ11" i="9"/>
  <c r="AI33" i="15" s="1"/>
  <c r="AM12" i="9"/>
  <c r="AK11" i="9"/>
  <c r="AC33" i="15" s="1"/>
  <c r="AJ11" i="9"/>
  <c r="AB33" i="15" s="1"/>
  <c r="AG33" i="15"/>
  <c r="AI11" i="9"/>
  <c r="AH11" i="9"/>
  <c r="AH33" i="15"/>
  <c r="AF13" i="9"/>
  <c r="AL12" i="9" s="1"/>
  <c r="AD34" i="15" s="1"/>
  <c r="AG11" i="9"/>
  <c r="AA33" i="15" s="1"/>
  <c r="O10" i="15"/>
  <c r="H11" i="15"/>
  <c r="O11" i="15" s="1"/>
  <c r="C259" i="9"/>
  <c r="C260" i="9"/>
  <c r="C261" i="9"/>
  <c r="I259" i="9"/>
  <c r="I260" i="9"/>
  <c r="I261" i="9"/>
  <c r="AY35" i="9" l="1"/>
  <c r="AG12" i="9"/>
  <c r="AA34" i="15" s="1"/>
  <c r="AP12" i="9"/>
  <c r="BL20" i="9"/>
  <c r="BH20" i="9"/>
  <c r="BV20" i="9"/>
  <c r="BT22" i="9"/>
  <c r="CE20" i="9"/>
  <c r="AX35" i="9"/>
  <c r="AQ12" i="9"/>
  <c r="AU35" i="9"/>
  <c r="BZ20" i="9"/>
  <c r="AV35" i="9"/>
  <c r="AW35" i="9"/>
  <c r="BA35" i="9"/>
  <c r="G20" i="15"/>
  <c r="R37" i="15"/>
  <c r="CD20" i="9"/>
  <c r="BY20" i="9"/>
  <c r="BD35" i="9"/>
  <c r="BC35" i="9"/>
  <c r="AK12" i="9"/>
  <c r="AC34" i="15" s="1"/>
  <c r="R39" i="15" s="1"/>
  <c r="AT37" i="9"/>
  <c r="AW36" i="9" s="1"/>
  <c r="AY36" i="9"/>
  <c r="AZ36" i="9"/>
  <c r="BD36" i="9"/>
  <c r="BE36" i="9"/>
  <c r="BO20" i="9"/>
  <c r="BR20" i="9"/>
  <c r="BW21" i="9"/>
  <c r="BV21" i="9"/>
  <c r="BX20" i="9"/>
  <c r="BB35" i="9"/>
  <c r="BW20" i="9"/>
  <c r="CD21" i="9"/>
  <c r="CA20" i="9"/>
  <c r="CB20" i="9"/>
  <c r="BE35" i="9"/>
  <c r="AZ35" i="9"/>
  <c r="BU21" i="9"/>
  <c r="BG22" i="9"/>
  <c r="BG23" i="9" s="1"/>
  <c r="BG24" i="9" s="1"/>
  <c r="BG25" i="9" s="1"/>
  <c r="BM20" i="9"/>
  <c r="BN20" i="9"/>
  <c r="AN12" i="9"/>
  <c r="AF34" i="15" s="1"/>
  <c r="AO12" i="9"/>
  <c r="AG34" i="15" s="1"/>
  <c r="AJ12" i="9"/>
  <c r="AB34" i="15" s="1"/>
  <c r="AI12" i="9"/>
  <c r="AE34" i="15"/>
  <c r="AH34" i="15"/>
  <c r="AH12" i="9"/>
  <c r="AI34" i="15"/>
  <c r="AF14" i="9"/>
  <c r="AO13" i="9" s="1"/>
  <c r="AD10" i="15"/>
  <c r="AE10" i="15"/>
  <c r="AG10" i="15"/>
  <c r="AF10" i="15"/>
  <c r="M6" i="9"/>
  <c r="M8" i="9"/>
  <c r="M10" i="9"/>
  <c r="M12" i="9"/>
  <c r="M14" i="9"/>
  <c r="M15" i="9"/>
  <c r="M17" i="9"/>
  <c r="M19" i="9"/>
  <c r="M21" i="9"/>
  <c r="M24" i="9"/>
  <c r="M26" i="9"/>
  <c r="M28" i="9"/>
  <c r="M29" i="9"/>
  <c r="M31" i="9"/>
  <c r="M33" i="9"/>
  <c r="M35" i="9"/>
  <c r="M36" i="9"/>
  <c r="M37" i="9"/>
  <c r="M39" i="9"/>
  <c r="M41" i="9"/>
  <c r="M42" i="9"/>
  <c r="M43" i="9"/>
  <c r="M44" i="9"/>
  <c r="M45" i="9"/>
  <c r="M46" i="9"/>
  <c r="M47" i="9"/>
  <c r="M50" i="9"/>
  <c r="M51" i="9"/>
  <c r="M53" i="9"/>
  <c r="M56" i="9"/>
  <c r="M57" i="9"/>
  <c r="M60" i="9"/>
  <c r="M62" i="9"/>
  <c r="M63" i="9"/>
  <c r="M64" i="9"/>
  <c r="M65" i="9"/>
  <c r="M67" i="9"/>
  <c r="M69" i="9"/>
  <c r="M71" i="9"/>
  <c r="M73" i="9"/>
  <c r="M77" i="9"/>
  <c r="M78" i="9"/>
  <c r="M80" i="9"/>
  <c r="M82" i="9"/>
  <c r="M84" i="9"/>
  <c r="M87" i="9"/>
  <c r="M90" i="9"/>
  <c r="M92" i="9"/>
  <c r="M95" i="9"/>
  <c r="M97" i="9"/>
  <c r="M99" i="9"/>
  <c r="M100" i="9"/>
  <c r="M102" i="9"/>
  <c r="M105" i="9"/>
  <c r="M107" i="9"/>
  <c r="M109" i="9"/>
  <c r="M113" i="9"/>
  <c r="M115" i="9"/>
  <c r="M118" i="9"/>
  <c r="M120" i="9"/>
  <c r="M122" i="9"/>
  <c r="M125" i="9"/>
  <c r="M127" i="9"/>
  <c r="M131" i="9"/>
  <c r="M133" i="9"/>
  <c r="M135" i="9"/>
  <c r="M139" i="9"/>
  <c r="M141" i="9"/>
  <c r="M143" i="9"/>
  <c r="M145" i="9"/>
  <c r="M149" i="9"/>
  <c r="M150" i="9"/>
  <c r="M152" i="9"/>
  <c r="M155" i="9"/>
  <c r="M156" i="9"/>
  <c r="M157" i="9"/>
  <c r="M159" i="9"/>
  <c r="M161" i="9"/>
  <c r="M163" i="9"/>
  <c r="M166" i="9"/>
  <c r="M170" i="9"/>
  <c r="M171" i="9"/>
  <c r="M173" i="9"/>
  <c r="M175" i="9"/>
  <c r="M178" i="9"/>
  <c r="M181" i="9"/>
  <c r="M184" i="9"/>
  <c r="M186" i="9"/>
  <c r="M188" i="9"/>
  <c r="M189" i="9"/>
  <c r="M190" i="9"/>
  <c r="M192" i="9"/>
  <c r="M194" i="9"/>
  <c r="M196" i="9"/>
  <c r="M198" i="9"/>
  <c r="M200" i="9"/>
  <c r="M202" i="9"/>
  <c r="M204" i="9"/>
  <c r="M206" i="9"/>
  <c r="M208" i="9"/>
  <c r="M209" i="9"/>
  <c r="M212" i="9"/>
  <c r="M213" i="9"/>
  <c r="M215" i="9"/>
  <c r="M217" i="9"/>
  <c r="M219" i="9"/>
  <c r="M221" i="9"/>
  <c r="M223" i="9"/>
  <c r="M225" i="9"/>
  <c r="M226" i="9"/>
  <c r="M229" i="9"/>
  <c r="M231" i="9"/>
  <c r="M233" i="9"/>
  <c r="M237" i="9"/>
  <c r="M238" i="9"/>
  <c r="M240" i="9"/>
  <c r="M242" i="9"/>
  <c r="M244" i="9"/>
  <c r="M247" i="9"/>
  <c r="M249" i="9"/>
  <c r="M252" i="9"/>
  <c r="M254" i="9"/>
  <c r="M256" i="9"/>
  <c r="M258" i="9"/>
  <c r="M4" i="9"/>
  <c r="L4" i="9"/>
  <c r="L5" i="9"/>
  <c r="M5" i="9" s="1"/>
  <c r="L6" i="9"/>
  <c r="L7" i="9"/>
  <c r="M7" i="9" s="1"/>
  <c r="L8" i="9"/>
  <c r="L9" i="9"/>
  <c r="M9" i="9" s="1"/>
  <c r="L10" i="9"/>
  <c r="L11" i="9"/>
  <c r="M11" i="9" s="1"/>
  <c r="L12" i="9"/>
  <c r="L13" i="9"/>
  <c r="M13" i="9" s="1"/>
  <c r="L14" i="9"/>
  <c r="L15" i="9"/>
  <c r="L16" i="9"/>
  <c r="M16" i="9" s="1"/>
  <c r="L17" i="9"/>
  <c r="L18" i="9"/>
  <c r="M18" i="9" s="1"/>
  <c r="L19" i="9"/>
  <c r="L20" i="9"/>
  <c r="M20" i="9" s="1"/>
  <c r="L21" i="9"/>
  <c r="L22" i="9"/>
  <c r="M22" i="9" s="1"/>
  <c r="L23" i="9"/>
  <c r="M23" i="9" s="1"/>
  <c r="L24" i="9"/>
  <c r="L25" i="9"/>
  <c r="M25" i="9" s="1"/>
  <c r="L26" i="9"/>
  <c r="L27" i="9"/>
  <c r="M27" i="9" s="1"/>
  <c r="L28" i="9"/>
  <c r="L29" i="9"/>
  <c r="L30" i="9"/>
  <c r="M30" i="9" s="1"/>
  <c r="L31" i="9"/>
  <c r="L32" i="9"/>
  <c r="M32" i="9" s="1"/>
  <c r="L33" i="9"/>
  <c r="L34" i="9"/>
  <c r="M34" i="9" s="1"/>
  <c r="L35" i="9"/>
  <c r="L36" i="9"/>
  <c r="L37" i="9"/>
  <c r="L38" i="9"/>
  <c r="M38" i="9" s="1"/>
  <c r="L39" i="9"/>
  <c r="L40" i="9"/>
  <c r="M40" i="9" s="1"/>
  <c r="L41" i="9"/>
  <c r="L42" i="9"/>
  <c r="L43" i="9"/>
  <c r="L44" i="9"/>
  <c r="L45" i="9"/>
  <c r="L46" i="9"/>
  <c r="L47" i="9"/>
  <c r="L48" i="9"/>
  <c r="M48" i="9" s="1"/>
  <c r="L49" i="9"/>
  <c r="M49" i="9" s="1"/>
  <c r="L50" i="9"/>
  <c r="L51" i="9"/>
  <c r="L52" i="9"/>
  <c r="M52" i="9" s="1"/>
  <c r="L53" i="9"/>
  <c r="L54" i="9"/>
  <c r="M54" i="9" s="1"/>
  <c r="L55" i="9"/>
  <c r="M55" i="9" s="1"/>
  <c r="L56" i="9"/>
  <c r="L57" i="9"/>
  <c r="L58" i="9"/>
  <c r="M58" i="9" s="1"/>
  <c r="L59" i="9"/>
  <c r="M59" i="9" s="1"/>
  <c r="L60" i="9"/>
  <c r="L61" i="9"/>
  <c r="M61" i="9" s="1"/>
  <c r="L62" i="9"/>
  <c r="L63" i="9"/>
  <c r="L64" i="9"/>
  <c r="L65" i="9"/>
  <c r="L66" i="9"/>
  <c r="M66" i="9" s="1"/>
  <c r="L67" i="9"/>
  <c r="L68" i="9"/>
  <c r="M68" i="9" s="1"/>
  <c r="L69" i="9"/>
  <c r="L70" i="9"/>
  <c r="M70" i="9" s="1"/>
  <c r="L71" i="9"/>
  <c r="L72" i="9"/>
  <c r="M72" i="9" s="1"/>
  <c r="L73" i="9"/>
  <c r="L74" i="9"/>
  <c r="M74" i="9" s="1"/>
  <c r="L75" i="9"/>
  <c r="M75" i="9" s="1"/>
  <c r="L76" i="9"/>
  <c r="M76" i="9" s="1"/>
  <c r="L77" i="9"/>
  <c r="L78" i="9"/>
  <c r="L79" i="9"/>
  <c r="M79" i="9" s="1"/>
  <c r="L80" i="9"/>
  <c r="L81" i="9"/>
  <c r="M81" i="9" s="1"/>
  <c r="L82" i="9"/>
  <c r="L83" i="9"/>
  <c r="M83" i="9" s="1"/>
  <c r="L84" i="9"/>
  <c r="L85" i="9"/>
  <c r="M85" i="9" s="1"/>
  <c r="L86" i="9"/>
  <c r="M86" i="9" s="1"/>
  <c r="L87" i="9"/>
  <c r="L88" i="9"/>
  <c r="M88" i="9" s="1"/>
  <c r="L89" i="9"/>
  <c r="M89" i="9" s="1"/>
  <c r="L90" i="9"/>
  <c r="L91" i="9"/>
  <c r="M91" i="9" s="1"/>
  <c r="L92" i="9"/>
  <c r="L93" i="9"/>
  <c r="M93" i="9" s="1"/>
  <c r="L94" i="9"/>
  <c r="M94" i="9" s="1"/>
  <c r="L95" i="9"/>
  <c r="L96" i="9"/>
  <c r="M96" i="9" s="1"/>
  <c r="L97" i="9"/>
  <c r="L98" i="9"/>
  <c r="M98" i="9" s="1"/>
  <c r="L99" i="9"/>
  <c r="L100" i="9"/>
  <c r="L101" i="9"/>
  <c r="M101" i="9" s="1"/>
  <c r="L102" i="9"/>
  <c r="L103" i="9"/>
  <c r="M103" i="9" s="1"/>
  <c r="L104" i="9"/>
  <c r="M104" i="9" s="1"/>
  <c r="L105" i="9"/>
  <c r="L106" i="9"/>
  <c r="M106" i="9" s="1"/>
  <c r="L107" i="9"/>
  <c r="L108" i="9"/>
  <c r="M108" i="9" s="1"/>
  <c r="L109" i="9"/>
  <c r="L110" i="9"/>
  <c r="M110" i="9" s="1"/>
  <c r="L111" i="9"/>
  <c r="M111" i="9" s="1"/>
  <c r="L112" i="9"/>
  <c r="M112" i="9" s="1"/>
  <c r="L113" i="9"/>
  <c r="L114" i="9"/>
  <c r="M114" i="9" s="1"/>
  <c r="L115" i="9"/>
  <c r="L116" i="9"/>
  <c r="M116" i="9" s="1"/>
  <c r="L117" i="9"/>
  <c r="M117" i="9" s="1"/>
  <c r="L118" i="9"/>
  <c r="L119" i="9"/>
  <c r="M119" i="9" s="1"/>
  <c r="L120" i="9"/>
  <c r="L121" i="9"/>
  <c r="M121" i="9" s="1"/>
  <c r="L122" i="9"/>
  <c r="L123" i="9"/>
  <c r="M123" i="9" s="1"/>
  <c r="L124" i="9"/>
  <c r="M124" i="9" s="1"/>
  <c r="L125" i="9"/>
  <c r="L126" i="9"/>
  <c r="M126" i="9" s="1"/>
  <c r="L127" i="9"/>
  <c r="L128" i="9"/>
  <c r="M128" i="9" s="1"/>
  <c r="L129" i="9"/>
  <c r="M129" i="9" s="1"/>
  <c r="L130" i="9"/>
  <c r="M130" i="9" s="1"/>
  <c r="L131" i="9"/>
  <c r="L132" i="9"/>
  <c r="M132" i="9" s="1"/>
  <c r="L133" i="9"/>
  <c r="L134" i="9"/>
  <c r="M134" i="9" s="1"/>
  <c r="L135" i="9"/>
  <c r="L136" i="9"/>
  <c r="M136" i="9" s="1"/>
  <c r="L137" i="9"/>
  <c r="M137" i="9" s="1"/>
  <c r="L138" i="9"/>
  <c r="M138" i="9" s="1"/>
  <c r="L139" i="9"/>
  <c r="L140" i="9"/>
  <c r="M140" i="9" s="1"/>
  <c r="L141" i="9"/>
  <c r="L142" i="9"/>
  <c r="M142" i="9" s="1"/>
  <c r="L143" i="9"/>
  <c r="L144" i="9"/>
  <c r="M144" i="9" s="1"/>
  <c r="L145" i="9"/>
  <c r="L146" i="9"/>
  <c r="M146" i="9" s="1"/>
  <c r="L147" i="9"/>
  <c r="M147" i="9" s="1"/>
  <c r="L148" i="9"/>
  <c r="M148" i="9" s="1"/>
  <c r="L149" i="9"/>
  <c r="L150" i="9"/>
  <c r="L151" i="9"/>
  <c r="M151" i="9" s="1"/>
  <c r="L152" i="9"/>
  <c r="L153" i="9"/>
  <c r="M153" i="9" s="1"/>
  <c r="L154" i="9"/>
  <c r="M154" i="9" s="1"/>
  <c r="L155" i="9"/>
  <c r="L156" i="9"/>
  <c r="L157" i="9"/>
  <c r="L158" i="9"/>
  <c r="M158" i="9" s="1"/>
  <c r="L159" i="9"/>
  <c r="L160" i="9"/>
  <c r="M160" i="9" s="1"/>
  <c r="L161" i="9"/>
  <c r="L162" i="9"/>
  <c r="M162" i="9" s="1"/>
  <c r="L163" i="9"/>
  <c r="L164" i="9"/>
  <c r="M164" i="9" s="1"/>
  <c r="L165" i="9"/>
  <c r="M165" i="9" s="1"/>
  <c r="L166" i="9"/>
  <c r="L167" i="9"/>
  <c r="M167" i="9" s="1"/>
  <c r="L168" i="9"/>
  <c r="M168" i="9" s="1"/>
  <c r="L169" i="9"/>
  <c r="M169" i="9" s="1"/>
  <c r="L170" i="9"/>
  <c r="L171" i="9"/>
  <c r="L172" i="9"/>
  <c r="M172" i="9" s="1"/>
  <c r="L173" i="9"/>
  <c r="L174" i="9"/>
  <c r="M174" i="9" s="1"/>
  <c r="L175" i="9"/>
  <c r="L176" i="9"/>
  <c r="M176" i="9" s="1"/>
  <c r="L177" i="9"/>
  <c r="M177" i="9" s="1"/>
  <c r="L178" i="9"/>
  <c r="L179" i="9"/>
  <c r="M179" i="9" s="1"/>
  <c r="L180" i="9"/>
  <c r="M180" i="9" s="1"/>
  <c r="L181" i="9"/>
  <c r="L182" i="9"/>
  <c r="M182" i="9" s="1"/>
  <c r="L183" i="9"/>
  <c r="M183" i="9" s="1"/>
  <c r="L184" i="9"/>
  <c r="L185" i="9"/>
  <c r="M185" i="9" s="1"/>
  <c r="L186" i="9"/>
  <c r="L187" i="9"/>
  <c r="M187" i="9" s="1"/>
  <c r="L188" i="9"/>
  <c r="L189" i="9"/>
  <c r="L190" i="9"/>
  <c r="L191" i="9"/>
  <c r="M191" i="9" s="1"/>
  <c r="L192" i="9"/>
  <c r="L193" i="9"/>
  <c r="M193" i="9" s="1"/>
  <c r="L194" i="9"/>
  <c r="L195" i="9"/>
  <c r="M195" i="9" s="1"/>
  <c r="L196" i="9"/>
  <c r="L197" i="9"/>
  <c r="M197" i="9" s="1"/>
  <c r="L198" i="9"/>
  <c r="L199" i="9"/>
  <c r="M199" i="9" s="1"/>
  <c r="L200" i="9"/>
  <c r="L201" i="9"/>
  <c r="M201" i="9" s="1"/>
  <c r="L202" i="9"/>
  <c r="L203" i="9"/>
  <c r="M203" i="9" s="1"/>
  <c r="L204" i="9"/>
  <c r="L205" i="9"/>
  <c r="M205" i="9" s="1"/>
  <c r="L206" i="9"/>
  <c r="L207" i="9"/>
  <c r="M207" i="9" s="1"/>
  <c r="L208" i="9"/>
  <c r="L209" i="9"/>
  <c r="L210" i="9"/>
  <c r="M210" i="9" s="1"/>
  <c r="L211" i="9"/>
  <c r="M211" i="9" s="1"/>
  <c r="L212" i="9"/>
  <c r="L213" i="9"/>
  <c r="L214" i="9"/>
  <c r="M214" i="9" s="1"/>
  <c r="L215" i="9"/>
  <c r="L216" i="9"/>
  <c r="M216" i="9" s="1"/>
  <c r="L217" i="9"/>
  <c r="L218" i="9"/>
  <c r="M218" i="9" s="1"/>
  <c r="L219" i="9"/>
  <c r="L220" i="9"/>
  <c r="M220" i="9" s="1"/>
  <c r="L221" i="9"/>
  <c r="L222" i="9"/>
  <c r="M222" i="9" s="1"/>
  <c r="L223" i="9"/>
  <c r="L224" i="9"/>
  <c r="M224" i="9" s="1"/>
  <c r="L225" i="9"/>
  <c r="L226" i="9"/>
  <c r="L227" i="9"/>
  <c r="M227" i="9" s="1"/>
  <c r="L228" i="9"/>
  <c r="M228" i="9" s="1"/>
  <c r="L229" i="9"/>
  <c r="L230" i="9"/>
  <c r="M230" i="9" s="1"/>
  <c r="L231" i="9"/>
  <c r="L232" i="9"/>
  <c r="M232" i="9" s="1"/>
  <c r="L233" i="9"/>
  <c r="L234" i="9"/>
  <c r="M234" i="9" s="1"/>
  <c r="L235" i="9"/>
  <c r="M235" i="9" s="1"/>
  <c r="L236" i="9"/>
  <c r="M236" i="9" s="1"/>
  <c r="L237" i="9"/>
  <c r="L238" i="9"/>
  <c r="L239" i="9"/>
  <c r="M239" i="9" s="1"/>
  <c r="L240" i="9"/>
  <c r="L241" i="9"/>
  <c r="M241" i="9" s="1"/>
  <c r="L242" i="9"/>
  <c r="L243" i="9"/>
  <c r="M243" i="9" s="1"/>
  <c r="L244" i="9"/>
  <c r="L245" i="9"/>
  <c r="M245" i="9" s="1"/>
  <c r="L246" i="9"/>
  <c r="M246" i="9" s="1"/>
  <c r="L247" i="9"/>
  <c r="L248" i="9"/>
  <c r="M248" i="9" s="1"/>
  <c r="L249" i="9"/>
  <c r="L250" i="9"/>
  <c r="M250" i="9" s="1"/>
  <c r="L251" i="9"/>
  <c r="M251" i="9" s="1"/>
  <c r="L252" i="9"/>
  <c r="L253" i="9"/>
  <c r="M253" i="9" s="1"/>
  <c r="L254" i="9"/>
  <c r="L255" i="9"/>
  <c r="M255" i="9" s="1"/>
  <c r="L256" i="9"/>
  <c r="L257" i="9"/>
  <c r="M257" i="9" s="1"/>
  <c r="L258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AQ13" i="9" l="1"/>
  <c r="CB21" i="9"/>
  <c r="BX21" i="9"/>
  <c r="BC36" i="9"/>
  <c r="AX36" i="9"/>
  <c r="AM13" i="9"/>
  <c r="BY21" i="9"/>
  <c r="CE21" i="9"/>
  <c r="BA36" i="9"/>
  <c r="BB36" i="9"/>
  <c r="AV36" i="9"/>
  <c r="AN13" i="9"/>
  <c r="AF35" i="15" s="1"/>
  <c r="BZ21" i="9"/>
  <c r="AW37" i="9"/>
  <c r="R20" i="15"/>
  <c r="AJ13" i="9"/>
  <c r="CC21" i="9"/>
  <c r="CA21" i="9"/>
  <c r="AT38" i="9"/>
  <c r="BA37" i="9"/>
  <c r="BJ21" i="9"/>
  <c r="BM21" i="9"/>
  <c r="BQ21" i="9"/>
  <c r="BR21" i="9"/>
  <c r="BH21" i="9"/>
  <c r="BL21" i="9"/>
  <c r="BN21" i="9"/>
  <c r="BO21" i="9"/>
  <c r="BP21" i="9"/>
  <c r="BI21" i="9"/>
  <c r="BK21" i="9"/>
  <c r="AU36" i="9"/>
  <c r="AP13" i="9"/>
  <c r="AH35" i="15" s="1"/>
  <c r="AL13" i="9"/>
  <c r="AD35" i="15" s="1"/>
  <c r="AK13" i="9"/>
  <c r="AC35" i="15" s="1"/>
  <c r="AE35" i="15"/>
  <c r="AI13" i="9"/>
  <c r="AB35" i="15"/>
  <c r="AI35" i="15"/>
  <c r="AH13" i="9"/>
  <c r="AG35" i="15"/>
  <c r="AF15" i="9"/>
  <c r="AK14" i="9" s="1"/>
  <c r="AG13" i="9"/>
  <c r="AA35" i="15" s="1"/>
  <c r="H13" i="15"/>
  <c r="O13" i="15" s="1"/>
  <c r="J237" i="9"/>
  <c r="J238" i="9"/>
  <c r="J239" i="9"/>
  <c r="J240" i="9"/>
  <c r="J241" i="9"/>
  <c r="J242" i="9"/>
  <c r="C238" i="9"/>
  <c r="C239" i="9"/>
  <c r="C240" i="9"/>
  <c r="C241" i="9"/>
  <c r="C242" i="9"/>
  <c r="I238" i="9"/>
  <c r="I239" i="9"/>
  <c r="I240" i="9"/>
  <c r="I241" i="9"/>
  <c r="I242" i="9"/>
  <c r="BE37" i="9" l="1"/>
  <c r="BC37" i="9"/>
  <c r="AZ37" i="9"/>
  <c r="BB37" i="9"/>
  <c r="AX37" i="9"/>
  <c r="AV37" i="9"/>
  <c r="AT39" i="9"/>
  <c r="AU38" i="9"/>
  <c r="BC38" i="9"/>
  <c r="AZ38" i="9"/>
  <c r="BB38" i="9"/>
  <c r="AY38" i="9"/>
  <c r="AY37" i="9"/>
  <c r="BD37" i="9"/>
  <c r="AU37" i="9"/>
  <c r="AQ14" i="9"/>
  <c r="AI36" i="15" s="1"/>
  <c r="AL14" i="9"/>
  <c r="AD36" i="15" s="1"/>
  <c r="AP14" i="9"/>
  <c r="AH36" i="15" s="1"/>
  <c r="AJ14" i="9"/>
  <c r="AB36" i="15" s="1"/>
  <c r="AO14" i="9"/>
  <c r="AG36" i="15" s="1"/>
  <c r="AM14" i="9"/>
  <c r="AE36" i="15" s="1"/>
  <c r="AN14" i="9"/>
  <c r="AF36" i="15" s="1"/>
  <c r="AI14" i="9"/>
  <c r="AG14" i="9"/>
  <c r="AA36" i="15" s="1"/>
  <c r="AH14" i="9"/>
  <c r="AC36" i="15"/>
  <c r="G15" i="15" s="1"/>
  <c r="R15" i="15" s="1"/>
  <c r="AF16" i="9"/>
  <c r="AK15" i="9" s="1"/>
  <c r="AC37" i="15" s="1"/>
  <c r="C235" i="9"/>
  <c r="C236" i="9"/>
  <c r="C237" i="9"/>
  <c r="I235" i="9"/>
  <c r="I236" i="9"/>
  <c r="I237" i="9"/>
  <c r="J235" i="9"/>
  <c r="J236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AX38" i="9" l="1"/>
  <c r="BA38" i="9"/>
  <c r="BE38" i="9"/>
  <c r="AW38" i="9"/>
  <c r="AM15" i="9"/>
  <c r="AE37" i="15" s="1"/>
  <c r="AV38" i="9"/>
  <c r="BD38" i="9"/>
  <c r="AQ15" i="9"/>
  <c r="AI37" i="15" s="1"/>
  <c r="AI15" i="9"/>
  <c r="AN15" i="9"/>
  <c r="AF37" i="15" s="1"/>
  <c r="AT40" i="9"/>
  <c r="AV39" i="9"/>
  <c r="BD39" i="9"/>
  <c r="AN16" i="9"/>
  <c r="AO15" i="9"/>
  <c r="AG37" i="15" s="1"/>
  <c r="AP15" i="9"/>
  <c r="AH37" i="15" s="1"/>
  <c r="AJ15" i="9"/>
  <c r="AB37" i="15" s="1"/>
  <c r="AL15" i="9"/>
  <c r="AD37" i="15" s="1"/>
  <c r="AH15" i="9"/>
  <c r="AF17" i="9"/>
  <c r="AQ16" i="9" s="1"/>
  <c r="AG16" i="9"/>
  <c r="AA38" i="15" s="1"/>
  <c r="AG15" i="9"/>
  <c r="AA37" i="15" s="1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BB39" i="9" l="1"/>
  <c r="BE39" i="9"/>
  <c r="BC39" i="9"/>
  <c r="AW39" i="9"/>
  <c r="AZ39" i="9"/>
  <c r="AY39" i="9"/>
  <c r="AX39" i="9"/>
  <c r="AU39" i="9"/>
  <c r="AO16" i="9"/>
  <c r="AG38" i="15" s="1"/>
  <c r="G14" i="15" s="1"/>
  <c r="R14" i="15" s="1"/>
  <c r="AT41" i="9"/>
  <c r="BB40" i="9" s="1"/>
  <c r="BA39" i="9"/>
  <c r="AM16" i="9"/>
  <c r="AE38" i="15" s="1"/>
  <c r="AP16" i="9"/>
  <c r="AH38" i="15" s="1"/>
  <c r="AL16" i="9"/>
  <c r="AD38" i="15" s="1"/>
  <c r="AK16" i="9"/>
  <c r="AC38" i="15" s="1"/>
  <c r="AJ16" i="9"/>
  <c r="AB38" i="15" s="1"/>
  <c r="AI16" i="9"/>
  <c r="AF38" i="15"/>
  <c r="G11" i="15" s="1"/>
  <c r="R11" i="15" s="1"/>
  <c r="AH16" i="9"/>
  <c r="AI38" i="15"/>
  <c r="AF18" i="9"/>
  <c r="AM17" i="9" s="1"/>
  <c r="C221" i="9"/>
  <c r="I221" i="9"/>
  <c r="BE40" i="9" l="1"/>
  <c r="AZ40" i="9"/>
  <c r="AU40" i="9"/>
  <c r="AV40" i="9"/>
  <c r="AX40" i="9"/>
  <c r="AW40" i="9"/>
  <c r="BA40" i="9"/>
  <c r="BC40" i="9"/>
  <c r="AL17" i="9"/>
  <c r="AD39" i="15" s="1"/>
  <c r="AJ17" i="9"/>
  <c r="AB39" i="15" s="1"/>
  <c r="AZ41" i="9"/>
  <c r="AT42" i="9"/>
  <c r="AY40" i="9"/>
  <c r="BD40" i="9"/>
  <c r="AN17" i="9"/>
  <c r="AF39" i="15" s="1"/>
  <c r="AP17" i="9"/>
  <c r="AH39" i="15" s="1"/>
  <c r="AK17" i="9"/>
  <c r="AC39" i="15" s="1"/>
  <c r="AO17" i="9"/>
  <c r="AG39" i="15" s="1"/>
  <c r="AQ17" i="9"/>
  <c r="AI39" i="15" s="1"/>
  <c r="AE39" i="15"/>
  <c r="AG17" i="9"/>
  <c r="AA39" i="15" s="1"/>
  <c r="AI17" i="9"/>
  <c r="AH17" i="9"/>
  <c r="AF19" i="9"/>
  <c r="AN18" i="9" s="1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AY41" i="9" l="1"/>
  <c r="BE41" i="9"/>
  <c r="AU41" i="9"/>
  <c r="BA41" i="9"/>
  <c r="AW41" i="9"/>
  <c r="BD41" i="9"/>
  <c r="AX41" i="9"/>
  <c r="AK18" i="9"/>
  <c r="AC40" i="15" s="1"/>
  <c r="AX42" i="9"/>
  <c r="AT43" i="9"/>
  <c r="AW43" i="9" s="1"/>
  <c r="BB41" i="9"/>
  <c r="AM18" i="9"/>
  <c r="AE40" i="15" s="1"/>
  <c r="AV41" i="9"/>
  <c r="BC41" i="9"/>
  <c r="AL18" i="9"/>
  <c r="AD40" i="15" s="1"/>
  <c r="AQ18" i="9"/>
  <c r="AI40" i="15" s="1"/>
  <c r="AP18" i="9"/>
  <c r="AH40" i="15" s="1"/>
  <c r="AJ18" i="9"/>
  <c r="AB40" i="15" s="1"/>
  <c r="AO18" i="9"/>
  <c r="AG40" i="15" s="1"/>
  <c r="G10" i="15" s="1"/>
  <c r="R10" i="15" s="1"/>
  <c r="AH18" i="9"/>
  <c r="AI18" i="9"/>
  <c r="AF40" i="15"/>
  <c r="AF20" i="9"/>
  <c r="AN19" i="9" s="1"/>
  <c r="AG18" i="9"/>
  <c r="AA40" i="15" s="1"/>
  <c r="AG31" i="8"/>
  <c r="AG32" i="8"/>
  <c r="P1" i="6"/>
  <c r="O1" i="6"/>
  <c r="AF31" i="8"/>
  <c r="AF32" i="8"/>
  <c r="AY42" i="9" l="1"/>
  <c r="BB42" i="9"/>
  <c r="AV42" i="9"/>
  <c r="BC42" i="9"/>
  <c r="AW42" i="9"/>
  <c r="BA43" i="9"/>
  <c r="BD43" i="9"/>
  <c r="AX43" i="9"/>
  <c r="AY43" i="9"/>
  <c r="AZ43" i="9"/>
  <c r="BB43" i="9"/>
  <c r="BE43" i="9"/>
  <c r="BC43" i="9"/>
  <c r="AV43" i="9"/>
  <c r="BA42" i="9"/>
  <c r="AZ42" i="9"/>
  <c r="BD42" i="9"/>
  <c r="BE42" i="9"/>
  <c r="AQ19" i="9"/>
  <c r="AI41" i="15" s="1"/>
  <c r="AK19" i="9"/>
  <c r="AC41" i="15" s="1"/>
  <c r="AL19" i="9"/>
  <c r="AD41" i="15" s="1"/>
  <c r="AM19" i="9"/>
  <c r="AE41" i="15" s="1"/>
  <c r="AJ19" i="9"/>
  <c r="AB41" i="15" s="1"/>
  <c r="AP19" i="9"/>
  <c r="AH41" i="15" s="1"/>
  <c r="AO19" i="9"/>
  <c r="AG41" i="15" s="1"/>
  <c r="G12" i="15" s="1"/>
  <c r="R12" i="15" s="1"/>
  <c r="AI19" i="9"/>
  <c r="AF41" i="15"/>
  <c r="AG19" i="9"/>
  <c r="AA41" i="15" s="1"/>
  <c r="AH19" i="9"/>
  <c r="AF21" i="9"/>
  <c r="AP20" i="9" s="1"/>
  <c r="O3" i="6"/>
  <c r="O31" i="6"/>
  <c r="O27" i="6"/>
  <c r="O23" i="6"/>
  <c r="O19" i="6"/>
  <c r="O15" i="6"/>
  <c r="O11" i="6"/>
  <c r="O7" i="6"/>
  <c r="O30" i="6"/>
  <c r="O22" i="6"/>
  <c r="O18" i="6"/>
  <c r="O10" i="6"/>
  <c r="O6" i="6"/>
  <c r="O29" i="6"/>
  <c r="O25" i="6"/>
  <c r="O21" i="6"/>
  <c r="O17" i="6"/>
  <c r="O13" i="6"/>
  <c r="O9" i="6"/>
  <c r="O5" i="6"/>
  <c r="O26" i="6"/>
  <c r="O14" i="6"/>
  <c r="O32" i="6"/>
  <c r="O28" i="6"/>
  <c r="O24" i="6"/>
  <c r="O20" i="6"/>
  <c r="O16" i="6"/>
  <c r="O12" i="6"/>
  <c r="O8" i="6"/>
  <c r="O4" i="6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AO20" i="9" l="1"/>
  <c r="AF22" i="9"/>
  <c r="AQ21" i="9"/>
  <c r="AM21" i="9"/>
  <c r="AP21" i="9"/>
  <c r="AL21" i="9"/>
  <c r="AO21" i="9"/>
  <c r="AN21" i="9"/>
  <c r="AK21" i="9"/>
  <c r="AJ21" i="9"/>
  <c r="AJ20" i="9"/>
  <c r="AB42" i="15" s="1"/>
  <c r="AM20" i="9"/>
  <c r="AE42" i="15" s="1"/>
  <c r="AK20" i="9"/>
  <c r="AC42" i="15" s="1"/>
  <c r="AQ20" i="9"/>
  <c r="AI42" i="15" s="1"/>
  <c r="AN20" i="9"/>
  <c r="AF42" i="15" s="1"/>
  <c r="AL20" i="9"/>
  <c r="AD42" i="15" s="1"/>
  <c r="AF23" i="9"/>
  <c r="AI22" i="9" s="1"/>
  <c r="AG20" i="9"/>
  <c r="AA42" i="15" s="1"/>
  <c r="AH42" i="15"/>
  <c r="AI20" i="9"/>
  <c r="AH20" i="9"/>
  <c r="AG42" i="15"/>
  <c r="AI43" i="15"/>
  <c r="P3" i="6"/>
  <c r="P4" i="6"/>
  <c r="P24" i="6"/>
  <c r="P26" i="6"/>
  <c r="P17" i="6"/>
  <c r="P6" i="6"/>
  <c r="AG30" i="8" s="1"/>
  <c r="P30" i="6"/>
  <c r="P19" i="6"/>
  <c r="P8" i="6"/>
  <c r="P12" i="6"/>
  <c r="AG28" i="8" s="1"/>
  <c r="P28" i="6"/>
  <c r="P5" i="6"/>
  <c r="P21" i="6"/>
  <c r="P10" i="6"/>
  <c r="P7" i="6"/>
  <c r="P23" i="6"/>
  <c r="P16" i="6"/>
  <c r="P32" i="6"/>
  <c r="AG25" i="8" s="1"/>
  <c r="P9" i="6"/>
  <c r="P25" i="6"/>
  <c r="P18" i="6"/>
  <c r="P11" i="6"/>
  <c r="P27" i="6"/>
  <c r="P20" i="6"/>
  <c r="P14" i="6"/>
  <c r="P13" i="6"/>
  <c r="P29" i="6"/>
  <c r="AG27" i="8" s="1"/>
  <c r="P22" i="6"/>
  <c r="AG29" i="8" s="1"/>
  <c r="P15" i="6"/>
  <c r="P31" i="6"/>
  <c r="AC10" i="15"/>
  <c r="AB10" i="15"/>
  <c r="AH22" i="9" l="1"/>
  <c r="AJ22" i="9"/>
  <c r="AB44" i="15" s="1"/>
  <c r="AQ22" i="9"/>
  <c r="AI44" i="15" s="1"/>
  <c r="AM22" i="9"/>
  <c r="AE44" i="15" s="1"/>
  <c r="AO22" i="9"/>
  <c r="AG44" i="15" s="1"/>
  <c r="AN22" i="9"/>
  <c r="AF44" i="15" s="1"/>
  <c r="AP22" i="9"/>
  <c r="AH44" i="15" s="1"/>
  <c r="AL22" i="9"/>
  <c r="AD44" i="15" s="1"/>
  <c r="AK22" i="9"/>
  <c r="AC44" i="15" s="1"/>
  <c r="AG22" i="9"/>
  <c r="AA44" i="15" s="1"/>
  <c r="AH43" i="15"/>
  <c r="AB43" i="15"/>
  <c r="AC43" i="15"/>
  <c r="AG43" i="15"/>
  <c r="AE43" i="15"/>
  <c r="AH21" i="9"/>
  <c r="AF43" i="15"/>
  <c r="AG21" i="9"/>
  <c r="AA43" i="15" s="1"/>
  <c r="AI21" i="9"/>
  <c r="AD43" i="15"/>
  <c r="AG10" i="8"/>
  <c r="AG15" i="8"/>
  <c r="AG19" i="8"/>
  <c r="AG7" i="8"/>
  <c r="AG4" i="8"/>
  <c r="AG24" i="8"/>
  <c r="AG26" i="8"/>
  <c r="AG23" i="8"/>
  <c r="AG21" i="8"/>
  <c r="AG22" i="8"/>
  <c r="AG9" i="8"/>
  <c r="AG8" i="8"/>
  <c r="AG20" i="8"/>
  <c r="AG6" i="8"/>
  <c r="AG16" i="8"/>
  <c r="AG5" i="8"/>
  <c r="AG18" i="8"/>
  <c r="AG13" i="8"/>
  <c r="AG11" i="8"/>
  <c r="AG12" i="8"/>
  <c r="AG17" i="8"/>
  <c r="AG3" i="8"/>
  <c r="AG14" i="8"/>
  <c r="AC2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80" i="9"/>
  <c r="J181" i="9"/>
  <c r="J182" i="9"/>
  <c r="J183" i="9"/>
  <c r="J184" i="9"/>
  <c r="C196" i="9"/>
  <c r="C180" i="9"/>
  <c r="C181" i="9"/>
  <c r="C182" i="9"/>
  <c r="C183" i="9"/>
  <c r="C184" i="9"/>
  <c r="I180" i="9"/>
  <c r="I181" i="9"/>
  <c r="I182" i="9"/>
  <c r="I183" i="9"/>
  <c r="I184" i="9"/>
  <c r="G18" i="15" l="1"/>
  <c r="G21" i="15"/>
  <c r="G16" i="15"/>
  <c r="G19" i="15"/>
  <c r="G17" i="15"/>
  <c r="R35" i="15"/>
  <c r="R36" i="15"/>
  <c r="R32" i="15"/>
  <c r="R40" i="15"/>
  <c r="R41" i="15"/>
  <c r="R38" i="15"/>
  <c r="R33" i="15"/>
  <c r="R34" i="15"/>
  <c r="G71" i="15"/>
  <c r="G70" i="15"/>
  <c r="G13" i="15"/>
  <c r="R13" i="15" s="1"/>
  <c r="AB14" i="9"/>
  <c r="AB12" i="9"/>
  <c r="AB11" i="9"/>
  <c r="AB13" i="9"/>
  <c r="C185" i="9"/>
  <c r="C186" i="9"/>
  <c r="C187" i="9"/>
  <c r="C188" i="9"/>
  <c r="C189" i="9"/>
  <c r="C190" i="9"/>
  <c r="C191" i="9"/>
  <c r="C192" i="9"/>
  <c r="C193" i="9"/>
  <c r="C194" i="9"/>
  <c r="C195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R17" i="15" l="1"/>
  <c r="R16" i="15"/>
  <c r="R19" i="15"/>
  <c r="R21" i="15"/>
  <c r="R18" i="15"/>
  <c r="C172" i="9"/>
  <c r="C173" i="9"/>
  <c r="C174" i="9"/>
  <c r="C175" i="9"/>
  <c r="C176" i="9"/>
  <c r="C177" i="9"/>
  <c r="C178" i="9"/>
  <c r="C179" i="9"/>
  <c r="I172" i="9"/>
  <c r="I173" i="9"/>
  <c r="I174" i="9"/>
  <c r="I175" i="9"/>
  <c r="I176" i="9"/>
  <c r="I177" i="9"/>
  <c r="I178" i="9"/>
  <c r="I179" i="9"/>
  <c r="C4" i="15" l="1"/>
  <c r="D4" i="15"/>
  <c r="C171" i="9"/>
  <c r="I171" i="9"/>
  <c r="Z23" i="9"/>
  <c r="AK25" i="9" l="1"/>
  <c r="AI11" i="15" s="1"/>
  <c r="AH25" i="9"/>
  <c r="AF11" i="15" s="1"/>
  <c r="AE25" i="9"/>
  <c r="AF25" i="9"/>
  <c r="AJ25" i="9"/>
  <c r="AH11" i="15" s="1"/>
  <c r="AI25" i="9"/>
  <c r="AG11" i="15" s="1"/>
  <c r="AG25" i="9"/>
  <c r="AD25" i="9"/>
  <c r="Z24" i="9"/>
  <c r="Z25" i="9" s="1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Z26" i="9" l="1"/>
  <c r="C154" i="9"/>
  <c r="C155" i="9"/>
  <c r="C156" i="9"/>
  <c r="I154" i="9"/>
  <c r="I155" i="9"/>
  <c r="I156" i="9"/>
  <c r="AI28" i="9" l="1"/>
  <c r="AG14" i="15" s="1"/>
  <c r="Z27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AJ29" i="9" l="1"/>
  <c r="AH15" i="15" s="1"/>
  <c r="AI29" i="9"/>
  <c r="AG15" i="15" s="1"/>
  <c r="AK29" i="9"/>
  <c r="AI15" i="15" s="1"/>
  <c r="Z28" i="9"/>
  <c r="AH30" i="9" s="1"/>
  <c r="AF16" i="15" s="1"/>
  <c r="C132" i="9"/>
  <c r="C133" i="9"/>
  <c r="C134" i="9"/>
  <c r="C135" i="9"/>
  <c r="C136" i="9"/>
  <c r="C137" i="9"/>
  <c r="C138" i="9"/>
  <c r="C139" i="9"/>
  <c r="C140" i="9"/>
  <c r="C141" i="9"/>
  <c r="I132" i="9"/>
  <c r="I133" i="9"/>
  <c r="I134" i="9"/>
  <c r="AK28" i="9" s="1"/>
  <c r="I135" i="9"/>
  <c r="I136" i="9"/>
  <c r="I137" i="9"/>
  <c r="I138" i="9"/>
  <c r="I139" i="9"/>
  <c r="I140" i="9"/>
  <c r="I141" i="9"/>
  <c r="J132" i="9"/>
  <c r="J133" i="9"/>
  <c r="J134" i="9"/>
  <c r="J135" i="9"/>
  <c r="J136" i="9"/>
  <c r="J137" i="9"/>
  <c r="J138" i="9"/>
  <c r="J139" i="9"/>
  <c r="J140" i="9"/>
  <c r="J141" i="9"/>
  <c r="AA25" i="9"/>
  <c r="AA11" i="15" s="1"/>
  <c r="AI30" i="9" l="1"/>
  <c r="AG16" i="15" s="1"/>
  <c r="AK27" i="9"/>
  <c r="AI13" i="15" s="1"/>
  <c r="Z29" i="9"/>
  <c r="AI14" i="15"/>
  <c r="AA26" i="9"/>
  <c r="AA12" i="15" s="1"/>
  <c r="C121" i="9"/>
  <c r="C122" i="9"/>
  <c r="C123" i="9"/>
  <c r="C124" i="9"/>
  <c r="C125" i="9"/>
  <c r="C126" i="9"/>
  <c r="C127" i="9"/>
  <c r="C128" i="9"/>
  <c r="C129" i="9"/>
  <c r="C130" i="9"/>
  <c r="C131" i="9"/>
  <c r="I121" i="9"/>
  <c r="I122" i="9"/>
  <c r="I123" i="9"/>
  <c r="I124" i="9"/>
  <c r="I125" i="9"/>
  <c r="I126" i="9"/>
  <c r="I127" i="9"/>
  <c r="I128" i="9"/>
  <c r="I129" i="9"/>
  <c r="I130" i="9"/>
  <c r="I131" i="9"/>
  <c r="J121" i="9"/>
  <c r="J122" i="9"/>
  <c r="J123" i="9"/>
  <c r="J124" i="9"/>
  <c r="J125" i="9"/>
  <c r="J126" i="9"/>
  <c r="J127" i="9"/>
  <c r="J128" i="9"/>
  <c r="J129" i="9"/>
  <c r="J130" i="9"/>
  <c r="J131" i="9"/>
  <c r="C120" i="9"/>
  <c r="I120" i="9"/>
  <c r="J120" i="9"/>
  <c r="P32" i="15" l="1"/>
  <c r="Q32" i="15"/>
  <c r="P38" i="15"/>
  <c r="Q38" i="15"/>
  <c r="P36" i="15"/>
  <c r="Q36" i="15"/>
  <c r="AK31" i="9"/>
  <c r="AI17" i="15" s="1"/>
  <c r="AI31" i="9"/>
  <c r="AG17" i="15" s="1"/>
  <c r="AJ31" i="9"/>
  <c r="AH17" i="15" s="1"/>
  <c r="AH31" i="9"/>
  <c r="AF17" i="15" s="1"/>
  <c r="AJ30" i="9"/>
  <c r="AH16" i="15" s="1"/>
  <c r="Z30" i="9"/>
  <c r="AK32" i="9" s="1"/>
  <c r="AI18" i="15" s="1"/>
  <c r="AB28" i="9"/>
  <c r="AA27" i="9"/>
  <c r="AA13" i="15" s="1"/>
  <c r="AB27" i="9"/>
  <c r="C114" i="9"/>
  <c r="C115" i="9"/>
  <c r="C116" i="9"/>
  <c r="C117" i="9"/>
  <c r="C118" i="9"/>
  <c r="C119" i="9"/>
  <c r="I114" i="9"/>
  <c r="I115" i="9"/>
  <c r="I116" i="9"/>
  <c r="I117" i="9"/>
  <c r="I118" i="9"/>
  <c r="I119" i="9"/>
  <c r="J114" i="9"/>
  <c r="J115" i="9"/>
  <c r="J116" i="9"/>
  <c r="J117" i="9"/>
  <c r="J118" i="9"/>
  <c r="J119" i="9"/>
  <c r="K32" i="6" a="1"/>
  <c r="K32" i="6" s="1"/>
  <c r="J32" i="6"/>
  <c r="I32" i="6"/>
  <c r="H32" i="6"/>
  <c r="G32" i="6" a="1"/>
  <c r="G32" i="6" s="1"/>
  <c r="AF25" i="8" s="1"/>
  <c r="F32" i="6"/>
  <c r="E32" i="6"/>
  <c r="D32" i="6"/>
  <c r="K31" i="6" a="1"/>
  <c r="K31" i="6" s="1"/>
  <c r="J31" i="6"/>
  <c r="I31" i="6"/>
  <c r="H31" i="6"/>
  <c r="G31" i="6" a="1"/>
  <c r="G31" i="6" s="1"/>
  <c r="F31" i="6"/>
  <c r="E31" i="6"/>
  <c r="D31" i="6"/>
  <c r="K30" i="6" a="1"/>
  <c r="K30" i="6" s="1"/>
  <c r="J30" i="6"/>
  <c r="I30" i="6"/>
  <c r="H30" i="6"/>
  <c r="G30" i="6" a="1"/>
  <c r="G30" i="6" s="1"/>
  <c r="F30" i="6"/>
  <c r="E30" i="6"/>
  <c r="D30" i="6"/>
  <c r="K29" i="6" a="1"/>
  <c r="K29" i="6" s="1"/>
  <c r="J29" i="6"/>
  <c r="I29" i="6"/>
  <c r="H29" i="6"/>
  <c r="G29" i="6" a="1"/>
  <c r="G29" i="6" s="1"/>
  <c r="AF27" i="8" s="1"/>
  <c r="F29" i="6"/>
  <c r="E29" i="6"/>
  <c r="D29" i="6"/>
  <c r="K28" i="6" a="1"/>
  <c r="K28" i="6" s="1"/>
  <c r="J28" i="6"/>
  <c r="I28" i="6"/>
  <c r="H28" i="6"/>
  <c r="G28" i="6" a="1"/>
  <c r="G28" i="6" s="1"/>
  <c r="F28" i="6"/>
  <c r="E28" i="6"/>
  <c r="D28" i="6"/>
  <c r="K27" i="6" a="1"/>
  <c r="K27" i="6" s="1"/>
  <c r="J27" i="6"/>
  <c r="I27" i="6"/>
  <c r="H27" i="6"/>
  <c r="G27" i="6" a="1"/>
  <c r="G27" i="6" s="1"/>
  <c r="F27" i="6"/>
  <c r="E27" i="6"/>
  <c r="D27" i="6"/>
  <c r="K26" i="6" a="1"/>
  <c r="K26" i="6" s="1"/>
  <c r="J26" i="6"/>
  <c r="I26" i="6"/>
  <c r="H26" i="6"/>
  <c r="G26" i="6" a="1"/>
  <c r="G26" i="6" s="1"/>
  <c r="F26" i="6"/>
  <c r="E26" i="6"/>
  <c r="D26" i="6"/>
  <c r="K25" i="6" a="1"/>
  <c r="K25" i="6" s="1"/>
  <c r="J25" i="6"/>
  <c r="I25" i="6"/>
  <c r="H25" i="6"/>
  <c r="G25" i="6" a="1"/>
  <c r="G25" i="6" s="1"/>
  <c r="F25" i="6"/>
  <c r="E25" i="6"/>
  <c r="D25" i="6"/>
  <c r="K24" i="6" a="1"/>
  <c r="K24" i="6" s="1"/>
  <c r="J24" i="6"/>
  <c r="I24" i="6"/>
  <c r="H24" i="6"/>
  <c r="G24" i="6" a="1"/>
  <c r="G24" i="6" s="1"/>
  <c r="F24" i="6"/>
  <c r="E24" i="6"/>
  <c r="D24" i="6"/>
  <c r="K23" i="6" a="1"/>
  <c r="K23" i="6" s="1"/>
  <c r="J23" i="6"/>
  <c r="I23" i="6"/>
  <c r="H23" i="6"/>
  <c r="G23" i="6" a="1"/>
  <c r="G23" i="6" s="1"/>
  <c r="F23" i="6"/>
  <c r="E23" i="6"/>
  <c r="D23" i="6"/>
  <c r="K22" i="6" a="1"/>
  <c r="K22" i="6" s="1"/>
  <c r="J22" i="6"/>
  <c r="I22" i="6"/>
  <c r="H22" i="6"/>
  <c r="G22" i="6" a="1"/>
  <c r="G22" i="6" s="1"/>
  <c r="AF29" i="8" s="1"/>
  <c r="F22" i="6"/>
  <c r="E22" i="6"/>
  <c r="D22" i="6"/>
  <c r="K21" i="6" a="1"/>
  <c r="K21" i="6" s="1"/>
  <c r="J21" i="6"/>
  <c r="I21" i="6"/>
  <c r="H21" i="6"/>
  <c r="G21" i="6" a="1"/>
  <c r="G21" i="6" s="1"/>
  <c r="F21" i="6"/>
  <c r="E21" i="6"/>
  <c r="D21" i="6"/>
  <c r="K20" i="6" a="1"/>
  <c r="K20" i="6" s="1"/>
  <c r="AF24" i="8" s="1"/>
  <c r="J20" i="6"/>
  <c r="I20" i="6"/>
  <c r="H20" i="6"/>
  <c r="G20" i="6" a="1"/>
  <c r="G20" i="6" s="1"/>
  <c r="F20" i="6"/>
  <c r="E20" i="6"/>
  <c r="D20" i="6"/>
  <c r="K19" i="6" a="1"/>
  <c r="K19" i="6" s="1"/>
  <c r="J19" i="6"/>
  <c r="I19" i="6"/>
  <c r="H19" i="6"/>
  <c r="G19" i="6" a="1"/>
  <c r="G19" i="6" s="1"/>
  <c r="F19" i="6"/>
  <c r="E19" i="6"/>
  <c r="D19" i="6"/>
  <c r="K18" i="6" a="1"/>
  <c r="K18" i="6" s="1"/>
  <c r="J18" i="6"/>
  <c r="I18" i="6"/>
  <c r="H18" i="6"/>
  <c r="G18" i="6" a="1"/>
  <c r="G18" i="6" s="1"/>
  <c r="F18" i="6"/>
  <c r="E18" i="6"/>
  <c r="D18" i="6"/>
  <c r="K17" i="6" a="1"/>
  <c r="K17" i="6" s="1"/>
  <c r="J17" i="6"/>
  <c r="I17" i="6"/>
  <c r="H17" i="6"/>
  <c r="G17" i="6" a="1"/>
  <c r="G17" i="6" s="1"/>
  <c r="F17" i="6"/>
  <c r="E17" i="6"/>
  <c r="D17" i="6"/>
  <c r="K16" i="6" a="1"/>
  <c r="K16" i="6" s="1"/>
  <c r="J16" i="6"/>
  <c r="I16" i="6"/>
  <c r="H16" i="6"/>
  <c r="G16" i="6" a="1"/>
  <c r="G16" i="6" s="1"/>
  <c r="F16" i="6"/>
  <c r="E16" i="6"/>
  <c r="D16" i="6"/>
  <c r="K15" i="6" a="1"/>
  <c r="K15" i="6" s="1"/>
  <c r="J15" i="6"/>
  <c r="I15" i="6"/>
  <c r="H15" i="6"/>
  <c r="G15" i="6" a="1"/>
  <c r="G15" i="6" s="1"/>
  <c r="F15" i="6"/>
  <c r="E15" i="6"/>
  <c r="D15" i="6"/>
  <c r="K14" i="6" a="1"/>
  <c r="K14" i="6" s="1"/>
  <c r="J14" i="6"/>
  <c r="I14" i="6"/>
  <c r="H14" i="6"/>
  <c r="G14" i="6" a="1"/>
  <c r="G14" i="6" s="1"/>
  <c r="F14" i="6"/>
  <c r="E14" i="6"/>
  <c r="D14" i="6"/>
  <c r="K13" i="6" a="1"/>
  <c r="K13" i="6" s="1"/>
  <c r="J13" i="6"/>
  <c r="I13" i="6"/>
  <c r="H13" i="6"/>
  <c r="G13" i="6" a="1"/>
  <c r="G13" i="6" s="1"/>
  <c r="F13" i="6"/>
  <c r="E13" i="6"/>
  <c r="D13" i="6"/>
  <c r="K12" i="6" a="1"/>
  <c r="K12" i="6" s="1"/>
  <c r="AF28" i="8" s="1"/>
  <c r="J12" i="6"/>
  <c r="I12" i="6"/>
  <c r="H12" i="6"/>
  <c r="G12" i="6" a="1"/>
  <c r="G12" i="6" s="1"/>
  <c r="F12" i="6"/>
  <c r="E12" i="6"/>
  <c r="D12" i="6"/>
  <c r="K11" i="6" a="1"/>
  <c r="K11" i="6" s="1"/>
  <c r="J11" i="6"/>
  <c r="I11" i="6"/>
  <c r="H11" i="6"/>
  <c r="G11" i="6" a="1"/>
  <c r="G11" i="6" s="1"/>
  <c r="AF11" i="8" s="1"/>
  <c r="F11" i="6"/>
  <c r="E11" i="6"/>
  <c r="D11" i="6"/>
  <c r="K10" i="6" a="1"/>
  <c r="K10" i="6" s="1"/>
  <c r="AF12" i="8" s="1"/>
  <c r="J10" i="6"/>
  <c r="I10" i="6"/>
  <c r="H10" i="6"/>
  <c r="G10" i="6" a="1"/>
  <c r="G10" i="6" s="1"/>
  <c r="F10" i="6"/>
  <c r="E10" i="6"/>
  <c r="D10" i="6"/>
  <c r="K9" i="6" a="1"/>
  <c r="K9" i="6" s="1"/>
  <c r="J9" i="6"/>
  <c r="I9" i="6"/>
  <c r="H9" i="6"/>
  <c r="G9" i="6" a="1"/>
  <c r="G9" i="6" s="1"/>
  <c r="F9" i="6"/>
  <c r="E9" i="6"/>
  <c r="D9" i="6"/>
  <c r="K8" i="6" a="1"/>
  <c r="K8" i="6" s="1"/>
  <c r="J8" i="6"/>
  <c r="I8" i="6"/>
  <c r="H8" i="6"/>
  <c r="G8" i="6" a="1"/>
  <c r="G8" i="6" s="1"/>
  <c r="F8" i="6"/>
  <c r="E8" i="6"/>
  <c r="D8" i="6"/>
  <c r="K7" i="6" a="1"/>
  <c r="K7" i="6" s="1"/>
  <c r="J7" i="6"/>
  <c r="I7" i="6"/>
  <c r="H7" i="6"/>
  <c r="G7" i="6" a="1"/>
  <c r="G7" i="6" s="1"/>
  <c r="F7" i="6"/>
  <c r="E7" i="6"/>
  <c r="D7" i="6"/>
  <c r="K6" i="6" a="1"/>
  <c r="K6" i="6" s="1"/>
  <c r="AF30" i="8" s="1"/>
  <c r="J6" i="6"/>
  <c r="I6" i="6"/>
  <c r="H6" i="6"/>
  <c r="G6" i="6" a="1"/>
  <c r="G6" i="6" s="1"/>
  <c r="F6" i="6"/>
  <c r="E6" i="6"/>
  <c r="D6" i="6"/>
  <c r="K5" i="6" a="1"/>
  <c r="K5" i="6" s="1"/>
  <c r="J5" i="6"/>
  <c r="I5" i="6"/>
  <c r="H5" i="6"/>
  <c r="G5" i="6" a="1"/>
  <c r="G5" i="6" s="1"/>
  <c r="AF5" i="8" s="1"/>
  <c r="F5" i="6"/>
  <c r="E5" i="6"/>
  <c r="D5" i="6"/>
  <c r="K4" i="6" a="1"/>
  <c r="K4" i="6" s="1"/>
  <c r="AF26" i="8" s="1"/>
  <c r="J4" i="6"/>
  <c r="I4" i="6"/>
  <c r="H4" i="6"/>
  <c r="G4" i="6" a="1"/>
  <c r="G4" i="6" s="1"/>
  <c r="F4" i="6"/>
  <c r="E4" i="6"/>
  <c r="D4" i="6"/>
  <c r="K3" i="6" a="1"/>
  <c r="K3" i="6" s="1"/>
  <c r="J3" i="6"/>
  <c r="I3" i="6"/>
  <c r="H3" i="6"/>
  <c r="G3" i="6" a="1"/>
  <c r="G3" i="6" s="1"/>
  <c r="F3" i="6"/>
  <c r="E3" i="6"/>
  <c r="D3" i="6"/>
  <c r="AF32" i="9" l="1"/>
  <c r="AI32" i="9"/>
  <c r="AG18" i="15" s="1"/>
  <c r="AD32" i="9"/>
  <c r="AJ32" i="9"/>
  <c r="AH18" i="15" s="1"/>
  <c r="AE32" i="9"/>
  <c r="AH32" i="9"/>
  <c r="AF18" i="15" s="1"/>
  <c r="AG32" i="9"/>
  <c r="AK30" i="9"/>
  <c r="AI16" i="15" s="1"/>
  <c r="AC14" i="9"/>
  <c r="AD14" i="9"/>
  <c r="AG30" i="9"/>
  <c r="AD30" i="9"/>
  <c r="AE30" i="9"/>
  <c r="AF30" i="9"/>
  <c r="AF23" i="8"/>
  <c r="AF20" i="8"/>
  <c r="AF22" i="8"/>
  <c r="AF13" i="8"/>
  <c r="AF3" i="8"/>
  <c r="Z31" i="9"/>
  <c r="AE33" i="9" s="1"/>
  <c r="AF15" i="8"/>
  <c r="AF9" i="8"/>
  <c r="AF17" i="8"/>
  <c r="AF21" i="8"/>
  <c r="AF19" i="8"/>
  <c r="AF7" i="8"/>
  <c r="AF6" i="8"/>
  <c r="AF10" i="8"/>
  <c r="AF18" i="8"/>
  <c r="AF8" i="8"/>
  <c r="AF16" i="8"/>
  <c r="AF4" i="8"/>
  <c r="AF14" i="8"/>
  <c r="AA29" i="9"/>
  <c r="AA15" i="15" s="1"/>
  <c r="AB29" i="9"/>
  <c r="AA28" i="9"/>
  <c r="AA14" i="15" s="1"/>
  <c r="C105" i="9"/>
  <c r="C106" i="9"/>
  <c r="C107" i="9"/>
  <c r="C108" i="9"/>
  <c r="C109" i="9"/>
  <c r="C110" i="9"/>
  <c r="C111" i="9"/>
  <c r="C112" i="9"/>
  <c r="C113" i="9"/>
  <c r="I105" i="9"/>
  <c r="I106" i="9"/>
  <c r="I107" i="9"/>
  <c r="I108" i="9"/>
  <c r="I109" i="9"/>
  <c r="I110" i="9"/>
  <c r="I111" i="9"/>
  <c r="I112" i="9"/>
  <c r="I113" i="9"/>
  <c r="J105" i="9"/>
  <c r="J106" i="9"/>
  <c r="J107" i="9"/>
  <c r="J108" i="9"/>
  <c r="J109" i="9"/>
  <c r="J110" i="9"/>
  <c r="J111" i="9"/>
  <c r="J112" i="9"/>
  <c r="J113" i="9"/>
  <c r="AJ33" i="9" l="1"/>
  <c r="AH19" i="15" s="1"/>
  <c r="AK33" i="9"/>
  <c r="AI19" i="15" s="1"/>
  <c r="AI33" i="9"/>
  <c r="AG19" i="15" s="1"/>
  <c r="AG33" i="9"/>
  <c r="AH33" i="9"/>
  <c r="AF19" i="15" s="1"/>
  <c r="AF33" i="9"/>
  <c r="AD33" i="9"/>
  <c r="Z32" i="9"/>
  <c r="AD34" i="9" s="1"/>
  <c r="AB30" i="9"/>
  <c r="AA30" i="9"/>
  <c r="AA16" i="15" s="1"/>
  <c r="C101" i="9"/>
  <c r="C102" i="9"/>
  <c r="C103" i="9"/>
  <c r="C104" i="9"/>
  <c r="I101" i="9"/>
  <c r="I102" i="9"/>
  <c r="I103" i="9"/>
  <c r="I104" i="9"/>
  <c r="J101" i="9"/>
  <c r="J102" i="9"/>
  <c r="J103" i="9"/>
  <c r="J104" i="9"/>
  <c r="AI34" i="9" l="1"/>
  <c r="AG20" i="15" s="1"/>
  <c r="AJ34" i="9"/>
  <c r="AH20" i="15" s="1"/>
  <c r="AG34" i="9"/>
  <c r="AE34" i="9"/>
  <c r="AK34" i="9"/>
  <c r="AI20" i="15" s="1"/>
  <c r="AH34" i="9"/>
  <c r="AF20" i="15" s="1"/>
  <c r="AF34" i="9"/>
  <c r="Z33" i="9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AA31" i="9"/>
  <c r="AA17" i="15" s="1"/>
  <c r="AB31" i="9"/>
  <c r="C100" i="9"/>
  <c r="I100" i="9"/>
  <c r="J100" i="9"/>
  <c r="C91" i="9"/>
  <c r="C92" i="9"/>
  <c r="C93" i="9"/>
  <c r="C94" i="9"/>
  <c r="C95" i="9"/>
  <c r="C96" i="9"/>
  <c r="C97" i="9"/>
  <c r="C98" i="9"/>
  <c r="C99" i="9"/>
  <c r="I94" i="9"/>
  <c r="I95" i="9"/>
  <c r="I96" i="9"/>
  <c r="I97" i="9"/>
  <c r="I98" i="9"/>
  <c r="I99" i="9"/>
  <c r="J94" i="9"/>
  <c r="J95" i="9"/>
  <c r="J96" i="9"/>
  <c r="J97" i="9"/>
  <c r="J98" i="9"/>
  <c r="J99" i="9"/>
  <c r="AD12" i="9" l="1"/>
  <c r="AC12" i="9"/>
  <c r="AI27" i="9"/>
  <c r="AG13" i="15" s="1"/>
  <c r="AB32" i="9"/>
  <c r="AD31" i="8"/>
  <c r="AD32" i="8"/>
  <c r="C86" i="9"/>
  <c r="C87" i="9"/>
  <c r="C88" i="9"/>
  <c r="C89" i="9"/>
  <c r="C90" i="9"/>
  <c r="I86" i="9"/>
  <c r="I87" i="9"/>
  <c r="I88" i="9"/>
  <c r="I89" i="9"/>
  <c r="I90" i="9"/>
  <c r="I91" i="9"/>
  <c r="I92" i="9"/>
  <c r="I93" i="9"/>
  <c r="J86" i="9"/>
  <c r="J87" i="9"/>
  <c r="J88" i="9"/>
  <c r="J89" i="9"/>
  <c r="J90" i="9"/>
  <c r="J91" i="9"/>
  <c r="J92" i="9"/>
  <c r="J93" i="9"/>
  <c r="C78" i="9"/>
  <c r="C79" i="9"/>
  <c r="C80" i="9"/>
  <c r="C81" i="9"/>
  <c r="C82" i="9"/>
  <c r="C83" i="9"/>
  <c r="C84" i="9"/>
  <c r="C85" i="9"/>
  <c r="I80" i="9"/>
  <c r="I81" i="9"/>
  <c r="I82" i="9"/>
  <c r="I83" i="9"/>
  <c r="I84" i="9"/>
  <c r="I85" i="9"/>
  <c r="J80" i="9"/>
  <c r="J81" i="9"/>
  <c r="J82" i="9"/>
  <c r="J83" i="9"/>
  <c r="J84" i="9"/>
  <c r="J85" i="9"/>
  <c r="H1" i="5"/>
  <c r="I1" i="5" s="1"/>
  <c r="J1" i="5" s="1"/>
  <c r="K1" i="5" s="1"/>
  <c r="L1" i="5" s="1"/>
  <c r="M1" i="5" s="1"/>
  <c r="N1" i="5" s="1"/>
  <c r="O1" i="5" s="1"/>
  <c r="P1" i="5" s="1"/>
  <c r="Q1" i="5" s="1"/>
  <c r="R1" i="5" s="1"/>
  <c r="S1" i="5" s="1"/>
  <c r="T1" i="5" s="1"/>
  <c r="U1" i="5" s="1"/>
  <c r="V1" i="5" s="1"/>
  <c r="W1" i="5" s="1"/>
  <c r="C72" i="9"/>
  <c r="C73" i="9"/>
  <c r="C74" i="9"/>
  <c r="C75" i="9"/>
  <c r="C76" i="9"/>
  <c r="C77" i="9"/>
  <c r="I72" i="9"/>
  <c r="I73" i="9"/>
  <c r="I74" i="9"/>
  <c r="I75" i="9"/>
  <c r="I76" i="9"/>
  <c r="I77" i="9"/>
  <c r="I78" i="9"/>
  <c r="I79" i="9"/>
  <c r="J72" i="9"/>
  <c r="J73" i="9"/>
  <c r="J74" i="9"/>
  <c r="J75" i="9"/>
  <c r="J76" i="9"/>
  <c r="J77" i="9"/>
  <c r="J78" i="9"/>
  <c r="J79" i="9"/>
  <c r="BU31" i="8" l="1"/>
  <c r="BU32" i="8"/>
  <c r="AA33" i="9"/>
  <c r="AA19" i="15" s="1"/>
  <c r="AB33" i="9"/>
  <c r="AA32" i="9"/>
  <c r="AA18" i="15" s="1"/>
  <c r="C63" i="9"/>
  <c r="C64" i="9"/>
  <c r="C65" i="9"/>
  <c r="C66" i="9"/>
  <c r="C67" i="9"/>
  <c r="C68" i="9"/>
  <c r="C69" i="9"/>
  <c r="C70" i="9"/>
  <c r="C71" i="9"/>
  <c r="I63" i="9"/>
  <c r="I64" i="9"/>
  <c r="I65" i="9"/>
  <c r="I66" i="9"/>
  <c r="AJ28" i="9" s="1"/>
  <c r="I67" i="9"/>
  <c r="I68" i="9"/>
  <c r="I69" i="9"/>
  <c r="I70" i="9"/>
  <c r="I71" i="9"/>
  <c r="J63" i="9"/>
  <c r="J64" i="9"/>
  <c r="J65" i="9"/>
  <c r="J66" i="9"/>
  <c r="J67" i="9"/>
  <c r="J68" i="9"/>
  <c r="J69" i="9"/>
  <c r="J70" i="9"/>
  <c r="J71" i="9"/>
  <c r="AF31" i="9" l="1"/>
  <c r="AE31" i="9"/>
  <c r="AG31" i="9"/>
  <c r="AD31" i="9"/>
  <c r="AH14" i="15"/>
  <c r="AB34" i="9"/>
  <c r="AA34" i="9"/>
  <c r="AA20" i="15" s="1"/>
  <c r="C57" i="9"/>
  <c r="C58" i="9"/>
  <c r="C59" i="9"/>
  <c r="C60" i="9"/>
  <c r="C61" i="9"/>
  <c r="C62" i="9"/>
  <c r="I57" i="9"/>
  <c r="I58" i="9"/>
  <c r="I59" i="9"/>
  <c r="I60" i="9"/>
  <c r="I61" i="9"/>
  <c r="I62" i="9"/>
  <c r="J57" i="9"/>
  <c r="J58" i="9"/>
  <c r="J59" i="9"/>
  <c r="J60" i="9"/>
  <c r="J61" i="9"/>
  <c r="J62" i="9"/>
  <c r="C56" i="9"/>
  <c r="I56" i="9"/>
  <c r="J56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AC25" i="9"/>
  <c r="AB26" i="9"/>
  <c r="AB25" i="9"/>
  <c r="C42" i="9" l="1"/>
  <c r="I42" i="9"/>
  <c r="J42" i="9"/>
  <c r="C37" i="9"/>
  <c r="C38" i="9"/>
  <c r="C39" i="9"/>
  <c r="C40" i="9"/>
  <c r="C41" i="9"/>
  <c r="I37" i="9"/>
  <c r="I38" i="9"/>
  <c r="I39" i="9"/>
  <c r="I40" i="9"/>
  <c r="I41" i="9"/>
  <c r="J37" i="9"/>
  <c r="J38" i="9"/>
  <c r="J39" i="9"/>
  <c r="J40" i="9"/>
  <c r="J41" i="9"/>
  <c r="C36" i="9" l="1"/>
  <c r="I36" i="9"/>
  <c r="J36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I23" i="9" l="1"/>
  <c r="I24" i="9"/>
  <c r="I25" i="9"/>
  <c r="I26" i="9"/>
  <c r="I27" i="9"/>
  <c r="I28" i="9"/>
  <c r="I29" i="9"/>
  <c r="I30" i="9"/>
  <c r="AH28" i="9" s="1"/>
  <c r="I31" i="9"/>
  <c r="I32" i="9"/>
  <c r="AH29" i="9" s="1"/>
  <c r="I33" i="9"/>
  <c r="I34" i="9"/>
  <c r="I35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AD29" i="9" l="1"/>
  <c r="AF29" i="9"/>
  <c r="AE29" i="9"/>
  <c r="AG29" i="9"/>
  <c r="AE28" i="9"/>
  <c r="AG28" i="9"/>
  <c r="AD28" i="9"/>
  <c r="AF28" i="9"/>
  <c r="AI26" i="9"/>
  <c r="AG12" i="15" s="1"/>
  <c r="AC29" i="9"/>
  <c r="AF15" i="15"/>
  <c r="AF14" i="15"/>
  <c r="F18" i="15" s="1"/>
  <c r="AC28" i="9"/>
  <c r="N3" i="6"/>
  <c r="N9" i="6"/>
  <c r="N19" i="6"/>
  <c r="N13" i="6"/>
  <c r="N26" i="6"/>
  <c r="N6" i="6"/>
  <c r="N4" i="6"/>
  <c r="N27" i="6"/>
  <c r="N11" i="6"/>
  <c r="N10" i="6"/>
  <c r="N18" i="6"/>
  <c r="N31" i="6"/>
  <c r="N23" i="6"/>
  <c r="N15" i="6"/>
  <c r="N8" i="6"/>
  <c r="N30" i="6"/>
  <c r="N22" i="6"/>
  <c r="N14" i="6"/>
  <c r="N32" i="6"/>
  <c r="N25" i="6"/>
  <c r="N24" i="6"/>
  <c r="N16" i="6"/>
  <c r="N7" i="6"/>
  <c r="N5" i="6"/>
  <c r="N17" i="6"/>
  <c r="N29" i="6"/>
  <c r="N28" i="6"/>
  <c r="N21" i="6"/>
  <c r="N20" i="6"/>
  <c r="N12" i="6"/>
  <c r="I20" i="9"/>
  <c r="I21" i="9"/>
  <c r="I22" i="9"/>
  <c r="J20" i="9"/>
  <c r="J21" i="9"/>
  <c r="J22" i="9"/>
  <c r="A4" i="9"/>
  <c r="Q18" i="15" l="1"/>
  <c r="E18" i="15"/>
  <c r="P18" i="15" s="1"/>
  <c r="U4" i="9"/>
  <c r="A5" i="9"/>
  <c r="I4" i="9"/>
  <c r="I5" i="9"/>
  <c r="I6" i="9"/>
  <c r="AC34" i="9" s="1"/>
  <c r="I7" i="9"/>
  <c r="I8" i="9"/>
  <c r="AC32" i="9" s="1"/>
  <c r="I9" i="9"/>
  <c r="I10" i="9"/>
  <c r="I11" i="9"/>
  <c r="I12" i="9"/>
  <c r="I13" i="9"/>
  <c r="I14" i="9"/>
  <c r="I15" i="9"/>
  <c r="I16" i="9"/>
  <c r="I17" i="9"/>
  <c r="I18" i="9"/>
  <c r="I19" i="9"/>
  <c r="AC30" i="9" s="1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A6" i="9" l="1"/>
  <c r="AD13" i="9"/>
  <c r="AC13" i="9"/>
  <c r="AD11" i="9"/>
  <c r="AC11" i="9"/>
  <c r="AE27" i="9"/>
  <c r="AF27" i="9"/>
  <c r="AD13" i="15" s="1"/>
  <c r="AG27" i="9"/>
  <c r="AE13" i="15" s="1"/>
  <c r="AD27" i="9"/>
  <c r="AB13" i="15" s="1"/>
  <c r="AK26" i="9"/>
  <c r="AI12" i="15" s="1"/>
  <c r="AG26" i="9"/>
  <c r="AE12" i="15" s="1"/>
  <c r="AD26" i="9"/>
  <c r="AB12" i="15" s="1"/>
  <c r="AF26" i="9"/>
  <c r="AD12" i="15" s="1"/>
  <c r="AE26" i="9"/>
  <c r="AC12" i="15" s="1"/>
  <c r="AH27" i="9"/>
  <c r="AF13" i="15" s="1"/>
  <c r="F16" i="15" s="1"/>
  <c r="AH26" i="9"/>
  <c r="AF12" i="15" s="1"/>
  <c r="AJ26" i="9"/>
  <c r="AH12" i="15" s="1"/>
  <c r="AJ27" i="9"/>
  <c r="AH13" i="15" s="1"/>
  <c r="AB11" i="15"/>
  <c r="F19" i="15" s="1"/>
  <c r="AB14" i="15"/>
  <c r="AB15" i="15"/>
  <c r="AB16" i="15"/>
  <c r="AB17" i="15"/>
  <c r="AB18" i="15"/>
  <c r="AB19" i="15"/>
  <c r="AB20" i="15"/>
  <c r="AC11" i="15"/>
  <c r="AC13" i="15"/>
  <c r="AC14" i="15"/>
  <c r="AC15" i="15"/>
  <c r="AC16" i="15"/>
  <c r="AC17" i="15"/>
  <c r="AC18" i="15"/>
  <c r="AC19" i="15"/>
  <c r="AC20" i="15"/>
  <c r="AD11" i="15"/>
  <c r="AD14" i="15"/>
  <c r="AD15" i="15"/>
  <c r="AD16" i="15"/>
  <c r="AD17" i="15"/>
  <c r="AD18" i="15"/>
  <c r="AD19" i="15"/>
  <c r="AD20" i="15"/>
  <c r="AE11" i="15"/>
  <c r="AE14" i="15"/>
  <c r="AE15" i="15"/>
  <c r="AE16" i="15"/>
  <c r="AE17" i="15"/>
  <c r="AE18" i="15"/>
  <c r="AE19" i="15"/>
  <c r="AE20" i="15"/>
  <c r="AC27" i="9"/>
  <c r="AD8" i="9"/>
  <c r="AC10" i="9"/>
  <c r="AC8" i="9"/>
  <c r="AB6" i="9"/>
  <c r="AB10" i="9"/>
  <c r="AC4" i="9"/>
  <c r="AD7" i="9"/>
  <c r="AC7" i="9"/>
  <c r="AB9" i="9"/>
  <c r="AD5" i="9"/>
  <c r="AD9" i="9"/>
  <c r="AC5" i="9"/>
  <c r="AC9" i="9"/>
  <c r="AB7" i="9"/>
  <c r="AB4" i="9"/>
  <c r="AD6" i="9"/>
  <c r="AD10" i="9"/>
  <c r="AC6" i="9"/>
  <c r="AB8" i="9"/>
  <c r="AD4" i="9"/>
  <c r="AB5" i="9"/>
  <c r="AC31" i="9"/>
  <c r="AC33" i="9"/>
  <c r="AC26" i="9"/>
  <c r="CA15" i="8"/>
  <c r="CA17" i="8"/>
  <c r="CA20" i="8"/>
  <c r="CA21" i="8"/>
  <c r="CA22" i="8"/>
  <c r="CA23" i="8"/>
  <c r="CA25" i="8"/>
  <c r="CA26" i="8"/>
  <c r="CA27" i="8"/>
  <c r="CA28" i="8"/>
  <c r="CA29" i="8"/>
  <c r="CA30" i="8"/>
  <c r="CA31" i="8"/>
  <c r="CA32" i="8"/>
  <c r="AD2" i="11"/>
  <c r="CA10" i="8"/>
  <c r="CA19" i="8"/>
  <c r="CA14" i="8"/>
  <c r="CA18" i="8"/>
  <c r="CA4" i="8"/>
  <c r="CA9" i="8"/>
  <c r="CA5" i="8"/>
  <c r="CA6" i="8"/>
  <c r="CA24" i="8"/>
  <c r="AD625" i="11"/>
  <c r="CA8" i="8"/>
  <c r="Q16" i="15" l="1"/>
  <c r="E16" i="15"/>
  <c r="P16" i="15" s="1"/>
  <c r="F17" i="15"/>
  <c r="Q17" i="15" s="1"/>
  <c r="A7" i="9"/>
  <c r="F21" i="15"/>
  <c r="F20" i="15"/>
  <c r="Q19" i="15"/>
  <c r="E19" i="15"/>
  <c r="P19" i="15" s="1"/>
  <c r="E17" i="15"/>
  <c r="P17" i="15" s="1"/>
  <c r="P33" i="15"/>
  <c r="Q33" i="15"/>
  <c r="P35" i="15"/>
  <c r="Q35" i="15"/>
  <c r="P34" i="15"/>
  <c r="Q34" i="15"/>
  <c r="P39" i="15"/>
  <c r="Q39" i="15"/>
  <c r="P40" i="15"/>
  <c r="Q40" i="15"/>
  <c r="F14" i="15"/>
  <c r="F15" i="15"/>
  <c r="F10" i="15"/>
  <c r="F12" i="15"/>
  <c r="F70" i="15"/>
  <c r="E70" i="15" s="1"/>
  <c r="F11" i="15"/>
  <c r="F13" i="15"/>
  <c r="F71" i="15"/>
  <c r="E71" i="15" s="1"/>
  <c r="CA7" i="8"/>
  <c r="CA11" i="8"/>
  <c r="CA13" i="8"/>
  <c r="CA12" i="8"/>
  <c r="CA16" i="8"/>
  <c r="CA3" i="8"/>
  <c r="A8" i="9" l="1"/>
  <c r="Q21" i="15"/>
  <c r="E21" i="15"/>
  <c r="P21" i="15" s="1"/>
  <c r="Q20" i="15"/>
  <c r="E20" i="15"/>
  <c r="P20" i="15" s="1"/>
  <c r="E13" i="15"/>
  <c r="P13" i="15" s="1"/>
  <c r="Q13" i="15"/>
  <c r="E10" i="15"/>
  <c r="P10" i="15" s="1"/>
  <c r="Q10" i="15"/>
  <c r="P41" i="15"/>
  <c r="Q41" i="15"/>
  <c r="E11" i="15"/>
  <c r="P11" i="15" s="1"/>
  <c r="Q11" i="15"/>
  <c r="P37" i="15"/>
  <c r="Q37" i="15"/>
  <c r="E15" i="15"/>
  <c r="P15" i="15" s="1"/>
  <c r="Q15" i="15"/>
  <c r="E12" i="15"/>
  <c r="P12" i="15" s="1"/>
  <c r="Q12" i="15"/>
  <c r="E14" i="15"/>
  <c r="P14" i="15" s="1"/>
  <c r="Q14" i="15"/>
  <c r="EO5" i="8"/>
  <c r="EO7" i="8"/>
  <c r="EO9" i="8"/>
  <c r="EO11" i="8"/>
  <c r="EO13" i="8"/>
  <c r="EO15" i="8"/>
  <c r="EO17" i="8"/>
  <c r="EO19" i="8"/>
  <c r="EO21" i="8"/>
  <c r="EO23" i="8"/>
  <c r="EO25" i="8"/>
  <c r="EO27" i="8"/>
  <c r="EO29" i="8"/>
  <c r="EO31" i="8"/>
  <c r="EO33" i="8"/>
  <c r="EO35" i="8"/>
  <c r="EO37" i="8"/>
  <c r="EO39" i="8"/>
  <c r="EO41" i="8"/>
  <c r="EO43" i="8"/>
  <c r="EO45" i="8"/>
  <c r="EO47" i="8"/>
  <c r="A9" i="9" l="1"/>
  <c r="D6" i="15"/>
  <c r="C6" i="15"/>
  <c r="D2" i="15"/>
  <c r="C2" i="15"/>
  <c r="EO44" i="8"/>
  <c r="EO36" i="8"/>
  <c r="EO28" i="8"/>
  <c r="EO20" i="8"/>
  <c r="EO12" i="8"/>
  <c r="EO42" i="8"/>
  <c r="EO34" i="8"/>
  <c r="EO26" i="8"/>
  <c r="EO18" i="8"/>
  <c r="EO10" i="8"/>
  <c r="EO48" i="8"/>
  <c r="EO40" i="8"/>
  <c r="EO32" i="8"/>
  <c r="EO24" i="8"/>
  <c r="EO16" i="8"/>
  <c r="EO8" i="8"/>
  <c r="EO46" i="8"/>
  <c r="EO38" i="8"/>
  <c r="EO30" i="8"/>
  <c r="EO22" i="8"/>
  <c r="EO14" i="8"/>
  <c r="EO6" i="8"/>
  <c r="ET33" i="8"/>
  <c r="ES33" i="8" s="1"/>
  <c r="ET34" i="8"/>
  <c r="EU34" i="8" s="1"/>
  <c r="EV34" i="8" s="1"/>
  <c r="ET35" i="8"/>
  <c r="EU35" i="8" s="1"/>
  <c r="EV35" i="8" s="1"/>
  <c r="ET36" i="8"/>
  <c r="ES36" i="8" s="1"/>
  <c r="ET37" i="8"/>
  <c r="ES37" i="8" s="1"/>
  <c r="ET38" i="8"/>
  <c r="ES38" i="8" s="1"/>
  <c r="ET39" i="8"/>
  <c r="EU39" i="8" s="1"/>
  <c r="EV39" i="8" s="1"/>
  <c r="ET40" i="8"/>
  <c r="ES40" i="8" s="1"/>
  <c r="ET41" i="8"/>
  <c r="ES41" i="8" s="1"/>
  <c r="ET42" i="8"/>
  <c r="EU42" i="8" s="1"/>
  <c r="EV42" i="8" s="1"/>
  <c r="ET43" i="8"/>
  <c r="EU43" i="8" s="1"/>
  <c r="EV43" i="8" s="1"/>
  <c r="ET44" i="8"/>
  <c r="ES44" i="8" s="1"/>
  <c r="ET45" i="8"/>
  <c r="ES45" i="8" s="1"/>
  <c r="ET46" i="8"/>
  <c r="ES46" i="8" s="1"/>
  <c r="ET47" i="8"/>
  <c r="EU47" i="8" s="1"/>
  <c r="EV47" i="8" s="1"/>
  <c r="ET48" i="8"/>
  <c r="ES48" i="8" s="1"/>
  <c r="A10" i="9" l="1"/>
  <c r="ES47" i="8"/>
  <c r="ES43" i="8"/>
  <c r="EU48" i="8"/>
  <c r="EV48" i="8" s="1"/>
  <c r="ES39" i="8"/>
  <c r="EU44" i="8"/>
  <c r="EV44" i="8" s="1"/>
  <c r="EU36" i="8"/>
  <c r="EV36" i="8" s="1"/>
  <c r="EU40" i="8"/>
  <c r="EV40" i="8" s="1"/>
  <c r="ES35" i="8"/>
  <c r="ES42" i="8"/>
  <c r="ES34" i="8"/>
  <c r="EU46" i="8"/>
  <c r="EV46" i="8" s="1"/>
  <c r="EU38" i="8"/>
  <c r="EV38" i="8" s="1"/>
  <c r="EU45" i="8"/>
  <c r="EV45" i="8" s="1"/>
  <c r="EU41" i="8"/>
  <c r="EV41" i="8" s="1"/>
  <c r="EU37" i="8"/>
  <c r="EV37" i="8" s="1"/>
  <c r="EU33" i="8"/>
  <c r="EV33" i="8" s="1"/>
  <c r="EL33" i="8"/>
  <c r="EK33" i="8" s="1"/>
  <c r="A11" i="9" l="1"/>
  <c r="AB21" i="9"/>
  <c r="AB20" i="9"/>
  <c r="AB17" i="9"/>
  <c r="EG33" i="8"/>
  <c r="EF33" i="8" s="1"/>
  <c r="EH33" i="8" s="1"/>
  <c r="EI33" i="8" s="1"/>
  <c r="EB33" i="8"/>
  <c r="ED33" i="8" s="1"/>
  <c r="EE33" i="8" s="1"/>
  <c r="A12" i="9" l="1"/>
  <c r="AB18" i="9"/>
  <c r="AB19" i="9" s="1"/>
  <c r="EA33" i="8"/>
  <c r="EC33" i="8"/>
  <c r="A13" i="9" l="1"/>
  <c r="V4" i="9"/>
  <c r="Y4" i="9"/>
  <c r="X4" i="9"/>
  <c r="W4" i="9"/>
  <c r="A14" i="9" l="1"/>
  <c r="DN5" i="8"/>
  <c r="DQ5" i="8"/>
  <c r="DN6" i="8"/>
  <c r="DQ6" i="8"/>
  <c r="DN7" i="8"/>
  <c r="DQ7" i="8"/>
  <c r="DN8" i="8"/>
  <c r="DQ8" i="8"/>
  <c r="DN9" i="8"/>
  <c r="DQ9" i="8"/>
  <c r="DN10" i="8"/>
  <c r="DQ10" i="8"/>
  <c r="DN11" i="8"/>
  <c r="DQ11" i="8"/>
  <c r="DN12" i="8"/>
  <c r="DQ12" i="8"/>
  <c r="DN13" i="8"/>
  <c r="DQ13" i="8"/>
  <c r="DN14" i="8"/>
  <c r="DQ14" i="8"/>
  <c r="DN15" i="8"/>
  <c r="DQ15" i="8"/>
  <c r="DN16" i="8"/>
  <c r="DQ16" i="8"/>
  <c r="DN17" i="8"/>
  <c r="DQ17" i="8"/>
  <c r="DN18" i="8"/>
  <c r="DQ18" i="8"/>
  <c r="DN19" i="8"/>
  <c r="DQ19" i="8"/>
  <c r="DN20" i="8"/>
  <c r="DQ20" i="8"/>
  <c r="DN21" i="8"/>
  <c r="DQ21" i="8"/>
  <c r="DN22" i="8"/>
  <c r="DQ22" i="8"/>
  <c r="DN23" i="8"/>
  <c r="DQ23" i="8"/>
  <c r="DN24" i="8"/>
  <c r="DQ24" i="8"/>
  <c r="DN25" i="8"/>
  <c r="DQ25" i="8"/>
  <c r="DN26" i="8"/>
  <c r="DQ26" i="8"/>
  <c r="DN27" i="8"/>
  <c r="DQ27" i="8"/>
  <c r="DN28" i="8"/>
  <c r="DQ28" i="8"/>
  <c r="DN29" i="8"/>
  <c r="DQ29" i="8"/>
  <c r="DN30" i="8"/>
  <c r="DQ30" i="8"/>
  <c r="DN31" i="8"/>
  <c r="DQ31" i="8"/>
  <c r="DN32" i="8"/>
  <c r="DQ32" i="8"/>
  <c r="AE25" i="8"/>
  <c r="AE26" i="8"/>
  <c r="AE28" i="8"/>
  <c r="AE29" i="8"/>
  <c r="AE30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E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T31" i="8"/>
  <c r="AU31" i="8"/>
  <c r="AV31" i="8"/>
  <c r="AW31" i="8"/>
  <c r="AX31" i="8"/>
  <c r="AY31" i="8"/>
  <c r="CC31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BX31" i="8" s="1"/>
  <c r="BZ31" i="8" s="1"/>
  <c r="AC32" i="8"/>
  <c r="BT32" i="8" s="1"/>
  <c r="BV32" i="8" s="1"/>
  <c r="AE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T32" i="8"/>
  <c r="AU32" i="8"/>
  <c r="AV32" i="8"/>
  <c r="AW32" i="8"/>
  <c r="AX32" i="8"/>
  <c r="AY32" i="8"/>
  <c r="CC32" i="8"/>
  <c r="DQ4" i="8"/>
  <c r="DQ3" i="8"/>
  <c r="DN4" i="8"/>
  <c r="DN3" i="8"/>
  <c r="Z3" i="5"/>
  <c r="Z4" i="5"/>
  <c r="Z5" i="5"/>
  <c r="Z6" i="5"/>
  <c r="Z7" i="5"/>
  <c r="Z8" i="5"/>
  <c r="Z9" i="5"/>
  <c r="Z10" i="5"/>
  <c r="Z11" i="5"/>
  <c r="AE27" i="8" s="1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X3" i="7"/>
  <c r="X4" i="7"/>
  <c r="X5" i="7"/>
  <c r="X6" i="7"/>
  <c r="X7" i="7"/>
  <c r="X8" i="7"/>
  <c r="X9" i="7"/>
  <c r="X10" i="7"/>
  <c r="X11" i="7"/>
  <c r="X12" i="7"/>
  <c r="X13" i="7"/>
  <c r="X14" i="7"/>
  <c r="X15" i="7"/>
  <c r="AY26" i="8" s="1"/>
  <c r="X16" i="7"/>
  <c r="X17" i="7"/>
  <c r="X18" i="7"/>
  <c r="X19" i="7"/>
  <c r="X20" i="7"/>
  <c r="X21" i="7"/>
  <c r="X22" i="7"/>
  <c r="AY30" i="8" s="1"/>
  <c r="X23" i="7"/>
  <c r="X24" i="7"/>
  <c r="X25" i="7"/>
  <c r="X26" i="7"/>
  <c r="X27" i="7"/>
  <c r="X28" i="7"/>
  <c r="X29" i="7"/>
  <c r="X30" i="7"/>
  <c r="X31" i="7"/>
  <c r="X32" i="7"/>
  <c r="Y3" i="5"/>
  <c r="Y4" i="5"/>
  <c r="Y5" i="5"/>
  <c r="Y6" i="5"/>
  <c r="AC30" i="8" s="1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X3" i="5"/>
  <c r="X4" i="5"/>
  <c r="X5" i="5"/>
  <c r="X6" i="5"/>
  <c r="X7" i="5"/>
  <c r="X8" i="5"/>
  <c r="X9" i="5"/>
  <c r="AB29" i="8" s="1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AB30" i="8" s="1"/>
  <c r="X23" i="5"/>
  <c r="X24" i="5"/>
  <c r="X25" i="5"/>
  <c r="X26" i="5"/>
  <c r="X27" i="5"/>
  <c r="X28" i="5"/>
  <c r="X29" i="5"/>
  <c r="X30" i="5"/>
  <c r="X31" i="5"/>
  <c r="X3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E4" i="7"/>
  <c r="F4" i="7"/>
  <c r="G4" i="7"/>
  <c r="H4" i="7"/>
  <c r="I4" i="7"/>
  <c r="AJ26" i="8" s="1"/>
  <c r="J4" i="7"/>
  <c r="K4" i="7"/>
  <c r="L4" i="7"/>
  <c r="M4" i="7"/>
  <c r="AN26" i="8" s="1"/>
  <c r="N4" i="7"/>
  <c r="O4" i="7"/>
  <c r="AP26" i="8" s="1"/>
  <c r="P4" i="7"/>
  <c r="Q4" i="7"/>
  <c r="R4" i="7"/>
  <c r="S4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E12" i="7"/>
  <c r="F12" i="7"/>
  <c r="G12" i="7"/>
  <c r="AH28" i="8" s="1"/>
  <c r="H12" i="7"/>
  <c r="I12" i="7"/>
  <c r="J12" i="7"/>
  <c r="K12" i="7"/>
  <c r="L12" i="7"/>
  <c r="M12" i="7"/>
  <c r="N12" i="7"/>
  <c r="O12" i="7"/>
  <c r="P12" i="7"/>
  <c r="Q12" i="7"/>
  <c r="AR28" i="8" s="1"/>
  <c r="R12" i="7"/>
  <c r="S12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E15" i="7"/>
  <c r="F15" i="7"/>
  <c r="G15" i="7"/>
  <c r="AH26" i="8" s="1"/>
  <c r="H15" i="7"/>
  <c r="I15" i="7"/>
  <c r="J15" i="7"/>
  <c r="AK26" i="8" s="1"/>
  <c r="K15" i="7"/>
  <c r="AL26" i="8" s="1"/>
  <c r="L15" i="7"/>
  <c r="M15" i="7"/>
  <c r="N15" i="7"/>
  <c r="AO26" i="8" s="1"/>
  <c r="O15" i="7"/>
  <c r="P15" i="7"/>
  <c r="Q15" i="7"/>
  <c r="AR26" i="8" s="1"/>
  <c r="R15" i="7"/>
  <c r="AS26" i="8" s="1"/>
  <c r="S15" i="7"/>
  <c r="AT26" i="8" s="1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E22" i="7"/>
  <c r="F22" i="7"/>
  <c r="G22" i="7"/>
  <c r="AH30" i="8" s="1"/>
  <c r="H22" i="7"/>
  <c r="AI30" i="8" s="1"/>
  <c r="I22" i="7"/>
  <c r="AJ30" i="8" s="1"/>
  <c r="J22" i="7"/>
  <c r="AK30" i="8" s="1"/>
  <c r="K22" i="7"/>
  <c r="AL30" i="8" s="1"/>
  <c r="L22" i="7"/>
  <c r="AM30" i="8" s="1"/>
  <c r="M22" i="7"/>
  <c r="AN30" i="8" s="1"/>
  <c r="N22" i="7"/>
  <c r="AO30" i="8" s="1"/>
  <c r="O22" i="7"/>
  <c r="P22" i="7"/>
  <c r="AQ30" i="8" s="1"/>
  <c r="Q22" i="7"/>
  <c r="AR30" i="8" s="1"/>
  <c r="R22" i="7"/>
  <c r="AS30" i="8" s="1"/>
  <c r="S22" i="7"/>
  <c r="AT30" i="8" s="1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AT27" i="8" s="1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E32" i="7"/>
  <c r="F32" i="7"/>
  <c r="G32" i="7"/>
  <c r="H32" i="7"/>
  <c r="I32" i="7"/>
  <c r="AJ25" i="8" s="1"/>
  <c r="J32" i="7"/>
  <c r="K32" i="7"/>
  <c r="L32" i="7"/>
  <c r="M32" i="7"/>
  <c r="AN25" i="8" s="1"/>
  <c r="N32" i="7"/>
  <c r="O32" i="7"/>
  <c r="P32" i="7"/>
  <c r="AQ25" i="8" s="1"/>
  <c r="Q32" i="7"/>
  <c r="AR25" i="8" s="1"/>
  <c r="R32" i="7"/>
  <c r="S32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W32" i="7"/>
  <c r="V32" i="7"/>
  <c r="U32" i="7"/>
  <c r="T32" i="7"/>
  <c r="W31" i="7"/>
  <c r="V31" i="7"/>
  <c r="U31" i="7"/>
  <c r="T31" i="7"/>
  <c r="W30" i="7"/>
  <c r="V30" i="7"/>
  <c r="U30" i="7"/>
  <c r="T30" i="7"/>
  <c r="W29" i="7"/>
  <c r="V29" i="7"/>
  <c r="U29" i="7"/>
  <c r="T29" i="7"/>
  <c r="W28" i="7"/>
  <c r="V28" i="7"/>
  <c r="U28" i="7"/>
  <c r="T28" i="7"/>
  <c r="W27" i="7"/>
  <c r="V27" i="7"/>
  <c r="U27" i="7"/>
  <c r="T27" i="7"/>
  <c r="W26" i="7"/>
  <c r="V26" i="7"/>
  <c r="U26" i="7"/>
  <c r="T26" i="7"/>
  <c r="W25" i="7"/>
  <c r="AX25" i="8" s="1"/>
  <c r="V25" i="7"/>
  <c r="AW25" i="8" s="1"/>
  <c r="U25" i="7"/>
  <c r="AV25" i="8" s="1"/>
  <c r="T25" i="7"/>
  <c r="AU25" i="8" s="1"/>
  <c r="W24" i="7"/>
  <c r="V24" i="7"/>
  <c r="U24" i="7"/>
  <c r="T24" i="7"/>
  <c r="W23" i="7"/>
  <c r="V23" i="7"/>
  <c r="U23" i="7"/>
  <c r="T23" i="7"/>
  <c r="W22" i="7"/>
  <c r="V22" i="7"/>
  <c r="U22" i="7"/>
  <c r="T22" i="7"/>
  <c r="W21" i="7"/>
  <c r="V21" i="7"/>
  <c r="U21" i="7"/>
  <c r="T21" i="7"/>
  <c r="W20" i="7"/>
  <c r="V20" i="7"/>
  <c r="U20" i="7"/>
  <c r="T20" i="7"/>
  <c r="W19" i="7"/>
  <c r="V19" i="7"/>
  <c r="U19" i="7"/>
  <c r="T19" i="7"/>
  <c r="W18" i="7"/>
  <c r="V18" i="7"/>
  <c r="U18" i="7"/>
  <c r="T18" i="7"/>
  <c r="W17" i="7"/>
  <c r="V17" i="7"/>
  <c r="U17" i="7"/>
  <c r="T17" i="7"/>
  <c r="W16" i="7"/>
  <c r="V16" i="7"/>
  <c r="U16" i="7"/>
  <c r="T16" i="7"/>
  <c r="W15" i="7"/>
  <c r="V15" i="7"/>
  <c r="U15" i="7"/>
  <c r="T15" i="7"/>
  <c r="W14" i="7"/>
  <c r="V14" i="7"/>
  <c r="U14" i="7"/>
  <c r="T14" i="7"/>
  <c r="W13" i="7"/>
  <c r="V13" i="7"/>
  <c r="U13" i="7"/>
  <c r="T13" i="7"/>
  <c r="W12" i="7"/>
  <c r="V12" i="7"/>
  <c r="U12" i="7"/>
  <c r="T12" i="7"/>
  <c r="W11" i="7"/>
  <c r="AX27" i="8" s="1"/>
  <c r="V11" i="7"/>
  <c r="AW27" i="8" s="1"/>
  <c r="U11" i="7"/>
  <c r="AV27" i="8" s="1"/>
  <c r="T11" i="7"/>
  <c r="AU27" i="8" s="1"/>
  <c r="W10" i="7"/>
  <c r="V10" i="7"/>
  <c r="U10" i="7"/>
  <c r="T10" i="7"/>
  <c r="W9" i="7"/>
  <c r="AX29" i="8" s="1"/>
  <c r="V9" i="7"/>
  <c r="AW29" i="8" s="1"/>
  <c r="U9" i="7"/>
  <c r="AV29" i="8" s="1"/>
  <c r="T9" i="7"/>
  <c r="AU29" i="8" s="1"/>
  <c r="W8" i="7"/>
  <c r="V8" i="7"/>
  <c r="U8" i="7"/>
  <c r="T8" i="7"/>
  <c r="W7" i="7"/>
  <c r="V7" i="7"/>
  <c r="U7" i="7"/>
  <c r="T7" i="7"/>
  <c r="W6" i="7"/>
  <c r="AX28" i="8" s="1"/>
  <c r="V6" i="7"/>
  <c r="U6" i="7"/>
  <c r="T6" i="7"/>
  <c r="W5" i="7"/>
  <c r="V5" i="7"/>
  <c r="U5" i="7"/>
  <c r="T5" i="7"/>
  <c r="W4" i="7"/>
  <c r="V4" i="7"/>
  <c r="AW24" i="8" s="1"/>
  <c r="U4" i="7"/>
  <c r="T4" i="7"/>
  <c r="AB3" i="7"/>
  <c r="W3" i="7"/>
  <c r="V3" i="7"/>
  <c r="U3" i="7"/>
  <c r="T3" i="7"/>
  <c r="AU24" i="8" s="1"/>
  <c r="AC2" i="7"/>
  <c r="AB3" i="5"/>
  <c r="AC2" i="5"/>
  <c r="AC3" i="5" s="1"/>
  <c r="M5" i="6"/>
  <c r="M6" i="6"/>
  <c r="M9" i="6"/>
  <c r="M10" i="6"/>
  <c r="M13" i="6"/>
  <c r="M14" i="6"/>
  <c r="M17" i="6"/>
  <c r="M18" i="6"/>
  <c r="M21" i="6"/>
  <c r="M22" i="6"/>
  <c r="M25" i="6"/>
  <c r="M26" i="6"/>
  <c r="M29" i="6"/>
  <c r="M30" i="6"/>
  <c r="L4" i="6"/>
  <c r="L7" i="6"/>
  <c r="L8" i="6"/>
  <c r="L11" i="6"/>
  <c r="L12" i="6"/>
  <c r="L15" i="6"/>
  <c r="L16" i="6"/>
  <c r="L19" i="6"/>
  <c r="L20" i="6"/>
  <c r="L23" i="6"/>
  <c r="L24" i="6"/>
  <c r="L27" i="6"/>
  <c r="L28" i="6"/>
  <c r="L31" i="6"/>
  <c r="L32" i="6"/>
  <c r="T4" i="5"/>
  <c r="U4" i="5"/>
  <c r="V4" i="5"/>
  <c r="W4" i="5"/>
  <c r="T5" i="5"/>
  <c r="U5" i="5"/>
  <c r="V5" i="5"/>
  <c r="W5" i="5"/>
  <c r="T6" i="5"/>
  <c r="U6" i="5"/>
  <c r="V6" i="5"/>
  <c r="W6" i="5"/>
  <c r="T7" i="5"/>
  <c r="U7" i="5"/>
  <c r="V7" i="5"/>
  <c r="W7" i="5"/>
  <c r="T8" i="5"/>
  <c r="U8" i="5"/>
  <c r="V8" i="5"/>
  <c r="W8" i="5"/>
  <c r="T9" i="5"/>
  <c r="U9" i="5"/>
  <c r="V9" i="5"/>
  <c r="W9" i="5"/>
  <c r="T10" i="5"/>
  <c r="U10" i="5"/>
  <c r="V10" i="5"/>
  <c r="W10" i="5"/>
  <c r="T11" i="5"/>
  <c r="U11" i="5"/>
  <c r="V11" i="5"/>
  <c r="W11" i="5"/>
  <c r="T12" i="5"/>
  <c r="U12" i="5"/>
  <c r="V12" i="5"/>
  <c r="W12" i="5"/>
  <c r="T13" i="5"/>
  <c r="U13" i="5"/>
  <c r="V13" i="5"/>
  <c r="W13" i="5"/>
  <c r="T14" i="5"/>
  <c r="U14" i="5"/>
  <c r="V14" i="5"/>
  <c r="W14" i="5"/>
  <c r="T15" i="5"/>
  <c r="X26" i="8" s="1"/>
  <c r="U15" i="5"/>
  <c r="Y26" i="8" s="1"/>
  <c r="V15" i="5"/>
  <c r="Z26" i="8" s="1"/>
  <c r="W15" i="5"/>
  <c r="AA26" i="8" s="1"/>
  <c r="T16" i="5"/>
  <c r="U16" i="5"/>
  <c r="V16" i="5"/>
  <c r="W16" i="5"/>
  <c r="T17" i="5"/>
  <c r="U17" i="5"/>
  <c r="V17" i="5"/>
  <c r="W17" i="5"/>
  <c r="T18" i="5"/>
  <c r="U18" i="5"/>
  <c r="V18" i="5"/>
  <c r="W18" i="5"/>
  <c r="T19" i="5"/>
  <c r="U19" i="5"/>
  <c r="V19" i="5"/>
  <c r="W19" i="5"/>
  <c r="T20" i="5"/>
  <c r="U20" i="5"/>
  <c r="V20" i="5"/>
  <c r="W20" i="5"/>
  <c r="T21" i="5"/>
  <c r="U21" i="5"/>
  <c r="V21" i="5"/>
  <c r="W21" i="5"/>
  <c r="T22" i="5"/>
  <c r="X30" i="8" s="1"/>
  <c r="U22" i="5"/>
  <c r="Y30" i="8" s="1"/>
  <c r="V22" i="5"/>
  <c r="Z30" i="8" s="1"/>
  <c r="W22" i="5"/>
  <c r="T23" i="5"/>
  <c r="U23" i="5"/>
  <c r="V23" i="5"/>
  <c r="W23" i="5"/>
  <c r="T24" i="5"/>
  <c r="U24" i="5"/>
  <c r="V24" i="5"/>
  <c r="W24" i="5"/>
  <c r="T25" i="5"/>
  <c r="U25" i="5"/>
  <c r="V25" i="5"/>
  <c r="W25" i="5"/>
  <c r="T26" i="5"/>
  <c r="U26" i="5"/>
  <c r="V26" i="5"/>
  <c r="W26" i="5"/>
  <c r="T27" i="5"/>
  <c r="U27" i="5"/>
  <c r="V27" i="5"/>
  <c r="W27" i="5"/>
  <c r="T28" i="5"/>
  <c r="U28" i="5"/>
  <c r="V28" i="5"/>
  <c r="W28" i="5"/>
  <c r="T29" i="5"/>
  <c r="U29" i="5"/>
  <c r="V29" i="5"/>
  <c r="W29" i="5"/>
  <c r="T30" i="5"/>
  <c r="U30" i="5"/>
  <c r="V30" i="5"/>
  <c r="W30" i="5"/>
  <c r="T31" i="5"/>
  <c r="U31" i="5"/>
  <c r="V31" i="5"/>
  <c r="W31" i="5"/>
  <c r="T32" i="5"/>
  <c r="X10" i="8" s="1"/>
  <c r="U32" i="5"/>
  <c r="Y10" i="8" s="1"/>
  <c r="V32" i="5"/>
  <c r="W32" i="5"/>
  <c r="W3" i="5"/>
  <c r="V3" i="5"/>
  <c r="U3" i="5"/>
  <c r="T3" i="5"/>
  <c r="A15" i="9" l="1"/>
  <c r="AA24" i="8"/>
  <c r="AX24" i="8"/>
  <c r="BX32" i="8"/>
  <c r="BZ32" i="8" s="1"/>
  <c r="AW17" i="8"/>
  <c r="AV17" i="8"/>
  <c r="AU17" i="8"/>
  <c r="AW21" i="8"/>
  <c r="AV21" i="8"/>
  <c r="AX21" i="8"/>
  <c r="AU21" i="8"/>
  <c r="Z24" i="8"/>
  <c r="AS28" i="8"/>
  <c r="AO28" i="8"/>
  <c r="AK28" i="8"/>
  <c r="AN28" i="8"/>
  <c r="AJ28" i="8"/>
  <c r="AY27" i="8"/>
  <c r="X23" i="8"/>
  <c r="X27" i="8"/>
  <c r="X28" i="8"/>
  <c r="AW30" i="8"/>
  <c r="BO29" i="8" s="1"/>
  <c r="AA25" i="8"/>
  <c r="AA27" i="8"/>
  <c r="AA29" i="8"/>
  <c r="AA28" i="8"/>
  <c r="BP28" i="8" s="1"/>
  <c r="AX26" i="8"/>
  <c r="AX30" i="8"/>
  <c r="AB26" i="8"/>
  <c r="AB27" i="8"/>
  <c r="X25" i="8"/>
  <c r="X29" i="8"/>
  <c r="Z25" i="8"/>
  <c r="Z23" i="8"/>
  <c r="Z27" i="8"/>
  <c r="Z29" i="8"/>
  <c r="Z28" i="8"/>
  <c r="AU26" i="8"/>
  <c r="AU30" i="8"/>
  <c r="BM29" i="8" s="1"/>
  <c r="AB21" i="8"/>
  <c r="AB28" i="8"/>
  <c r="AW26" i="8"/>
  <c r="Y25" i="8"/>
  <c r="BN25" i="8" s="1"/>
  <c r="Y23" i="8"/>
  <c r="Y27" i="8"/>
  <c r="Y29" i="8"/>
  <c r="BN29" i="8" s="1"/>
  <c r="Y28" i="8"/>
  <c r="BN28" i="8" s="1"/>
  <c r="AV26" i="8"/>
  <c r="AV30" i="8"/>
  <c r="AB25" i="8"/>
  <c r="AM25" i="8"/>
  <c r="AI25" i="8"/>
  <c r="AT23" i="8"/>
  <c r="AP23" i="8"/>
  <c r="AL23" i="8"/>
  <c r="AS27" i="8"/>
  <c r="AO27" i="8"/>
  <c r="AK27" i="8"/>
  <c r="AM29" i="8"/>
  <c r="AI29" i="8"/>
  <c r="AQ29" i="8"/>
  <c r="AT25" i="8"/>
  <c r="AP25" i="8"/>
  <c r="AL25" i="8"/>
  <c r="AH25" i="8"/>
  <c r="AS23" i="8"/>
  <c r="AR27" i="8"/>
  <c r="AN27" i="8"/>
  <c r="AJ27" i="8"/>
  <c r="AP29" i="8"/>
  <c r="AL29" i="8"/>
  <c r="AH29" i="8"/>
  <c r="AQ28" i="8"/>
  <c r="AM28" i="8"/>
  <c r="AI28" i="8"/>
  <c r="AY28" i="8"/>
  <c r="BP27" i="8" s="1"/>
  <c r="AN29" i="8"/>
  <c r="AS25" i="8"/>
  <c r="AO25" i="8"/>
  <c r="AK25" i="8"/>
  <c r="AQ26" i="8"/>
  <c r="AM26" i="8"/>
  <c r="AI26" i="8"/>
  <c r="AQ27" i="8"/>
  <c r="AM27" i="8"/>
  <c r="AI27" i="8"/>
  <c r="AS29" i="8"/>
  <c r="AO29" i="8"/>
  <c r="AK29" i="8"/>
  <c r="AT28" i="8"/>
  <c r="AP28" i="8"/>
  <c r="AL28" i="8"/>
  <c r="AY25" i="8"/>
  <c r="BN26" i="8" s="1"/>
  <c r="AY29" i="8"/>
  <c r="BN30" i="8" s="1"/>
  <c r="AJ29" i="8"/>
  <c r="AM23" i="8"/>
  <c r="AI23" i="8"/>
  <c r="AP27" i="8"/>
  <c r="AL27" i="8"/>
  <c r="AH27" i="8"/>
  <c r="AR29" i="8"/>
  <c r="AP30" i="8"/>
  <c r="AT29" i="8"/>
  <c r="BM28" i="8"/>
  <c r="BO32" i="8"/>
  <c r="BG32" i="8"/>
  <c r="BC32" i="8"/>
  <c r="BO31" i="8"/>
  <c r="BG31" i="8"/>
  <c r="BN32" i="8"/>
  <c r="BJ32" i="8"/>
  <c r="BF32" i="8"/>
  <c r="BB32" i="8"/>
  <c r="BT31" i="8"/>
  <c r="BV31" i="8" s="1"/>
  <c r="BN31" i="8"/>
  <c r="BJ31" i="8"/>
  <c r="BF31" i="8"/>
  <c r="BB31" i="8"/>
  <c r="BP26" i="8"/>
  <c r="BP29" i="8"/>
  <c r="CC30" i="8"/>
  <c r="BM32" i="8"/>
  <c r="BI32" i="8"/>
  <c r="BE32" i="8"/>
  <c r="BA32" i="8"/>
  <c r="BM31" i="8"/>
  <c r="BI31" i="8"/>
  <c r="BE31" i="8"/>
  <c r="BA31" i="8"/>
  <c r="BK32" i="8"/>
  <c r="BK31" i="8"/>
  <c r="BC31" i="8"/>
  <c r="BO28" i="8"/>
  <c r="BP32" i="8"/>
  <c r="BL32" i="8"/>
  <c r="BH32" i="8"/>
  <c r="BD32" i="8"/>
  <c r="AZ32" i="8"/>
  <c r="BP31" i="8"/>
  <c r="BL31" i="8"/>
  <c r="BH31" i="8"/>
  <c r="BD31" i="8"/>
  <c r="AZ31" i="8"/>
  <c r="AA12" i="8"/>
  <c r="AA20" i="8"/>
  <c r="AX10" i="8"/>
  <c r="Z10" i="8"/>
  <c r="AA16" i="8"/>
  <c r="AA22" i="5"/>
  <c r="AD29" i="8" s="1"/>
  <c r="AA26" i="5"/>
  <c r="AA14" i="5"/>
  <c r="AC28" i="8"/>
  <c r="AA6" i="5"/>
  <c r="AD30" i="8" s="1"/>
  <c r="BU30" i="8" s="1"/>
  <c r="AA29" i="5"/>
  <c r="AD27" i="8" s="1"/>
  <c r="AC25" i="8"/>
  <c r="AA25" i="5"/>
  <c r="AA21" i="5"/>
  <c r="AA17" i="5"/>
  <c r="AA13" i="5"/>
  <c r="AC29" i="8"/>
  <c r="BT29" i="8" s="1"/>
  <c r="AA9" i="5"/>
  <c r="AA5" i="5"/>
  <c r="AA30" i="5"/>
  <c r="AA18" i="5"/>
  <c r="AA10" i="5"/>
  <c r="AA32" i="5"/>
  <c r="AD25" i="8" s="1"/>
  <c r="AA28" i="5"/>
  <c r="AD23" i="8" s="1"/>
  <c r="AC23" i="8"/>
  <c r="AA24" i="5"/>
  <c r="AC20" i="8"/>
  <c r="AA20" i="5"/>
  <c r="AD24" i="8" s="1"/>
  <c r="BU24" i="8" s="1"/>
  <c r="AA16" i="5"/>
  <c r="AA12" i="5"/>
  <c r="AD28" i="8" s="1"/>
  <c r="AA8" i="5"/>
  <c r="AA4" i="5"/>
  <c r="AD26" i="8" s="1"/>
  <c r="AA31" i="5"/>
  <c r="AA27" i="5"/>
  <c r="AA23" i="5"/>
  <c r="AA19" i="5"/>
  <c r="AC26" i="8"/>
  <c r="BT26" i="8" s="1"/>
  <c r="AA15" i="5"/>
  <c r="AC27" i="8"/>
  <c r="BT27" i="8" s="1"/>
  <c r="AA11" i="5"/>
  <c r="AA7" i="5"/>
  <c r="AA3" i="5"/>
  <c r="AB4" i="7" a="1"/>
  <c r="AK16" i="8"/>
  <c r="AQ23" i="8"/>
  <c r="AN23" i="8"/>
  <c r="AJ23" i="8"/>
  <c r="AE10" i="8"/>
  <c r="AE23" i="8"/>
  <c r="AE20" i="8"/>
  <c r="AE19" i="8"/>
  <c r="AX23" i="8"/>
  <c r="AV22" i="8"/>
  <c r="AY24" i="8"/>
  <c r="AT24" i="8"/>
  <c r="AP24" i="8"/>
  <c r="AM24" i="8"/>
  <c r="AL24" i="8"/>
  <c r="AS24" i="8"/>
  <c r="AI24" i="8"/>
  <c r="AR23" i="8"/>
  <c r="AO23" i="8"/>
  <c r="AK23" i="8"/>
  <c r="AH23" i="8"/>
  <c r="AX17" i="8"/>
  <c r="AE15" i="8"/>
  <c r="AX9" i="8"/>
  <c r="AA30" i="8"/>
  <c r="AB24" i="8"/>
  <c r="AU28" i="8"/>
  <c r="AJ24" i="8"/>
  <c r="AN24" i="8"/>
  <c r="AQ24" i="8"/>
  <c r="AK4" i="8"/>
  <c r="AY21" i="8"/>
  <c r="AH24" i="8"/>
  <c r="AO24" i="8"/>
  <c r="AR24" i="8"/>
  <c r="BX30" i="8"/>
  <c r="BZ30" i="8" s="1"/>
  <c r="AE22" i="8"/>
  <c r="AE24" i="8"/>
  <c r="AE21" i="8"/>
  <c r="CC26" i="8"/>
  <c r="CC20" i="8"/>
  <c r="Y21" i="8"/>
  <c r="AV16" i="8"/>
  <c r="Y20" i="8"/>
  <c r="X20" i="8"/>
  <c r="AA21" i="8"/>
  <c r="AX19" i="8"/>
  <c r="AC24" i="8"/>
  <c r="AW28" i="8"/>
  <c r="AV23" i="8"/>
  <c r="X22" i="8"/>
  <c r="X21" i="8"/>
  <c r="AW16" i="8"/>
  <c r="AW23" i="8"/>
  <c r="AC22" i="8"/>
  <c r="X24" i="8"/>
  <c r="AA8" i="8"/>
  <c r="Y24" i="8"/>
  <c r="Z19" i="8"/>
  <c r="Z20" i="8"/>
  <c r="Z21" i="8"/>
  <c r="AV24" i="8"/>
  <c r="AU16" i="8"/>
  <c r="AU23" i="8"/>
  <c r="AB23" i="8"/>
  <c r="AB20" i="8"/>
  <c r="AC21" i="8"/>
  <c r="AV28" i="8"/>
  <c r="BN27" i="8" s="1"/>
  <c r="AQ20" i="8"/>
  <c r="AN20" i="8"/>
  <c r="AJ20" i="8"/>
  <c r="AQ21" i="8"/>
  <c r="AN21" i="8"/>
  <c r="AJ21" i="8"/>
  <c r="AS22" i="8"/>
  <c r="AL22" i="8"/>
  <c r="AT22" i="8"/>
  <c r="AP22" i="8"/>
  <c r="AM22" i="8"/>
  <c r="AT20" i="8"/>
  <c r="AP20" i="8"/>
  <c r="AM20" i="8"/>
  <c r="AT21" i="8"/>
  <c r="AP21" i="8"/>
  <c r="AM21" i="8"/>
  <c r="AY17" i="8"/>
  <c r="AI22" i="8"/>
  <c r="AS20" i="8"/>
  <c r="AL20" i="8"/>
  <c r="AI20" i="8"/>
  <c r="AS21" i="8"/>
  <c r="AL21" i="8"/>
  <c r="AI21" i="8"/>
  <c r="AR20" i="8"/>
  <c r="AO20" i="8"/>
  <c r="AK20" i="8"/>
  <c r="AH20" i="8"/>
  <c r="AR21" i="8"/>
  <c r="AO21" i="8"/>
  <c r="AK21" i="8"/>
  <c r="AH21" i="8"/>
  <c r="AY22" i="8"/>
  <c r="AY23" i="8"/>
  <c r="AY20" i="8"/>
  <c r="CC29" i="8"/>
  <c r="BX29" i="8"/>
  <c r="BZ29" i="8" s="1"/>
  <c r="CC27" i="8"/>
  <c r="CC28" i="8"/>
  <c r="BX26" i="8"/>
  <c r="BZ26" i="8" s="1"/>
  <c r="CC25" i="8"/>
  <c r="AW20" i="8"/>
  <c r="AW22" i="8"/>
  <c r="AC10" i="8"/>
  <c r="AC16" i="8"/>
  <c r="Y22" i="8"/>
  <c r="Y19" i="8"/>
  <c r="AV20" i="8"/>
  <c r="X19" i="8"/>
  <c r="AA11" i="8"/>
  <c r="AA15" i="8"/>
  <c r="AA19" i="8"/>
  <c r="AX20" i="8"/>
  <c r="AX22" i="8"/>
  <c r="AB4" i="8"/>
  <c r="Z22" i="8"/>
  <c r="Z18" i="8"/>
  <c r="AU22" i="8"/>
  <c r="AB22" i="8"/>
  <c r="AB15" i="8"/>
  <c r="AB19" i="8"/>
  <c r="AC18" i="8"/>
  <c r="AU20" i="8"/>
  <c r="AT19" i="8"/>
  <c r="AR15" i="8"/>
  <c r="AH15" i="8"/>
  <c r="AS19" i="8"/>
  <c r="AL19" i="8"/>
  <c r="AI19" i="8"/>
  <c r="AP19" i="8"/>
  <c r="AR22" i="8"/>
  <c r="AO22" i="8"/>
  <c r="AK22" i="8"/>
  <c r="AH22" i="8"/>
  <c r="AR16" i="8"/>
  <c r="AO16" i="8"/>
  <c r="AH16" i="8"/>
  <c r="AR19" i="8"/>
  <c r="AO19" i="8"/>
  <c r="AK19" i="8"/>
  <c r="AH19" i="8"/>
  <c r="AY19" i="8"/>
  <c r="AM19" i="8"/>
  <c r="AK15" i="8"/>
  <c r="AQ22" i="8"/>
  <c r="AN22" i="8"/>
  <c r="AJ22" i="8"/>
  <c r="AQ19" i="8"/>
  <c r="AN19" i="8"/>
  <c r="AJ19" i="8"/>
  <c r="AE17" i="8"/>
  <c r="AE18" i="8"/>
  <c r="AE4" i="8"/>
  <c r="AE9" i="8"/>
  <c r="AN6" i="8"/>
  <c r="AW18" i="8"/>
  <c r="AA17" i="8"/>
  <c r="AX16" i="8"/>
  <c r="AX15" i="8"/>
  <c r="AX18" i="8"/>
  <c r="AW19" i="8"/>
  <c r="AC19" i="8"/>
  <c r="AW15" i="8"/>
  <c r="AU18" i="8"/>
  <c r="AU15" i="8"/>
  <c r="AA22" i="8"/>
  <c r="AV19" i="8"/>
  <c r="AV18" i="8"/>
  <c r="AV15" i="8"/>
  <c r="AA23" i="8"/>
  <c r="AU19" i="8"/>
  <c r="AK14" i="8"/>
  <c r="AK24" i="8"/>
  <c r="AH14" i="8"/>
  <c r="AO14" i="8"/>
  <c r="AR14" i="8"/>
  <c r="AO15" i="8"/>
  <c r="AE3" i="8"/>
  <c r="Z5" i="8"/>
  <c r="AR10" i="8"/>
  <c r="AO10" i="8"/>
  <c r="AK10" i="8"/>
  <c r="AH10" i="8"/>
  <c r="AQ10" i="8"/>
  <c r="AN10" i="8"/>
  <c r="AJ10" i="8"/>
  <c r="X15" i="8"/>
  <c r="AW8" i="8"/>
  <c r="AX12" i="8"/>
  <c r="Z4" i="8"/>
  <c r="Z16" i="8"/>
  <c r="Z17" i="8"/>
  <c r="AC17" i="8"/>
  <c r="X4" i="8"/>
  <c r="X18" i="8"/>
  <c r="X17" i="8"/>
  <c r="AB17" i="8"/>
  <c r="AC15" i="8"/>
  <c r="AX5" i="8"/>
  <c r="Z3" i="8"/>
  <c r="Z15" i="8"/>
  <c r="AU8" i="8"/>
  <c r="Y4" i="8"/>
  <c r="Y15" i="8"/>
  <c r="Y18" i="8"/>
  <c r="Y16" i="8"/>
  <c r="Y17" i="8"/>
  <c r="AV8" i="8"/>
  <c r="AI4" i="8"/>
  <c r="AN15" i="8"/>
  <c r="AR4" i="8"/>
  <c r="AO4" i="8"/>
  <c r="AT15" i="8"/>
  <c r="AM15" i="8"/>
  <c r="AP17" i="8"/>
  <c r="AQ3" i="8"/>
  <c r="AN3" i="8"/>
  <c r="AJ3" i="8"/>
  <c r="AS15" i="8"/>
  <c r="AL15" i="8"/>
  <c r="AI15" i="8"/>
  <c r="AQ5" i="8"/>
  <c r="AN5" i="8"/>
  <c r="AS18" i="8"/>
  <c r="AL18" i="8"/>
  <c r="AI18" i="8"/>
  <c r="AJ5" i="8"/>
  <c r="AS17" i="8"/>
  <c r="AL17" i="8"/>
  <c r="AI17" i="8"/>
  <c r="AY4" i="8"/>
  <c r="AY9" i="8"/>
  <c r="AY18" i="8"/>
  <c r="AS4" i="8"/>
  <c r="AL4" i="8"/>
  <c r="AQ16" i="8"/>
  <c r="AN16" i="8"/>
  <c r="AJ16" i="8"/>
  <c r="AQ17" i="8"/>
  <c r="AH4" i="8"/>
  <c r="AP15" i="8"/>
  <c r="AT17" i="8"/>
  <c r="AM17" i="8"/>
  <c r="AR17" i="8"/>
  <c r="AO17" i="8"/>
  <c r="AK17" i="8"/>
  <c r="AH17" i="8"/>
  <c r="AY15" i="8"/>
  <c r="AY16" i="8"/>
  <c r="AY3" i="8"/>
  <c r="AA14" i="8"/>
  <c r="X3" i="8"/>
  <c r="AX14" i="8"/>
  <c r="AB7" i="8"/>
  <c r="AT9" i="8"/>
  <c r="AP9" i="8"/>
  <c r="AM9" i="8"/>
  <c r="Z9" i="8"/>
  <c r="AU5" i="8"/>
  <c r="AU11" i="8"/>
  <c r="X12" i="8"/>
  <c r="X9" i="8"/>
  <c r="AW5" i="8"/>
  <c r="AW11" i="8"/>
  <c r="AA3" i="8"/>
  <c r="AA4" i="8"/>
  <c r="AX11" i="8"/>
  <c r="AB9" i="8"/>
  <c r="Y9" i="8"/>
  <c r="Y3" i="8"/>
  <c r="Y14" i="8"/>
  <c r="AV5" i="8"/>
  <c r="AV11" i="8"/>
  <c r="AB14" i="8"/>
  <c r="AC11" i="8"/>
  <c r="AC3" i="8"/>
  <c r="AS12" i="8"/>
  <c r="AL12" i="8"/>
  <c r="AI12" i="8"/>
  <c r="AS11" i="8"/>
  <c r="AL11" i="8"/>
  <c r="AI11" i="8"/>
  <c r="AS10" i="8"/>
  <c r="AI10" i="8"/>
  <c r="AN4" i="8"/>
  <c r="AJ4" i="8"/>
  <c r="AL9" i="8"/>
  <c r="AQ6" i="8"/>
  <c r="AJ6" i="8"/>
  <c r="AQ7" i="8"/>
  <c r="AN7" i="8"/>
  <c r="AJ7" i="8"/>
  <c r="AN13" i="8"/>
  <c r="AJ13" i="8"/>
  <c r="AY14" i="8"/>
  <c r="AQ4" i="8"/>
  <c r="AR9" i="8"/>
  <c r="AO9" i="8"/>
  <c r="AK9" i="8"/>
  <c r="AH9" i="8"/>
  <c r="AO3" i="8"/>
  <c r="AK3" i="8"/>
  <c r="AT5" i="8"/>
  <c r="AP5" i="8"/>
  <c r="AM5" i="8"/>
  <c r="X6" i="8"/>
  <c r="AW14" i="8"/>
  <c r="X7" i="8"/>
  <c r="AA6" i="8"/>
  <c r="AA7" i="8"/>
  <c r="AA13" i="8"/>
  <c r="AX4" i="8"/>
  <c r="AC12" i="8"/>
  <c r="AA10" i="8"/>
  <c r="X13" i="8"/>
  <c r="Z12" i="8"/>
  <c r="Z6" i="8"/>
  <c r="Z7" i="8"/>
  <c r="Z13" i="8"/>
  <c r="AV14" i="8"/>
  <c r="AB10" i="8"/>
  <c r="AB13" i="8"/>
  <c r="AC14" i="8"/>
  <c r="AC7" i="8"/>
  <c r="AC5" i="8"/>
  <c r="AB18" i="8"/>
  <c r="Y12" i="8"/>
  <c r="Y6" i="8"/>
  <c r="Y7" i="8"/>
  <c r="Y13" i="8"/>
  <c r="AC9" i="8"/>
  <c r="AA18" i="8"/>
  <c r="AB16" i="8"/>
  <c r="X16" i="8"/>
  <c r="AX8" i="8"/>
  <c r="AN18" i="8"/>
  <c r="AJ18" i="8"/>
  <c r="AN17" i="8"/>
  <c r="AJ17" i="8"/>
  <c r="AJ14" i="8"/>
  <c r="AN14" i="8"/>
  <c r="AQ14" i="8"/>
  <c r="AT10" i="8"/>
  <c r="AP10" i="8"/>
  <c r="AM10" i="8"/>
  <c r="AR12" i="8"/>
  <c r="AO12" i="8"/>
  <c r="AK12" i="8"/>
  <c r="AH12" i="8"/>
  <c r="AR6" i="8"/>
  <c r="AO6" i="8"/>
  <c r="AK6" i="8"/>
  <c r="AH6" i="8"/>
  <c r="AT7" i="8"/>
  <c r="AP7" i="8"/>
  <c r="AM7" i="8"/>
  <c r="AR8" i="8"/>
  <c r="AO8" i="8"/>
  <c r="AK8" i="8"/>
  <c r="AH8" i="8"/>
  <c r="AT13" i="8"/>
  <c r="AP13" i="8"/>
  <c r="AM13" i="8"/>
  <c r="AR3" i="8"/>
  <c r="AH3" i="8"/>
  <c r="AY7" i="8"/>
  <c r="AT18" i="8"/>
  <c r="AP18" i="8"/>
  <c r="AM18" i="8"/>
  <c r="AQ15" i="8"/>
  <c r="AJ15" i="8"/>
  <c r="AQ18" i="8"/>
  <c r="AQ12" i="8"/>
  <c r="AN12" i="8"/>
  <c r="AJ12" i="8"/>
  <c r="AS8" i="8"/>
  <c r="AI8" i="8"/>
  <c r="AQ9" i="8"/>
  <c r="AN9" i="8"/>
  <c r="AJ9" i="8"/>
  <c r="AL10" i="8"/>
  <c r="AS13" i="8"/>
  <c r="AL13" i="8"/>
  <c r="AI13" i="8"/>
  <c r="AS5" i="8"/>
  <c r="AL5" i="8"/>
  <c r="AI5" i="8"/>
  <c r="AT16" i="8"/>
  <c r="AP16" i="8"/>
  <c r="AM16" i="8"/>
  <c r="AQ13" i="8"/>
  <c r="AR7" i="8"/>
  <c r="AO7" i="8"/>
  <c r="AK7" i="8"/>
  <c r="AH7" i="8"/>
  <c r="AR13" i="8"/>
  <c r="AO13" i="8"/>
  <c r="AK13" i="8"/>
  <c r="AH13" i="8"/>
  <c r="AY10" i="8"/>
  <c r="AY13" i="8"/>
  <c r="AR18" i="8"/>
  <c r="AO18" i="8"/>
  <c r="AK18" i="8"/>
  <c r="AH18" i="8"/>
  <c r="AS16" i="8"/>
  <c r="AL16" i="8"/>
  <c r="AI16" i="8"/>
  <c r="AL8" i="8"/>
  <c r="AE13" i="8"/>
  <c r="AE12" i="8"/>
  <c r="AE16" i="8"/>
  <c r="AE6" i="8"/>
  <c r="AE7" i="8"/>
  <c r="Z11" i="8"/>
  <c r="AU13" i="8"/>
  <c r="AU7" i="8"/>
  <c r="AU6" i="8"/>
  <c r="AU12" i="8"/>
  <c r="Z14" i="8"/>
  <c r="Y11" i="8"/>
  <c r="AV6" i="8"/>
  <c r="AV9" i="8"/>
  <c r="AV12" i="8"/>
  <c r="AV10" i="8"/>
  <c r="X8" i="8"/>
  <c r="X5" i="8"/>
  <c r="AW13" i="8"/>
  <c r="AW7" i="8"/>
  <c r="AW6" i="8"/>
  <c r="AW9" i="8"/>
  <c r="AW12" i="8"/>
  <c r="AW4" i="8"/>
  <c r="AW10" i="8"/>
  <c r="AB5" i="8"/>
  <c r="AC13" i="8"/>
  <c r="Z8" i="8"/>
  <c r="AU9" i="8"/>
  <c r="AU4" i="8"/>
  <c r="AU10" i="8"/>
  <c r="Y8" i="8"/>
  <c r="Y5" i="8"/>
  <c r="AV13" i="8"/>
  <c r="AV7" i="8"/>
  <c r="AV4" i="8"/>
  <c r="AB12" i="8"/>
  <c r="AB6" i="8"/>
  <c r="AC4" i="8"/>
  <c r="AC8" i="8"/>
  <c r="X11" i="8"/>
  <c r="X14" i="8"/>
  <c r="AA5" i="8"/>
  <c r="AU14" i="8"/>
  <c r="AX13" i="8"/>
  <c r="AX6" i="8"/>
  <c r="AB11" i="8"/>
  <c r="AB3" i="8"/>
  <c r="AB8" i="8"/>
  <c r="AC6" i="8"/>
  <c r="AA9" i="8"/>
  <c r="AX7" i="8"/>
  <c r="AN11" i="8"/>
  <c r="AJ11" i="8"/>
  <c r="AQ8" i="8"/>
  <c r="AN8" i="8"/>
  <c r="AJ8" i="8"/>
  <c r="AY12" i="8"/>
  <c r="AY6" i="8"/>
  <c r="AS7" i="8"/>
  <c r="AI7" i="8"/>
  <c r="AO11" i="8"/>
  <c r="AK11" i="8"/>
  <c r="AQ11" i="8"/>
  <c r="AI14" i="8"/>
  <c r="AL14" i="8"/>
  <c r="AS14" i="8"/>
  <c r="AT4" i="8"/>
  <c r="AP4" i="8"/>
  <c r="AM4" i="8"/>
  <c r="AT12" i="8"/>
  <c r="AP12" i="8"/>
  <c r="AM12" i="8"/>
  <c r="AT11" i="8"/>
  <c r="AP11" i="8"/>
  <c r="AM11" i="8"/>
  <c r="AT6" i="8"/>
  <c r="AP6" i="8"/>
  <c r="AM6" i="8"/>
  <c r="AT3" i="8"/>
  <c r="AP3" i="8"/>
  <c r="AM3" i="8"/>
  <c r="AT8" i="8"/>
  <c r="AP8" i="8"/>
  <c r="AM8" i="8"/>
  <c r="AR5" i="8"/>
  <c r="AO5" i="8"/>
  <c r="AK5" i="8"/>
  <c r="AH5" i="8"/>
  <c r="AY5" i="8"/>
  <c r="AR11" i="8"/>
  <c r="AH11" i="8"/>
  <c r="AM14" i="8"/>
  <c r="AP14" i="8"/>
  <c r="AT14" i="8"/>
  <c r="AS6" i="8"/>
  <c r="AL6" i="8"/>
  <c r="AI6" i="8"/>
  <c r="AS3" i="8"/>
  <c r="AL3" i="8"/>
  <c r="AI3" i="8"/>
  <c r="AY11" i="8"/>
  <c r="AY8" i="8"/>
  <c r="AS9" i="8"/>
  <c r="AI9" i="8"/>
  <c r="AL7" i="8"/>
  <c r="AE14" i="8"/>
  <c r="AE5" i="8"/>
  <c r="AE11" i="8"/>
  <c r="AE8" i="8"/>
  <c r="AX3" i="8"/>
  <c r="AW3" i="8"/>
  <c r="AU3" i="8"/>
  <c r="AV3" i="8"/>
  <c r="M23" i="6"/>
  <c r="M7" i="6"/>
  <c r="L30" i="6"/>
  <c r="L26" i="6"/>
  <c r="L22" i="6"/>
  <c r="L18" i="6"/>
  <c r="L14" i="6"/>
  <c r="L10" i="6"/>
  <c r="L6" i="6"/>
  <c r="M31" i="6"/>
  <c r="M27" i="6"/>
  <c r="M19" i="6"/>
  <c r="M15" i="6"/>
  <c r="M11" i="6"/>
  <c r="M32" i="6"/>
  <c r="M28" i="6"/>
  <c r="M24" i="6"/>
  <c r="M20" i="6"/>
  <c r="M16" i="6"/>
  <c r="M12" i="6"/>
  <c r="M8" i="6"/>
  <c r="M4" i="6"/>
  <c r="M3" i="6"/>
  <c r="L3" i="6"/>
  <c r="L29" i="6"/>
  <c r="L25" i="6"/>
  <c r="L21" i="6"/>
  <c r="L17" i="6"/>
  <c r="L13" i="6"/>
  <c r="L9" i="6"/>
  <c r="L5" i="6"/>
  <c r="AD2" i="5"/>
  <c r="AE2" i="5" s="1"/>
  <c r="AF2" i="5" s="1"/>
  <c r="AG2" i="5" s="1"/>
  <c r="AH2" i="5" s="1"/>
  <c r="AI2" i="5" s="1"/>
  <c r="AJ2" i="5" s="1"/>
  <c r="AK2" i="5" s="1"/>
  <c r="AL2" i="5" s="1"/>
  <c r="AM2" i="5" s="1"/>
  <c r="AN2" i="5" s="1"/>
  <c r="AO2" i="5" s="1"/>
  <c r="AP2" i="5" s="1"/>
  <c r="AP3" i="5" s="1"/>
  <c r="AN3" i="5"/>
  <c r="AC3" i="7"/>
  <c r="AD2" i="7"/>
  <c r="A16" i="9" l="1"/>
  <c r="AD22" i="8"/>
  <c r="BX25" i="8"/>
  <c r="BZ25" i="8" s="1"/>
  <c r="BX27" i="8"/>
  <c r="BZ27" i="8" s="1"/>
  <c r="AD21" i="8"/>
  <c r="BX21" i="8"/>
  <c r="BZ21" i="8" s="1"/>
  <c r="BO25" i="8"/>
  <c r="BM22" i="8"/>
  <c r="BU28" i="8"/>
  <c r="BM25" i="8"/>
  <c r="BO27" i="8"/>
  <c r="BT28" i="8"/>
  <c r="BU26" i="8"/>
  <c r="BV26" i="8" s="1"/>
  <c r="BP22" i="8"/>
  <c r="BO24" i="8"/>
  <c r="BV28" i="8"/>
  <c r="BT30" i="8"/>
  <c r="BV30" i="8" s="1"/>
  <c r="BX28" i="8"/>
  <c r="BZ28" i="8" s="1"/>
  <c r="BP30" i="8"/>
  <c r="BU23" i="8"/>
  <c r="BO30" i="8"/>
  <c r="BM30" i="8"/>
  <c r="BU25" i="8"/>
  <c r="BU27" i="8"/>
  <c r="BV27" i="8" s="1"/>
  <c r="BO23" i="8"/>
  <c r="BU29" i="8"/>
  <c r="BV29" i="8" s="1"/>
  <c r="BP25" i="8"/>
  <c r="BO26" i="8"/>
  <c r="BM26" i="8"/>
  <c r="BM27" i="8"/>
  <c r="CC24" i="8"/>
  <c r="BT23" i="8"/>
  <c r="BT25" i="8"/>
  <c r="BV25" i="8" s="1"/>
  <c r="BN23" i="8"/>
  <c r="BN22" i="8"/>
  <c r="BM24" i="8"/>
  <c r="BP23" i="8"/>
  <c r="BO22" i="8"/>
  <c r="BN24" i="8"/>
  <c r="BR32" i="8"/>
  <c r="BQ31" i="8"/>
  <c r="BS31" i="8" s="1"/>
  <c r="BW31" i="8" s="1"/>
  <c r="CB31" i="8" s="1"/>
  <c r="BM23" i="8"/>
  <c r="BX24" i="8"/>
  <c r="BZ24" i="8" s="1"/>
  <c r="BR31" i="8"/>
  <c r="BQ32" i="8"/>
  <c r="BS32" i="8" s="1"/>
  <c r="BW32" i="8" s="1"/>
  <c r="CB32" i="8" s="1"/>
  <c r="BP24" i="8"/>
  <c r="AD16" i="8"/>
  <c r="CC22" i="8"/>
  <c r="BO21" i="8"/>
  <c r="BP21" i="8"/>
  <c r="BN21" i="8"/>
  <c r="BM21" i="8"/>
  <c r="AD8" i="8"/>
  <c r="BT20" i="8"/>
  <c r="BN18" i="8"/>
  <c r="BX19" i="8"/>
  <c r="BZ19" i="8" s="1"/>
  <c r="AD6" i="8"/>
  <c r="AD13" i="8"/>
  <c r="BM18" i="8"/>
  <c r="BP18" i="8"/>
  <c r="AD10" i="8"/>
  <c r="AD12" i="8"/>
  <c r="AD17" i="8"/>
  <c r="AD18" i="8"/>
  <c r="AD20" i="8"/>
  <c r="AD19" i="8"/>
  <c r="AD7" i="8"/>
  <c r="AD5" i="8"/>
  <c r="AD4" i="8"/>
  <c r="AD11" i="8"/>
  <c r="AD15" i="8"/>
  <c r="AD9" i="8"/>
  <c r="AD3" i="8"/>
  <c r="BO18" i="8"/>
  <c r="BP20" i="8"/>
  <c r="BO20" i="8"/>
  <c r="BP17" i="8"/>
  <c r="BM17" i="8"/>
  <c r="BO17" i="8"/>
  <c r="BP19" i="8"/>
  <c r="BM20" i="8"/>
  <c r="BM19" i="8"/>
  <c r="BO19" i="8"/>
  <c r="BN20" i="8"/>
  <c r="BN17" i="8"/>
  <c r="BN19" i="8"/>
  <c r="AD14" i="8"/>
  <c r="AD18" i="5"/>
  <c r="AD17" i="5"/>
  <c r="AB4" i="7"/>
  <c r="AM8" i="7"/>
  <c r="AI8" i="7"/>
  <c r="AS7" i="7"/>
  <c r="AQ8" i="7"/>
  <c r="AE8" i="7"/>
  <c r="AO7" i="7"/>
  <c r="AQ6" i="7"/>
  <c r="AS5" i="7"/>
  <c r="AC5" i="7"/>
  <c r="AE4" i="7"/>
  <c r="AD8" i="7"/>
  <c r="AF7" i="7"/>
  <c r="AH6" i="7"/>
  <c r="AJ5" i="7"/>
  <c r="AL4" i="7"/>
  <c r="AO8" i="7"/>
  <c r="AQ7" i="7"/>
  <c r="AS6" i="7"/>
  <c r="AC6" i="7"/>
  <c r="AE5" i="7"/>
  <c r="AG4" i="7"/>
  <c r="AJ8" i="7"/>
  <c r="AL7" i="7"/>
  <c r="AN6" i="7"/>
  <c r="AP5" i="7"/>
  <c r="AR4" i="7"/>
  <c r="AK7" i="7"/>
  <c r="AM6" i="7"/>
  <c r="AO5" i="7"/>
  <c r="AQ4" i="7"/>
  <c r="AP8" i="7"/>
  <c r="AR7" i="7"/>
  <c r="AB7" i="7"/>
  <c r="AD6" i="7"/>
  <c r="AF5" i="7"/>
  <c r="AH4" i="7"/>
  <c r="AK8" i="7"/>
  <c r="AM7" i="7"/>
  <c r="AO6" i="7"/>
  <c r="AQ5" i="7"/>
  <c r="AS4" i="7"/>
  <c r="AC4" i="7"/>
  <c r="AF8" i="7"/>
  <c r="AH7" i="7"/>
  <c r="AJ6" i="7"/>
  <c r="AL5" i="7"/>
  <c r="AN4" i="7"/>
  <c r="AG7" i="7"/>
  <c r="AI6" i="7"/>
  <c r="AK5" i="7"/>
  <c r="AM4" i="7"/>
  <c r="AL8" i="7"/>
  <c r="AN7" i="7"/>
  <c r="AP6" i="7"/>
  <c r="AR5" i="7"/>
  <c r="AB5" i="7"/>
  <c r="AD4" i="7"/>
  <c r="AG8" i="7"/>
  <c r="AI7" i="7"/>
  <c r="AK6" i="7"/>
  <c r="AM5" i="7"/>
  <c r="AO4" i="7"/>
  <c r="AR8" i="7"/>
  <c r="AB8" i="7"/>
  <c r="AD7" i="7"/>
  <c r="AF6" i="7"/>
  <c r="AH5" i="7"/>
  <c r="AJ4" i="7"/>
  <c r="AC7" i="7"/>
  <c r="AE6" i="7"/>
  <c r="AG5" i="7"/>
  <c r="AI4" i="7"/>
  <c r="AH8" i="7"/>
  <c r="AJ7" i="7"/>
  <c r="AL6" i="7"/>
  <c r="AN5" i="7"/>
  <c r="AP4" i="7"/>
  <c r="AS8" i="7"/>
  <c r="AC8" i="7"/>
  <c r="AE7" i="7"/>
  <c r="AG6" i="7"/>
  <c r="AI5" i="7"/>
  <c r="AK4" i="7"/>
  <c r="AN8" i="7"/>
  <c r="AP7" i="7"/>
  <c r="AR6" i="7"/>
  <c r="AB6" i="7"/>
  <c r="AD5" i="7"/>
  <c r="AF4" i="7"/>
  <c r="BP10" i="8"/>
  <c r="BP16" i="8"/>
  <c r="BN15" i="8"/>
  <c r="BN8" i="8"/>
  <c r="BO8" i="8"/>
  <c r="BM16" i="8"/>
  <c r="BM6" i="8"/>
  <c r="BN14" i="8"/>
  <c r="BN16" i="8"/>
  <c r="BP12" i="8"/>
  <c r="BP9" i="8"/>
  <c r="BM10" i="8"/>
  <c r="BN11" i="8"/>
  <c r="BP14" i="8"/>
  <c r="BP5" i="8"/>
  <c r="BO14" i="8"/>
  <c r="BN7" i="8"/>
  <c r="BO6" i="8"/>
  <c r="BP6" i="8"/>
  <c r="BN3" i="8"/>
  <c r="BP4" i="8"/>
  <c r="BM9" i="8"/>
  <c r="BO9" i="8"/>
  <c r="BO15" i="8"/>
  <c r="BP11" i="8"/>
  <c r="BO10" i="8"/>
  <c r="BN13" i="8"/>
  <c r="BO7" i="8"/>
  <c r="BP7" i="8"/>
  <c r="BM4" i="8"/>
  <c r="BO4" i="8"/>
  <c r="BP15" i="8"/>
  <c r="BM14" i="8"/>
  <c r="BM5" i="8"/>
  <c r="BO11" i="8"/>
  <c r="BN6" i="8"/>
  <c r="BO12" i="8"/>
  <c r="BM7" i="8"/>
  <c r="BN9" i="8"/>
  <c r="BP3" i="8"/>
  <c r="BM12" i="8"/>
  <c r="BO3" i="8"/>
  <c r="BO5" i="8"/>
  <c r="BP8" i="8"/>
  <c r="BM11" i="8"/>
  <c r="BN5" i="8"/>
  <c r="BM8" i="8"/>
  <c r="BN12" i="8"/>
  <c r="BO13" i="8"/>
  <c r="BM13" i="8"/>
  <c r="BP13" i="8"/>
  <c r="BM3" i="8"/>
  <c r="BN4" i="8"/>
  <c r="BO16" i="8"/>
  <c r="BM15" i="8"/>
  <c r="BN10" i="8"/>
  <c r="AD3" i="5"/>
  <c r="AE3" i="5"/>
  <c r="AH3" i="5"/>
  <c r="AG3" i="5"/>
  <c r="AK3" i="5"/>
  <c r="AI3" i="5"/>
  <c r="AO3" i="5"/>
  <c r="AL3" i="5"/>
  <c r="AM3" i="5"/>
  <c r="AF3" i="5"/>
  <c r="AJ3" i="5"/>
  <c r="AQ2" i="5"/>
  <c r="AQ3" i="5" s="1"/>
  <c r="BX23" i="8"/>
  <c r="BZ23" i="8" s="1"/>
  <c r="BT21" i="8"/>
  <c r="CC19" i="8"/>
  <c r="BX4" i="8"/>
  <c r="BZ4" i="8" s="1"/>
  <c r="BT22" i="8"/>
  <c r="BT24" i="8"/>
  <c r="BV24" i="8" s="1"/>
  <c r="CC23" i="8"/>
  <c r="BT19" i="8"/>
  <c r="BX6" i="8"/>
  <c r="BZ6" i="8" s="1"/>
  <c r="BX20" i="8"/>
  <c r="BZ20" i="8" s="1"/>
  <c r="BT17" i="8"/>
  <c r="CC21" i="8"/>
  <c r="BX22" i="8"/>
  <c r="BZ22" i="8" s="1"/>
  <c r="BT9" i="8"/>
  <c r="CC15" i="8"/>
  <c r="BX16" i="8"/>
  <c r="BZ16" i="8" s="1"/>
  <c r="BT12" i="8"/>
  <c r="BT15" i="8"/>
  <c r="BX14" i="8"/>
  <c r="BZ14" i="8" s="1"/>
  <c r="CC11" i="8"/>
  <c r="BT4" i="8"/>
  <c r="BX10" i="8"/>
  <c r="BZ10" i="8" s="1"/>
  <c r="BT6" i="8"/>
  <c r="BT16" i="8"/>
  <c r="BT18" i="8"/>
  <c r="BT14" i="8"/>
  <c r="CC18" i="8"/>
  <c r="BX15" i="8"/>
  <c r="BZ15" i="8" s="1"/>
  <c r="BT13" i="8"/>
  <c r="BT11" i="8"/>
  <c r="BT8" i="8"/>
  <c r="BT3" i="8"/>
  <c r="BT5" i="8"/>
  <c r="BT7" i="8"/>
  <c r="BT10" i="8"/>
  <c r="BX18" i="8"/>
  <c r="BZ18" i="8" s="1"/>
  <c r="BX17" i="8"/>
  <c r="BZ17" i="8" s="1"/>
  <c r="BX13" i="8"/>
  <c r="BZ13" i="8" s="1"/>
  <c r="BX8" i="8"/>
  <c r="BZ8" i="8" s="1"/>
  <c r="BX9" i="8"/>
  <c r="BZ9" i="8" s="1"/>
  <c r="CC3" i="8"/>
  <c r="BX11" i="8"/>
  <c r="BZ11" i="8" s="1"/>
  <c r="CC4" i="8"/>
  <c r="CC9" i="8"/>
  <c r="CC17" i="8"/>
  <c r="BX12" i="8"/>
  <c r="BZ12" i="8" s="1"/>
  <c r="BX7" i="8"/>
  <c r="BZ7" i="8" s="1"/>
  <c r="BX5" i="8"/>
  <c r="BZ5" i="8" s="1"/>
  <c r="BX3" i="8"/>
  <c r="BZ3" i="8" s="1"/>
  <c r="AR2" i="5"/>
  <c r="AD3" i="7"/>
  <c r="AE2" i="7"/>
  <c r="A17" i="9" l="1"/>
  <c r="BU21" i="8"/>
  <c r="BV21" i="8" s="1"/>
  <c r="BU22" i="8"/>
  <c r="BV22" i="8" s="1"/>
  <c r="BV23" i="8"/>
  <c r="BY32" i="8"/>
  <c r="BY31" i="8"/>
  <c r="BU15" i="8"/>
  <c r="BV15" i="8" s="1"/>
  <c r="BU7" i="8"/>
  <c r="BV7" i="8" s="1"/>
  <c r="BU17" i="8"/>
  <c r="BV17" i="8" s="1"/>
  <c r="BU20" i="8"/>
  <c r="BV20" i="8" s="1"/>
  <c r="BU5" i="8"/>
  <c r="BV5" i="8" s="1"/>
  <c r="BU14" i="8"/>
  <c r="BV14" i="8" s="1"/>
  <c r="BU19" i="8"/>
  <c r="BV19" i="8" s="1"/>
  <c r="BU12" i="8"/>
  <c r="BV12" i="8" s="1"/>
  <c r="BU9" i="8"/>
  <c r="BV9" i="8" s="1"/>
  <c r="BU18" i="8"/>
  <c r="BV18" i="8" s="1"/>
  <c r="BU8" i="8"/>
  <c r="BV8" i="8" s="1"/>
  <c r="BU11" i="8"/>
  <c r="BV11" i="8" s="1"/>
  <c r="BU6" i="8"/>
  <c r="BV6" i="8" s="1"/>
  <c r="BU10" i="8"/>
  <c r="BV10" i="8" s="1"/>
  <c r="BU3" i="8"/>
  <c r="BV3" i="8" s="1"/>
  <c r="BU4" i="8"/>
  <c r="BV4" i="8" s="1"/>
  <c r="BU16" i="8"/>
  <c r="BV16" i="8" s="1"/>
  <c r="BU13" i="8"/>
  <c r="BV13" i="8" s="1"/>
  <c r="CC12" i="8"/>
  <c r="CC6" i="8"/>
  <c r="CC16" i="8"/>
  <c r="CC5" i="8"/>
  <c r="CC8" i="8"/>
  <c r="CC14" i="8"/>
  <c r="CC13" i="8"/>
  <c r="CC10" i="8"/>
  <c r="CC7" i="8"/>
  <c r="AS2" i="5"/>
  <c r="AR3" i="5"/>
  <c r="AE3" i="7"/>
  <c r="AF2" i="7"/>
  <c r="A18" i="9" l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DP31" i="8"/>
  <c r="DV31" i="8"/>
  <c r="DS31" i="8" s="1"/>
  <c r="DO32" i="8"/>
  <c r="DO31" i="8"/>
  <c r="AT2" i="5"/>
  <c r="AF3" i="7"/>
  <c r="AG2" i="7"/>
  <c r="A1002" i="9" l="1"/>
  <c r="U5" i="9"/>
  <c r="DS32" i="8"/>
  <c r="EG32" i="8" s="1"/>
  <c r="EF32" i="8" s="1"/>
  <c r="EH32" i="8" s="1"/>
  <c r="EI32" i="8" s="1"/>
  <c r="EG31" i="8"/>
  <c r="EF31" i="8" s="1"/>
  <c r="EH31" i="8" s="1"/>
  <c r="EI31" i="8" s="1"/>
  <c r="DU31" i="8"/>
  <c r="DR31" i="8"/>
  <c r="EB31" i="8" s="1"/>
  <c r="DU32" i="8"/>
  <c r="DR32" i="8"/>
  <c r="EB32" i="8" s="1"/>
  <c r="EL31" i="8"/>
  <c r="EK31" i="8" s="1"/>
  <c r="DP32" i="8"/>
  <c r="DT31" i="8"/>
  <c r="ET31" i="8" s="1"/>
  <c r="AU2" i="5"/>
  <c r="AT3" i="5"/>
  <c r="AG3" i="7"/>
  <c r="AH2" i="7"/>
  <c r="Y5" i="9" l="1"/>
  <c r="W5" i="9"/>
  <c r="V5" i="9"/>
  <c r="X5" i="9"/>
  <c r="A1003" i="9"/>
  <c r="U6" i="9"/>
  <c r="DT32" i="8"/>
  <c r="ET32" i="8" s="1"/>
  <c r="EL32" i="8"/>
  <c r="EK32" i="8" s="1"/>
  <c r="EA31" i="8"/>
  <c r="EC31" i="8"/>
  <c r="ED31" i="8"/>
  <c r="EE31" i="8" s="1"/>
  <c r="EC32" i="8"/>
  <c r="EA32" i="8"/>
  <c r="ED32" i="8"/>
  <c r="EE32" i="8" s="1"/>
  <c r="EU31" i="8"/>
  <c r="EV31" i="8" s="1"/>
  <c r="ES31" i="8"/>
  <c r="AV2" i="5"/>
  <c r="AU3" i="5"/>
  <c r="AH3" i="7"/>
  <c r="AI2" i="7"/>
  <c r="Y6" i="9" l="1"/>
  <c r="W6" i="9"/>
  <c r="X6" i="9"/>
  <c r="V6" i="9"/>
  <c r="A1004" i="9"/>
  <c r="U7" i="9"/>
  <c r="ES32" i="8"/>
  <c r="EU32" i="8"/>
  <c r="EV32" i="8" s="1"/>
  <c r="AW2" i="5"/>
  <c r="AV3" i="5"/>
  <c r="AI3" i="7"/>
  <c r="CT10" i="8" s="1"/>
  <c r="AJ2" i="7"/>
  <c r="Y7" i="9" l="1"/>
  <c r="X7" i="9"/>
  <c r="W7" i="9"/>
  <c r="V7" i="9"/>
  <c r="A1005" i="9"/>
  <c r="U8" i="9"/>
  <c r="CT13" i="8"/>
  <c r="CT9" i="8"/>
  <c r="CT29" i="8"/>
  <c r="CT4" i="8"/>
  <c r="CT3" i="8"/>
  <c r="CT19" i="8"/>
  <c r="CT11" i="8"/>
  <c r="CT23" i="8"/>
  <c r="CT14" i="8"/>
  <c r="CT22" i="8"/>
  <c r="CT5" i="8"/>
  <c r="CT7" i="8"/>
  <c r="CT17" i="8"/>
  <c r="CT15" i="8"/>
  <c r="CT12" i="8"/>
  <c r="CT26" i="8"/>
  <c r="CT27" i="8"/>
  <c r="CT28" i="8"/>
  <c r="CT31" i="8"/>
  <c r="CT25" i="8"/>
  <c r="CT18" i="8"/>
  <c r="CT20" i="8"/>
  <c r="CT8" i="8"/>
  <c r="CT32" i="8"/>
  <c r="CT21" i="8"/>
  <c r="CT24" i="8"/>
  <c r="CT16" i="8"/>
  <c r="CT30" i="8"/>
  <c r="CT6" i="8"/>
  <c r="AX2" i="5"/>
  <c r="AW3" i="5"/>
  <c r="AJ3" i="7"/>
  <c r="CS28" i="8" s="1"/>
  <c r="AK2" i="7"/>
  <c r="A1006" i="9" l="1"/>
  <c r="U9" i="9"/>
  <c r="V8" i="9"/>
  <c r="Y8" i="9"/>
  <c r="W8" i="9"/>
  <c r="X8" i="9"/>
  <c r="CS18" i="8"/>
  <c r="CS25" i="8"/>
  <c r="CS31" i="8"/>
  <c r="CS7" i="8"/>
  <c r="CS6" i="8"/>
  <c r="CS30" i="8"/>
  <c r="CS20" i="8"/>
  <c r="CS15" i="8"/>
  <c r="CS17" i="8"/>
  <c r="CS24" i="8"/>
  <c r="CS22" i="8"/>
  <c r="CS32" i="8"/>
  <c r="CS19" i="8"/>
  <c r="CS5" i="8"/>
  <c r="CS27" i="8"/>
  <c r="CS4" i="8"/>
  <c r="CS26" i="8"/>
  <c r="CS29" i="8"/>
  <c r="CS13" i="8"/>
  <c r="CS14" i="8"/>
  <c r="CS16" i="8"/>
  <c r="CS8" i="8"/>
  <c r="CS9" i="8"/>
  <c r="CS10" i="8"/>
  <c r="CS11" i="8"/>
  <c r="CS12" i="8"/>
  <c r="CS23" i="8"/>
  <c r="CS3" i="8"/>
  <c r="CS21" i="8"/>
  <c r="AY2" i="5"/>
  <c r="AX3" i="5"/>
  <c r="AK3" i="7"/>
  <c r="CR12" i="8" s="1"/>
  <c r="AL2" i="7"/>
  <c r="W9" i="9" l="1"/>
  <c r="Y9" i="9"/>
  <c r="X9" i="9"/>
  <c r="V9" i="9"/>
  <c r="A1007" i="9"/>
  <c r="U10" i="9"/>
  <c r="CR15" i="8"/>
  <c r="CR4" i="8"/>
  <c r="CR21" i="8"/>
  <c r="CR16" i="8"/>
  <c r="CR14" i="8"/>
  <c r="CR5" i="8"/>
  <c r="CR30" i="8"/>
  <c r="CR28" i="8"/>
  <c r="CR18" i="8"/>
  <c r="CR23" i="8"/>
  <c r="CR31" i="8"/>
  <c r="CR22" i="8"/>
  <c r="CR32" i="8"/>
  <c r="CR3" i="8"/>
  <c r="CR11" i="8"/>
  <c r="CR25" i="8"/>
  <c r="CR20" i="8"/>
  <c r="CR26" i="8"/>
  <c r="CR29" i="8"/>
  <c r="CR6" i="8"/>
  <c r="CR9" i="8"/>
  <c r="CR27" i="8"/>
  <c r="CR17" i="8"/>
  <c r="CR8" i="8"/>
  <c r="CR24" i="8"/>
  <c r="CR7" i="8"/>
  <c r="CR10" i="8"/>
  <c r="CR19" i="8"/>
  <c r="CR13" i="8"/>
  <c r="CQ31" i="8"/>
  <c r="AZ2" i="5"/>
  <c r="AY3" i="5"/>
  <c r="AL3" i="7"/>
  <c r="CQ10" i="8" s="1"/>
  <c r="AM2" i="7"/>
  <c r="W10" i="9" l="1"/>
  <c r="V10" i="9"/>
  <c r="Y10" i="9"/>
  <c r="X10" i="9"/>
  <c r="A1008" i="9"/>
  <c r="U11" i="9"/>
  <c r="CQ21" i="8"/>
  <c r="CQ7" i="8"/>
  <c r="CQ28" i="8"/>
  <c r="CQ15" i="8"/>
  <c r="CQ29" i="8"/>
  <c r="CQ14" i="8"/>
  <c r="CQ22" i="8"/>
  <c r="CQ30" i="8"/>
  <c r="CQ27" i="8"/>
  <c r="CQ26" i="8"/>
  <c r="CQ8" i="8"/>
  <c r="CQ6" i="8"/>
  <c r="CQ23" i="8"/>
  <c r="CQ20" i="8"/>
  <c r="CQ18" i="8"/>
  <c r="CQ19" i="8"/>
  <c r="CQ3" i="8"/>
  <c r="CQ12" i="8"/>
  <c r="CQ13" i="8"/>
  <c r="CQ24" i="8"/>
  <c r="CQ5" i="8"/>
  <c r="CQ17" i="8"/>
  <c r="CQ16" i="8"/>
  <c r="CQ25" i="8"/>
  <c r="CQ4" i="8"/>
  <c r="CQ11" i="8"/>
  <c r="CQ9" i="8"/>
  <c r="CQ32" i="8"/>
  <c r="CP27" i="8"/>
  <c r="CP22" i="8"/>
  <c r="CP31" i="8"/>
  <c r="CP15" i="8"/>
  <c r="CP3" i="8"/>
  <c r="CP12" i="8"/>
  <c r="AM3" i="7"/>
  <c r="CP16" i="8" s="1"/>
  <c r="AN2" i="7"/>
  <c r="Y11" i="9" l="1"/>
  <c r="W11" i="9"/>
  <c r="V11" i="9"/>
  <c r="X11" i="9"/>
  <c r="A1009" i="9"/>
  <c r="U12" i="9"/>
  <c r="CP19" i="8"/>
  <c r="CP13" i="8"/>
  <c r="CP18" i="8"/>
  <c r="CP10" i="8"/>
  <c r="CP25" i="8"/>
  <c r="CP11" i="8"/>
  <c r="CP5" i="8"/>
  <c r="CP24" i="8"/>
  <c r="CP14" i="8"/>
  <c r="CP4" i="8"/>
  <c r="CP6" i="8"/>
  <c r="CP26" i="8"/>
  <c r="CP32" i="8"/>
  <c r="CP30" i="8"/>
  <c r="CP20" i="8"/>
  <c r="CP7" i="8"/>
  <c r="CP8" i="8"/>
  <c r="CP23" i="8"/>
  <c r="CP17" i="8"/>
  <c r="CP29" i="8"/>
  <c r="CP21" i="8"/>
  <c r="CP28" i="8"/>
  <c r="CP9" i="8"/>
  <c r="CO9" i="8"/>
  <c r="CO12" i="8"/>
  <c r="CO5" i="8"/>
  <c r="CO14" i="8"/>
  <c r="CO20" i="8"/>
  <c r="AN3" i="7"/>
  <c r="CO19" i="8" s="1"/>
  <c r="AO2" i="7"/>
  <c r="V12" i="9" l="1"/>
  <c r="X12" i="9"/>
  <c r="Y12" i="9"/>
  <c r="W12" i="9"/>
  <c r="A1010" i="9"/>
  <c r="U13" i="9"/>
  <c r="CO13" i="8"/>
  <c r="CO30" i="8"/>
  <c r="CO18" i="8"/>
  <c r="CO29" i="8"/>
  <c r="CO6" i="8"/>
  <c r="CO10" i="8"/>
  <c r="CO27" i="8"/>
  <c r="CO3" i="8"/>
  <c r="CO26" i="8"/>
  <c r="CO11" i="8"/>
  <c r="CO15" i="8"/>
  <c r="CO28" i="8"/>
  <c r="CO7" i="8"/>
  <c r="CO22" i="8"/>
  <c r="CO31" i="8"/>
  <c r="CO23" i="8"/>
  <c r="CO8" i="8"/>
  <c r="CO21" i="8"/>
  <c r="CO24" i="8"/>
  <c r="CO25" i="8"/>
  <c r="CO4" i="8"/>
  <c r="CO16" i="8"/>
  <c r="CO32" i="8"/>
  <c r="CO17" i="8"/>
  <c r="AO3" i="7"/>
  <c r="CN18" i="8" s="1"/>
  <c r="AP2" i="7"/>
  <c r="A1011" i="9" l="1"/>
  <c r="U14" i="9"/>
  <c r="W13" i="9"/>
  <c r="X13" i="9"/>
  <c r="Y13" i="9"/>
  <c r="V13" i="9"/>
  <c r="CN9" i="8"/>
  <c r="CN21" i="8"/>
  <c r="CN14" i="8"/>
  <c r="CN32" i="8"/>
  <c r="CN7" i="8"/>
  <c r="CN6" i="8"/>
  <c r="CN19" i="8"/>
  <c r="CN11" i="8"/>
  <c r="CN5" i="8"/>
  <c r="CN13" i="8"/>
  <c r="CN20" i="8"/>
  <c r="CN10" i="8"/>
  <c r="CN23" i="8"/>
  <c r="CN3" i="8"/>
  <c r="CN22" i="8"/>
  <c r="CN28" i="8"/>
  <c r="CN4" i="8"/>
  <c r="CN17" i="8"/>
  <c r="CN30" i="8"/>
  <c r="CN8" i="8"/>
  <c r="CN16" i="8"/>
  <c r="CN31" i="8"/>
  <c r="CN24" i="8"/>
  <c r="CN26" i="8"/>
  <c r="CN27" i="8"/>
  <c r="CN12" i="8"/>
  <c r="CN25" i="8"/>
  <c r="CN15" i="8"/>
  <c r="CN29" i="8"/>
  <c r="AP3" i="7"/>
  <c r="CM13" i="8" s="1"/>
  <c r="AQ2" i="7"/>
  <c r="Y14" i="9" l="1"/>
  <c r="W14" i="9"/>
  <c r="X14" i="9"/>
  <c r="V14" i="9"/>
  <c r="A1012" i="9"/>
  <c r="U15" i="9"/>
  <c r="CM7" i="8"/>
  <c r="CM23" i="8"/>
  <c r="CM8" i="8"/>
  <c r="CM11" i="8"/>
  <c r="CM30" i="8"/>
  <c r="CM9" i="8"/>
  <c r="CM19" i="8"/>
  <c r="CM14" i="8"/>
  <c r="CM29" i="8"/>
  <c r="CM16" i="8"/>
  <c r="CM24" i="8"/>
  <c r="CM17" i="8"/>
  <c r="CM15" i="8"/>
  <c r="CM25" i="8"/>
  <c r="CM32" i="8"/>
  <c r="CM27" i="8"/>
  <c r="CM6" i="8"/>
  <c r="CM10" i="8"/>
  <c r="CM22" i="8"/>
  <c r="CM20" i="8"/>
  <c r="CM31" i="8"/>
  <c r="CM21" i="8"/>
  <c r="CM5" i="8"/>
  <c r="CM3" i="8"/>
  <c r="CM4" i="8"/>
  <c r="AQ3" i="7"/>
  <c r="CL12" i="8" s="1"/>
  <c r="AR2" i="7"/>
  <c r="Y15" i="9" l="1"/>
  <c r="X15" i="9"/>
  <c r="W15" i="9"/>
  <c r="V15" i="9"/>
  <c r="A1013" i="9"/>
  <c r="U16" i="9"/>
  <c r="CL3" i="8"/>
  <c r="CL24" i="8"/>
  <c r="CL17" i="8"/>
  <c r="CL8" i="8"/>
  <c r="CL7" i="8"/>
  <c r="CL9" i="8"/>
  <c r="CL32" i="8"/>
  <c r="CL18" i="8"/>
  <c r="CL15" i="8"/>
  <c r="CL22" i="8"/>
  <c r="CL4" i="8"/>
  <c r="CL6" i="8"/>
  <c r="CL23" i="8"/>
  <c r="CL13" i="8"/>
  <c r="CL25" i="8"/>
  <c r="CL20" i="8"/>
  <c r="CL27" i="8"/>
  <c r="AR3" i="7"/>
  <c r="AS2" i="7"/>
  <c r="A1014" i="9" l="1"/>
  <c r="U17" i="9"/>
  <c r="W16" i="9"/>
  <c r="X16" i="9"/>
  <c r="Y16" i="9"/>
  <c r="V16" i="9"/>
  <c r="AT2" i="7"/>
  <c r="W17" i="9" l="1"/>
  <c r="X17" i="9"/>
  <c r="Y17" i="9"/>
  <c r="V17" i="9"/>
  <c r="A1015" i="9"/>
  <c r="U18" i="9"/>
  <c r="AT3" i="7"/>
  <c r="AU2" i="7"/>
  <c r="A1016" i="9" l="1"/>
  <c r="U19" i="9"/>
  <c r="Y18" i="9"/>
  <c r="V18" i="9"/>
  <c r="X18" i="9"/>
  <c r="W18" i="9"/>
  <c r="AU3" i="7"/>
  <c r="AV2" i="7"/>
  <c r="V19" i="9" l="1"/>
  <c r="X19" i="9"/>
  <c r="Y19" i="9"/>
  <c r="W19" i="9"/>
  <c r="A1017" i="9"/>
  <c r="U20" i="9"/>
  <c r="AV3" i="7"/>
  <c r="AW2" i="7"/>
  <c r="A1018" i="9" l="1"/>
  <c r="U21" i="9"/>
  <c r="V20" i="9"/>
  <c r="Y20" i="9"/>
  <c r="X20" i="9"/>
  <c r="W20" i="9"/>
  <c r="AW3" i="7"/>
  <c r="AX2" i="7"/>
  <c r="W21" i="9" l="1"/>
  <c r="X21" i="9"/>
  <c r="V21" i="9"/>
  <c r="Y21" i="9"/>
  <c r="A1019" i="9"/>
  <c r="U22" i="9"/>
  <c r="AX3" i="7"/>
  <c r="AY2" i="7"/>
  <c r="A1020" i="9" l="1"/>
  <c r="U23" i="9"/>
  <c r="W22" i="9"/>
  <c r="V22" i="9"/>
  <c r="X22" i="9"/>
  <c r="Y22" i="9"/>
  <c r="AY3" i="7"/>
  <c r="AZ2" i="7"/>
  <c r="X23" i="9" l="1"/>
  <c r="V23" i="9"/>
  <c r="Y23" i="9"/>
  <c r="W23" i="9"/>
  <c r="A1021" i="9"/>
  <c r="U24" i="9"/>
  <c r="CL29" i="8"/>
  <c r="CK28" i="8"/>
  <c r="CH7" i="8"/>
  <c r="CE29" i="8"/>
  <c r="CM28" i="8"/>
  <c r="CK13" i="8"/>
  <c r="CU20" i="8"/>
  <c r="CH19" i="8"/>
  <c r="CE12" i="8"/>
  <c r="CJ4" i="8"/>
  <c r="CF15" i="8"/>
  <c r="CH9" i="8"/>
  <c r="CM26" i="8"/>
  <c r="CD16" i="8"/>
  <c r="CE6" i="8"/>
  <c r="CJ9" i="8"/>
  <c r="CJ21" i="8"/>
  <c r="CD21" i="8"/>
  <c r="CD28" i="8"/>
  <c r="CJ28" i="8"/>
  <c r="CU14" i="8"/>
  <c r="CL28" i="8"/>
  <c r="CD4" i="8"/>
  <c r="CG23" i="8"/>
  <c r="CM12" i="8"/>
  <c r="CI19" i="8"/>
  <c r="CF13" i="8"/>
  <c r="CL16" i="8"/>
  <c r="CK6" i="8"/>
  <c r="CG16" i="8"/>
  <c r="CK16" i="8"/>
  <c r="CF11" i="8"/>
  <c r="CJ23" i="8"/>
  <c r="CE16" i="8"/>
  <c r="CJ16" i="8"/>
  <c r="CE31" i="8"/>
  <c r="CH31" i="8"/>
  <c r="CM18" i="8"/>
  <c r="CF12" i="8"/>
  <c r="CG11" i="8"/>
  <c r="CJ8" i="8"/>
  <c r="CE32" i="8"/>
  <c r="CD18" i="8"/>
  <c r="CE23" i="8"/>
  <c r="CK3" i="8"/>
  <c r="CU12" i="8"/>
  <c r="CH25" i="8"/>
  <c r="CE9" i="8"/>
  <c r="CD6" i="8"/>
  <c r="CG25" i="8"/>
  <c r="CE27" i="8"/>
  <c r="CU10" i="8"/>
  <c r="CJ18" i="8"/>
  <c r="CE8" i="8"/>
  <c r="CF28" i="8"/>
  <c r="CK26" i="8"/>
  <c r="CE30" i="8"/>
  <c r="CE19" i="8"/>
  <c r="CL11" i="8"/>
  <c r="CD3" i="8"/>
  <c r="CG26" i="8"/>
  <c r="CG20" i="8"/>
  <c r="CJ30" i="8"/>
  <c r="CJ25" i="8"/>
  <c r="CF17" i="8"/>
  <c r="CE26" i="8"/>
  <c r="CK19" i="8"/>
  <c r="CL5" i="8"/>
  <c r="CK32" i="8"/>
  <c r="CU21" i="8"/>
  <c r="CJ24" i="8"/>
  <c r="CU8" i="8"/>
  <c r="CE18" i="8"/>
  <c r="CF9" i="8"/>
  <c r="CJ29" i="8"/>
  <c r="CJ5" i="8"/>
  <c r="CI17" i="8"/>
  <c r="CG28" i="8"/>
  <c r="CI26" i="8"/>
  <c r="CF20" i="8"/>
  <c r="CG30" i="8"/>
  <c r="CH12" i="8"/>
  <c r="CU31" i="8"/>
  <c r="CG12" i="8"/>
  <c r="CD24" i="8"/>
  <c r="CK12" i="8"/>
  <c r="CH22" i="8"/>
  <c r="CI14" i="8"/>
  <c r="CH23" i="8"/>
  <c r="CU19" i="8"/>
  <c r="CF19" i="8"/>
  <c r="CF31" i="8"/>
  <c r="CK23" i="8"/>
  <c r="CE4" i="8"/>
  <c r="CK31" i="8"/>
  <c r="CK10" i="8"/>
  <c r="CH11" i="8"/>
  <c r="CI18" i="8"/>
  <c r="CL31" i="8"/>
  <c r="CK27" i="8"/>
  <c r="CI31" i="8"/>
  <c r="CG17" i="8"/>
  <c r="CG18" i="8"/>
  <c r="CU26" i="8"/>
  <c r="CJ26" i="8"/>
  <c r="CU11" i="8"/>
  <c r="CF5" i="8"/>
  <c r="CI22" i="8"/>
  <c r="CI15" i="8"/>
  <c r="CD29" i="8"/>
  <c r="CD8" i="8"/>
  <c r="CI8" i="8"/>
  <c r="CE20" i="8"/>
  <c r="CL30" i="8"/>
  <c r="CL10" i="8"/>
  <c r="CJ19" i="8"/>
  <c r="CE13" i="8"/>
  <c r="CG29" i="8"/>
  <c r="CU4" i="8"/>
  <c r="CD13" i="8"/>
  <c r="CH15" i="8"/>
  <c r="CH29" i="8"/>
  <c r="CJ22" i="8"/>
  <c r="CI25" i="8"/>
  <c r="CL19" i="8"/>
  <c r="CH13" i="8"/>
  <c r="CK5" i="8"/>
  <c r="CK15" i="8"/>
  <c r="CI3" i="8"/>
  <c r="CG24" i="8"/>
  <c r="CI21" i="8"/>
  <c r="CD32" i="8"/>
  <c r="CG31" i="8"/>
  <c r="CJ15" i="8"/>
  <c r="CF27" i="8"/>
  <c r="CF6" i="8"/>
  <c r="CD22" i="8"/>
  <c r="CF8" i="8"/>
  <c r="CF25" i="8"/>
  <c r="CE3" i="8"/>
  <c r="CH6" i="8"/>
  <c r="CK29" i="8"/>
  <c r="CU32" i="8"/>
  <c r="CI20" i="8"/>
  <c r="CU22" i="8"/>
  <c r="CD17" i="8"/>
  <c r="CU28" i="8"/>
  <c r="CF26" i="8"/>
  <c r="CD20" i="8"/>
  <c r="CD7" i="8"/>
  <c r="CU17" i="8"/>
  <c r="CG32" i="8"/>
  <c r="CH30" i="8"/>
  <c r="CL21" i="8"/>
  <c r="CF22" i="8"/>
  <c r="CL26" i="8"/>
  <c r="CU3" i="8"/>
  <c r="CE11" i="8"/>
  <c r="CI30" i="8"/>
  <c r="CF4" i="8"/>
  <c r="CG3" i="8"/>
  <c r="CH10" i="8"/>
  <c r="CU6" i="8"/>
  <c r="CH24" i="8"/>
  <c r="CL14" i="8"/>
  <c r="CU29" i="8"/>
  <c r="CE14" i="8"/>
  <c r="CH28" i="8"/>
  <c r="CU13" i="8"/>
  <c r="CU15" i="8"/>
  <c r="CF24" i="8"/>
  <c r="CI6" i="8"/>
  <c r="CH21" i="8"/>
  <c r="CD5" i="8"/>
  <c r="CE5" i="8"/>
  <c r="CG21" i="8"/>
  <c r="CK8" i="8"/>
  <c r="CU9" i="8"/>
  <c r="CE17" i="8"/>
  <c r="CF18" i="8"/>
  <c r="CI28" i="8"/>
  <c r="CG10" i="8"/>
  <c r="CG8" i="8"/>
  <c r="CD11" i="8"/>
  <c r="CI13" i="8"/>
  <c r="CH8" i="8"/>
  <c r="CH27" i="8"/>
  <c r="CJ7" i="8"/>
  <c r="CE7" i="8"/>
  <c r="CG5" i="8"/>
  <c r="CD19" i="8"/>
  <c r="CG22" i="8"/>
  <c r="CH16" i="8"/>
  <c r="CG27" i="8"/>
  <c r="CJ6" i="8"/>
  <c r="CK21" i="8"/>
  <c r="CI32" i="8"/>
  <c r="CI5" i="8"/>
  <c r="CJ3" i="8"/>
  <c r="CK14" i="8"/>
  <c r="CK25" i="8"/>
  <c r="CH20" i="8"/>
  <c r="CG14" i="8"/>
  <c r="CF16" i="8"/>
  <c r="CD12" i="8"/>
  <c r="CF23" i="8"/>
  <c r="CE22" i="8"/>
  <c r="CJ20" i="8"/>
  <c r="CE15" i="8"/>
  <c r="CK24" i="8"/>
  <c r="CK17" i="8"/>
  <c r="CU18" i="8"/>
  <c r="CE10" i="8"/>
  <c r="CK11" i="8"/>
  <c r="CI4" i="8"/>
  <c r="CJ12" i="8"/>
  <c r="CK7" i="8"/>
  <c r="CJ32" i="8"/>
  <c r="CI12" i="8"/>
  <c r="CG15" i="8"/>
  <c r="CD27" i="8"/>
  <c r="CG7" i="8"/>
  <c r="CG13" i="8"/>
  <c r="CD14" i="8"/>
  <c r="CD23" i="8"/>
  <c r="CF32" i="8"/>
  <c r="CE25" i="8"/>
  <c r="CK4" i="8"/>
  <c r="CD26" i="8"/>
  <c r="CI7" i="8"/>
  <c r="CK22" i="8"/>
  <c r="CF10" i="8"/>
  <c r="CI10" i="8"/>
  <c r="CH4" i="8"/>
  <c r="CH32" i="8"/>
  <c r="CU23" i="8"/>
  <c r="CJ31" i="8"/>
  <c r="CK30" i="8"/>
  <c r="CH5" i="8"/>
  <c r="CU16" i="8"/>
  <c r="CG9" i="8"/>
  <c r="CJ14" i="8"/>
  <c r="CK20" i="8"/>
  <c r="CG6" i="8"/>
  <c r="CI11" i="8"/>
  <c r="CD25" i="8"/>
  <c r="CE28" i="8"/>
  <c r="CH18" i="8"/>
  <c r="CD9" i="8"/>
  <c r="CU24" i="8"/>
  <c r="CU25" i="8"/>
  <c r="CE24" i="8"/>
  <c r="CK18" i="8"/>
  <c r="CI27" i="8"/>
  <c r="CK9" i="8"/>
  <c r="CF3" i="8"/>
  <c r="CD10" i="8"/>
  <c r="CD31" i="8"/>
  <c r="CU5" i="8"/>
  <c r="CH14" i="8"/>
  <c r="CI23" i="8"/>
  <c r="CJ13" i="8"/>
  <c r="CF14" i="8"/>
  <c r="CI29" i="8"/>
  <c r="CJ17" i="8"/>
  <c r="CJ27" i="8"/>
  <c r="CD30" i="8"/>
  <c r="CG4" i="8"/>
  <c r="CF29" i="8"/>
  <c r="CH26" i="8"/>
  <c r="CI9" i="8"/>
  <c r="CF30" i="8"/>
  <c r="CF7" i="8"/>
  <c r="CG19" i="8"/>
  <c r="CU27" i="8"/>
  <c r="CJ11" i="8"/>
  <c r="CI16" i="8"/>
  <c r="CU7" i="8"/>
  <c r="CI24" i="8"/>
  <c r="CH17" i="8"/>
  <c r="CE21" i="8"/>
  <c r="CD15" i="8"/>
  <c r="CJ10" i="8"/>
  <c r="CH3" i="8"/>
  <c r="CF21" i="8"/>
  <c r="CU30" i="8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S25" i="5"/>
  <c r="W25" i="8" s="1"/>
  <c r="BL25" i="8" s="1"/>
  <c r="R25" i="5"/>
  <c r="V25" i="8" s="1"/>
  <c r="BK25" i="8" s="1"/>
  <c r="Q25" i="5"/>
  <c r="U25" i="8" s="1"/>
  <c r="BJ25" i="8" s="1"/>
  <c r="P25" i="5"/>
  <c r="T25" i="8" s="1"/>
  <c r="BI25" i="8" s="1"/>
  <c r="O25" i="5"/>
  <c r="S25" i="8" s="1"/>
  <c r="BH25" i="8" s="1"/>
  <c r="N25" i="5"/>
  <c r="R25" i="8" s="1"/>
  <c r="BG25" i="8" s="1"/>
  <c r="M25" i="5"/>
  <c r="Q25" i="8" s="1"/>
  <c r="BF25" i="8" s="1"/>
  <c r="L25" i="5"/>
  <c r="P25" i="8" s="1"/>
  <c r="BE25" i="8" s="1"/>
  <c r="K25" i="5"/>
  <c r="O25" i="8" s="1"/>
  <c r="BD25" i="8" s="1"/>
  <c r="J25" i="5"/>
  <c r="N25" i="8" s="1"/>
  <c r="BC25" i="8" s="1"/>
  <c r="I25" i="5"/>
  <c r="M25" i="8" s="1"/>
  <c r="BB25" i="8" s="1"/>
  <c r="H25" i="5"/>
  <c r="L25" i="8" s="1"/>
  <c r="BA25" i="8" s="1"/>
  <c r="G25" i="5"/>
  <c r="AZ25" i="8" s="1"/>
  <c r="F25" i="5"/>
  <c r="S24" i="5"/>
  <c r="R24" i="5"/>
  <c r="Q24" i="5"/>
  <c r="P24" i="5"/>
  <c r="O24" i="5"/>
  <c r="N24" i="5"/>
  <c r="R23" i="8" s="1"/>
  <c r="BG23" i="8" s="1"/>
  <c r="M24" i="5"/>
  <c r="L24" i="5"/>
  <c r="K24" i="5"/>
  <c r="J24" i="5"/>
  <c r="N23" i="8" s="1"/>
  <c r="BC23" i="8" s="1"/>
  <c r="I24" i="5"/>
  <c r="H24" i="5"/>
  <c r="G24" i="5"/>
  <c r="AZ23" i="8" s="1"/>
  <c r="F24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S22" i="5"/>
  <c r="W30" i="8" s="1"/>
  <c r="BL30" i="8" s="1"/>
  <c r="R22" i="5"/>
  <c r="V30" i="8" s="1"/>
  <c r="BK30" i="8" s="1"/>
  <c r="Q22" i="5"/>
  <c r="U30" i="8" s="1"/>
  <c r="BJ30" i="8" s="1"/>
  <c r="P22" i="5"/>
  <c r="T30" i="8" s="1"/>
  <c r="BI30" i="8" s="1"/>
  <c r="O22" i="5"/>
  <c r="S30" i="8" s="1"/>
  <c r="BH30" i="8" s="1"/>
  <c r="N22" i="5"/>
  <c r="R30" i="8" s="1"/>
  <c r="BG30" i="8" s="1"/>
  <c r="M22" i="5"/>
  <c r="Q30" i="8" s="1"/>
  <c r="BF30" i="8" s="1"/>
  <c r="L22" i="5"/>
  <c r="P30" i="8" s="1"/>
  <c r="BE30" i="8" s="1"/>
  <c r="K22" i="5"/>
  <c r="O30" i="8" s="1"/>
  <c r="BD30" i="8" s="1"/>
  <c r="J22" i="5"/>
  <c r="N30" i="8" s="1"/>
  <c r="BC30" i="8" s="1"/>
  <c r="I22" i="5"/>
  <c r="M30" i="8" s="1"/>
  <c r="BB30" i="8" s="1"/>
  <c r="H22" i="5"/>
  <c r="L30" i="8" s="1"/>
  <c r="BA30" i="8" s="1"/>
  <c r="G22" i="5"/>
  <c r="AZ30" i="8" s="1"/>
  <c r="F22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S15" i="5"/>
  <c r="W26" i="8" s="1"/>
  <c r="BL26" i="8" s="1"/>
  <c r="R15" i="5"/>
  <c r="V26" i="8" s="1"/>
  <c r="BK26" i="8" s="1"/>
  <c r="Q15" i="5"/>
  <c r="U26" i="8" s="1"/>
  <c r="BJ26" i="8" s="1"/>
  <c r="P15" i="5"/>
  <c r="T26" i="8" s="1"/>
  <c r="BI26" i="8" s="1"/>
  <c r="O15" i="5"/>
  <c r="S26" i="8" s="1"/>
  <c r="BH26" i="8" s="1"/>
  <c r="N15" i="5"/>
  <c r="R26" i="8" s="1"/>
  <c r="BG26" i="8" s="1"/>
  <c r="M15" i="5"/>
  <c r="Q26" i="8" s="1"/>
  <c r="BF26" i="8" s="1"/>
  <c r="L15" i="5"/>
  <c r="P26" i="8" s="1"/>
  <c r="BE26" i="8" s="1"/>
  <c r="K15" i="5"/>
  <c r="O26" i="8" s="1"/>
  <c r="BD26" i="8" s="1"/>
  <c r="J15" i="5"/>
  <c r="N26" i="8" s="1"/>
  <c r="BC26" i="8" s="1"/>
  <c r="I15" i="5"/>
  <c r="M26" i="8" s="1"/>
  <c r="BB26" i="8" s="1"/>
  <c r="H15" i="5"/>
  <c r="L26" i="8" s="1"/>
  <c r="BA26" i="8" s="1"/>
  <c r="G15" i="5"/>
  <c r="AZ26" i="8" s="1"/>
  <c r="F15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S11" i="5"/>
  <c r="W27" i="8" s="1"/>
  <c r="BL27" i="8" s="1"/>
  <c r="R11" i="5"/>
  <c r="V27" i="8" s="1"/>
  <c r="BK27" i="8" s="1"/>
  <c r="Q11" i="5"/>
  <c r="U27" i="8" s="1"/>
  <c r="BJ27" i="8" s="1"/>
  <c r="P11" i="5"/>
  <c r="T27" i="8" s="1"/>
  <c r="BI27" i="8" s="1"/>
  <c r="O11" i="5"/>
  <c r="S27" i="8" s="1"/>
  <c r="BH27" i="8" s="1"/>
  <c r="N11" i="5"/>
  <c r="R27" i="8" s="1"/>
  <c r="BG27" i="8" s="1"/>
  <c r="M11" i="5"/>
  <c r="Q27" i="8" s="1"/>
  <c r="BF27" i="8" s="1"/>
  <c r="L11" i="5"/>
  <c r="P27" i="8" s="1"/>
  <c r="BE27" i="8" s="1"/>
  <c r="K11" i="5"/>
  <c r="O27" i="8" s="1"/>
  <c r="BD27" i="8" s="1"/>
  <c r="J11" i="5"/>
  <c r="N27" i="8" s="1"/>
  <c r="BC27" i="8" s="1"/>
  <c r="I11" i="5"/>
  <c r="M27" i="8" s="1"/>
  <c r="BB27" i="8" s="1"/>
  <c r="H11" i="5"/>
  <c r="L27" i="8" s="1"/>
  <c r="BA27" i="8" s="1"/>
  <c r="G11" i="5"/>
  <c r="AZ27" i="8" s="1"/>
  <c r="F11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S9" i="5"/>
  <c r="W29" i="8" s="1"/>
  <c r="BL29" i="8" s="1"/>
  <c r="R9" i="5"/>
  <c r="V29" i="8" s="1"/>
  <c r="BK29" i="8" s="1"/>
  <c r="Q9" i="5"/>
  <c r="U29" i="8" s="1"/>
  <c r="BJ29" i="8" s="1"/>
  <c r="P9" i="5"/>
  <c r="T29" i="8" s="1"/>
  <c r="BI29" i="8" s="1"/>
  <c r="O9" i="5"/>
  <c r="S29" i="8" s="1"/>
  <c r="BH29" i="8" s="1"/>
  <c r="N9" i="5"/>
  <c r="R29" i="8" s="1"/>
  <c r="BG29" i="8" s="1"/>
  <c r="M9" i="5"/>
  <c r="Q29" i="8" s="1"/>
  <c r="BF29" i="8" s="1"/>
  <c r="L9" i="5"/>
  <c r="P29" i="8" s="1"/>
  <c r="BE29" i="8" s="1"/>
  <c r="K9" i="5"/>
  <c r="O29" i="8" s="1"/>
  <c r="BD29" i="8" s="1"/>
  <c r="J9" i="5"/>
  <c r="N29" i="8" s="1"/>
  <c r="BC29" i="8" s="1"/>
  <c r="I9" i="5"/>
  <c r="M29" i="8" s="1"/>
  <c r="BB29" i="8" s="1"/>
  <c r="H9" i="5"/>
  <c r="L29" i="8" s="1"/>
  <c r="BA29" i="8" s="1"/>
  <c r="G9" i="5"/>
  <c r="AZ29" i="8" s="1"/>
  <c r="F9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S6" i="5"/>
  <c r="R6" i="5"/>
  <c r="Q6" i="5"/>
  <c r="P6" i="5"/>
  <c r="T28" i="8" s="1"/>
  <c r="BI28" i="8" s="1"/>
  <c r="O6" i="5"/>
  <c r="N6" i="5"/>
  <c r="M6" i="5"/>
  <c r="Q28" i="8" s="1"/>
  <c r="BF28" i="8" s="1"/>
  <c r="L6" i="5"/>
  <c r="K6" i="5"/>
  <c r="J6" i="5"/>
  <c r="I6" i="5"/>
  <c r="M28" i="8" s="1"/>
  <c r="BB28" i="8" s="1"/>
  <c r="H6" i="5"/>
  <c r="G6" i="5"/>
  <c r="F6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S4" i="5"/>
  <c r="R4" i="5"/>
  <c r="Q4" i="5"/>
  <c r="P4" i="5"/>
  <c r="O4" i="5"/>
  <c r="N4" i="5"/>
  <c r="M4" i="5"/>
  <c r="L4" i="5"/>
  <c r="K4" i="5"/>
  <c r="J4" i="5"/>
  <c r="I4" i="5"/>
  <c r="H4" i="5"/>
  <c r="G4" i="5"/>
  <c r="K18" i="8" s="1"/>
  <c r="F4" i="5"/>
  <c r="S3" i="5"/>
  <c r="R3" i="5"/>
  <c r="Q3" i="5"/>
  <c r="P3" i="5"/>
  <c r="O3" i="5"/>
  <c r="N3" i="5"/>
  <c r="M3" i="5"/>
  <c r="L3" i="5"/>
  <c r="K3" i="5"/>
  <c r="J3" i="5"/>
  <c r="I3" i="5"/>
  <c r="H3" i="5"/>
  <c r="G3" i="5"/>
  <c r="K22" i="8" s="1"/>
  <c r="F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" i="5"/>
  <c r="V24" i="9" l="1"/>
  <c r="Y24" i="9"/>
  <c r="X24" i="9"/>
  <c r="W24" i="9"/>
  <c r="A1022" i="9"/>
  <c r="U25" i="9"/>
  <c r="K17" i="8"/>
  <c r="K19" i="8"/>
  <c r="AZ19" i="8" s="1"/>
  <c r="K21" i="8"/>
  <c r="K20" i="8"/>
  <c r="AZ20" i="8" s="1"/>
  <c r="K15" i="8"/>
  <c r="AZ15" i="8" s="1"/>
  <c r="K16" i="8"/>
  <c r="AZ16" i="8" s="1"/>
  <c r="K14" i="8"/>
  <c r="AZ14" i="8" s="1"/>
  <c r="T23" i="8"/>
  <c r="BI23" i="8" s="1"/>
  <c r="M23" i="8"/>
  <c r="BB23" i="8" s="1"/>
  <c r="Q23" i="8"/>
  <c r="BF23" i="8" s="1"/>
  <c r="U23" i="8"/>
  <c r="BJ23" i="8" s="1"/>
  <c r="BR30" i="8"/>
  <c r="BR26" i="8"/>
  <c r="BR28" i="8"/>
  <c r="BR25" i="8"/>
  <c r="BR29" i="8"/>
  <c r="P11" i="8"/>
  <c r="BE11" i="8" s="1"/>
  <c r="S11" i="8"/>
  <c r="BH11" i="8" s="1"/>
  <c r="W11" i="8"/>
  <c r="BL11" i="8" s="1"/>
  <c r="AB4" i="5" a="1"/>
  <c r="AB4" i="5" s="1"/>
  <c r="P8" i="8"/>
  <c r="BE8" i="8" s="1"/>
  <c r="S8" i="8"/>
  <c r="BH8" i="8" s="1"/>
  <c r="W8" i="8"/>
  <c r="BL8" i="8" s="1"/>
  <c r="P15" i="8"/>
  <c r="BE15" i="8" s="1"/>
  <c r="S15" i="8"/>
  <c r="BH15" i="8" s="1"/>
  <c r="W15" i="8"/>
  <c r="BL15" i="8" s="1"/>
  <c r="AZ18" i="8"/>
  <c r="N18" i="8"/>
  <c r="BC18" i="8" s="1"/>
  <c r="R18" i="8"/>
  <c r="BG18" i="8" s="1"/>
  <c r="U18" i="8"/>
  <c r="BJ18" i="8" s="1"/>
  <c r="L17" i="8"/>
  <c r="BA17" i="8" s="1"/>
  <c r="L28" i="8"/>
  <c r="BA28" i="8" s="1"/>
  <c r="O17" i="8"/>
  <c r="BD17" i="8" s="1"/>
  <c r="O28" i="8"/>
  <c r="BD28" i="8" s="1"/>
  <c r="V17" i="8"/>
  <c r="BK17" i="8" s="1"/>
  <c r="V28" i="8"/>
  <c r="BK28" i="8" s="1"/>
  <c r="S17" i="8"/>
  <c r="BH17" i="8" s="1"/>
  <c r="S28" i="8"/>
  <c r="BH28" i="8" s="1"/>
  <c r="L23" i="8"/>
  <c r="BA23" i="8" s="1"/>
  <c r="O23" i="8"/>
  <c r="BD23" i="8" s="1"/>
  <c r="V23" i="8"/>
  <c r="BK23" i="8" s="1"/>
  <c r="P17" i="8"/>
  <c r="BE17" i="8" s="1"/>
  <c r="P28" i="8"/>
  <c r="BE28" i="8" s="1"/>
  <c r="W17" i="8"/>
  <c r="BL17" i="8" s="1"/>
  <c r="W28" i="8"/>
  <c r="BL28" i="8" s="1"/>
  <c r="M24" i="8"/>
  <c r="BB24" i="8" s="1"/>
  <c r="Q24" i="8"/>
  <c r="BF24" i="8" s="1"/>
  <c r="T24" i="8"/>
  <c r="BI24" i="8" s="1"/>
  <c r="AZ17" i="8"/>
  <c r="AZ28" i="8"/>
  <c r="N17" i="8"/>
  <c r="BC17" i="8" s="1"/>
  <c r="N28" i="8"/>
  <c r="BC28" i="8" s="1"/>
  <c r="R17" i="8"/>
  <c r="BG17" i="8" s="1"/>
  <c r="R28" i="8"/>
  <c r="BG28" i="8" s="1"/>
  <c r="U17" i="8"/>
  <c r="BJ17" i="8" s="1"/>
  <c r="U28" i="8"/>
  <c r="BJ28" i="8" s="1"/>
  <c r="AZ21" i="8"/>
  <c r="N21" i="8"/>
  <c r="BC21" i="8" s="1"/>
  <c r="R21" i="8"/>
  <c r="BG21" i="8" s="1"/>
  <c r="U21" i="8"/>
  <c r="BJ21" i="8" s="1"/>
  <c r="P23" i="8"/>
  <c r="BE23" i="8" s="1"/>
  <c r="S23" i="8"/>
  <c r="BH23" i="8" s="1"/>
  <c r="W23" i="8"/>
  <c r="BL23" i="8" s="1"/>
  <c r="M22" i="8"/>
  <c r="BB22" i="8" s="1"/>
  <c r="T22" i="8"/>
  <c r="BI22" i="8" s="1"/>
  <c r="M8" i="8"/>
  <c r="BB8" i="8" s="1"/>
  <c r="Q8" i="8"/>
  <c r="BF8" i="8" s="1"/>
  <c r="T8" i="8"/>
  <c r="BI8" i="8" s="1"/>
  <c r="N20" i="8"/>
  <c r="BC20" i="8" s="1"/>
  <c r="R20" i="8"/>
  <c r="BG20" i="8" s="1"/>
  <c r="U20" i="8"/>
  <c r="BJ20" i="8" s="1"/>
  <c r="M11" i="8"/>
  <c r="BB11" i="8" s="1"/>
  <c r="Q11" i="8"/>
  <c r="BF11" i="8" s="1"/>
  <c r="T11" i="8"/>
  <c r="BI11" i="8" s="1"/>
  <c r="AZ22" i="8"/>
  <c r="N22" i="8"/>
  <c r="BC22" i="8" s="1"/>
  <c r="R22" i="8"/>
  <c r="BG22" i="8" s="1"/>
  <c r="U22" i="8"/>
  <c r="BJ22" i="8" s="1"/>
  <c r="Q20" i="8"/>
  <c r="BF20" i="8" s="1"/>
  <c r="Q22" i="8"/>
  <c r="BF22" i="8" s="1"/>
  <c r="M17" i="8"/>
  <c r="BB17" i="8" s="1"/>
  <c r="Q17" i="8"/>
  <c r="BF17" i="8" s="1"/>
  <c r="T17" i="8"/>
  <c r="BI17" i="8" s="1"/>
  <c r="L20" i="8"/>
  <c r="BA20" i="8" s="1"/>
  <c r="O20" i="8"/>
  <c r="BD20" i="8" s="1"/>
  <c r="V20" i="8"/>
  <c r="BK20" i="8" s="1"/>
  <c r="L22" i="8"/>
  <c r="BA22" i="8" s="1"/>
  <c r="O22" i="8"/>
  <c r="BD22" i="8" s="1"/>
  <c r="V22" i="8"/>
  <c r="BK22" i="8" s="1"/>
  <c r="M20" i="8"/>
  <c r="BB20" i="8" s="1"/>
  <c r="T20" i="8"/>
  <c r="BI20" i="8" s="1"/>
  <c r="P20" i="8"/>
  <c r="BE20" i="8" s="1"/>
  <c r="S20" i="8"/>
  <c r="BH20" i="8" s="1"/>
  <c r="W20" i="8"/>
  <c r="BL20" i="8" s="1"/>
  <c r="P22" i="8"/>
  <c r="BE22" i="8" s="1"/>
  <c r="S22" i="8"/>
  <c r="BH22" i="8" s="1"/>
  <c r="W22" i="8"/>
  <c r="BL22" i="8" s="1"/>
  <c r="S16" i="8"/>
  <c r="BH16" i="8" s="1"/>
  <c r="S19" i="8"/>
  <c r="BH19" i="8" s="1"/>
  <c r="AZ24" i="8"/>
  <c r="U14" i="8"/>
  <c r="BJ14" i="8" s="1"/>
  <c r="U24" i="8"/>
  <c r="BJ24" i="8" s="1"/>
  <c r="T16" i="8"/>
  <c r="BI16" i="8" s="1"/>
  <c r="T19" i="8"/>
  <c r="BI19" i="8" s="1"/>
  <c r="M15" i="8"/>
  <c r="BB15" i="8" s="1"/>
  <c r="T15" i="8"/>
  <c r="BI15" i="8" s="1"/>
  <c r="L14" i="8"/>
  <c r="BA14" i="8" s="1"/>
  <c r="L24" i="8"/>
  <c r="BA24" i="8" s="1"/>
  <c r="O14" i="8"/>
  <c r="BD14" i="8" s="1"/>
  <c r="O24" i="8"/>
  <c r="BD24" i="8" s="1"/>
  <c r="V14" i="8"/>
  <c r="BK14" i="8" s="1"/>
  <c r="V24" i="8"/>
  <c r="BK24" i="8" s="1"/>
  <c r="P5" i="8"/>
  <c r="BE5" i="8" s="1"/>
  <c r="P21" i="8"/>
  <c r="BE21" i="8" s="1"/>
  <c r="S5" i="8"/>
  <c r="BH5" i="8" s="1"/>
  <c r="S21" i="8"/>
  <c r="BH21" i="8" s="1"/>
  <c r="W5" i="8"/>
  <c r="BL5" i="8" s="1"/>
  <c r="W21" i="8"/>
  <c r="BL21" i="8" s="1"/>
  <c r="N16" i="8"/>
  <c r="BC16" i="8" s="1"/>
  <c r="N19" i="8"/>
  <c r="BC19" i="8" s="1"/>
  <c r="R16" i="8"/>
  <c r="BG16" i="8" s="1"/>
  <c r="R19" i="8"/>
  <c r="BG19" i="8" s="1"/>
  <c r="U16" i="8"/>
  <c r="BJ16" i="8" s="1"/>
  <c r="U19" i="8"/>
  <c r="BJ19" i="8" s="1"/>
  <c r="P18" i="8"/>
  <c r="BE18" i="8" s="1"/>
  <c r="S18" i="8"/>
  <c r="BH18" i="8" s="1"/>
  <c r="W18" i="8"/>
  <c r="BL18" i="8" s="1"/>
  <c r="N15" i="8"/>
  <c r="BC15" i="8" s="1"/>
  <c r="R15" i="8"/>
  <c r="BG15" i="8" s="1"/>
  <c r="U15" i="8"/>
  <c r="BJ15" i="8" s="1"/>
  <c r="W16" i="8"/>
  <c r="BL16" i="8" s="1"/>
  <c r="W19" i="8"/>
  <c r="BL19" i="8" s="1"/>
  <c r="N14" i="8"/>
  <c r="BC14" i="8" s="1"/>
  <c r="N24" i="8"/>
  <c r="BC24" i="8" s="1"/>
  <c r="R14" i="8"/>
  <c r="BG14" i="8" s="1"/>
  <c r="R24" i="8"/>
  <c r="BG24" i="8" s="1"/>
  <c r="L5" i="8"/>
  <c r="BA5" i="8" s="1"/>
  <c r="L21" i="8"/>
  <c r="BA21" i="8" s="1"/>
  <c r="O5" i="8"/>
  <c r="BD5" i="8" s="1"/>
  <c r="O21" i="8"/>
  <c r="BD21" i="8" s="1"/>
  <c r="V5" i="8"/>
  <c r="BK5" i="8" s="1"/>
  <c r="V21" i="8"/>
  <c r="BK21" i="8" s="1"/>
  <c r="M16" i="8"/>
  <c r="BB16" i="8" s="1"/>
  <c r="M19" i="8"/>
  <c r="BB19" i="8" s="1"/>
  <c r="Q16" i="8"/>
  <c r="BF16" i="8" s="1"/>
  <c r="Q19" i="8"/>
  <c r="BF19" i="8" s="1"/>
  <c r="L18" i="8"/>
  <c r="BA18" i="8" s="1"/>
  <c r="O18" i="8"/>
  <c r="BD18" i="8" s="1"/>
  <c r="V18" i="8"/>
  <c r="BK18" i="8" s="1"/>
  <c r="Q15" i="8"/>
  <c r="BF15" i="8" s="1"/>
  <c r="P14" i="8"/>
  <c r="BE14" i="8" s="1"/>
  <c r="P24" i="8"/>
  <c r="BE24" i="8" s="1"/>
  <c r="S14" i="8"/>
  <c r="BH14" i="8" s="1"/>
  <c r="S24" i="8"/>
  <c r="BH24" i="8" s="1"/>
  <c r="W14" i="8"/>
  <c r="BL14" i="8" s="1"/>
  <c r="W24" i="8"/>
  <c r="BL24" i="8" s="1"/>
  <c r="M5" i="8"/>
  <c r="BB5" i="8" s="1"/>
  <c r="M21" i="8"/>
  <c r="BB21" i="8" s="1"/>
  <c r="Q5" i="8"/>
  <c r="BF5" i="8" s="1"/>
  <c r="Q21" i="8"/>
  <c r="BF21" i="8" s="1"/>
  <c r="T5" i="8"/>
  <c r="BI5" i="8" s="1"/>
  <c r="T21" i="8"/>
  <c r="BI21" i="8" s="1"/>
  <c r="L16" i="8"/>
  <c r="BA16" i="8" s="1"/>
  <c r="L19" i="8"/>
  <c r="BA19" i="8" s="1"/>
  <c r="O16" i="8"/>
  <c r="BD16" i="8" s="1"/>
  <c r="O19" i="8"/>
  <c r="BD19" i="8" s="1"/>
  <c r="V16" i="8"/>
  <c r="BK16" i="8" s="1"/>
  <c r="V19" i="8"/>
  <c r="BK19" i="8" s="1"/>
  <c r="M18" i="8"/>
  <c r="BB18" i="8" s="1"/>
  <c r="Q18" i="8"/>
  <c r="BF18" i="8" s="1"/>
  <c r="T18" i="8"/>
  <c r="BI18" i="8" s="1"/>
  <c r="L15" i="8"/>
  <c r="BA15" i="8" s="1"/>
  <c r="O15" i="8"/>
  <c r="BD15" i="8" s="1"/>
  <c r="V15" i="8"/>
  <c r="BK15" i="8" s="1"/>
  <c r="K11" i="8"/>
  <c r="AZ11" i="8" s="1"/>
  <c r="N11" i="8"/>
  <c r="BC11" i="8" s="1"/>
  <c r="R11" i="8"/>
  <c r="BG11" i="8" s="1"/>
  <c r="U11" i="8"/>
  <c r="BJ11" i="8" s="1"/>
  <c r="P16" i="8"/>
  <c r="BE16" i="8" s="1"/>
  <c r="P19" i="8"/>
  <c r="BE19" i="8" s="1"/>
  <c r="L8" i="8"/>
  <c r="BA8" i="8" s="1"/>
  <c r="O8" i="8"/>
  <c r="BD8" i="8" s="1"/>
  <c r="V8" i="8"/>
  <c r="BK8" i="8" s="1"/>
  <c r="K8" i="8"/>
  <c r="AZ8" i="8" s="1"/>
  <c r="N8" i="8"/>
  <c r="BC8" i="8" s="1"/>
  <c r="R8" i="8"/>
  <c r="BG8" i="8" s="1"/>
  <c r="U8" i="8"/>
  <c r="BJ8" i="8" s="1"/>
  <c r="M14" i="8"/>
  <c r="BB14" i="8" s="1"/>
  <c r="Q14" i="8"/>
  <c r="BF14" i="8" s="1"/>
  <c r="T14" i="8"/>
  <c r="BI14" i="8" s="1"/>
  <c r="K5" i="8"/>
  <c r="AZ5" i="8" s="1"/>
  <c r="N5" i="8"/>
  <c r="BC5" i="8" s="1"/>
  <c r="R5" i="8"/>
  <c r="BG5" i="8" s="1"/>
  <c r="U5" i="8"/>
  <c r="BJ5" i="8" s="1"/>
  <c r="L11" i="8"/>
  <c r="BA11" i="8" s="1"/>
  <c r="O11" i="8"/>
  <c r="BD11" i="8" s="1"/>
  <c r="V11" i="8"/>
  <c r="BK11" i="8" s="1"/>
  <c r="M13" i="8"/>
  <c r="BB13" i="8" s="1"/>
  <c r="Q13" i="8"/>
  <c r="BF13" i="8" s="1"/>
  <c r="T13" i="8"/>
  <c r="BI13" i="8" s="1"/>
  <c r="L7" i="8"/>
  <c r="BA7" i="8" s="1"/>
  <c r="O7" i="8"/>
  <c r="BD7" i="8" s="1"/>
  <c r="V7" i="8"/>
  <c r="BK7" i="8" s="1"/>
  <c r="K6" i="8"/>
  <c r="AZ6" i="8" s="1"/>
  <c r="N6" i="8"/>
  <c r="BC6" i="8" s="1"/>
  <c r="R6" i="8"/>
  <c r="BG6" i="8" s="1"/>
  <c r="U6" i="8"/>
  <c r="BJ6" i="8" s="1"/>
  <c r="P9" i="8"/>
  <c r="BE9" i="8" s="1"/>
  <c r="S9" i="8"/>
  <c r="BH9" i="8" s="1"/>
  <c r="W9" i="8"/>
  <c r="BL9" i="8" s="1"/>
  <c r="K12" i="8"/>
  <c r="AZ12" i="8" s="1"/>
  <c r="N12" i="8"/>
  <c r="BC12" i="8" s="1"/>
  <c r="R12" i="8"/>
  <c r="BG12" i="8" s="1"/>
  <c r="U12" i="8"/>
  <c r="BJ12" i="8" s="1"/>
  <c r="P4" i="8"/>
  <c r="BE4" i="8" s="1"/>
  <c r="S4" i="8"/>
  <c r="BH4" i="8" s="1"/>
  <c r="W4" i="8"/>
  <c r="BL4" i="8" s="1"/>
  <c r="M10" i="8"/>
  <c r="BB10" i="8" s="1"/>
  <c r="Q10" i="8"/>
  <c r="BF10" i="8" s="1"/>
  <c r="T10" i="8"/>
  <c r="BI10" i="8" s="1"/>
  <c r="K13" i="8"/>
  <c r="AZ13" i="8" s="1"/>
  <c r="N13" i="8"/>
  <c r="BC13" i="8" s="1"/>
  <c r="R13" i="8"/>
  <c r="BG13" i="8" s="1"/>
  <c r="U13" i="8"/>
  <c r="BJ13" i="8" s="1"/>
  <c r="P7" i="8"/>
  <c r="BE7" i="8" s="1"/>
  <c r="S7" i="8"/>
  <c r="BH7" i="8" s="1"/>
  <c r="W7" i="8"/>
  <c r="BL7" i="8" s="1"/>
  <c r="L6" i="8"/>
  <c r="BA6" i="8" s="1"/>
  <c r="O6" i="8"/>
  <c r="BD6" i="8" s="1"/>
  <c r="V6" i="8"/>
  <c r="BK6" i="8" s="1"/>
  <c r="M9" i="8"/>
  <c r="BB9" i="8" s="1"/>
  <c r="Q9" i="8"/>
  <c r="BF9" i="8" s="1"/>
  <c r="T9" i="8"/>
  <c r="BI9" i="8" s="1"/>
  <c r="L12" i="8"/>
  <c r="BA12" i="8" s="1"/>
  <c r="O12" i="8"/>
  <c r="BD12" i="8" s="1"/>
  <c r="V12" i="8"/>
  <c r="BK12" i="8" s="1"/>
  <c r="M4" i="8"/>
  <c r="BB4" i="8" s="1"/>
  <c r="Q4" i="8"/>
  <c r="BF4" i="8" s="1"/>
  <c r="T4" i="8"/>
  <c r="BI4" i="8" s="1"/>
  <c r="K10" i="8"/>
  <c r="AZ10" i="8" s="1"/>
  <c r="N10" i="8"/>
  <c r="BC10" i="8" s="1"/>
  <c r="R10" i="8"/>
  <c r="BG10" i="8" s="1"/>
  <c r="U10" i="8"/>
  <c r="BJ10" i="8" s="1"/>
  <c r="L13" i="8"/>
  <c r="BA13" i="8" s="1"/>
  <c r="O13" i="8"/>
  <c r="BD13" i="8" s="1"/>
  <c r="V13" i="8"/>
  <c r="BK13" i="8" s="1"/>
  <c r="M7" i="8"/>
  <c r="BB7" i="8" s="1"/>
  <c r="Q7" i="8"/>
  <c r="BF7" i="8" s="1"/>
  <c r="T7" i="8"/>
  <c r="BI7" i="8" s="1"/>
  <c r="P6" i="8"/>
  <c r="BE6" i="8" s="1"/>
  <c r="S6" i="8"/>
  <c r="BH6" i="8" s="1"/>
  <c r="W6" i="8"/>
  <c r="BL6" i="8" s="1"/>
  <c r="K9" i="8"/>
  <c r="AZ9" i="8" s="1"/>
  <c r="N9" i="8"/>
  <c r="BC9" i="8" s="1"/>
  <c r="R9" i="8"/>
  <c r="BG9" i="8" s="1"/>
  <c r="U9" i="8"/>
  <c r="BJ9" i="8" s="1"/>
  <c r="P12" i="8"/>
  <c r="BE12" i="8" s="1"/>
  <c r="S12" i="8"/>
  <c r="BH12" i="8" s="1"/>
  <c r="W12" i="8"/>
  <c r="BL12" i="8" s="1"/>
  <c r="K4" i="8"/>
  <c r="AZ4" i="8" s="1"/>
  <c r="N4" i="8"/>
  <c r="BC4" i="8" s="1"/>
  <c r="R4" i="8"/>
  <c r="BG4" i="8" s="1"/>
  <c r="U4" i="8"/>
  <c r="BJ4" i="8" s="1"/>
  <c r="L10" i="8"/>
  <c r="BA10" i="8" s="1"/>
  <c r="O10" i="8"/>
  <c r="BD10" i="8" s="1"/>
  <c r="V10" i="8"/>
  <c r="BK10" i="8" s="1"/>
  <c r="P13" i="8"/>
  <c r="BE13" i="8" s="1"/>
  <c r="S13" i="8"/>
  <c r="BH13" i="8" s="1"/>
  <c r="W13" i="8"/>
  <c r="BL13" i="8" s="1"/>
  <c r="K7" i="8"/>
  <c r="AZ7" i="8" s="1"/>
  <c r="N7" i="8"/>
  <c r="BC7" i="8" s="1"/>
  <c r="R7" i="8"/>
  <c r="BG7" i="8" s="1"/>
  <c r="U7" i="8"/>
  <c r="BJ7" i="8" s="1"/>
  <c r="M6" i="8"/>
  <c r="BB6" i="8" s="1"/>
  <c r="Q6" i="8"/>
  <c r="BF6" i="8" s="1"/>
  <c r="T6" i="8"/>
  <c r="BI6" i="8" s="1"/>
  <c r="L9" i="8"/>
  <c r="BA9" i="8" s="1"/>
  <c r="O9" i="8"/>
  <c r="BD9" i="8" s="1"/>
  <c r="V9" i="8"/>
  <c r="BK9" i="8" s="1"/>
  <c r="M12" i="8"/>
  <c r="BB12" i="8" s="1"/>
  <c r="Q12" i="8"/>
  <c r="BF12" i="8" s="1"/>
  <c r="T12" i="8"/>
  <c r="BI12" i="8" s="1"/>
  <c r="L4" i="8"/>
  <c r="BA4" i="8" s="1"/>
  <c r="O4" i="8"/>
  <c r="BD4" i="8" s="1"/>
  <c r="V4" i="8"/>
  <c r="BK4" i="8" s="1"/>
  <c r="P10" i="8"/>
  <c r="BE10" i="8" s="1"/>
  <c r="S10" i="8"/>
  <c r="BH10" i="8" s="1"/>
  <c r="W10" i="8"/>
  <c r="BL10" i="8" s="1"/>
  <c r="N3" i="8"/>
  <c r="BC3" i="8" s="1"/>
  <c r="L3" i="8"/>
  <c r="BA3" i="8" s="1"/>
  <c r="O3" i="8"/>
  <c r="BD3" i="8" s="1"/>
  <c r="V3" i="8"/>
  <c r="BK3" i="8" s="1"/>
  <c r="K3" i="8"/>
  <c r="AZ3" i="8" s="1"/>
  <c r="R3" i="8"/>
  <c r="BG3" i="8" s="1"/>
  <c r="P3" i="8"/>
  <c r="BE3" i="8" s="1"/>
  <c r="S3" i="8"/>
  <c r="BH3" i="8" s="1"/>
  <c r="W3" i="8"/>
  <c r="BL3" i="8" s="1"/>
  <c r="U3" i="8"/>
  <c r="BJ3" i="8" s="1"/>
  <c r="M3" i="8"/>
  <c r="BB3" i="8" s="1"/>
  <c r="Q3" i="8"/>
  <c r="BF3" i="8" s="1"/>
  <c r="T3" i="8"/>
  <c r="BI3" i="8" s="1"/>
  <c r="W25" i="9" l="1"/>
  <c r="X25" i="9"/>
  <c r="V25" i="9"/>
  <c r="Y25" i="9"/>
  <c r="A1023" i="9"/>
  <c r="U26" i="9"/>
  <c r="BR24" i="8"/>
  <c r="BR23" i="8"/>
  <c r="BR27" i="8"/>
  <c r="BR21" i="8"/>
  <c r="BR22" i="8"/>
  <c r="BR16" i="8"/>
  <c r="BR6" i="8"/>
  <c r="BR11" i="8"/>
  <c r="BR12" i="8"/>
  <c r="BR8" i="8"/>
  <c r="BR17" i="8"/>
  <c r="BR4" i="8"/>
  <c r="BR10" i="8"/>
  <c r="BR14" i="8"/>
  <c r="BR20" i="8"/>
  <c r="BR3" i="8"/>
  <c r="BR9" i="8"/>
  <c r="BR5" i="8"/>
  <c r="BR7" i="8"/>
  <c r="BR15" i="8"/>
  <c r="BR13" i="8"/>
  <c r="BR19" i="8"/>
  <c r="BR18" i="8"/>
  <c r="AS5" i="5"/>
  <c r="AE4" i="5"/>
  <c r="AE7" i="5"/>
  <c r="AD7" i="5"/>
  <c r="AO8" i="5"/>
  <c r="AN4" i="5"/>
  <c r="AF8" i="5"/>
  <c r="AR5" i="5"/>
  <c r="AM8" i="5"/>
  <c r="AD4" i="5"/>
  <c r="AI6" i="5"/>
  <c r="AP5" i="5"/>
  <c r="AC6" i="5"/>
  <c r="AD8" i="5"/>
  <c r="AS4" i="5"/>
  <c r="AL6" i="5"/>
  <c r="AF4" i="5"/>
  <c r="AP7" i="5"/>
  <c r="AF5" i="5"/>
  <c r="AK7" i="5"/>
  <c r="AK8" i="5"/>
  <c r="AK5" i="5"/>
  <c r="AB8" i="5"/>
  <c r="AE6" i="5"/>
  <c r="AS8" i="5"/>
  <c r="AO7" i="5"/>
  <c r="AF7" i="5"/>
  <c r="AL5" i="5"/>
  <c r="AI5" i="5"/>
  <c r="AN7" i="5"/>
  <c r="AO4" i="5"/>
  <c r="AD6" i="5"/>
  <c r="AE8" i="5"/>
  <c r="AN6" i="5"/>
  <c r="AQ7" i="5"/>
  <c r="AG5" i="5"/>
  <c r="AG6" i="5"/>
  <c r="AH8" i="5"/>
  <c r="AD5" i="5"/>
  <c r="AN8" i="5"/>
  <c r="AP6" i="5"/>
  <c r="AG4" i="5"/>
  <c r="AB5" i="5"/>
  <c r="AG7" i="5"/>
  <c r="AJ4" i="5"/>
  <c r="AS6" i="5"/>
  <c r="AK4" i="5"/>
  <c r="AJ7" i="5"/>
  <c r="AF6" i="5"/>
  <c r="AS7" i="5"/>
  <c r="AJ6" i="5"/>
  <c r="AI7" i="5"/>
  <c r="AQ4" i="5"/>
  <c r="AQ5" i="5"/>
  <c r="AR7" i="5"/>
  <c r="AI8" i="5"/>
  <c r="AL7" i="5"/>
  <c r="AP4" i="5"/>
  <c r="AC7" i="5"/>
  <c r="AC8" i="5"/>
  <c r="AC5" i="5"/>
  <c r="AB6" i="5"/>
  <c r="AK6" i="5"/>
  <c r="AL8" i="5"/>
  <c r="AE5" i="5"/>
  <c r="AB7" i="5"/>
  <c r="AQ8" i="5"/>
  <c r="AH5" i="5"/>
  <c r="AN5" i="5"/>
  <c r="AM5" i="5"/>
  <c r="AI4" i="5"/>
  <c r="AR8" i="5"/>
  <c r="AJ5" i="5"/>
  <c r="AH7" i="5"/>
  <c r="AH4" i="5"/>
  <c r="AM6" i="5"/>
  <c r="AM7" i="5"/>
  <c r="AM4" i="5"/>
  <c r="AR4" i="5"/>
  <c r="AJ8" i="5"/>
  <c r="AH6" i="5"/>
  <c r="AC4" i="5"/>
  <c r="AL4" i="5"/>
  <c r="AQ6" i="5"/>
  <c r="AR6" i="5"/>
  <c r="AG8" i="5"/>
  <c r="AO5" i="5"/>
  <c r="AO6" i="5"/>
  <c r="AP8" i="5"/>
  <c r="DL6" i="8"/>
  <c r="DL4" i="8"/>
  <c r="A1024" i="9" l="1"/>
  <c r="U27" i="9"/>
  <c r="X26" i="9"/>
  <c r="W26" i="9"/>
  <c r="V26" i="9"/>
  <c r="Y26" i="9"/>
  <c r="DL15" i="8"/>
  <c r="DL10" i="8"/>
  <c r="DL29" i="8"/>
  <c r="DL27" i="8"/>
  <c r="DL20" i="8"/>
  <c r="DL7" i="8"/>
  <c r="DL24" i="8"/>
  <c r="DL21" i="8"/>
  <c r="DL30" i="8"/>
  <c r="DL11" i="8"/>
  <c r="DL19" i="8"/>
  <c r="DL25" i="8"/>
  <c r="DL18" i="8"/>
  <c r="DL13" i="8"/>
  <c r="DL3" i="8"/>
  <c r="DL26" i="8"/>
  <c r="DL32" i="8"/>
  <c r="DL23" i="8"/>
  <c r="DL16" i="8"/>
  <c r="DL17" i="8"/>
  <c r="DL31" i="8"/>
  <c r="DL28" i="8"/>
  <c r="DL12" i="8"/>
  <c r="DL14" i="8"/>
  <c r="DL8" i="8"/>
  <c r="DL9" i="8"/>
  <c r="DL22" i="8"/>
  <c r="DL5" i="8"/>
  <c r="DJ5" i="8"/>
  <c r="DJ6" i="8"/>
  <c r="DJ9" i="8"/>
  <c r="DJ8" i="8"/>
  <c r="DJ11" i="8"/>
  <c r="DJ12" i="8"/>
  <c r="DJ7" i="8"/>
  <c r="DJ19" i="8"/>
  <c r="DJ20" i="8"/>
  <c r="DJ4" i="8"/>
  <c r="DJ17" i="8"/>
  <c r="DJ18" i="8"/>
  <c r="DJ10" i="8"/>
  <c r="DJ13" i="8"/>
  <c r="DJ22" i="8"/>
  <c r="DJ27" i="8"/>
  <c r="DJ29" i="8"/>
  <c r="DJ31" i="8"/>
  <c r="DJ14" i="8"/>
  <c r="DJ23" i="8"/>
  <c r="DJ30" i="8"/>
  <c r="DJ32" i="8"/>
  <c r="DJ21" i="8"/>
  <c r="DJ24" i="8"/>
  <c r="DJ3" i="8"/>
  <c r="DJ16" i="8"/>
  <c r="DJ28" i="8"/>
  <c r="DJ26" i="8"/>
  <c r="DJ25" i="8"/>
  <c r="DJ15" i="8"/>
  <c r="CW4" i="8"/>
  <c r="CW7" i="8"/>
  <c r="CW8" i="8"/>
  <c r="CW9" i="8"/>
  <c r="CW14" i="8"/>
  <c r="CW16" i="8"/>
  <c r="CW18" i="8"/>
  <c r="CW20" i="8"/>
  <c r="CW22" i="8"/>
  <c r="CW24" i="8"/>
  <c r="CW26" i="8"/>
  <c r="CW11" i="8"/>
  <c r="CW15" i="8"/>
  <c r="CW23" i="8"/>
  <c r="CW12" i="8"/>
  <c r="CW13" i="8"/>
  <c r="CW21" i="8"/>
  <c r="CW17" i="8"/>
  <c r="CW5" i="8"/>
  <c r="CW10" i="8"/>
  <c r="CW25" i="8"/>
  <c r="CW27" i="8"/>
  <c r="CW29" i="8"/>
  <c r="CW31" i="8"/>
  <c r="CW6" i="8"/>
  <c r="CW3" i="8"/>
  <c r="CW32" i="8"/>
  <c r="CW19" i="8"/>
  <c r="CW30" i="8"/>
  <c r="CW28" i="8"/>
  <c r="DH10" i="8"/>
  <c r="DH4" i="8"/>
  <c r="DH7" i="8"/>
  <c r="DH8" i="8"/>
  <c r="DH6" i="8"/>
  <c r="DH13" i="8"/>
  <c r="DH9" i="8"/>
  <c r="DH5" i="8"/>
  <c r="DH16" i="8"/>
  <c r="DH17" i="8"/>
  <c r="DH24" i="8"/>
  <c r="DH25" i="8"/>
  <c r="DH11" i="8"/>
  <c r="DH14" i="8"/>
  <c r="DH15" i="8"/>
  <c r="DH21" i="8"/>
  <c r="DH28" i="8"/>
  <c r="DH30" i="8"/>
  <c r="DH32" i="8"/>
  <c r="DH12" i="8"/>
  <c r="DH27" i="8"/>
  <c r="DH23" i="8"/>
  <c r="DH19" i="8"/>
  <c r="DH22" i="8"/>
  <c r="DH26" i="8"/>
  <c r="DH29" i="8"/>
  <c r="DH31" i="8"/>
  <c r="DH18" i="8"/>
  <c r="DH3" i="8"/>
  <c r="DH20" i="8"/>
  <c r="DD10" i="8"/>
  <c r="DD4" i="8"/>
  <c r="DD7" i="8"/>
  <c r="DD8" i="8"/>
  <c r="DD13" i="8"/>
  <c r="DD5" i="8"/>
  <c r="DD18" i="8"/>
  <c r="DD19" i="8"/>
  <c r="DD26" i="8"/>
  <c r="DD6" i="8"/>
  <c r="DD9" i="8"/>
  <c r="DD16" i="8"/>
  <c r="DD17" i="8"/>
  <c r="DD22" i="8"/>
  <c r="DD25" i="8"/>
  <c r="DD28" i="8"/>
  <c r="DD30" i="8"/>
  <c r="DD32" i="8"/>
  <c r="DD20" i="8"/>
  <c r="DD21" i="8"/>
  <c r="DD29" i="8"/>
  <c r="DD31" i="8"/>
  <c r="DD11" i="8"/>
  <c r="DD12" i="8"/>
  <c r="DD15" i="8"/>
  <c r="DD24" i="8"/>
  <c r="DD27" i="8"/>
  <c r="DD3" i="8"/>
  <c r="DD14" i="8"/>
  <c r="DD23" i="8"/>
  <c r="CX5" i="8"/>
  <c r="CX6" i="8"/>
  <c r="CX9" i="8"/>
  <c r="CX7" i="8"/>
  <c r="CX10" i="8"/>
  <c r="CX15" i="8"/>
  <c r="CX17" i="8"/>
  <c r="CX19" i="8"/>
  <c r="CX21" i="8"/>
  <c r="CX23" i="8"/>
  <c r="CX25" i="8"/>
  <c r="CX4" i="8"/>
  <c r="CX18" i="8"/>
  <c r="CX26" i="8"/>
  <c r="CX16" i="8"/>
  <c r="CX8" i="8"/>
  <c r="CX3" i="8"/>
  <c r="CX11" i="8"/>
  <c r="CX12" i="8"/>
  <c r="CX13" i="8"/>
  <c r="CX28" i="8"/>
  <c r="CX30" i="8"/>
  <c r="CX32" i="8"/>
  <c r="CX20" i="8"/>
  <c r="CX22" i="8"/>
  <c r="CX27" i="8"/>
  <c r="CX14" i="8"/>
  <c r="CX24" i="8"/>
  <c r="CX31" i="8"/>
  <c r="CX29" i="8"/>
  <c r="DK4" i="8"/>
  <c r="DK7" i="8"/>
  <c r="DK8" i="8"/>
  <c r="DK5" i="8"/>
  <c r="DK14" i="8"/>
  <c r="DK16" i="8"/>
  <c r="DK18" i="8"/>
  <c r="DK20" i="8"/>
  <c r="DK22" i="8"/>
  <c r="DK24" i="8"/>
  <c r="DK6" i="8"/>
  <c r="DK10" i="8"/>
  <c r="DK12" i="8"/>
  <c r="DK13" i="8"/>
  <c r="DK21" i="8"/>
  <c r="DK19" i="8"/>
  <c r="DK11" i="8"/>
  <c r="DK15" i="8"/>
  <c r="DK25" i="8"/>
  <c r="DK26" i="8"/>
  <c r="DK3" i="8"/>
  <c r="DK9" i="8"/>
  <c r="DK17" i="8"/>
  <c r="DK27" i="8"/>
  <c r="DK29" i="8"/>
  <c r="DK31" i="8"/>
  <c r="DK30" i="8"/>
  <c r="DK23" i="8"/>
  <c r="DK32" i="8"/>
  <c r="DK28" i="8"/>
  <c r="DM5" i="8"/>
  <c r="DM6" i="8"/>
  <c r="DM9" i="8"/>
  <c r="DM15" i="8"/>
  <c r="DM17" i="8"/>
  <c r="DM19" i="8"/>
  <c r="DM21" i="8"/>
  <c r="DM23" i="8"/>
  <c r="DM25" i="8"/>
  <c r="DM8" i="8"/>
  <c r="DM7" i="8"/>
  <c r="DM16" i="8"/>
  <c r="DM24" i="8"/>
  <c r="DM26" i="8"/>
  <c r="DM10" i="8"/>
  <c r="DM11" i="8"/>
  <c r="DM13" i="8"/>
  <c r="DM14" i="8"/>
  <c r="DM4" i="8"/>
  <c r="DM12" i="8"/>
  <c r="DM3" i="8"/>
  <c r="DM18" i="8"/>
  <c r="DM20" i="8"/>
  <c r="DM22" i="8"/>
  <c r="DM28" i="8"/>
  <c r="DM30" i="8"/>
  <c r="DM32" i="8"/>
  <c r="DM27" i="8"/>
  <c r="DM29" i="8"/>
  <c r="DM31" i="8"/>
  <c r="DB5" i="8"/>
  <c r="DB6" i="8"/>
  <c r="DB9" i="8"/>
  <c r="DB7" i="8"/>
  <c r="DB15" i="8"/>
  <c r="DB17" i="8"/>
  <c r="DB19" i="8"/>
  <c r="DB21" i="8"/>
  <c r="DB23" i="8"/>
  <c r="DB25" i="8"/>
  <c r="DB4" i="8"/>
  <c r="DB11" i="8"/>
  <c r="DB13" i="8"/>
  <c r="DB14" i="8"/>
  <c r="DB22" i="8"/>
  <c r="DB8" i="8"/>
  <c r="DB12" i="8"/>
  <c r="DB20" i="8"/>
  <c r="DB18" i="8"/>
  <c r="DB24" i="8"/>
  <c r="DB3" i="8"/>
  <c r="DB26" i="8"/>
  <c r="DB10" i="8"/>
  <c r="DB28" i="8"/>
  <c r="DB30" i="8"/>
  <c r="DB32" i="8"/>
  <c r="DB16" i="8"/>
  <c r="DB29" i="8"/>
  <c r="DB31" i="8"/>
  <c r="DB27" i="8"/>
  <c r="CZ4" i="8"/>
  <c r="CZ7" i="8"/>
  <c r="CZ8" i="8"/>
  <c r="CZ9" i="8"/>
  <c r="CZ14" i="8"/>
  <c r="CZ16" i="8"/>
  <c r="CZ18" i="8"/>
  <c r="CZ20" i="8"/>
  <c r="CZ22" i="8"/>
  <c r="CZ24" i="8"/>
  <c r="CZ26" i="8"/>
  <c r="CZ6" i="8"/>
  <c r="CZ19" i="8"/>
  <c r="CZ5" i="8"/>
  <c r="CZ10" i="8"/>
  <c r="CZ17" i="8"/>
  <c r="CZ13" i="8"/>
  <c r="CZ23" i="8"/>
  <c r="CZ3" i="8"/>
  <c r="CZ12" i="8"/>
  <c r="CZ25" i="8"/>
  <c r="CZ27" i="8"/>
  <c r="CZ29" i="8"/>
  <c r="CZ31" i="8"/>
  <c r="CZ11" i="8"/>
  <c r="CZ15" i="8"/>
  <c r="CZ28" i="8"/>
  <c r="CZ21" i="8"/>
  <c r="CZ32" i="8"/>
  <c r="CZ30" i="8"/>
  <c r="DG4" i="8"/>
  <c r="DG7" i="8"/>
  <c r="DG8" i="8"/>
  <c r="DG9" i="8"/>
  <c r="DG14" i="8"/>
  <c r="DG16" i="8"/>
  <c r="DG18" i="8"/>
  <c r="DG20" i="8"/>
  <c r="DG22" i="8"/>
  <c r="DG24" i="8"/>
  <c r="DG26" i="8"/>
  <c r="DG11" i="8"/>
  <c r="DG15" i="8"/>
  <c r="DG23" i="8"/>
  <c r="DG12" i="8"/>
  <c r="DG13" i="8"/>
  <c r="DG6" i="8"/>
  <c r="DG17" i="8"/>
  <c r="DG25" i="8"/>
  <c r="DG5" i="8"/>
  <c r="DG19" i="8"/>
  <c r="DG27" i="8"/>
  <c r="DG29" i="8"/>
  <c r="DG31" i="8"/>
  <c r="DG3" i="8"/>
  <c r="DG10" i="8"/>
  <c r="DG32" i="8"/>
  <c r="DG30" i="8"/>
  <c r="DG21" i="8"/>
  <c r="DG28" i="8"/>
  <c r="DE5" i="8"/>
  <c r="DE6" i="8"/>
  <c r="DE9" i="8"/>
  <c r="DE15" i="8"/>
  <c r="DE17" i="8"/>
  <c r="DE19" i="8"/>
  <c r="DE21" i="8"/>
  <c r="DE23" i="8"/>
  <c r="DE25" i="8"/>
  <c r="DE8" i="8"/>
  <c r="DE4" i="8"/>
  <c r="DE10" i="8"/>
  <c r="DE12" i="8"/>
  <c r="DE20" i="8"/>
  <c r="DE18" i="8"/>
  <c r="DE14" i="8"/>
  <c r="DE16" i="8"/>
  <c r="DE26" i="8"/>
  <c r="DE3" i="8"/>
  <c r="DE11" i="8"/>
  <c r="DE13" i="8"/>
  <c r="DE24" i="8"/>
  <c r="DE7" i="8"/>
  <c r="DE22" i="8"/>
  <c r="DE28" i="8"/>
  <c r="DE30" i="8"/>
  <c r="DE32" i="8"/>
  <c r="DE31" i="8"/>
  <c r="DE27" i="8"/>
  <c r="DE29" i="8"/>
  <c r="DF5" i="8"/>
  <c r="DF6" i="8"/>
  <c r="DF9" i="8"/>
  <c r="DF4" i="8"/>
  <c r="DF11" i="8"/>
  <c r="DF12" i="8"/>
  <c r="DF13" i="8"/>
  <c r="DF14" i="8"/>
  <c r="DF21" i="8"/>
  <c r="DF22" i="8"/>
  <c r="DF10" i="8"/>
  <c r="DF19" i="8"/>
  <c r="DF20" i="8"/>
  <c r="DF7" i="8"/>
  <c r="DF23" i="8"/>
  <c r="DF27" i="8"/>
  <c r="DF29" i="8"/>
  <c r="DF31" i="8"/>
  <c r="DF18" i="8"/>
  <c r="DF28" i="8"/>
  <c r="DF8" i="8"/>
  <c r="DF16" i="8"/>
  <c r="DF25" i="8"/>
  <c r="DF26" i="8"/>
  <c r="DF3" i="8"/>
  <c r="DF15" i="8"/>
  <c r="DF30" i="8"/>
  <c r="DF32" i="8"/>
  <c r="DF17" i="8"/>
  <c r="DF24" i="8"/>
  <c r="DA10" i="8"/>
  <c r="DA4" i="8"/>
  <c r="DA7" i="8"/>
  <c r="DA8" i="8"/>
  <c r="DA6" i="8"/>
  <c r="DA13" i="8"/>
  <c r="DA9" i="8"/>
  <c r="DA12" i="8"/>
  <c r="DA20" i="8"/>
  <c r="DA21" i="8"/>
  <c r="DA18" i="8"/>
  <c r="DA19" i="8"/>
  <c r="DA5" i="8"/>
  <c r="DA11" i="8"/>
  <c r="DA15" i="8"/>
  <c r="DA28" i="8"/>
  <c r="DA30" i="8"/>
  <c r="DA32" i="8"/>
  <c r="DA14" i="8"/>
  <c r="DA22" i="8"/>
  <c r="DA17" i="8"/>
  <c r="DA23" i="8"/>
  <c r="DA26" i="8"/>
  <c r="DA16" i="8"/>
  <c r="DA25" i="8"/>
  <c r="DA27" i="8"/>
  <c r="DA29" i="8"/>
  <c r="DA31" i="8"/>
  <c r="DA24" i="8"/>
  <c r="DA3" i="8"/>
  <c r="CV5" i="8"/>
  <c r="CV6" i="8"/>
  <c r="CV9" i="8"/>
  <c r="CV4" i="8"/>
  <c r="CV11" i="8"/>
  <c r="CV12" i="8"/>
  <c r="CV13" i="8"/>
  <c r="CV14" i="8"/>
  <c r="CV21" i="8"/>
  <c r="CV22" i="8"/>
  <c r="CV10" i="8"/>
  <c r="CV19" i="8"/>
  <c r="CV20" i="8"/>
  <c r="CV15" i="8"/>
  <c r="CV18" i="8"/>
  <c r="CV25" i="8"/>
  <c r="CV26" i="8"/>
  <c r="CV27" i="8"/>
  <c r="CV29" i="8"/>
  <c r="CV31" i="8"/>
  <c r="CV7" i="8"/>
  <c r="CV24" i="8"/>
  <c r="CV28" i="8"/>
  <c r="CV30" i="8"/>
  <c r="CV32" i="8"/>
  <c r="CV8" i="8"/>
  <c r="CV17" i="8"/>
  <c r="CV3" i="8"/>
  <c r="CV23" i="8"/>
  <c r="CV16" i="8"/>
  <c r="CY5" i="8"/>
  <c r="CY6" i="8"/>
  <c r="CY9" i="8"/>
  <c r="CY8" i="8"/>
  <c r="CY11" i="8"/>
  <c r="CY12" i="8"/>
  <c r="CY7" i="8"/>
  <c r="CY10" i="8"/>
  <c r="CY19" i="8"/>
  <c r="CY20" i="8"/>
  <c r="CY4" i="8"/>
  <c r="CY17" i="8"/>
  <c r="CY18" i="8"/>
  <c r="CY14" i="8"/>
  <c r="CY16" i="8"/>
  <c r="CY21" i="8"/>
  <c r="CY24" i="8"/>
  <c r="CY27" i="8"/>
  <c r="CY29" i="8"/>
  <c r="CY31" i="8"/>
  <c r="CY25" i="8"/>
  <c r="CY15" i="8"/>
  <c r="CY23" i="8"/>
  <c r="CY3" i="8"/>
  <c r="CY13" i="8"/>
  <c r="CY26" i="8"/>
  <c r="CY28" i="8"/>
  <c r="CY30" i="8"/>
  <c r="CY32" i="8"/>
  <c r="CY22" i="8"/>
  <c r="DI5" i="8"/>
  <c r="DI6" i="8"/>
  <c r="DI9" i="8"/>
  <c r="DI7" i="8"/>
  <c r="DI10" i="8"/>
  <c r="DI15" i="8"/>
  <c r="DI17" i="8"/>
  <c r="DI19" i="8"/>
  <c r="DI21" i="8"/>
  <c r="DI23" i="8"/>
  <c r="DI25" i="8"/>
  <c r="DI4" i="8"/>
  <c r="DI18" i="8"/>
  <c r="DI26" i="8"/>
  <c r="DI16" i="8"/>
  <c r="DI20" i="8"/>
  <c r="DI24" i="8"/>
  <c r="DI3" i="8"/>
  <c r="DI11" i="8"/>
  <c r="DI14" i="8"/>
  <c r="DI28" i="8"/>
  <c r="DI30" i="8"/>
  <c r="DI32" i="8"/>
  <c r="DI8" i="8"/>
  <c r="DI12" i="8"/>
  <c r="DI13" i="8"/>
  <c r="DI31" i="8"/>
  <c r="DI22" i="8"/>
  <c r="DI29" i="8"/>
  <c r="DI27" i="8"/>
  <c r="DC5" i="8"/>
  <c r="DC6" i="8"/>
  <c r="DC9" i="8"/>
  <c r="DC8" i="8"/>
  <c r="DC11" i="8"/>
  <c r="DC12" i="8"/>
  <c r="DC7" i="8"/>
  <c r="DC15" i="8"/>
  <c r="DC16" i="8"/>
  <c r="DC23" i="8"/>
  <c r="DC24" i="8"/>
  <c r="DC13" i="8"/>
  <c r="DC14" i="8"/>
  <c r="DC21" i="8"/>
  <c r="DC27" i="8"/>
  <c r="DC29" i="8"/>
  <c r="DC31" i="8"/>
  <c r="DC10" i="8"/>
  <c r="DC32" i="8"/>
  <c r="DC18" i="8"/>
  <c r="DC20" i="8"/>
  <c r="DC3" i="8"/>
  <c r="DC17" i="8"/>
  <c r="DC28" i="8"/>
  <c r="DC30" i="8"/>
  <c r="DC4" i="8"/>
  <c r="DC22" i="8"/>
  <c r="DC19" i="8"/>
  <c r="DC25" i="8"/>
  <c r="DC26" i="8"/>
  <c r="V27" i="9" l="1"/>
  <c r="W27" i="9"/>
  <c r="X27" i="9"/>
  <c r="Y27" i="9"/>
  <c r="A1025" i="9"/>
  <c r="U28" i="9"/>
  <c r="BQ3" i="8"/>
  <c r="BQ29" i="8"/>
  <c r="BS29" i="8" s="1"/>
  <c r="BW29" i="8" s="1"/>
  <c r="CB29" i="8" s="1"/>
  <c r="BQ30" i="8"/>
  <c r="BS30" i="8" s="1"/>
  <c r="BW30" i="8" s="1"/>
  <c r="CB30" i="8" s="1"/>
  <c r="BQ27" i="8"/>
  <c r="BS27" i="8" s="1"/>
  <c r="BW27" i="8" s="1"/>
  <c r="CB27" i="8" s="1"/>
  <c r="BQ28" i="8"/>
  <c r="BS28" i="8" s="1"/>
  <c r="BW28" i="8" s="1"/>
  <c r="CB28" i="8" s="1"/>
  <c r="BQ25" i="8"/>
  <c r="BS25" i="8" s="1"/>
  <c r="BW25" i="8" s="1"/>
  <c r="CB25" i="8" s="1"/>
  <c r="BQ26" i="8"/>
  <c r="BS26" i="8" s="1"/>
  <c r="BW26" i="8" s="1"/>
  <c r="CB26" i="8" s="1"/>
  <c r="BQ24" i="8"/>
  <c r="BQ20" i="8"/>
  <c r="BQ22" i="8"/>
  <c r="BQ23" i="8"/>
  <c r="BQ19" i="8"/>
  <c r="BQ21" i="8"/>
  <c r="BS21" i="8" s="1"/>
  <c r="BQ18" i="8"/>
  <c r="BQ16" i="8"/>
  <c r="BQ17" i="8"/>
  <c r="BQ15" i="8"/>
  <c r="BQ12" i="8"/>
  <c r="BQ13" i="8"/>
  <c r="BQ9" i="8"/>
  <c r="BQ14" i="8"/>
  <c r="BQ5" i="8"/>
  <c r="BQ10" i="8"/>
  <c r="BQ6" i="8"/>
  <c r="BQ8" i="8"/>
  <c r="BQ11" i="8"/>
  <c r="BQ7" i="8"/>
  <c r="V28" i="9" l="1"/>
  <c r="Y28" i="9"/>
  <c r="X28" i="9"/>
  <c r="W28" i="9"/>
  <c r="A1026" i="9"/>
  <c r="U29" i="9"/>
  <c r="BW21" i="8"/>
  <c r="CB21" i="8" s="1"/>
  <c r="BS20" i="8"/>
  <c r="BY28" i="8"/>
  <c r="BY27" i="8"/>
  <c r="BY26" i="8"/>
  <c r="BY30" i="8"/>
  <c r="BY25" i="8"/>
  <c r="BY29" i="8"/>
  <c r="BS23" i="8"/>
  <c r="BS19" i="8"/>
  <c r="BS24" i="8"/>
  <c r="BS22" i="8"/>
  <c r="BW22" i="8" s="1"/>
  <c r="CB22" i="8" s="1"/>
  <c r="BS10" i="8"/>
  <c r="BS16" i="8"/>
  <c r="BS17" i="8"/>
  <c r="BS15" i="8"/>
  <c r="BS18" i="8"/>
  <c r="BS6" i="8"/>
  <c r="BS14" i="8"/>
  <c r="BS13" i="8"/>
  <c r="BW13" i="8" s="1"/>
  <c r="CB13" i="8" s="1"/>
  <c r="BS7" i="8"/>
  <c r="BS11" i="8"/>
  <c r="BS5" i="8"/>
  <c r="BS9" i="8"/>
  <c r="BS8" i="8"/>
  <c r="BW8" i="8" s="1"/>
  <c r="CB8" i="8" s="1"/>
  <c r="BS12" i="8"/>
  <c r="V29" i="9" l="1"/>
  <c r="Y29" i="9"/>
  <c r="W29" i="9"/>
  <c r="X29" i="9"/>
  <c r="A1027" i="9"/>
  <c r="U30" i="9"/>
  <c r="BW23" i="8"/>
  <c r="CB23" i="8" s="1"/>
  <c r="BW24" i="8"/>
  <c r="CB24" i="8" s="1"/>
  <c r="BW16" i="8"/>
  <c r="CB16" i="8" s="1"/>
  <c r="BW18" i="8"/>
  <c r="CB18" i="8" s="1"/>
  <c r="BW17" i="8"/>
  <c r="CB17" i="8" s="1"/>
  <c r="BW19" i="8"/>
  <c r="CB19" i="8" s="1"/>
  <c r="BW15" i="8"/>
  <c r="CB15" i="8" s="1"/>
  <c r="BW20" i="8"/>
  <c r="CB20" i="8" s="1"/>
  <c r="BW12" i="8"/>
  <c r="CB12" i="8" s="1"/>
  <c r="BW10" i="8"/>
  <c r="CB10" i="8" s="1"/>
  <c r="BW5" i="8"/>
  <c r="CB5" i="8" s="1"/>
  <c r="BW14" i="8"/>
  <c r="CB14" i="8" s="1"/>
  <c r="BW11" i="8"/>
  <c r="CB11" i="8" s="1"/>
  <c r="BW6" i="8"/>
  <c r="CB6" i="8" s="1"/>
  <c r="BW7" i="8"/>
  <c r="CB7" i="8" s="1"/>
  <c r="BW9" i="8"/>
  <c r="CB9" i="8" s="1"/>
  <c r="DO29" i="8"/>
  <c r="DU29" i="8" s="1"/>
  <c r="DO27" i="8"/>
  <c r="DR27" i="8" s="1"/>
  <c r="EB27" i="8" s="1"/>
  <c r="DV29" i="8"/>
  <c r="DS29" i="8" s="1"/>
  <c r="DO30" i="8"/>
  <c r="DP29" i="8"/>
  <c r="DO28" i="8"/>
  <c r="DP27" i="8"/>
  <c r="DV27" i="8"/>
  <c r="DS27" i="8" s="1"/>
  <c r="DO26" i="8"/>
  <c r="DV25" i="8"/>
  <c r="DS25" i="8" s="1"/>
  <c r="DP25" i="8"/>
  <c r="DO25" i="8"/>
  <c r="BY21" i="8"/>
  <c r="DV21" i="8"/>
  <c r="DS21" i="8" s="1"/>
  <c r="BY22" i="8"/>
  <c r="Y30" i="9" l="1"/>
  <c r="W30" i="9"/>
  <c r="X30" i="9"/>
  <c r="V30" i="9"/>
  <c r="A1028" i="9"/>
  <c r="U31" i="9"/>
  <c r="BY13" i="8"/>
  <c r="DO24" i="8"/>
  <c r="BY23" i="8"/>
  <c r="BY24" i="8"/>
  <c r="BY7" i="8"/>
  <c r="BY16" i="8"/>
  <c r="BY18" i="8"/>
  <c r="BY15" i="8"/>
  <c r="BY19" i="8"/>
  <c r="BY20" i="8"/>
  <c r="BY17" i="8"/>
  <c r="BY12" i="8"/>
  <c r="BY11" i="8"/>
  <c r="BY9" i="8"/>
  <c r="DP17" i="8"/>
  <c r="BY8" i="8"/>
  <c r="BY6" i="8"/>
  <c r="BY10" i="8"/>
  <c r="BY14" i="8"/>
  <c r="DO5" i="8"/>
  <c r="DR5" i="8" s="1"/>
  <c r="EB5" i="8" s="1"/>
  <c r="DV13" i="8"/>
  <c r="DS13" i="8" s="1"/>
  <c r="EG13" i="8" s="1"/>
  <c r="EF13" i="8" s="1"/>
  <c r="EH13" i="8" s="1"/>
  <c r="BY5" i="8"/>
  <c r="DR29" i="8"/>
  <c r="EB29" i="8" s="1"/>
  <c r="EC29" i="8" s="1"/>
  <c r="DU27" i="8"/>
  <c r="DR25" i="8"/>
  <c r="EB25" i="8" s="1"/>
  <c r="DU25" i="8"/>
  <c r="EG27" i="8"/>
  <c r="EF27" i="8" s="1"/>
  <c r="EH27" i="8" s="1"/>
  <c r="DS28" i="8"/>
  <c r="EG28" i="8" s="1"/>
  <c r="EF28" i="8" s="1"/>
  <c r="EH28" i="8" s="1"/>
  <c r="EI28" i="8" s="1"/>
  <c r="DU30" i="8"/>
  <c r="DR30" i="8"/>
  <c r="EB30" i="8" s="1"/>
  <c r="DT25" i="8"/>
  <c r="ET25" i="8" s="1"/>
  <c r="DP26" i="8"/>
  <c r="EL25" i="8"/>
  <c r="EK25" i="8" s="1"/>
  <c r="DT27" i="8"/>
  <c r="ET27" i="8" s="1"/>
  <c r="DP28" i="8"/>
  <c r="EL27" i="8"/>
  <c r="EK27" i="8" s="1"/>
  <c r="DS30" i="8"/>
  <c r="EG30" i="8" s="1"/>
  <c r="EF30" i="8" s="1"/>
  <c r="EH30" i="8" s="1"/>
  <c r="EI30" i="8" s="1"/>
  <c r="EG29" i="8"/>
  <c r="EF29" i="8" s="1"/>
  <c r="EH29" i="8" s="1"/>
  <c r="EG25" i="8"/>
  <c r="EF25" i="8" s="1"/>
  <c r="EH25" i="8" s="1"/>
  <c r="DS26" i="8"/>
  <c r="EG26" i="8" s="1"/>
  <c r="EF26" i="8" s="1"/>
  <c r="EH26" i="8" s="1"/>
  <c r="DR28" i="8"/>
  <c r="EB28" i="8" s="1"/>
  <c r="DU28" i="8"/>
  <c r="ED29" i="8"/>
  <c r="ED27" i="8"/>
  <c r="EA27" i="8"/>
  <c r="EC27" i="8"/>
  <c r="DU26" i="8"/>
  <c r="DR26" i="8"/>
  <c r="EB26" i="8" s="1"/>
  <c r="EL29" i="8"/>
  <c r="EK29" i="8" s="1"/>
  <c r="DT29" i="8"/>
  <c r="ET29" i="8" s="1"/>
  <c r="DP30" i="8"/>
  <c r="DP21" i="8"/>
  <c r="DP22" i="8" s="1"/>
  <c r="DO7" i="8"/>
  <c r="DU7" i="8" s="1"/>
  <c r="DO22" i="8"/>
  <c r="DR22" i="8" s="1"/>
  <c r="EB22" i="8" s="1"/>
  <c r="DO21" i="8"/>
  <c r="DU21" i="8" s="1"/>
  <c r="DO13" i="8"/>
  <c r="DR13" i="8" s="1"/>
  <c r="EB13" i="8" s="1"/>
  <c r="EA13" i="8" s="1"/>
  <c r="DS22" i="8"/>
  <c r="EG22" i="8" s="1"/>
  <c r="EF22" i="8" s="1"/>
  <c r="EH22" i="8" s="1"/>
  <c r="EG21" i="8"/>
  <c r="EF21" i="8" s="1"/>
  <c r="EH21" i="8" s="1"/>
  <c r="DO15" i="8"/>
  <c r="DU15" i="8" s="1"/>
  <c r="DO16" i="8"/>
  <c r="DR16" i="8" s="1"/>
  <c r="EB16" i="8" s="1"/>
  <c r="DP15" i="8"/>
  <c r="EL15" i="8" s="1"/>
  <c r="EK15" i="8" s="1"/>
  <c r="DV15" i="8"/>
  <c r="DS15" i="8" s="1"/>
  <c r="DO11" i="8"/>
  <c r="DU11" i="8" s="1"/>
  <c r="DV11" i="8"/>
  <c r="DS11" i="8" s="1"/>
  <c r="EG11" i="8" s="1"/>
  <c r="EF11" i="8" s="1"/>
  <c r="EH11" i="8" s="1"/>
  <c r="DO12" i="8"/>
  <c r="DV7" i="8"/>
  <c r="DS7" i="8" s="1"/>
  <c r="DP7" i="8"/>
  <c r="DO8" i="8"/>
  <c r="DP11" i="8"/>
  <c r="Y31" i="9" l="1"/>
  <c r="V31" i="9"/>
  <c r="W31" i="9"/>
  <c r="X31" i="9"/>
  <c r="A1029" i="9"/>
  <c r="U32" i="9"/>
  <c r="DP23" i="8"/>
  <c r="EL23" i="8" s="1"/>
  <c r="EK23" i="8" s="1"/>
  <c r="DU24" i="8"/>
  <c r="DR24" i="8"/>
  <c r="EB24" i="8" s="1"/>
  <c r="EC24" i="8" s="1"/>
  <c r="DV23" i="8"/>
  <c r="DS23" i="8" s="1"/>
  <c r="EG23" i="8" s="1"/>
  <c r="EF23" i="8" s="1"/>
  <c r="EH23" i="8" s="1"/>
  <c r="DO23" i="8"/>
  <c r="DP5" i="8"/>
  <c r="DT5" i="8" s="1"/>
  <c r="ET5" i="8" s="1"/>
  <c r="DO6" i="8"/>
  <c r="DR6" i="8" s="1"/>
  <c r="EB6" i="8" s="1"/>
  <c r="ED6" i="8" s="1"/>
  <c r="DO17" i="8"/>
  <c r="DU17" i="8" s="1"/>
  <c r="DV17" i="8"/>
  <c r="DS17" i="8" s="1"/>
  <c r="DS18" i="8" s="1"/>
  <c r="EG18" i="8" s="1"/>
  <c r="EF18" i="8" s="1"/>
  <c r="EH18" i="8" s="1"/>
  <c r="DO18" i="8"/>
  <c r="DU18" i="8" s="1"/>
  <c r="DO14" i="8"/>
  <c r="DU14" i="8" s="1"/>
  <c r="DP13" i="8"/>
  <c r="DP14" i="8" s="1"/>
  <c r="EL14" i="8" s="1"/>
  <c r="EK14" i="8" s="1"/>
  <c r="DV5" i="8"/>
  <c r="DS5" i="8" s="1"/>
  <c r="DS6" i="8" s="1"/>
  <c r="EG6" i="8" s="1"/>
  <c r="EF6" i="8" s="1"/>
  <c r="EH6" i="8" s="1"/>
  <c r="DO9" i="8"/>
  <c r="DR9" i="8" s="1"/>
  <c r="EB9" i="8" s="1"/>
  <c r="EC9" i="8" s="1"/>
  <c r="DV19" i="8"/>
  <c r="DS19" i="8" s="1"/>
  <c r="DP19" i="8"/>
  <c r="DO20" i="8"/>
  <c r="DO19" i="8"/>
  <c r="DV9" i="8"/>
  <c r="DS9" i="8" s="1"/>
  <c r="DS10" i="8" s="1"/>
  <c r="EG10" i="8" s="1"/>
  <c r="EF10" i="8" s="1"/>
  <c r="EH10" i="8" s="1"/>
  <c r="DO10" i="8"/>
  <c r="DR10" i="8" s="1"/>
  <c r="EB10" i="8" s="1"/>
  <c r="DP9" i="8"/>
  <c r="EL9" i="8" s="1"/>
  <c r="EK9" i="8" s="1"/>
  <c r="EA29" i="8"/>
  <c r="DR7" i="8"/>
  <c r="EB7" i="8" s="1"/>
  <c r="EC7" i="8" s="1"/>
  <c r="EU29" i="8"/>
  <c r="EV29" i="8" s="1"/>
  <c r="ES29" i="8"/>
  <c r="DT26" i="8"/>
  <c r="ET26" i="8" s="1"/>
  <c r="EL26" i="8"/>
  <c r="EK26" i="8" s="1"/>
  <c r="DT28" i="8"/>
  <c r="ET28" i="8" s="1"/>
  <c r="EL28" i="8"/>
  <c r="EK28" i="8" s="1"/>
  <c r="ES25" i="8"/>
  <c r="EU25" i="8"/>
  <c r="EV25" i="8" s="1"/>
  <c r="EA26" i="8"/>
  <c r="ED26" i="8"/>
  <c r="EE26" i="8" s="1"/>
  <c r="EC26" i="8"/>
  <c r="ES27" i="8"/>
  <c r="EU27" i="8"/>
  <c r="EV27" i="8" s="1"/>
  <c r="EA30" i="8"/>
  <c r="EC30" i="8"/>
  <c r="ED30" i="8"/>
  <c r="DT30" i="8"/>
  <c r="ET30" i="8" s="1"/>
  <c r="EL30" i="8"/>
  <c r="EK30" i="8" s="1"/>
  <c r="ED28" i="8"/>
  <c r="EE28" i="8" s="1"/>
  <c r="EA28" i="8"/>
  <c r="EC28" i="8"/>
  <c r="EA25" i="8"/>
  <c r="EC25" i="8"/>
  <c r="ED25" i="8"/>
  <c r="EL21" i="8"/>
  <c r="EK21" i="8" s="1"/>
  <c r="DT21" i="8"/>
  <c r="ET21" i="8" s="1"/>
  <c r="ES21" i="8" s="1"/>
  <c r="DU22" i="8"/>
  <c r="DU13" i="8"/>
  <c r="ED13" i="8"/>
  <c r="EC13" i="8"/>
  <c r="DR15" i="8"/>
  <c r="EB15" i="8" s="1"/>
  <c r="ED15" i="8" s="1"/>
  <c r="DR21" i="8"/>
  <c r="EB21" i="8" s="1"/>
  <c r="EA21" i="8" s="1"/>
  <c r="EC22" i="8"/>
  <c r="ED22" i="8"/>
  <c r="EA22" i="8"/>
  <c r="EL22" i="8"/>
  <c r="EK22" i="8" s="1"/>
  <c r="DT22" i="8"/>
  <c r="ET22" i="8" s="1"/>
  <c r="DU5" i="8"/>
  <c r="DU16" i="8"/>
  <c r="DT15" i="8"/>
  <c r="ET15" i="8" s="1"/>
  <c r="DP16" i="8"/>
  <c r="DT16" i="8" s="1"/>
  <c r="ET16" i="8" s="1"/>
  <c r="DS16" i="8"/>
  <c r="EG16" i="8" s="1"/>
  <c r="EF16" i="8" s="1"/>
  <c r="EH16" i="8" s="1"/>
  <c r="EG15" i="8"/>
  <c r="EF15" i="8" s="1"/>
  <c r="EH15" i="8" s="1"/>
  <c r="EC16" i="8"/>
  <c r="ED16" i="8"/>
  <c r="EA16" i="8"/>
  <c r="DT17" i="8"/>
  <c r="ET17" i="8" s="1"/>
  <c r="DP18" i="8"/>
  <c r="EL17" i="8"/>
  <c r="EK17" i="8" s="1"/>
  <c r="DS14" i="8"/>
  <c r="EG14" i="8" s="1"/>
  <c r="EF14" i="8" s="1"/>
  <c r="EH14" i="8" s="1"/>
  <c r="DR11" i="8"/>
  <c r="EB11" i="8" s="1"/>
  <c r="ED11" i="8" s="1"/>
  <c r="EL11" i="8"/>
  <c r="EK11" i="8" s="1"/>
  <c r="EL7" i="8"/>
  <c r="EK7" i="8" s="1"/>
  <c r="DP8" i="8"/>
  <c r="EL8" i="8" s="1"/>
  <c r="DT7" i="8"/>
  <c r="ET7" i="8" s="1"/>
  <c r="DP12" i="8"/>
  <c r="EL12" i="8" s="1"/>
  <c r="DT11" i="8"/>
  <c r="ET11" i="8" s="1"/>
  <c r="DS12" i="8"/>
  <c r="EG12" i="8" s="1"/>
  <c r="EF12" i="8" s="1"/>
  <c r="EH12" i="8" s="1"/>
  <c r="EA5" i="8"/>
  <c r="ED5" i="8"/>
  <c r="EC5" i="8"/>
  <c r="DU8" i="8"/>
  <c r="DR8" i="8"/>
  <c r="EB8" i="8" s="1"/>
  <c r="DR12" i="8"/>
  <c r="EB12" i="8" s="1"/>
  <c r="DU12" i="8"/>
  <c r="DS8" i="8"/>
  <c r="EG8" i="8" s="1"/>
  <c r="EF8" i="8" s="1"/>
  <c r="EH8" i="8" s="1"/>
  <c r="EG7" i="8"/>
  <c r="EF7" i="8" s="1"/>
  <c r="EH7" i="8" s="1"/>
  <c r="Y32" i="9" l="1"/>
  <c r="V32" i="9"/>
  <c r="X32" i="9"/>
  <c r="W32" i="9"/>
  <c r="A1030" i="9"/>
  <c r="U33" i="9"/>
  <c r="ED24" i="8"/>
  <c r="EA24" i="8"/>
  <c r="DP24" i="8"/>
  <c r="DT24" i="8" s="1"/>
  <c r="ET24" i="8" s="1"/>
  <c r="ES24" i="8" s="1"/>
  <c r="DT23" i="8"/>
  <c r="ET23" i="8" s="1"/>
  <c r="EU23" i="8" s="1"/>
  <c r="EV23" i="8" s="1"/>
  <c r="DR23" i="8"/>
  <c r="EB23" i="8" s="1"/>
  <c r="DU23" i="8"/>
  <c r="DS24" i="8"/>
  <c r="EG24" i="8" s="1"/>
  <c r="EF24" i="8" s="1"/>
  <c r="EH24" i="8" s="1"/>
  <c r="DT13" i="8"/>
  <c r="ET13" i="8" s="1"/>
  <c r="ES13" i="8" s="1"/>
  <c r="DP6" i="8"/>
  <c r="EL6" i="8" s="1"/>
  <c r="EK6" i="8" s="1"/>
  <c r="EL5" i="8"/>
  <c r="EK5" i="8" s="1"/>
  <c r="DU6" i="8"/>
  <c r="EA6" i="8"/>
  <c r="EC6" i="8"/>
  <c r="DT14" i="8"/>
  <c r="ET14" i="8" s="1"/>
  <c r="EU14" i="8" s="1"/>
  <c r="EV14" i="8" s="1"/>
  <c r="DR17" i="8"/>
  <c r="EB17" i="8" s="1"/>
  <c r="ED17" i="8" s="1"/>
  <c r="EG5" i="8"/>
  <c r="EF5" i="8" s="1"/>
  <c r="EH5" i="8" s="1"/>
  <c r="DR18" i="8"/>
  <c r="EB18" i="8" s="1"/>
  <c r="ED18" i="8" s="1"/>
  <c r="EG17" i="8"/>
  <c r="EF17" i="8" s="1"/>
  <c r="EH17" i="8" s="1"/>
  <c r="DR14" i="8"/>
  <c r="EB14" i="8" s="1"/>
  <c r="EC14" i="8" s="1"/>
  <c r="EL13" i="8"/>
  <c r="EK13" i="8" s="1"/>
  <c r="EA9" i="8"/>
  <c r="DU9" i="8"/>
  <c r="ED9" i="8"/>
  <c r="EG9" i="8"/>
  <c r="EF9" i="8" s="1"/>
  <c r="EH9" i="8" s="1"/>
  <c r="DU10" i="8"/>
  <c r="DR19" i="8"/>
  <c r="EB19" i="8" s="1"/>
  <c r="DU19" i="8"/>
  <c r="DR20" i="8"/>
  <c r="EB20" i="8" s="1"/>
  <c r="DU20" i="8"/>
  <c r="DT9" i="8"/>
  <c r="ET9" i="8" s="1"/>
  <c r="EU9" i="8" s="1"/>
  <c r="EV9" i="8" s="1"/>
  <c r="DP20" i="8"/>
  <c r="EL19" i="8"/>
  <c r="EK19" i="8" s="1"/>
  <c r="DT19" i="8"/>
  <c r="ET19" i="8" s="1"/>
  <c r="DP10" i="8"/>
  <c r="EL10" i="8" s="1"/>
  <c r="EK10" i="8" s="1"/>
  <c r="DS20" i="8"/>
  <c r="EG20" i="8" s="1"/>
  <c r="EF20" i="8" s="1"/>
  <c r="EH20" i="8" s="1"/>
  <c r="EG19" i="8"/>
  <c r="EF19" i="8" s="1"/>
  <c r="EH19" i="8" s="1"/>
  <c r="ED7" i="8"/>
  <c r="EA7" i="8"/>
  <c r="EU26" i="8"/>
  <c r="EV26" i="8" s="1"/>
  <c r="ES26" i="8"/>
  <c r="EU30" i="8"/>
  <c r="EV30" i="8" s="1"/>
  <c r="ES30" i="8"/>
  <c r="EU28" i="8"/>
  <c r="EV28" i="8" s="1"/>
  <c r="ES28" i="8"/>
  <c r="EL16" i="8"/>
  <c r="EK16" i="8" s="1"/>
  <c r="EU21" i="8"/>
  <c r="EV21" i="8" s="1"/>
  <c r="EC15" i="8"/>
  <c r="EA15" i="8"/>
  <c r="EC21" i="8"/>
  <c r="ED21" i="8"/>
  <c r="EU22" i="8"/>
  <c r="EV22" i="8" s="1"/>
  <c r="ES22" i="8"/>
  <c r="ES17" i="8"/>
  <c r="EU17" i="8"/>
  <c r="EV17" i="8" s="1"/>
  <c r="ES15" i="8"/>
  <c r="EU15" i="8"/>
  <c r="EV15" i="8" s="1"/>
  <c r="EU11" i="8"/>
  <c r="EV11" i="8" s="1"/>
  <c r="ES11" i="8"/>
  <c r="ES7" i="8"/>
  <c r="EU7" i="8"/>
  <c r="EV7" i="8" s="1"/>
  <c r="ES5" i="8"/>
  <c r="EU5" i="8"/>
  <c r="EV5" i="8" s="1"/>
  <c r="ES16" i="8"/>
  <c r="EU16" i="8"/>
  <c r="EV16" i="8" s="1"/>
  <c r="EA11" i="8"/>
  <c r="DT18" i="8"/>
  <c r="ET18" i="8" s="1"/>
  <c r="EL18" i="8"/>
  <c r="EK18" i="8" s="1"/>
  <c r="EC11" i="8"/>
  <c r="DT12" i="8"/>
  <c r="ET12" i="8" s="1"/>
  <c r="EK12" i="8"/>
  <c r="DT8" i="8"/>
  <c r="ET8" i="8" s="1"/>
  <c r="EK8" i="8"/>
  <c r="ED8" i="8"/>
  <c r="EC8" i="8"/>
  <c r="EA8" i="8"/>
  <c r="EA10" i="8"/>
  <c r="ED10" i="8"/>
  <c r="EC10" i="8"/>
  <c r="EC12" i="8"/>
  <c r="EA12" i="8"/>
  <c r="ED12" i="8"/>
  <c r="Y33" i="9" l="1"/>
  <c r="W33" i="9"/>
  <c r="X33" i="9"/>
  <c r="V33" i="9"/>
  <c r="A1031" i="9"/>
  <c r="U34" i="9"/>
  <c r="DT6" i="8"/>
  <c r="ET6" i="8" s="1"/>
  <c r="EU6" i="8" s="1"/>
  <c r="EV6" i="8" s="1"/>
  <c r="ES23" i="8"/>
  <c r="EU24" i="8"/>
  <c r="EV24" i="8" s="1"/>
  <c r="EL24" i="8"/>
  <c r="EK24" i="8" s="1"/>
  <c r="EU13" i="8"/>
  <c r="EV13" i="8" s="1"/>
  <c r="EA23" i="8"/>
  <c r="ED23" i="8"/>
  <c r="EC23" i="8"/>
  <c r="ES14" i="8"/>
  <c r="ES9" i="8"/>
  <c r="ED14" i="8"/>
  <c r="EA17" i="8"/>
  <c r="EC17" i="8"/>
  <c r="EA18" i="8"/>
  <c r="EC18" i="8"/>
  <c r="EA14" i="8"/>
  <c r="DT10" i="8"/>
  <c r="ET10" i="8" s="1"/>
  <c r="ES10" i="8" s="1"/>
  <c r="EU19" i="8"/>
  <c r="EV19" i="8" s="1"/>
  <c r="ES19" i="8"/>
  <c r="EC20" i="8"/>
  <c r="ED20" i="8"/>
  <c r="EA20" i="8"/>
  <c r="EL20" i="8"/>
  <c r="EK20" i="8" s="1"/>
  <c r="DT20" i="8"/>
  <c r="ET20" i="8" s="1"/>
  <c r="EA19" i="8"/>
  <c r="ED19" i="8"/>
  <c r="EC19" i="8"/>
  <c r="EU18" i="8"/>
  <c r="EV18" i="8" s="1"/>
  <c r="ES18" i="8"/>
  <c r="ES12" i="8"/>
  <c r="EU12" i="8"/>
  <c r="EV12" i="8" s="1"/>
  <c r="ES8" i="8"/>
  <c r="EU8" i="8"/>
  <c r="EV8" i="8" s="1"/>
  <c r="W34" i="9" l="1"/>
  <c r="X34" i="9"/>
  <c r="Y34" i="9"/>
  <c r="V34" i="9"/>
  <c r="A1032" i="9"/>
  <c r="U35" i="9"/>
  <c r="ES6" i="8"/>
  <c r="EU10" i="8"/>
  <c r="EV10" i="8" s="1"/>
  <c r="EU20" i="8"/>
  <c r="EV20" i="8" s="1"/>
  <c r="ES20" i="8"/>
  <c r="BS3" i="8"/>
  <c r="BQ4" i="8"/>
  <c r="A1033" i="9" l="1"/>
  <c r="U36" i="9"/>
  <c r="W35" i="9"/>
  <c r="X35" i="9"/>
  <c r="Y35" i="9"/>
  <c r="V35" i="9"/>
  <c r="BW3" i="8"/>
  <c r="CB3" i="8" s="1"/>
  <c r="BS4" i="8"/>
  <c r="V36" i="9" l="1"/>
  <c r="Y36" i="9"/>
  <c r="X36" i="9"/>
  <c r="W36" i="9"/>
  <c r="A1034" i="9"/>
  <c r="U37" i="9"/>
  <c r="BW4" i="8"/>
  <c r="CB4" i="8" s="1"/>
  <c r="V37" i="9" l="1"/>
  <c r="W37" i="9"/>
  <c r="X37" i="9"/>
  <c r="Y37" i="9"/>
  <c r="A1035" i="9"/>
  <c r="U38" i="9"/>
  <c r="BY3" i="8"/>
  <c r="BY4" i="8"/>
  <c r="DO3" i="8"/>
  <c r="DU3" i="8" s="1"/>
  <c r="DV3" i="8"/>
  <c r="DS3" i="8" s="1"/>
  <c r="DO4" i="8"/>
  <c r="DP3" i="8"/>
  <c r="W38" i="9" l="1"/>
  <c r="X38" i="9"/>
  <c r="Y38" i="9"/>
  <c r="V38" i="9"/>
  <c r="A1036" i="9"/>
  <c r="U39" i="9"/>
  <c r="EL3" i="8"/>
  <c r="EK3" i="8" s="1"/>
  <c r="EJ3" i="8" s="1"/>
  <c r="DP4" i="8"/>
  <c r="EL4" i="8" s="1"/>
  <c r="DT3" i="8"/>
  <c r="ET3" i="8" s="1"/>
  <c r="DS4" i="8"/>
  <c r="EG4" i="8" s="1"/>
  <c r="EF4" i="8" s="1"/>
  <c r="EH4" i="8" s="1"/>
  <c r="EG3" i="8"/>
  <c r="EF3" i="8" s="1"/>
  <c r="DR3" i="8"/>
  <c r="EB3" i="8" s="1"/>
  <c r="EA3" i="8" s="1"/>
  <c r="DU4" i="8"/>
  <c r="DR4" i="8"/>
  <c r="EB4" i="8" s="1"/>
  <c r="A1037" i="9" l="1"/>
  <c r="U40" i="9"/>
  <c r="W39" i="9"/>
  <c r="Y39" i="9"/>
  <c r="V39" i="9"/>
  <c r="X39" i="9"/>
  <c r="EQ6" i="8"/>
  <c r="EQ24" i="8"/>
  <c r="EQ42" i="8"/>
  <c r="EQ30" i="8"/>
  <c r="EQ48" i="8"/>
  <c r="EQ28" i="8"/>
  <c r="EQ22" i="8"/>
  <c r="EQ40" i="8"/>
  <c r="EQ20" i="8"/>
  <c r="EQ46" i="8"/>
  <c r="EQ18" i="8"/>
  <c r="EQ44" i="8"/>
  <c r="EQ38" i="8"/>
  <c r="EQ10" i="8"/>
  <c r="EQ36" i="8"/>
  <c r="EQ16" i="8"/>
  <c r="EQ34" i="8"/>
  <c r="EQ8" i="8"/>
  <c r="EQ26" i="8"/>
  <c r="EQ14" i="8"/>
  <c r="EQ32" i="8"/>
  <c r="EQ12" i="8"/>
  <c r="EP38" i="8"/>
  <c r="EP42" i="8"/>
  <c r="EP10" i="8"/>
  <c r="EP48" i="8"/>
  <c r="EP32" i="8"/>
  <c r="EP16" i="8"/>
  <c r="EP12" i="8"/>
  <c r="EP22" i="8"/>
  <c r="EP24" i="8"/>
  <c r="EP18" i="8"/>
  <c r="EP36" i="8"/>
  <c r="EP14" i="8"/>
  <c r="EP34" i="8"/>
  <c r="EP46" i="8"/>
  <c r="EP44" i="8"/>
  <c r="EP28" i="8"/>
  <c r="EP26" i="8"/>
  <c r="EP40" i="8"/>
  <c r="EP8" i="8"/>
  <c r="EP30" i="8"/>
  <c r="EP6" i="8"/>
  <c r="EP20" i="8"/>
  <c r="ES3" i="8"/>
  <c r="ER3" i="8" s="1"/>
  <c r="EU3" i="8"/>
  <c r="EV3" i="8" s="1"/>
  <c r="DT4" i="8"/>
  <c r="ET4" i="8" s="1"/>
  <c r="EK4" i="8"/>
  <c r="EJ4" i="8" s="1"/>
  <c r="EH3" i="8"/>
  <c r="EC3" i="8"/>
  <c r="ED3" i="8"/>
  <c r="EE24" i="8" s="1"/>
  <c r="ED4" i="8"/>
  <c r="EC4" i="8"/>
  <c r="EA4" i="8"/>
  <c r="EP13" i="8" s="1"/>
  <c r="Y40" i="9" l="1"/>
  <c r="X40" i="9"/>
  <c r="W40" i="9"/>
  <c r="V40" i="9"/>
  <c r="A1038" i="9"/>
  <c r="U41" i="9"/>
  <c r="EE30" i="8"/>
  <c r="EE29" i="8"/>
  <c r="EI27" i="8"/>
  <c r="EI25" i="8"/>
  <c r="EQ37" i="8"/>
  <c r="EQ9" i="8"/>
  <c r="EQ35" i="8"/>
  <c r="EQ15" i="8"/>
  <c r="EQ33" i="8"/>
  <c r="EQ25" i="8"/>
  <c r="EQ11" i="8"/>
  <c r="EQ5" i="8"/>
  <c r="EQ23" i="8"/>
  <c r="EQ41" i="8"/>
  <c r="EQ29" i="8"/>
  <c r="EQ47" i="8"/>
  <c r="EQ27" i="8"/>
  <c r="EQ7" i="8"/>
  <c r="EQ13" i="8"/>
  <c r="EQ31" i="8"/>
  <c r="EQ21" i="8"/>
  <c r="EQ39" i="8"/>
  <c r="EQ19" i="8"/>
  <c r="EQ45" i="8"/>
  <c r="EQ17" i="8"/>
  <c r="EQ43" i="8"/>
  <c r="EE27" i="8"/>
  <c r="EI26" i="8"/>
  <c r="EI29" i="8"/>
  <c r="EE25" i="8"/>
  <c r="EI18" i="8"/>
  <c r="EI24" i="8"/>
  <c r="EE22" i="8"/>
  <c r="EE20" i="8"/>
  <c r="EI20" i="8"/>
  <c r="EI22" i="8"/>
  <c r="EI8" i="8"/>
  <c r="EE23" i="8"/>
  <c r="EE21" i="8"/>
  <c r="EI21" i="8"/>
  <c r="EI23" i="8"/>
  <c r="EE18" i="8"/>
  <c r="EE19" i="8"/>
  <c r="EI4" i="8"/>
  <c r="EI19" i="8"/>
  <c r="EP37" i="8"/>
  <c r="EP25" i="8"/>
  <c r="EP27" i="8"/>
  <c r="EP31" i="8"/>
  <c r="EP41" i="8"/>
  <c r="EP9" i="8"/>
  <c r="EP17" i="8"/>
  <c r="EP11" i="8"/>
  <c r="EP15" i="8"/>
  <c r="EP21" i="8"/>
  <c r="EP19" i="8"/>
  <c r="EP43" i="8"/>
  <c r="EP33" i="8"/>
  <c r="EP7" i="8"/>
  <c r="EP47" i="8"/>
  <c r="EP5" i="8"/>
  <c r="EP45" i="8"/>
  <c r="EP35" i="8"/>
  <c r="EP23" i="8"/>
  <c r="EP39" i="8"/>
  <c r="EP29" i="8"/>
  <c r="EU4" i="8"/>
  <c r="EV4" i="8" s="1"/>
  <c r="EW3" i="8" s="1"/>
  <c r="ES4" i="8"/>
  <c r="ER4" i="8" s="1"/>
  <c r="EE15" i="8"/>
  <c r="EI14" i="8"/>
  <c r="EI16" i="8"/>
  <c r="EE16" i="8"/>
  <c r="EE17" i="8"/>
  <c r="EI15" i="8"/>
  <c r="EI17" i="8"/>
  <c r="EJ5" i="8"/>
  <c r="EI11" i="8"/>
  <c r="EI10" i="8"/>
  <c r="EI7" i="8"/>
  <c r="EI9" i="8"/>
  <c r="EI13" i="8"/>
  <c r="EI5" i="8"/>
  <c r="EI3" i="8"/>
  <c r="EI12" i="8"/>
  <c r="EI6" i="8"/>
  <c r="EE10" i="8"/>
  <c r="EE5" i="8"/>
  <c r="EE13" i="8"/>
  <c r="EE12" i="8"/>
  <c r="EE4" i="8"/>
  <c r="EE7" i="8"/>
  <c r="EE14" i="8"/>
  <c r="EE3" i="8"/>
  <c r="EE9" i="8"/>
  <c r="EE8" i="8"/>
  <c r="EE11" i="8"/>
  <c r="EE6" i="8"/>
  <c r="W41" i="9" l="1"/>
  <c r="X41" i="9"/>
  <c r="Y41" i="9"/>
  <c r="V41" i="9"/>
  <c r="A1039" i="9"/>
  <c r="U42" i="9"/>
  <c r="ER5" i="8"/>
  <c r="FD2" i="8"/>
  <c r="EJ6" i="8"/>
  <c r="EJ7" i="8" s="1"/>
  <c r="EJ8" i="8" s="1"/>
  <c r="EJ9" i="8" s="1"/>
  <c r="EJ10" i="8" s="1"/>
  <c r="EJ11" i="8" s="1"/>
  <c r="EJ12" i="8" s="1"/>
  <c r="EJ13" i="8" s="1"/>
  <c r="EJ14" i="8" s="1"/>
  <c r="EJ15" i="8" s="1"/>
  <c r="EJ16" i="8" s="1"/>
  <c r="EJ17" i="8" s="1"/>
  <c r="EJ18" i="8" s="1"/>
  <c r="EJ19" i="8" s="1"/>
  <c r="EJ20" i="8" s="1"/>
  <c r="EJ21" i="8" s="1"/>
  <c r="EJ22" i="8" s="1"/>
  <c r="EJ23" i="8" s="1"/>
  <c r="EJ24" i="8" s="1"/>
  <c r="EJ25" i="8" s="1"/>
  <c r="EJ26" i="8" s="1"/>
  <c r="EJ27" i="8" s="1"/>
  <c r="EJ28" i="8" s="1"/>
  <c r="EJ29" i="8" s="1"/>
  <c r="EJ30" i="8" s="1"/>
  <c r="EJ31" i="8" s="1"/>
  <c r="EJ32" i="8" s="1"/>
  <c r="EJ33" i="8" s="1"/>
  <c r="A1040" i="9" l="1"/>
  <c r="U43" i="9"/>
  <c r="V42" i="9"/>
  <c r="X42" i="9"/>
  <c r="Y42" i="9"/>
  <c r="W42" i="9"/>
  <c r="ER6" i="8"/>
  <c r="ER7" i="8" s="1"/>
  <c r="ER8" i="8" s="1"/>
  <c r="ER9" i="8" s="1"/>
  <c r="ER10" i="8" s="1"/>
  <c r="ER11" i="8" s="1"/>
  <c r="ER12" i="8" s="1"/>
  <c r="ER13" i="8" s="1"/>
  <c r="ER14" i="8" s="1"/>
  <c r="ER15" i="8" s="1"/>
  <c r="ER16" i="8" s="1"/>
  <c r="ER17" i="8" s="1"/>
  <c r="ER18" i="8" s="1"/>
  <c r="ER19" i="8" s="1"/>
  <c r="ER20" i="8" s="1"/>
  <c r="ER21" i="8" s="1"/>
  <c r="ER22" i="8" s="1"/>
  <c r="ER23" i="8" s="1"/>
  <c r="ER24" i="8" s="1"/>
  <c r="ER25" i="8" s="1"/>
  <c r="ER26" i="8" s="1"/>
  <c r="ER27" i="8" s="1"/>
  <c r="ER28" i="8" s="1"/>
  <c r="ER29" i="8" s="1"/>
  <c r="ER30" i="8" s="1"/>
  <c r="ER31" i="8" s="1"/>
  <c r="ER32" i="8" s="1"/>
  <c r="X43" i="9" l="1"/>
  <c r="Y43" i="9"/>
  <c r="V43" i="9"/>
  <c r="W43" i="9"/>
  <c r="A1041" i="9"/>
  <c r="U44" i="9"/>
  <c r="ER33" i="8"/>
  <c r="V44" i="9" l="1"/>
  <c r="Y44" i="9"/>
  <c r="X44" i="9"/>
  <c r="W44" i="9"/>
  <c r="A1042" i="9"/>
  <c r="U45" i="9"/>
  <c r="ER34" i="8"/>
  <c r="V45" i="9" l="1"/>
  <c r="W45" i="9"/>
  <c r="X45" i="9"/>
  <c r="Y45" i="9"/>
  <c r="A1043" i="9"/>
  <c r="U46" i="9"/>
  <c r="ER35" i="8"/>
  <c r="V46" i="9" l="1"/>
  <c r="W46" i="9"/>
  <c r="X46" i="9"/>
  <c r="Y46" i="9"/>
  <c r="A1044" i="9"/>
  <c r="U47" i="9"/>
  <c r="ER36" i="8"/>
  <c r="ER37" i="8" s="1"/>
  <c r="ER38" i="8" s="1"/>
  <c r="ER39" i="8" s="1"/>
  <c r="ER40" i="8" s="1"/>
  <c r="ER41" i="8" s="1"/>
  <c r="ER42" i="8" s="1"/>
  <c r="ER43" i="8" s="1"/>
  <c r="ER44" i="8" s="1"/>
  <c r="ER45" i="8" s="1"/>
  <c r="ER46" i="8" s="1"/>
  <c r="ER47" i="8" s="1"/>
  <c r="ER48" i="8" s="1"/>
  <c r="EZ2" i="8" s="1"/>
  <c r="EZ3" i="8" s="1"/>
  <c r="EZ4" i="8" s="1"/>
  <c r="EZ5" i="8" s="1"/>
  <c r="EZ6" i="8" s="1"/>
  <c r="EZ7" i="8" s="1"/>
  <c r="EZ8" i="8" s="1"/>
  <c r="EZ9" i="8" s="1"/>
  <c r="EZ10" i="8" s="1"/>
  <c r="EZ11" i="8" s="1"/>
  <c r="EZ12" i="8" s="1"/>
  <c r="EZ13" i="8" s="1"/>
  <c r="EZ14" i="8" s="1"/>
  <c r="EZ15" i="8" s="1"/>
  <c r="EZ16" i="8" s="1"/>
  <c r="EZ17" i="8" s="1"/>
  <c r="EZ18" i="8" s="1"/>
  <c r="EZ19" i="8" s="1"/>
  <c r="EZ20" i="8" s="1"/>
  <c r="EZ21" i="8" s="1"/>
  <c r="EZ22" i="8" s="1"/>
  <c r="EZ23" i="8" s="1"/>
  <c r="EZ24" i="8" s="1"/>
  <c r="EZ25" i="8" s="1"/>
  <c r="EZ26" i="8" s="1"/>
  <c r="EZ27" i="8" s="1"/>
  <c r="EZ28" i="8" s="1"/>
  <c r="EZ29" i="8" s="1"/>
  <c r="EZ30" i="8" s="1"/>
  <c r="EZ31" i="8" s="1"/>
  <c r="EZ32" i="8" s="1"/>
  <c r="EZ33" i="8" s="1"/>
  <c r="EZ34" i="8" s="1"/>
  <c r="EZ35" i="8" s="1"/>
  <c r="V47" i="9" l="1"/>
  <c r="W47" i="9"/>
  <c r="X47" i="9"/>
  <c r="Y47" i="9"/>
  <c r="A1045" i="9"/>
  <c r="U48" i="9"/>
  <c r="EY2" i="8"/>
  <c r="EY3" i="8" s="1"/>
  <c r="EZ36" i="8"/>
  <c r="EZ37" i="8" s="1"/>
  <c r="EZ38" i="8" s="1"/>
  <c r="EZ39" i="8" s="1"/>
  <c r="EZ40" i="8" s="1"/>
  <c r="EZ41" i="8" s="1"/>
  <c r="EZ42" i="8" s="1"/>
  <c r="EZ43" i="8" s="1"/>
  <c r="EZ44" i="8" s="1"/>
  <c r="EZ45" i="8" s="1"/>
  <c r="EZ46" i="8" s="1"/>
  <c r="EZ47" i="8" s="1"/>
  <c r="EZ48" i="8" s="1"/>
  <c r="X48" i="9" l="1"/>
  <c r="V48" i="9"/>
  <c r="Y48" i="9"/>
  <c r="W48" i="9"/>
  <c r="A1046" i="9"/>
  <c r="U49" i="9"/>
  <c r="EY4" i="8"/>
  <c r="EX3" i="8"/>
  <c r="V49" i="9" l="1"/>
  <c r="Y49" i="9"/>
  <c r="W49" i="9"/>
  <c r="X49" i="9"/>
  <c r="A1047" i="9"/>
  <c r="U50" i="9"/>
  <c r="EY5" i="8"/>
  <c r="EX4" i="8"/>
  <c r="V50" i="9" l="1"/>
  <c r="W50" i="9"/>
  <c r="X50" i="9"/>
  <c r="Y50" i="9"/>
  <c r="A1048" i="9"/>
  <c r="U51" i="9"/>
  <c r="EY6" i="8"/>
  <c r="EX5" i="8"/>
  <c r="Y51" i="9" l="1"/>
  <c r="W51" i="9"/>
  <c r="X51" i="9"/>
  <c r="V51" i="9"/>
  <c r="A1049" i="9"/>
  <c r="U52" i="9"/>
  <c r="EY7" i="8"/>
  <c r="EX6" i="8"/>
  <c r="W52" i="9" l="1"/>
  <c r="V52" i="9"/>
  <c r="Y52" i="9"/>
  <c r="X52" i="9"/>
  <c r="A1050" i="9"/>
  <c r="U53" i="9"/>
  <c r="EY8" i="8"/>
  <c r="EX7" i="8"/>
  <c r="V53" i="9" l="1"/>
  <c r="W53" i="9"/>
  <c r="X53" i="9"/>
  <c r="Y53" i="9"/>
  <c r="A1051" i="9"/>
  <c r="U54" i="9"/>
  <c r="EY9" i="8"/>
  <c r="EX8" i="8"/>
  <c r="W54" i="9" l="1"/>
  <c r="X54" i="9"/>
  <c r="Y54" i="9"/>
  <c r="V54" i="9"/>
  <c r="A1052" i="9"/>
  <c r="U55" i="9"/>
  <c r="EY10" i="8"/>
  <c r="EY11" i="8" s="1"/>
  <c r="EY12" i="8" s="1"/>
  <c r="EY13" i="8" s="1"/>
  <c r="EY14" i="8" s="1"/>
  <c r="EY15" i="8" s="1"/>
  <c r="EY16" i="8" s="1"/>
  <c r="EY17" i="8" s="1"/>
  <c r="EY18" i="8" s="1"/>
  <c r="EY19" i="8" s="1"/>
  <c r="EY20" i="8" s="1"/>
  <c r="EY21" i="8" s="1"/>
  <c r="EY22" i="8" s="1"/>
  <c r="EY23" i="8" s="1"/>
  <c r="EY24" i="8" s="1"/>
  <c r="EY25" i="8" s="1"/>
  <c r="EY26" i="8" s="1"/>
  <c r="EY27" i="8" s="1"/>
  <c r="EY28" i="8" s="1"/>
  <c r="EY29" i="8" s="1"/>
  <c r="EY30" i="8" s="1"/>
  <c r="EY31" i="8" s="1"/>
  <c r="EY32" i="8" s="1"/>
  <c r="EY33" i="8" s="1"/>
  <c r="EY34" i="8" s="1"/>
  <c r="EY35" i="8" s="1"/>
  <c r="EY36" i="8" s="1"/>
  <c r="EY37" i="8" s="1"/>
  <c r="EY38" i="8" s="1"/>
  <c r="EY39" i="8" s="1"/>
  <c r="EY40" i="8" s="1"/>
  <c r="EY41" i="8" s="1"/>
  <c r="EY42" i="8" s="1"/>
  <c r="EY43" i="8" s="1"/>
  <c r="EY44" i="8" s="1"/>
  <c r="EY45" i="8" s="1"/>
  <c r="EY46" i="8" s="1"/>
  <c r="EY47" i="8" s="1"/>
  <c r="EY48" i="8" s="1"/>
  <c r="EX9" i="8"/>
  <c r="A1053" i="9" l="1"/>
  <c r="U56" i="9"/>
  <c r="Y55" i="9"/>
  <c r="V55" i="9"/>
  <c r="W55" i="9"/>
  <c r="X55" i="9"/>
  <c r="EX10" i="8"/>
  <c r="EX11" i="8" s="1"/>
  <c r="EX12" i="8" s="1"/>
  <c r="EX13" i="8" s="1"/>
  <c r="EX14" i="8" s="1"/>
  <c r="EX15" i="8" s="1"/>
  <c r="EX16" i="8" s="1"/>
  <c r="EX17" i="8" s="1"/>
  <c r="EX18" i="8" s="1"/>
  <c r="EX19" i="8" s="1"/>
  <c r="EX20" i="8" s="1"/>
  <c r="EX21" i="8" s="1"/>
  <c r="EX22" i="8" s="1"/>
  <c r="EX23" i="8" s="1"/>
  <c r="EX24" i="8" s="1"/>
  <c r="EX25" i="8" s="1"/>
  <c r="EX26" i="8" s="1"/>
  <c r="EX27" i="8" s="1"/>
  <c r="EX28" i="8" s="1"/>
  <c r="EX29" i="8" s="1"/>
  <c r="EX30" i="8" s="1"/>
  <c r="EX31" i="8" s="1"/>
  <c r="EX32" i="8" s="1"/>
  <c r="EX33" i="8" s="1"/>
  <c r="EX34" i="8" s="1"/>
  <c r="EX35" i="8" s="1"/>
  <c r="EX36" i="8" s="1"/>
  <c r="EX37" i="8" s="1"/>
  <c r="EX38" i="8" s="1"/>
  <c r="EX39" i="8" s="1"/>
  <c r="EX40" i="8" s="1"/>
  <c r="EX41" i="8" s="1"/>
  <c r="EX42" i="8" s="1"/>
  <c r="EX43" i="8" s="1"/>
  <c r="EX44" i="8" s="1"/>
  <c r="EX45" i="8" s="1"/>
  <c r="EX46" i="8" s="1"/>
  <c r="EX47" i="8" s="1"/>
  <c r="EX48" i="8" s="1"/>
  <c r="EY1" i="8" s="1"/>
  <c r="X56" i="9" l="1"/>
  <c r="V56" i="9"/>
  <c r="Y56" i="9"/>
  <c r="W56" i="9"/>
  <c r="A1054" i="9"/>
  <c r="U57" i="9"/>
  <c r="FC2" i="8"/>
  <c r="FB2" i="8"/>
  <c r="EO3" i="8" s="1"/>
  <c r="EQ3" i="8" s="1"/>
  <c r="W57" i="9" l="1"/>
  <c r="X57" i="9"/>
  <c r="Y57" i="9"/>
  <c r="V57" i="9"/>
  <c r="A1055" i="9"/>
  <c r="U58" i="9"/>
  <c r="EO4" i="8"/>
  <c r="EQ4" i="8" s="1"/>
  <c r="EP3" i="8"/>
  <c r="EN3" i="8" s="1"/>
  <c r="A1056" i="9" l="1"/>
  <c r="U59" i="9"/>
  <c r="V58" i="9"/>
  <c r="X58" i="9"/>
  <c r="W58" i="9"/>
  <c r="Y58" i="9"/>
  <c r="EP4" i="8"/>
  <c r="EN4" i="8" s="1"/>
  <c r="X59" i="9" l="1"/>
  <c r="Y59" i="9"/>
  <c r="V59" i="9"/>
  <c r="W59" i="9"/>
  <c r="A1057" i="9"/>
  <c r="U60" i="9"/>
  <c r="EN5" i="8"/>
  <c r="Y60" i="9" l="1"/>
  <c r="X60" i="9"/>
  <c r="W60" i="9"/>
  <c r="V60" i="9"/>
  <c r="A1058" i="9"/>
  <c r="U61" i="9"/>
  <c r="EN6" i="8"/>
  <c r="Y61" i="9" l="1"/>
  <c r="X61" i="9"/>
  <c r="V61" i="9"/>
  <c r="W61" i="9"/>
  <c r="A1059" i="9"/>
  <c r="U62" i="9"/>
  <c r="EN7" i="8"/>
  <c r="W62" i="9" l="1"/>
  <c r="X62" i="9"/>
  <c r="Y62" i="9"/>
  <c r="V62" i="9"/>
  <c r="A1060" i="9"/>
  <c r="U63" i="9"/>
  <c r="EN8" i="8"/>
  <c r="A1061" i="9" l="1"/>
  <c r="U64" i="9"/>
  <c r="V63" i="9"/>
  <c r="W63" i="9"/>
  <c r="X63" i="9"/>
  <c r="Y63" i="9"/>
  <c r="EN9" i="8"/>
  <c r="X64" i="9" l="1"/>
  <c r="V64" i="9"/>
  <c r="Y64" i="9"/>
  <c r="W64" i="9"/>
  <c r="A1062" i="9"/>
  <c r="U65" i="9"/>
  <c r="EN10" i="8"/>
  <c r="W65" i="9" l="1"/>
  <c r="X65" i="9"/>
  <c r="Y65" i="9"/>
  <c r="V65" i="9"/>
  <c r="A1063" i="9"/>
  <c r="U66" i="9"/>
  <c r="EN11" i="8"/>
  <c r="A1064" i="9" l="1"/>
  <c r="U67" i="9"/>
  <c r="Y66" i="9"/>
  <c r="V66" i="9"/>
  <c r="X66" i="9"/>
  <c r="W66" i="9"/>
  <c r="EN12" i="8"/>
  <c r="X67" i="9" l="1"/>
  <c r="Y67" i="9"/>
  <c r="W67" i="9"/>
  <c r="V67" i="9"/>
  <c r="A1065" i="9"/>
  <c r="U68" i="9"/>
  <c r="EN13" i="8"/>
  <c r="X68" i="9" l="1"/>
  <c r="V68" i="9"/>
  <c r="Y68" i="9"/>
  <c r="W68" i="9"/>
  <c r="A1066" i="9"/>
  <c r="U69" i="9"/>
  <c r="EN14" i="8"/>
  <c r="V69" i="9" l="1"/>
  <c r="W69" i="9"/>
  <c r="X69" i="9"/>
  <c r="Y69" i="9"/>
  <c r="A1067" i="9"/>
  <c r="U70" i="9"/>
  <c r="EN15" i="8"/>
  <c r="Y70" i="9" l="1"/>
  <c r="V70" i="9"/>
  <c r="W70" i="9"/>
  <c r="X70" i="9"/>
  <c r="A1068" i="9"/>
  <c r="U71" i="9"/>
  <c r="EN16" i="8"/>
  <c r="W71" i="9" l="1"/>
  <c r="X71" i="9"/>
  <c r="Y71" i="9"/>
  <c r="V71" i="9"/>
  <c r="A1069" i="9"/>
  <c r="U72" i="9"/>
  <c r="EN17" i="8"/>
  <c r="A1070" i="9" l="1"/>
  <c r="U73" i="9"/>
  <c r="W72" i="9"/>
  <c r="X72" i="9"/>
  <c r="V72" i="9"/>
  <c r="Y72" i="9"/>
  <c r="EN18" i="8"/>
  <c r="Y73" i="9" l="1"/>
  <c r="W73" i="9"/>
  <c r="V73" i="9"/>
  <c r="X73" i="9"/>
  <c r="A1071" i="9"/>
  <c r="U74" i="9"/>
  <c r="EN19" i="8"/>
  <c r="Y74" i="9" l="1"/>
  <c r="V74" i="9"/>
  <c r="W74" i="9"/>
  <c r="X74" i="9"/>
  <c r="A1072" i="9"/>
  <c r="U75" i="9"/>
  <c r="EN20" i="8"/>
  <c r="V75" i="9" l="1"/>
  <c r="W75" i="9"/>
  <c r="X75" i="9"/>
  <c r="Y75" i="9"/>
  <c r="A1073" i="9"/>
  <c r="U76" i="9"/>
  <c r="EN21" i="8"/>
  <c r="V76" i="9" l="1"/>
  <c r="Y76" i="9"/>
  <c r="W76" i="9"/>
  <c r="X76" i="9"/>
  <c r="A1074" i="9"/>
  <c r="U77" i="9"/>
  <c r="EN22" i="8"/>
  <c r="X77" i="9" l="1"/>
  <c r="Y77" i="9"/>
  <c r="V77" i="9"/>
  <c r="W77" i="9"/>
  <c r="A1075" i="9"/>
  <c r="U78" i="9"/>
  <c r="EN23" i="8"/>
  <c r="W78" i="9" l="1"/>
  <c r="X78" i="9"/>
  <c r="Y78" i="9"/>
  <c r="V78" i="9"/>
  <c r="A1076" i="9"/>
  <c r="U79" i="9"/>
  <c r="EN24" i="8"/>
  <c r="A1077" i="9" l="1"/>
  <c r="U80" i="9"/>
  <c r="Y79" i="9"/>
  <c r="V79" i="9"/>
  <c r="W79" i="9"/>
  <c r="X79" i="9"/>
  <c r="EN25" i="8"/>
  <c r="EN26" i="8" s="1"/>
  <c r="EN27" i="8" s="1"/>
  <c r="EN28" i="8" s="1"/>
  <c r="EN29" i="8" s="1"/>
  <c r="EN30" i="8" s="1"/>
  <c r="EN31" i="8" s="1"/>
  <c r="EN32" i="8" s="1"/>
  <c r="EN33" i="8" s="1"/>
  <c r="X80" i="9" l="1"/>
  <c r="Y80" i="9"/>
  <c r="W80" i="9"/>
  <c r="V80" i="9"/>
  <c r="A1078" i="9"/>
  <c r="U81" i="9"/>
  <c r="EN34" i="8"/>
  <c r="EN35" i="8" s="1"/>
  <c r="EN36" i="8" s="1"/>
  <c r="EN37" i="8" s="1"/>
  <c r="EN38" i="8" s="1"/>
  <c r="EN39" i="8" s="1"/>
  <c r="EN40" i="8" s="1"/>
  <c r="EN41" i="8" s="1"/>
  <c r="EN42" i="8" s="1"/>
  <c r="EN43" i="8" s="1"/>
  <c r="EN44" i="8" s="1"/>
  <c r="EN45" i="8" s="1"/>
  <c r="EN46" i="8" s="1"/>
  <c r="EN47" i="8" s="1"/>
  <c r="EN48" i="8" s="1"/>
  <c r="DZ33" i="8"/>
  <c r="DY33" i="8"/>
  <c r="X81" i="9" l="1"/>
  <c r="V81" i="9"/>
  <c r="Y81" i="9"/>
  <c r="W81" i="9"/>
  <c r="A1079" i="9"/>
  <c r="U82" i="9"/>
  <c r="DX3" i="8"/>
  <c r="DZ3" i="8"/>
  <c r="DY3" i="8"/>
  <c r="DX4" i="8"/>
  <c r="DZ4" i="8"/>
  <c r="DY4" i="8"/>
  <c r="DY5" i="8"/>
  <c r="DZ6" i="8"/>
  <c r="DX5" i="8"/>
  <c r="DZ5" i="8"/>
  <c r="DY7" i="8"/>
  <c r="DY6" i="8"/>
  <c r="DX6" i="8"/>
  <c r="DX8" i="8"/>
  <c r="DZ7" i="8"/>
  <c r="DX7" i="8"/>
  <c r="DZ8" i="8"/>
  <c r="DY8" i="8"/>
  <c r="DX9" i="8"/>
  <c r="DZ9" i="8"/>
  <c r="DY9" i="8"/>
  <c r="DY10" i="8"/>
  <c r="DX10" i="8"/>
  <c r="DZ10" i="8"/>
  <c r="DX11" i="8"/>
  <c r="DZ11" i="8"/>
  <c r="DY11" i="8"/>
  <c r="DZ12" i="8"/>
  <c r="DY12" i="8"/>
  <c r="DX12" i="8"/>
  <c r="DX13" i="8"/>
  <c r="DY13" i="8"/>
  <c r="DZ13" i="8"/>
  <c r="DX29" i="8"/>
  <c r="DY24" i="8"/>
  <c r="DX24" i="8"/>
  <c r="DY26" i="8"/>
  <c r="DZ26" i="8"/>
  <c r="DZ22" i="8"/>
  <c r="DX25" i="8"/>
  <c r="DX18" i="8"/>
  <c r="DY32" i="8"/>
  <c r="DZ25" i="8"/>
  <c r="DY25" i="8"/>
  <c r="DX27" i="8"/>
  <c r="DY16" i="8"/>
  <c r="DZ29" i="8"/>
  <c r="DZ28" i="8"/>
  <c r="DY19" i="8"/>
  <c r="DY22" i="8"/>
  <c r="DY23" i="8"/>
  <c r="DZ18" i="8"/>
  <c r="DZ23" i="8"/>
  <c r="DX30" i="8"/>
  <c r="DX28" i="8"/>
  <c r="DY14" i="8"/>
  <c r="DZ31" i="8"/>
  <c r="DY30" i="8"/>
  <c r="DX19" i="8"/>
  <c r="DZ24" i="8"/>
  <c r="DX23" i="8"/>
  <c r="DZ32" i="8"/>
  <c r="DY20" i="8"/>
  <c r="DX17" i="8"/>
  <c r="DZ30" i="8"/>
  <c r="DX21" i="8"/>
  <c r="DZ16" i="8"/>
  <c r="DY27" i="8"/>
  <c r="DX20" i="8"/>
  <c r="DY15" i="8"/>
  <c r="DZ20" i="8"/>
  <c r="DX22" i="8"/>
  <c r="DZ14" i="8"/>
  <c r="DZ19" i="8"/>
  <c r="DX15" i="8"/>
  <c r="DX26" i="8"/>
  <c r="DY18" i="8"/>
  <c r="DZ15" i="8"/>
  <c r="DX31" i="8"/>
  <c r="DZ27" i="8"/>
  <c r="DY28" i="8"/>
  <c r="DY17" i="8"/>
  <c r="DX32" i="8"/>
  <c r="DZ17" i="8"/>
  <c r="DY29" i="8"/>
  <c r="DY31" i="8"/>
  <c r="DX16" i="8"/>
  <c r="DX14" i="8"/>
  <c r="DZ21" i="8"/>
  <c r="DY21" i="8"/>
  <c r="V82" i="9" l="1"/>
  <c r="W82" i="9"/>
  <c r="X82" i="9"/>
  <c r="Y82" i="9"/>
  <c r="A1080" i="9"/>
  <c r="U83" i="9"/>
  <c r="X83" i="9" l="1"/>
  <c r="Y83" i="9"/>
  <c r="V83" i="9"/>
  <c r="W83" i="9"/>
  <c r="A1081" i="9"/>
  <c r="U84" i="9"/>
  <c r="V84" i="9" l="1"/>
  <c r="X84" i="9"/>
  <c r="Y84" i="9"/>
  <c r="W84" i="9"/>
  <c r="A1082" i="9"/>
  <c r="U85" i="9"/>
  <c r="A1083" i="9" l="1"/>
  <c r="U86" i="9"/>
  <c r="X85" i="9"/>
  <c r="Y85" i="9"/>
  <c r="V85" i="9"/>
  <c r="W85" i="9"/>
  <c r="V86" i="9" l="1"/>
  <c r="W86" i="9"/>
  <c r="X86" i="9"/>
  <c r="Y86" i="9"/>
  <c r="A1084" i="9"/>
  <c r="U87" i="9"/>
  <c r="X87" i="9" l="1"/>
  <c r="Y87" i="9"/>
  <c r="V87" i="9"/>
  <c r="W87" i="9"/>
  <c r="A1085" i="9"/>
  <c r="U88" i="9"/>
  <c r="X88" i="9" l="1"/>
  <c r="V88" i="9"/>
  <c r="Y88" i="9"/>
  <c r="W88" i="9"/>
  <c r="A1086" i="9"/>
  <c r="U89" i="9"/>
  <c r="V89" i="9" l="1"/>
  <c r="Y89" i="9"/>
  <c r="W89" i="9"/>
  <c r="X89" i="9"/>
  <c r="A1087" i="9"/>
  <c r="U90" i="9"/>
  <c r="Y90" i="9" l="1"/>
  <c r="V90" i="9"/>
  <c r="W90" i="9"/>
  <c r="X90" i="9"/>
  <c r="A1088" i="9"/>
  <c r="U91" i="9"/>
  <c r="W91" i="9" l="1"/>
  <c r="X91" i="9"/>
  <c r="Y91" i="9"/>
  <c r="V91" i="9"/>
  <c r="A1089" i="9"/>
  <c r="U92" i="9"/>
  <c r="A1090" i="9" l="1"/>
  <c r="U93" i="9"/>
  <c r="W92" i="9"/>
  <c r="Y92" i="9"/>
  <c r="X92" i="9"/>
  <c r="V92" i="9"/>
  <c r="W93" i="9" l="1"/>
  <c r="V93" i="9"/>
  <c r="X93" i="9"/>
  <c r="Y93" i="9"/>
  <c r="A1091" i="9"/>
  <c r="U94" i="9"/>
  <c r="V94" i="9" l="1"/>
  <c r="W94" i="9"/>
  <c r="X94" i="9"/>
  <c r="Y94" i="9"/>
  <c r="A1092" i="9"/>
  <c r="U95" i="9"/>
  <c r="Y95" i="9" l="1"/>
  <c r="V95" i="9"/>
  <c r="W95" i="9"/>
  <c r="X95" i="9"/>
  <c r="A1093" i="9"/>
  <c r="U96" i="9"/>
  <c r="X96" i="9" l="1"/>
  <c r="V96" i="9"/>
  <c r="W96" i="9"/>
  <c r="Y96" i="9"/>
  <c r="A1094" i="9"/>
  <c r="U97" i="9"/>
  <c r="X97" i="9" l="1"/>
  <c r="Y97" i="9"/>
  <c r="W97" i="9"/>
  <c r="V97" i="9"/>
  <c r="A1095" i="9"/>
  <c r="U98" i="9"/>
  <c r="W98" i="9" l="1"/>
  <c r="X98" i="9"/>
  <c r="Y98" i="9"/>
  <c r="V98" i="9"/>
  <c r="A1096" i="9"/>
  <c r="U99" i="9"/>
  <c r="A1097" i="9" l="1"/>
  <c r="U100" i="9"/>
  <c r="W99" i="9"/>
  <c r="X99" i="9"/>
  <c r="V99" i="9"/>
  <c r="Y99" i="9"/>
  <c r="X100" i="9" l="1"/>
  <c r="W100" i="9"/>
  <c r="V100" i="9"/>
  <c r="Y100" i="9"/>
  <c r="A1098" i="9"/>
  <c r="U101" i="9"/>
  <c r="X101" i="9" l="1"/>
  <c r="V101" i="9"/>
  <c r="Y101" i="9"/>
  <c r="W101" i="9"/>
  <c r="A1099" i="9"/>
  <c r="U102" i="9"/>
  <c r="V102" i="9" l="1"/>
  <c r="Y102" i="9"/>
  <c r="W102" i="9"/>
  <c r="X102" i="9"/>
  <c r="A1100" i="9"/>
  <c r="U103" i="9"/>
  <c r="Y103" i="9" l="1"/>
  <c r="W103" i="9"/>
  <c r="X103" i="9"/>
  <c r="V103" i="9"/>
  <c r="A1101" i="9"/>
  <c r="U104" i="9"/>
  <c r="V104" i="9" l="1"/>
  <c r="W104" i="9"/>
  <c r="X104" i="9"/>
  <c r="Y104" i="9"/>
  <c r="A1102" i="9"/>
  <c r="U105" i="9"/>
  <c r="V105" i="9" l="1"/>
  <c r="W105" i="9"/>
  <c r="Y105" i="9"/>
  <c r="X105" i="9"/>
  <c r="A1103" i="9"/>
  <c r="U106" i="9"/>
  <c r="X106" i="9" l="1"/>
  <c r="V106" i="9"/>
  <c r="Y106" i="9"/>
  <c r="W106" i="9"/>
  <c r="A1104" i="9"/>
  <c r="U107" i="9"/>
  <c r="W107" i="9" l="1"/>
  <c r="X107" i="9"/>
  <c r="Y107" i="9"/>
  <c r="V107" i="9"/>
  <c r="A1105" i="9"/>
  <c r="U108" i="9"/>
  <c r="A1106" i="9" l="1"/>
  <c r="U109" i="9"/>
  <c r="Y108" i="9"/>
  <c r="V108" i="9"/>
  <c r="X108" i="9"/>
  <c r="W108" i="9"/>
  <c r="Y109" i="9" l="1"/>
  <c r="V109" i="9"/>
  <c r="W109" i="9"/>
  <c r="X109" i="9"/>
  <c r="A1107" i="9"/>
  <c r="U110" i="9"/>
  <c r="W110" i="9" l="1"/>
  <c r="Y110" i="9"/>
  <c r="V110" i="9"/>
  <c r="X110" i="9"/>
  <c r="A1108" i="9"/>
  <c r="U111" i="9"/>
  <c r="Y111" i="9" l="1"/>
  <c r="V111" i="9"/>
  <c r="W111" i="9"/>
  <c r="X111" i="9"/>
  <c r="A1109" i="9"/>
  <c r="U112" i="9"/>
  <c r="W112" i="9" l="1"/>
  <c r="V112" i="9"/>
  <c r="X112" i="9"/>
  <c r="Y112" i="9"/>
  <c r="A1110" i="9"/>
  <c r="U113" i="9"/>
  <c r="V113" i="9" l="1"/>
  <c r="W113" i="9"/>
  <c r="Y113" i="9"/>
  <c r="X113" i="9"/>
  <c r="A1111" i="9"/>
  <c r="U114" i="9"/>
  <c r="V114" i="9" l="1"/>
  <c r="Y114" i="9"/>
  <c r="X114" i="9"/>
  <c r="W114" i="9"/>
  <c r="A1112" i="9"/>
  <c r="U115" i="9"/>
  <c r="V115" i="9" l="1"/>
  <c r="W115" i="9"/>
  <c r="X115" i="9"/>
  <c r="Y115" i="9"/>
  <c r="A1113" i="9"/>
  <c r="U116" i="9"/>
  <c r="V116" i="9" l="1"/>
  <c r="Y116" i="9"/>
  <c r="W116" i="9"/>
  <c r="X116" i="9"/>
  <c r="A1114" i="9"/>
  <c r="U117" i="9"/>
  <c r="X117" i="9" l="1"/>
  <c r="Y117" i="9"/>
  <c r="V117" i="9"/>
  <c r="W117" i="9"/>
  <c r="A1115" i="9"/>
  <c r="U118" i="9"/>
  <c r="V118" i="9" l="1"/>
  <c r="X118" i="9"/>
  <c r="Y118" i="9"/>
  <c r="W118" i="9"/>
  <c r="A1116" i="9"/>
  <c r="U119" i="9"/>
  <c r="A1117" i="9" l="1"/>
  <c r="U120" i="9"/>
  <c r="W119" i="9"/>
  <c r="X119" i="9"/>
  <c r="Y119" i="9"/>
  <c r="V119" i="9"/>
  <c r="X120" i="9" l="1"/>
  <c r="Y120" i="9"/>
  <c r="V120" i="9"/>
  <c r="W120" i="9"/>
  <c r="A1118" i="9"/>
  <c r="U121" i="9"/>
  <c r="X121" i="9" l="1"/>
  <c r="W121" i="9"/>
  <c r="V121" i="9"/>
  <c r="Y121" i="9"/>
  <c r="A1119" i="9"/>
  <c r="U122" i="9"/>
  <c r="X122" i="9" l="1"/>
  <c r="V122" i="9"/>
  <c r="W122" i="9"/>
  <c r="Y122" i="9"/>
  <c r="A1120" i="9"/>
  <c r="U123" i="9"/>
  <c r="X123" i="9" l="1"/>
  <c r="Y123" i="9"/>
  <c r="V123" i="9"/>
  <c r="W123" i="9"/>
  <c r="A1121" i="9"/>
  <c r="U124" i="9"/>
  <c r="X124" i="9" l="1"/>
  <c r="W124" i="9"/>
  <c r="V124" i="9"/>
  <c r="Y124" i="9"/>
  <c r="A1122" i="9"/>
  <c r="U125" i="9"/>
  <c r="Y125" i="9" l="1"/>
  <c r="W125" i="9"/>
  <c r="X125" i="9"/>
  <c r="V125" i="9"/>
  <c r="A1123" i="9"/>
  <c r="U126" i="9"/>
  <c r="W126" i="9" l="1"/>
  <c r="Y126" i="9"/>
  <c r="V126" i="9"/>
  <c r="X126" i="9"/>
  <c r="A1124" i="9"/>
  <c r="U127" i="9"/>
  <c r="W127" i="9" l="1"/>
  <c r="X127" i="9"/>
  <c r="V127" i="9"/>
  <c r="Y127" i="9"/>
  <c r="A1125" i="9"/>
  <c r="U128" i="9"/>
  <c r="A1126" i="9" l="1"/>
  <c r="U129" i="9"/>
  <c r="Y128" i="9"/>
  <c r="V128" i="9"/>
  <c r="W128" i="9"/>
  <c r="X128" i="9"/>
  <c r="X129" i="9" l="1"/>
  <c r="Y129" i="9"/>
  <c r="W129" i="9"/>
  <c r="V129" i="9"/>
  <c r="A1127" i="9"/>
  <c r="U130" i="9"/>
  <c r="X130" i="9" l="1"/>
  <c r="Y130" i="9"/>
  <c r="V130" i="9"/>
  <c r="W130" i="9"/>
  <c r="A1128" i="9"/>
  <c r="U131" i="9"/>
  <c r="V131" i="9" l="1"/>
  <c r="W131" i="9"/>
  <c r="Y131" i="9"/>
  <c r="X131" i="9"/>
  <c r="A1129" i="9"/>
  <c r="U132" i="9"/>
  <c r="V132" i="9" l="1"/>
  <c r="Y132" i="9"/>
  <c r="X132" i="9"/>
  <c r="W132" i="9"/>
  <c r="A1130" i="9"/>
  <c r="U133" i="9"/>
  <c r="W133" i="9" l="1"/>
  <c r="Y133" i="9"/>
  <c r="V133" i="9"/>
  <c r="X133" i="9"/>
  <c r="A1131" i="9"/>
  <c r="U134" i="9"/>
  <c r="X134" i="9" l="1"/>
  <c r="V134" i="9"/>
  <c r="Y134" i="9"/>
  <c r="W134" i="9"/>
  <c r="A1132" i="9"/>
  <c r="U135" i="9"/>
  <c r="V135" i="9" l="1"/>
  <c r="W135" i="9"/>
  <c r="Y135" i="9"/>
  <c r="X135" i="9"/>
  <c r="A1133" i="9"/>
  <c r="U136" i="9"/>
  <c r="Y136" i="9" l="1"/>
  <c r="W136" i="9"/>
  <c r="X136" i="9"/>
  <c r="V136" i="9"/>
  <c r="A1134" i="9"/>
  <c r="U137" i="9"/>
  <c r="Y137" i="9" l="1"/>
  <c r="W137" i="9"/>
  <c r="V137" i="9"/>
  <c r="X137" i="9"/>
  <c r="A1135" i="9"/>
  <c r="U138" i="9"/>
  <c r="X138" i="9" l="1"/>
  <c r="V138" i="9"/>
  <c r="Y138" i="9"/>
  <c r="W138" i="9"/>
  <c r="A1136" i="9"/>
  <c r="U139" i="9"/>
  <c r="W139" i="9" l="1"/>
  <c r="V139" i="9"/>
  <c r="X139" i="9"/>
  <c r="Y139" i="9"/>
  <c r="A1137" i="9"/>
  <c r="U140" i="9"/>
  <c r="V140" i="9" l="1"/>
  <c r="W140" i="9"/>
  <c r="X140" i="9"/>
  <c r="Y140" i="9"/>
  <c r="A1138" i="9"/>
  <c r="U141" i="9"/>
  <c r="X141" i="9" l="1"/>
  <c r="Y141" i="9"/>
  <c r="V141" i="9"/>
  <c r="W141" i="9"/>
  <c r="A1139" i="9"/>
  <c r="U142" i="9"/>
  <c r="V142" i="9" l="1"/>
  <c r="X142" i="9"/>
  <c r="Y142" i="9"/>
  <c r="W142" i="9"/>
  <c r="A1140" i="9"/>
  <c r="U143" i="9"/>
  <c r="A1141" i="9" l="1"/>
  <c r="U144" i="9"/>
  <c r="V143" i="9"/>
  <c r="Y143" i="9"/>
  <c r="X143" i="9"/>
  <c r="W143" i="9"/>
  <c r="Y144" i="9" l="1"/>
  <c r="V144" i="9"/>
  <c r="W144" i="9"/>
  <c r="X144" i="9"/>
  <c r="A1142" i="9"/>
  <c r="U145" i="9"/>
  <c r="X145" i="9" l="1"/>
  <c r="V145" i="9"/>
  <c r="W145" i="9"/>
  <c r="Y145" i="9"/>
  <c r="A1143" i="9"/>
  <c r="U146" i="9"/>
  <c r="Y146" i="9" l="1"/>
  <c r="W146" i="9"/>
  <c r="V146" i="9"/>
  <c r="X146" i="9"/>
  <c r="A1144" i="9"/>
  <c r="U147" i="9"/>
  <c r="V147" i="9" l="1"/>
  <c r="Y147" i="9"/>
  <c r="X147" i="9"/>
  <c r="W147" i="9"/>
  <c r="A1145" i="9"/>
  <c r="U148" i="9"/>
  <c r="W148" i="9" l="1"/>
  <c r="V148" i="9"/>
  <c r="Y148" i="9"/>
  <c r="X148" i="9"/>
  <c r="A1146" i="9"/>
  <c r="U149" i="9"/>
  <c r="V149" i="9" l="1"/>
  <c r="Y149" i="9"/>
  <c r="W149" i="9"/>
  <c r="X149" i="9"/>
  <c r="A1147" i="9"/>
  <c r="U150" i="9"/>
  <c r="A1148" i="9" l="1"/>
  <c r="U151" i="9"/>
  <c r="Y150" i="9"/>
  <c r="V150" i="9"/>
  <c r="X150" i="9"/>
  <c r="W150" i="9"/>
  <c r="W151" i="9" l="1"/>
  <c r="V151" i="9"/>
  <c r="X151" i="9"/>
  <c r="Y151" i="9"/>
  <c r="A1149" i="9"/>
  <c r="U152" i="9"/>
  <c r="W152" i="9" l="1"/>
  <c r="V152" i="9"/>
  <c r="X152" i="9"/>
  <c r="Y152" i="9"/>
  <c r="A1150" i="9"/>
  <c r="U153" i="9"/>
  <c r="W153" i="9" l="1"/>
  <c r="X153" i="9"/>
  <c r="V153" i="9"/>
  <c r="Y153" i="9"/>
  <c r="A1151" i="9"/>
  <c r="U154" i="9"/>
  <c r="A1152" i="9" l="1"/>
  <c r="U155" i="9"/>
  <c r="V154" i="9"/>
  <c r="X154" i="9"/>
  <c r="Y154" i="9"/>
  <c r="W154" i="9"/>
  <c r="Y155" i="9" l="1"/>
  <c r="V155" i="9"/>
  <c r="X155" i="9"/>
  <c r="W155" i="9"/>
  <c r="A1153" i="9"/>
  <c r="U156" i="9"/>
  <c r="V156" i="9" l="1"/>
  <c r="W156" i="9"/>
  <c r="X156" i="9"/>
  <c r="Y156" i="9"/>
  <c r="A1154" i="9"/>
  <c r="U157" i="9"/>
  <c r="Y157" i="9" l="1"/>
  <c r="X157" i="9"/>
  <c r="V157" i="9"/>
  <c r="W157" i="9"/>
  <c r="A1155" i="9"/>
  <c r="U158" i="9"/>
  <c r="Y158" i="9" l="1"/>
  <c r="V158" i="9"/>
  <c r="X158" i="9"/>
  <c r="W158" i="9"/>
  <c r="A1156" i="9"/>
  <c r="U159" i="9"/>
  <c r="W159" i="9" l="1"/>
  <c r="V159" i="9"/>
  <c r="X159" i="9"/>
  <c r="Y159" i="9"/>
  <c r="A1157" i="9"/>
  <c r="U160" i="9"/>
  <c r="X160" i="9" l="1"/>
  <c r="V160" i="9"/>
  <c r="W160" i="9"/>
  <c r="Y160" i="9"/>
  <c r="A1158" i="9"/>
  <c r="U161" i="9"/>
  <c r="Y161" i="9" l="1"/>
  <c r="V161" i="9"/>
  <c r="W161" i="9"/>
  <c r="X161" i="9"/>
  <c r="A1159" i="9"/>
  <c r="U162" i="9"/>
  <c r="V162" i="9" l="1"/>
  <c r="W162" i="9"/>
  <c r="Y162" i="9"/>
  <c r="X162" i="9"/>
  <c r="A1160" i="9"/>
  <c r="U163" i="9"/>
  <c r="W163" i="9" l="1"/>
  <c r="V163" i="9"/>
  <c r="X163" i="9"/>
  <c r="Y163" i="9"/>
  <c r="A1161" i="9"/>
  <c r="U164" i="9"/>
  <c r="V164" i="9" l="1"/>
  <c r="Y164" i="9"/>
  <c r="W164" i="9"/>
  <c r="X164" i="9"/>
  <c r="A1162" i="9"/>
  <c r="U165" i="9"/>
  <c r="X165" i="9" l="1"/>
  <c r="Y165" i="9"/>
  <c r="V165" i="9"/>
  <c r="W165" i="9"/>
  <c r="A1163" i="9"/>
  <c r="U166" i="9"/>
  <c r="X166" i="9" l="1"/>
  <c r="W166" i="9"/>
  <c r="V166" i="9"/>
  <c r="Y166" i="9"/>
  <c r="A1164" i="9"/>
  <c r="U167" i="9"/>
  <c r="V167" i="9" l="1"/>
  <c r="X167" i="9"/>
  <c r="Y167" i="9"/>
  <c r="W167" i="9"/>
  <c r="A1165" i="9"/>
  <c r="U168" i="9"/>
  <c r="A1166" i="9" l="1"/>
  <c r="U169" i="9"/>
  <c r="Y168" i="9"/>
  <c r="V168" i="9"/>
  <c r="W168" i="9"/>
  <c r="X168" i="9"/>
  <c r="W169" i="9" l="1"/>
  <c r="X169" i="9"/>
  <c r="Y169" i="9"/>
  <c r="V169" i="9"/>
  <c r="A1167" i="9"/>
  <c r="U170" i="9"/>
  <c r="A1168" i="9" l="1"/>
  <c r="U171" i="9"/>
  <c r="W170" i="9"/>
  <c r="Y170" i="9"/>
  <c r="X170" i="9"/>
  <c r="V170" i="9"/>
  <c r="Y171" i="9" l="1"/>
  <c r="X171" i="9"/>
  <c r="W171" i="9"/>
  <c r="V171" i="9"/>
  <c r="A1169" i="9"/>
  <c r="U172" i="9"/>
  <c r="Y172" i="9" l="1"/>
  <c r="W172" i="9"/>
  <c r="V172" i="9"/>
  <c r="X172" i="9"/>
  <c r="A1170" i="9"/>
  <c r="U173" i="9"/>
  <c r="Y173" i="9" l="1"/>
  <c r="X173" i="9"/>
  <c r="V173" i="9"/>
  <c r="W173" i="9"/>
  <c r="A1171" i="9"/>
  <c r="U174" i="9"/>
  <c r="W174" i="9" l="1"/>
  <c r="V174" i="9"/>
  <c r="Y174" i="9"/>
  <c r="X174" i="9"/>
  <c r="A1172" i="9"/>
  <c r="U175" i="9"/>
  <c r="W175" i="9" l="1"/>
  <c r="V175" i="9"/>
  <c r="X175" i="9"/>
  <c r="Y175" i="9"/>
  <c r="A1173" i="9"/>
  <c r="U176" i="9"/>
  <c r="W176" i="9" l="1"/>
  <c r="X176" i="9"/>
  <c r="Y176" i="9"/>
  <c r="V176" i="9"/>
  <c r="A1174" i="9"/>
  <c r="U177" i="9"/>
  <c r="A1175" i="9" l="1"/>
  <c r="U178" i="9"/>
  <c r="Y177" i="9"/>
  <c r="V177" i="9"/>
  <c r="W177" i="9"/>
  <c r="X177" i="9"/>
  <c r="X178" i="9" l="1"/>
  <c r="W178" i="9"/>
  <c r="V178" i="9"/>
  <c r="Y178" i="9"/>
  <c r="A1176" i="9"/>
  <c r="U179" i="9"/>
  <c r="Y179" i="9" l="1"/>
  <c r="W179" i="9"/>
  <c r="V179" i="9"/>
  <c r="X179" i="9"/>
  <c r="A1177" i="9"/>
  <c r="U180" i="9"/>
  <c r="V180" i="9" l="1"/>
  <c r="W180" i="9"/>
  <c r="X180" i="9"/>
  <c r="Y180" i="9"/>
  <c r="A1178" i="9"/>
  <c r="U181" i="9"/>
  <c r="V181" i="9" l="1"/>
  <c r="W181" i="9"/>
  <c r="X181" i="9"/>
  <c r="Y181" i="9"/>
  <c r="A1179" i="9"/>
  <c r="U182" i="9"/>
  <c r="W182" i="9" l="1"/>
  <c r="V182" i="9"/>
  <c r="Y182" i="9"/>
  <c r="X182" i="9"/>
  <c r="A1180" i="9"/>
  <c r="U183" i="9"/>
  <c r="Y183" i="9" l="1"/>
  <c r="V183" i="9"/>
  <c r="X183" i="9"/>
  <c r="W183" i="9"/>
  <c r="A1181" i="9"/>
  <c r="U184" i="9"/>
  <c r="V184" i="9" l="1"/>
  <c r="Y184" i="9"/>
  <c r="W184" i="9"/>
  <c r="X184" i="9"/>
  <c r="A1182" i="9"/>
  <c r="U185" i="9"/>
  <c r="X185" i="9" l="1"/>
  <c r="Y185" i="9"/>
  <c r="V185" i="9"/>
  <c r="W185" i="9"/>
  <c r="A1183" i="9"/>
  <c r="U186" i="9"/>
  <c r="X186" i="9" l="1"/>
  <c r="V186" i="9"/>
  <c r="Y186" i="9"/>
  <c r="W186" i="9"/>
  <c r="A1184" i="9"/>
  <c r="U187" i="9"/>
  <c r="W187" i="9" l="1"/>
  <c r="V187" i="9"/>
  <c r="X187" i="9"/>
  <c r="A1185" i="9"/>
  <c r="U188" i="9"/>
  <c r="V188" i="9" l="1"/>
  <c r="W188" i="9"/>
  <c r="X188" i="9"/>
  <c r="A1186" i="9"/>
  <c r="U189" i="9"/>
  <c r="W189" i="9" l="1"/>
  <c r="X189" i="9"/>
  <c r="V189" i="9"/>
  <c r="A1187" i="9"/>
  <c r="U190" i="9"/>
  <c r="W190" i="9" l="1"/>
  <c r="X190" i="9"/>
  <c r="V190" i="9"/>
  <c r="A1188" i="9"/>
  <c r="U191" i="9"/>
  <c r="V191" i="9" l="1"/>
  <c r="W191" i="9"/>
  <c r="X191" i="9"/>
  <c r="A1189" i="9"/>
  <c r="U192" i="9"/>
  <c r="X192" i="9" l="1"/>
  <c r="V192" i="9"/>
  <c r="W192" i="9"/>
  <c r="A1190" i="9"/>
  <c r="U193" i="9"/>
  <c r="W193" i="9" l="1"/>
  <c r="X193" i="9"/>
  <c r="V193" i="9"/>
  <c r="A1191" i="9"/>
  <c r="U194" i="9"/>
  <c r="X194" i="9" l="1"/>
  <c r="W194" i="9"/>
  <c r="V194" i="9"/>
  <c r="A1192" i="9"/>
  <c r="U195" i="9"/>
  <c r="V195" i="9" l="1"/>
  <c r="W195" i="9"/>
  <c r="X195" i="9"/>
  <c r="A1193" i="9"/>
  <c r="U196" i="9"/>
  <c r="X196" i="9" l="1"/>
  <c r="V196" i="9"/>
  <c r="W196" i="9"/>
  <c r="A1194" i="9"/>
  <c r="U197" i="9"/>
  <c r="W197" i="9" l="1"/>
  <c r="V197" i="9"/>
  <c r="X197" i="9"/>
  <c r="A1195" i="9"/>
  <c r="U198" i="9"/>
  <c r="V198" i="9" l="1"/>
  <c r="W198" i="9"/>
  <c r="X198" i="9"/>
  <c r="A1196" i="9"/>
  <c r="U199" i="9"/>
  <c r="V199" i="9" l="1"/>
  <c r="W199" i="9"/>
  <c r="X199" i="9"/>
  <c r="A1197" i="9"/>
  <c r="U200" i="9"/>
  <c r="W200" i="9" l="1"/>
  <c r="V200" i="9"/>
  <c r="X200" i="9"/>
  <c r="A1198" i="9"/>
  <c r="U201" i="9"/>
  <c r="X201" i="9" l="1"/>
  <c r="V201" i="9"/>
  <c r="W201" i="9"/>
  <c r="A1199" i="9"/>
  <c r="U202" i="9"/>
  <c r="X202" i="9" l="1"/>
  <c r="V202" i="9"/>
  <c r="W202" i="9"/>
  <c r="A1200" i="9"/>
  <c r="U203" i="9"/>
  <c r="W203" i="9" l="1"/>
  <c r="X203" i="9"/>
  <c r="V203" i="9"/>
  <c r="A1201" i="9"/>
  <c r="U204" i="9"/>
  <c r="W204" i="9" l="1"/>
  <c r="V204" i="9"/>
  <c r="X204" i="9"/>
  <c r="A1202" i="9"/>
  <c r="U205" i="9"/>
  <c r="V205" i="9" l="1"/>
  <c r="W205" i="9"/>
  <c r="X205" i="9"/>
  <c r="A1203" i="9"/>
  <c r="U206" i="9"/>
  <c r="X206" i="9" l="1"/>
  <c r="W206" i="9"/>
  <c r="V206" i="9"/>
  <c r="A1204" i="9"/>
  <c r="U207" i="9"/>
  <c r="X207" i="9" l="1"/>
  <c r="W207" i="9"/>
  <c r="V207" i="9"/>
  <c r="A1205" i="9"/>
  <c r="U208" i="9"/>
  <c r="V208" i="9" l="1"/>
  <c r="X208" i="9"/>
  <c r="W208" i="9"/>
  <c r="A1206" i="9"/>
  <c r="U209" i="9"/>
  <c r="W209" i="9" l="1"/>
  <c r="V209" i="9"/>
  <c r="X209" i="9"/>
  <c r="A1207" i="9"/>
  <c r="U210" i="9"/>
  <c r="V210" i="9" l="1"/>
  <c r="W210" i="9"/>
  <c r="X210" i="9"/>
  <c r="A1208" i="9"/>
  <c r="U211" i="9"/>
  <c r="V211" i="9" l="1"/>
  <c r="X211" i="9"/>
  <c r="W211" i="9"/>
  <c r="A1209" i="9"/>
  <c r="U212" i="9"/>
  <c r="W212" i="9" l="1"/>
  <c r="X212" i="9"/>
  <c r="V212" i="9"/>
  <c r="A1210" i="9"/>
  <c r="U213" i="9"/>
  <c r="X213" i="9" l="1"/>
  <c r="V213" i="9"/>
  <c r="W213" i="9"/>
  <c r="A1211" i="9"/>
  <c r="U214" i="9"/>
  <c r="V214" i="9" l="1"/>
  <c r="W214" i="9"/>
  <c r="X214" i="9"/>
  <c r="A1212" i="9"/>
  <c r="U215" i="9"/>
  <c r="W215" i="9" l="1"/>
  <c r="V215" i="9"/>
  <c r="X215" i="9"/>
  <c r="A1213" i="9"/>
  <c r="U216" i="9"/>
  <c r="V216" i="9" l="1"/>
  <c r="W216" i="9"/>
  <c r="X216" i="9"/>
  <c r="A1214" i="9"/>
  <c r="U217" i="9"/>
  <c r="X217" i="9" l="1"/>
  <c r="V217" i="9"/>
  <c r="W217" i="9"/>
  <c r="A1215" i="9"/>
  <c r="U218" i="9"/>
  <c r="W218" i="9" l="1"/>
  <c r="X218" i="9"/>
  <c r="V218" i="9"/>
  <c r="A1216" i="9"/>
  <c r="U219" i="9"/>
  <c r="V219" i="9" l="1"/>
  <c r="X219" i="9"/>
  <c r="W219" i="9"/>
  <c r="A1217" i="9"/>
  <c r="U220" i="9"/>
  <c r="V220" i="9" l="1"/>
  <c r="X220" i="9"/>
  <c r="W220" i="9"/>
  <c r="A1218" i="9"/>
  <c r="U221" i="9"/>
  <c r="X221" i="9" l="1"/>
  <c r="V221" i="9"/>
  <c r="W221" i="9"/>
  <c r="A1219" i="9"/>
  <c r="U222" i="9"/>
  <c r="W222" i="9" l="1"/>
  <c r="V222" i="9"/>
  <c r="X222" i="9"/>
  <c r="A1220" i="9"/>
  <c r="U223" i="9"/>
  <c r="X223" i="9" l="1"/>
  <c r="V223" i="9"/>
  <c r="W223" i="9"/>
  <c r="A1221" i="9"/>
  <c r="U224" i="9"/>
  <c r="W224" i="9" l="1"/>
  <c r="X224" i="9"/>
  <c r="V224" i="9"/>
  <c r="A1222" i="9"/>
  <c r="U225" i="9"/>
  <c r="X225" i="9" l="1"/>
  <c r="V225" i="9"/>
  <c r="W225" i="9"/>
  <c r="A1223" i="9"/>
  <c r="U226" i="9"/>
  <c r="V226" i="9" l="1"/>
  <c r="X226" i="9"/>
  <c r="W226" i="9"/>
  <c r="A1224" i="9"/>
  <c r="U227" i="9"/>
  <c r="X227" i="9" l="1"/>
  <c r="V227" i="9"/>
  <c r="W227" i="9"/>
  <c r="A1225" i="9"/>
  <c r="U228" i="9"/>
  <c r="A1226" i="9" l="1"/>
  <c r="U229" i="9"/>
  <c r="W228" i="9"/>
  <c r="V228" i="9"/>
  <c r="X228" i="9"/>
  <c r="X229" i="9" l="1"/>
  <c r="V229" i="9"/>
  <c r="W229" i="9"/>
  <c r="A1227" i="9"/>
  <c r="U230" i="9"/>
  <c r="V230" i="9" l="1"/>
  <c r="W230" i="9"/>
  <c r="X230" i="9"/>
  <c r="A1228" i="9"/>
  <c r="U231" i="9"/>
  <c r="X231" i="9" l="1"/>
  <c r="W231" i="9"/>
  <c r="V231" i="9"/>
  <c r="A1229" i="9"/>
  <c r="U232" i="9"/>
  <c r="X232" i="9" l="1"/>
  <c r="W232" i="9"/>
  <c r="V232" i="9"/>
  <c r="A1230" i="9"/>
  <c r="U233" i="9"/>
  <c r="X233" i="9" l="1"/>
  <c r="V233" i="9"/>
  <c r="W233" i="9"/>
  <c r="A1231" i="9"/>
  <c r="U234" i="9"/>
  <c r="A1232" i="9" l="1"/>
  <c r="U235" i="9"/>
  <c r="W234" i="9"/>
  <c r="V234" i="9"/>
  <c r="X234" i="9"/>
  <c r="X235" i="9" l="1"/>
  <c r="V235" i="9"/>
  <c r="W235" i="9"/>
  <c r="A1233" i="9"/>
  <c r="U236" i="9"/>
  <c r="A1234" i="9" l="1"/>
  <c r="U237" i="9"/>
  <c r="W236" i="9"/>
  <c r="V236" i="9"/>
  <c r="X236" i="9"/>
  <c r="W237" i="9" l="1"/>
  <c r="X237" i="9"/>
  <c r="V237" i="9"/>
  <c r="A1235" i="9"/>
  <c r="U238" i="9"/>
  <c r="X238" i="9" l="1"/>
  <c r="V238" i="9"/>
  <c r="W238" i="9"/>
  <c r="A1236" i="9"/>
  <c r="U239" i="9"/>
  <c r="X239" i="9" l="1"/>
  <c r="W239" i="9"/>
  <c r="V239" i="9"/>
  <c r="A1237" i="9"/>
  <c r="U240" i="9"/>
  <c r="W240" i="9" l="1"/>
  <c r="V240" i="9"/>
  <c r="X240" i="9"/>
  <c r="A1238" i="9"/>
  <c r="U241" i="9"/>
  <c r="X241" i="9" l="1"/>
  <c r="V241" i="9"/>
  <c r="W241" i="9"/>
  <c r="A1239" i="9"/>
  <c r="U242" i="9"/>
  <c r="V242" i="9" l="1"/>
  <c r="W242" i="9"/>
  <c r="X242" i="9"/>
  <c r="A1240" i="9"/>
  <c r="U243" i="9"/>
  <c r="W243" i="9" l="1"/>
  <c r="V243" i="9"/>
  <c r="X243" i="9"/>
  <c r="A1241" i="9"/>
  <c r="U244" i="9"/>
  <c r="X244" i="9" l="1"/>
  <c r="W244" i="9"/>
  <c r="V244" i="9"/>
  <c r="A1242" i="9"/>
  <c r="U245" i="9"/>
  <c r="X245" i="9" l="1"/>
  <c r="W245" i="9"/>
  <c r="V245" i="9"/>
  <c r="A1243" i="9"/>
  <c r="U246" i="9"/>
  <c r="X246" i="9" l="1"/>
  <c r="V246" i="9"/>
  <c r="W246" i="9"/>
  <c r="A1244" i="9"/>
  <c r="U247" i="9"/>
  <c r="V247" i="9" l="1"/>
  <c r="X247" i="9"/>
  <c r="W247" i="9"/>
  <c r="A1245" i="9"/>
  <c r="U248" i="9"/>
  <c r="W248" i="9" l="1"/>
  <c r="V248" i="9"/>
  <c r="X248" i="9"/>
  <c r="A1246" i="9"/>
  <c r="U249" i="9"/>
  <c r="X249" i="9" l="1"/>
  <c r="V249" i="9"/>
  <c r="W249" i="9"/>
  <c r="A1247" i="9"/>
  <c r="U250" i="9"/>
  <c r="W250" i="9" l="1"/>
  <c r="X250" i="9"/>
  <c r="V250" i="9"/>
  <c r="A1248" i="9"/>
  <c r="U251" i="9"/>
  <c r="X251" i="9" l="1"/>
  <c r="V251" i="9"/>
  <c r="W251" i="9"/>
  <c r="A1249" i="9"/>
  <c r="U252" i="9"/>
  <c r="X252" i="9" l="1"/>
  <c r="W252" i="9"/>
  <c r="V252" i="9"/>
  <c r="A1250" i="9"/>
  <c r="U253" i="9"/>
  <c r="V253" i="9" l="1"/>
  <c r="X253" i="9"/>
  <c r="W253" i="9"/>
  <c r="A1251" i="9"/>
  <c r="U254" i="9"/>
  <c r="V254" i="9" l="1"/>
  <c r="X254" i="9"/>
  <c r="W254" i="9"/>
  <c r="A1252" i="9"/>
  <c r="U255" i="9"/>
  <c r="X255" i="9" l="1"/>
  <c r="V255" i="9"/>
  <c r="W255" i="9"/>
  <c r="A1253" i="9"/>
  <c r="U256" i="9"/>
  <c r="W256" i="9" l="1"/>
  <c r="X256" i="9"/>
  <c r="V256" i="9"/>
  <c r="A1254" i="9"/>
  <c r="U257" i="9"/>
  <c r="V257" i="9" l="1"/>
  <c r="W257" i="9"/>
  <c r="X257" i="9"/>
  <c r="A1255" i="9"/>
  <c r="U258" i="9"/>
  <c r="W258" i="9" l="1"/>
  <c r="X258" i="9"/>
  <c r="V258" i="9"/>
  <c r="A1256" i="9"/>
  <c r="U259" i="9"/>
  <c r="W259" i="9" l="1"/>
  <c r="V259" i="9"/>
  <c r="X259" i="9"/>
  <c r="A1257" i="9"/>
  <c r="U260" i="9"/>
  <c r="X260" i="9" l="1"/>
  <c r="V260" i="9"/>
  <c r="W260" i="9"/>
  <c r="A1258" i="9"/>
  <c r="U261" i="9"/>
  <c r="X261" i="9" l="1"/>
  <c r="V261" i="9"/>
  <c r="W261" i="9"/>
  <c r="A1259" i="9"/>
  <c r="U262" i="9"/>
  <c r="W262" i="9" l="1"/>
  <c r="V262" i="9"/>
  <c r="X262" i="9"/>
  <c r="A1260" i="9"/>
  <c r="U263" i="9"/>
  <c r="W263" i="9" l="1"/>
  <c r="X263" i="9"/>
  <c r="V263" i="9"/>
  <c r="A1261" i="9"/>
  <c r="U264" i="9"/>
  <c r="V264" i="9" l="1"/>
  <c r="X264" i="9"/>
  <c r="W264" i="9"/>
  <c r="A1262" i="9"/>
  <c r="U265" i="9"/>
  <c r="X265" i="9" l="1"/>
  <c r="V265" i="9"/>
  <c r="W265" i="9"/>
  <c r="A1263" i="9"/>
  <c r="U266" i="9"/>
  <c r="V266" i="9" l="1"/>
  <c r="X266" i="9"/>
  <c r="W266" i="9"/>
  <c r="A1264" i="9"/>
  <c r="U267" i="9"/>
  <c r="V267" i="9" l="1"/>
  <c r="W267" i="9"/>
  <c r="X267" i="9"/>
  <c r="A1265" i="9"/>
  <c r="U268" i="9"/>
  <c r="V268" i="9" l="1"/>
  <c r="W268" i="9"/>
  <c r="X268" i="9"/>
  <c r="A1266" i="9"/>
  <c r="U269" i="9"/>
  <c r="X269" i="9" l="1"/>
  <c r="W269" i="9"/>
  <c r="V269" i="9"/>
  <c r="A1267" i="9"/>
  <c r="U270" i="9"/>
  <c r="X270" i="9" l="1"/>
  <c r="V270" i="9"/>
  <c r="W270" i="9"/>
  <c r="A1268" i="9"/>
  <c r="U271" i="9"/>
  <c r="W271" i="9" l="1"/>
  <c r="X271" i="9"/>
  <c r="V271" i="9"/>
  <c r="A1269" i="9"/>
  <c r="U272" i="9"/>
  <c r="V272" i="9" l="1"/>
  <c r="X272" i="9"/>
  <c r="W272" i="9"/>
  <c r="A1270" i="9"/>
  <c r="U273" i="9"/>
  <c r="V273" i="9" l="1"/>
  <c r="W273" i="9"/>
  <c r="X273" i="9"/>
  <c r="A1271" i="9"/>
  <c r="U274" i="9"/>
  <c r="V274" i="9" l="1"/>
  <c r="X274" i="9"/>
  <c r="W274" i="9"/>
  <c r="A1272" i="9"/>
  <c r="U275" i="9"/>
  <c r="X275" i="9" l="1"/>
  <c r="V275" i="9"/>
  <c r="W275" i="9"/>
  <c r="A1273" i="9"/>
  <c r="U276" i="9"/>
  <c r="V276" i="9" l="1"/>
  <c r="X276" i="9"/>
  <c r="W276" i="9"/>
  <c r="A1274" i="9"/>
  <c r="U277" i="9"/>
  <c r="V277" i="9" l="1"/>
  <c r="W277" i="9"/>
  <c r="X277" i="9"/>
  <c r="A1275" i="9"/>
  <c r="U278" i="9"/>
  <c r="V278" i="9" l="1"/>
  <c r="W278" i="9"/>
  <c r="X278" i="9"/>
  <c r="A1276" i="9"/>
  <c r="U279" i="9"/>
  <c r="V279" i="9" l="1"/>
  <c r="X279" i="9"/>
  <c r="W279" i="9"/>
  <c r="A1277" i="9"/>
  <c r="U280" i="9"/>
  <c r="W280" i="9" l="1"/>
  <c r="X280" i="9"/>
  <c r="V280" i="9"/>
  <c r="A1278" i="9"/>
  <c r="U281" i="9"/>
  <c r="W281" i="9" l="1"/>
  <c r="X281" i="9"/>
  <c r="V281" i="9"/>
  <c r="A1279" i="9"/>
  <c r="U282" i="9"/>
  <c r="V282" i="9" l="1"/>
  <c r="W282" i="9"/>
  <c r="X282" i="9"/>
  <c r="A1280" i="9"/>
  <c r="U283" i="9"/>
  <c r="V283" i="9" l="1"/>
  <c r="W283" i="9"/>
  <c r="X283" i="9"/>
  <c r="A1281" i="9"/>
  <c r="U284" i="9"/>
  <c r="W284" i="9" l="1"/>
  <c r="X284" i="9"/>
  <c r="V284" i="9"/>
  <c r="A1282" i="9"/>
  <c r="U285" i="9"/>
  <c r="V285" i="9" l="1"/>
  <c r="W285" i="9"/>
  <c r="X285" i="9"/>
  <c r="A1283" i="9"/>
  <c r="U286" i="9"/>
  <c r="V286" i="9" l="1"/>
  <c r="W286" i="9"/>
  <c r="X286" i="9"/>
  <c r="A1284" i="9"/>
  <c r="U287" i="9"/>
  <c r="V287" i="9" l="1"/>
  <c r="W287" i="9"/>
  <c r="X287" i="9"/>
  <c r="A1285" i="9"/>
  <c r="U288" i="9"/>
  <c r="V288" i="9" l="1"/>
  <c r="X288" i="9"/>
  <c r="W288" i="9"/>
  <c r="A1286" i="9"/>
  <c r="U289" i="9"/>
  <c r="X289" i="9" l="1"/>
  <c r="W289" i="9"/>
  <c r="V289" i="9"/>
  <c r="A1287" i="9"/>
  <c r="U290" i="9"/>
  <c r="X290" i="9" l="1"/>
  <c r="W290" i="9"/>
  <c r="V290" i="9"/>
  <c r="A1288" i="9"/>
  <c r="U291" i="9"/>
  <c r="W291" i="9" l="1"/>
  <c r="V291" i="9"/>
  <c r="X291" i="9"/>
  <c r="A1289" i="9"/>
  <c r="U292" i="9"/>
  <c r="X292" i="9" l="1"/>
  <c r="V292" i="9"/>
  <c r="W292" i="9"/>
  <c r="A1290" i="9"/>
  <c r="U293" i="9"/>
  <c r="V293" i="9" l="1"/>
  <c r="W293" i="9"/>
  <c r="X293" i="9"/>
  <c r="A1291" i="9"/>
  <c r="U294" i="9"/>
  <c r="V294" i="9" l="1"/>
  <c r="W294" i="9"/>
  <c r="X294" i="9"/>
  <c r="A1292" i="9"/>
  <c r="U295" i="9"/>
  <c r="V295" i="9" l="1"/>
  <c r="X295" i="9"/>
  <c r="W295" i="9"/>
  <c r="A1293" i="9"/>
  <c r="U296" i="9"/>
  <c r="V296" i="9" l="1"/>
  <c r="X296" i="9"/>
  <c r="W296" i="9"/>
  <c r="A1294" i="9"/>
  <c r="U297" i="9"/>
  <c r="V297" i="9" l="1"/>
  <c r="W297" i="9"/>
  <c r="X297" i="9"/>
  <c r="A1295" i="9"/>
  <c r="U298" i="9"/>
  <c r="V298" i="9" l="1"/>
  <c r="W298" i="9"/>
  <c r="X298" i="9"/>
  <c r="A1296" i="9"/>
  <c r="U299" i="9"/>
  <c r="W299" i="9" l="1"/>
  <c r="V299" i="9"/>
  <c r="X299" i="9"/>
  <c r="A1297" i="9"/>
  <c r="U300" i="9"/>
  <c r="X300" i="9" l="1"/>
  <c r="V300" i="9"/>
  <c r="W300" i="9"/>
  <c r="A1298" i="9"/>
  <c r="U301" i="9"/>
  <c r="X301" i="9" l="1"/>
  <c r="V301" i="9"/>
  <c r="W301" i="9"/>
  <c r="A1299" i="9"/>
  <c r="U302" i="9"/>
  <c r="V302" i="9" l="1"/>
  <c r="X302" i="9"/>
  <c r="W302" i="9"/>
  <c r="A1300" i="9"/>
  <c r="U303" i="9"/>
  <c r="V303" i="9" l="1"/>
  <c r="W303" i="9"/>
  <c r="X303" i="9"/>
  <c r="A1301" i="9"/>
  <c r="U304" i="9"/>
  <c r="X304" i="9" l="1"/>
  <c r="V304" i="9"/>
  <c r="W304" i="9"/>
  <c r="A1302" i="9"/>
  <c r="U305" i="9"/>
  <c r="W305" i="9" l="1"/>
  <c r="V305" i="9"/>
  <c r="X305" i="9"/>
  <c r="A1303" i="9"/>
  <c r="U306" i="9"/>
  <c r="X306" i="9" l="1"/>
  <c r="V306" i="9"/>
  <c r="W306" i="9"/>
  <c r="A1304" i="9"/>
  <c r="U307" i="9"/>
  <c r="W307" i="9" l="1"/>
  <c r="V307" i="9"/>
  <c r="X307" i="9"/>
  <c r="A1305" i="9"/>
  <c r="U308" i="9"/>
  <c r="W308" i="9" l="1"/>
  <c r="X308" i="9"/>
  <c r="V308" i="9"/>
  <c r="A1306" i="9"/>
  <c r="U309" i="9"/>
  <c r="W309" i="9" l="1"/>
  <c r="X309" i="9"/>
  <c r="V309" i="9"/>
  <c r="A1307" i="9"/>
  <c r="U310" i="9"/>
  <c r="V310" i="9" l="1"/>
  <c r="W310" i="9"/>
  <c r="X310" i="9"/>
  <c r="A1308" i="9"/>
  <c r="U311" i="9"/>
  <c r="X311" i="9" l="1"/>
  <c r="V311" i="9"/>
  <c r="W311" i="9"/>
  <c r="A1309" i="9"/>
  <c r="U312" i="9"/>
  <c r="V312" i="9" l="1"/>
  <c r="W312" i="9"/>
  <c r="X312" i="9"/>
  <c r="A1310" i="9"/>
  <c r="U313" i="9"/>
  <c r="W313" i="9" l="1"/>
  <c r="V313" i="9"/>
  <c r="X313" i="9"/>
  <c r="A1311" i="9"/>
  <c r="U314" i="9"/>
  <c r="V314" i="9" l="1"/>
  <c r="X314" i="9"/>
  <c r="W314" i="9"/>
  <c r="A1312" i="9"/>
  <c r="U315" i="9"/>
  <c r="X315" i="9" l="1"/>
  <c r="W315" i="9"/>
  <c r="V315" i="9"/>
  <c r="A1313" i="9"/>
  <c r="U316" i="9"/>
  <c r="A1314" i="9" l="1"/>
  <c r="U317" i="9"/>
  <c r="W316" i="9"/>
  <c r="V316" i="9"/>
  <c r="X316" i="9"/>
  <c r="W317" i="9" l="1"/>
  <c r="V317" i="9"/>
  <c r="X317" i="9"/>
  <c r="A1315" i="9"/>
  <c r="U318" i="9"/>
  <c r="V318" i="9" l="1"/>
  <c r="X318" i="9"/>
  <c r="W318" i="9"/>
  <c r="A1316" i="9"/>
  <c r="U319" i="9"/>
  <c r="X319" i="9" l="1"/>
  <c r="W319" i="9"/>
  <c r="V319" i="9"/>
  <c r="A1317" i="9"/>
  <c r="U320" i="9"/>
  <c r="W320" i="9" l="1"/>
  <c r="X320" i="9"/>
  <c r="V320" i="9"/>
  <c r="A1318" i="9"/>
  <c r="U321" i="9"/>
  <c r="W321" i="9" l="1"/>
  <c r="X321" i="9"/>
  <c r="V321" i="9"/>
  <c r="A1319" i="9"/>
  <c r="U322" i="9"/>
  <c r="X322" i="9" l="1"/>
  <c r="V322" i="9"/>
  <c r="W322" i="9"/>
  <c r="A1320" i="9"/>
  <c r="U323" i="9"/>
  <c r="A1321" i="9" l="1"/>
  <c r="U324" i="9"/>
  <c r="X323" i="9"/>
  <c r="W323" i="9"/>
  <c r="V323" i="9"/>
  <c r="V324" i="9" l="1"/>
  <c r="W324" i="9"/>
  <c r="X324" i="9"/>
  <c r="A1322" i="9"/>
  <c r="U325" i="9"/>
  <c r="A1323" i="9" l="1"/>
  <c r="U326" i="9"/>
  <c r="W325" i="9"/>
  <c r="V325" i="9"/>
  <c r="X325" i="9"/>
  <c r="X326" i="9" l="1"/>
  <c r="V326" i="9"/>
  <c r="W326" i="9"/>
  <c r="A1324" i="9"/>
  <c r="U327" i="9"/>
  <c r="X327" i="9" l="1"/>
  <c r="W327" i="9"/>
  <c r="V327" i="9"/>
  <c r="A1325" i="9"/>
  <c r="U328" i="9"/>
  <c r="V328" i="9" l="1"/>
  <c r="W328" i="9"/>
  <c r="X328" i="9"/>
  <c r="A1326" i="9"/>
  <c r="U329" i="9"/>
  <c r="V329" i="9" l="1"/>
  <c r="X329" i="9"/>
  <c r="W329" i="9"/>
  <c r="A1327" i="9"/>
  <c r="U330" i="9"/>
  <c r="X330" i="9" l="1"/>
  <c r="W330" i="9"/>
  <c r="V330" i="9"/>
  <c r="A1328" i="9"/>
  <c r="U331" i="9"/>
  <c r="X331" i="9" l="1"/>
  <c r="V331" i="9"/>
  <c r="W331" i="9"/>
  <c r="A1329" i="9"/>
  <c r="U332" i="9"/>
  <c r="V332" i="9" l="1"/>
  <c r="W332" i="9"/>
  <c r="X332" i="9"/>
  <c r="A1330" i="9"/>
  <c r="U333" i="9"/>
  <c r="V333" i="9" l="1"/>
  <c r="W333" i="9"/>
  <c r="X333" i="9"/>
  <c r="A1331" i="9"/>
  <c r="U334" i="9"/>
  <c r="X334" i="9" l="1"/>
  <c r="V334" i="9"/>
  <c r="W334" i="9"/>
  <c r="A1332" i="9"/>
  <c r="U335" i="9"/>
  <c r="W335" i="9" l="1"/>
  <c r="X335" i="9"/>
  <c r="V335" i="9"/>
  <c r="A1333" i="9"/>
  <c r="U336" i="9"/>
  <c r="W336" i="9" l="1"/>
  <c r="V336" i="9"/>
  <c r="X336" i="9"/>
  <c r="A1334" i="9"/>
  <c r="U337" i="9"/>
  <c r="V337" i="9" l="1"/>
  <c r="W337" i="9"/>
  <c r="X337" i="9"/>
  <c r="A1335" i="9"/>
  <c r="U338" i="9"/>
  <c r="X338" i="9" l="1"/>
  <c r="V338" i="9"/>
  <c r="W338" i="9"/>
  <c r="A1336" i="9"/>
  <c r="U339" i="9"/>
  <c r="X339" i="9" l="1"/>
  <c r="V339" i="9"/>
  <c r="W339" i="9"/>
  <c r="A1337" i="9"/>
  <c r="U340" i="9"/>
  <c r="W340" i="9" l="1"/>
  <c r="V340" i="9"/>
  <c r="X340" i="9"/>
  <c r="A1338" i="9"/>
  <c r="U341" i="9"/>
  <c r="V341" i="9" l="1"/>
  <c r="W341" i="9"/>
  <c r="X341" i="9"/>
  <c r="A1339" i="9"/>
  <c r="U342" i="9"/>
  <c r="X342" i="9" l="1"/>
  <c r="V342" i="9"/>
  <c r="W342" i="9"/>
  <c r="A1340" i="9"/>
  <c r="U343" i="9"/>
  <c r="W343" i="9" l="1"/>
  <c r="X343" i="9"/>
  <c r="V343" i="9"/>
  <c r="A1341" i="9"/>
  <c r="U344" i="9"/>
  <c r="V344" i="9" l="1"/>
  <c r="W344" i="9"/>
  <c r="X344" i="9"/>
  <c r="A1342" i="9"/>
  <c r="U345" i="9"/>
  <c r="V345" i="9" l="1"/>
  <c r="W345" i="9"/>
  <c r="X345" i="9"/>
  <c r="A1343" i="9"/>
  <c r="U346" i="9"/>
  <c r="V346" i="9" l="1"/>
  <c r="X346" i="9"/>
  <c r="W346" i="9"/>
  <c r="A1344" i="9"/>
  <c r="U347" i="9"/>
  <c r="W347" i="9" l="1"/>
  <c r="X347" i="9"/>
  <c r="V347" i="9"/>
  <c r="A1345" i="9"/>
  <c r="U348" i="9"/>
  <c r="W348" i="9" l="1"/>
  <c r="V348" i="9"/>
  <c r="X348" i="9"/>
  <c r="A1346" i="9"/>
  <c r="U349" i="9"/>
  <c r="V349" i="9" l="1"/>
  <c r="W349" i="9"/>
  <c r="X349" i="9"/>
  <c r="A1347" i="9"/>
  <c r="U350" i="9"/>
  <c r="X350" i="9" l="1"/>
  <c r="W350" i="9"/>
  <c r="V350" i="9"/>
  <c r="A1348" i="9"/>
  <c r="U351" i="9"/>
  <c r="X351" i="9" l="1"/>
  <c r="W351" i="9"/>
  <c r="V351" i="9"/>
  <c r="A1349" i="9"/>
  <c r="U352" i="9"/>
  <c r="X352" i="9" l="1"/>
  <c r="W352" i="9"/>
  <c r="V352" i="9"/>
  <c r="A1350" i="9"/>
  <c r="U353" i="9"/>
  <c r="W353" i="9" l="1"/>
  <c r="X353" i="9"/>
  <c r="V353" i="9"/>
  <c r="A1351" i="9"/>
  <c r="U354" i="9"/>
  <c r="X354" i="9" l="1"/>
  <c r="W354" i="9"/>
  <c r="V354" i="9"/>
  <c r="A1352" i="9"/>
  <c r="U355" i="9"/>
  <c r="W355" i="9" l="1"/>
  <c r="X355" i="9"/>
  <c r="V355" i="9"/>
  <c r="A1353" i="9"/>
  <c r="U356" i="9"/>
  <c r="X356" i="9" l="1"/>
  <c r="W356" i="9"/>
  <c r="V356" i="9"/>
  <c r="A1354" i="9"/>
  <c r="U357" i="9"/>
  <c r="W357" i="9" l="1"/>
  <c r="X357" i="9"/>
  <c r="V357" i="9"/>
  <c r="A1355" i="9"/>
  <c r="U358" i="9"/>
  <c r="W358" i="9" l="1"/>
  <c r="X358" i="9"/>
  <c r="V358" i="9"/>
  <c r="A1356" i="9"/>
  <c r="U359" i="9"/>
  <c r="V359" i="9" l="1"/>
  <c r="X359" i="9"/>
  <c r="W359" i="9"/>
  <c r="A1357" i="9"/>
  <c r="U360" i="9"/>
  <c r="W360" i="9" l="1"/>
  <c r="X360" i="9"/>
  <c r="V360" i="9"/>
  <c r="A1358" i="9"/>
  <c r="U361" i="9"/>
  <c r="V361" i="9" l="1"/>
  <c r="W361" i="9"/>
  <c r="X361" i="9"/>
  <c r="A1359" i="9"/>
  <c r="U362" i="9"/>
  <c r="A1360" i="9" l="1"/>
  <c r="U363" i="9"/>
  <c r="V362" i="9"/>
  <c r="X362" i="9"/>
  <c r="W362" i="9"/>
  <c r="X363" i="9" l="1"/>
  <c r="W363" i="9"/>
  <c r="V363" i="9"/>
  <c r="A1361" i="9"/>
  <c r="U364" i="9"/>
  <c r="A1362" i="9" l="1"/>
  <c r="U365" i="9"/>
  <c r="W364" i="9"/>
  <c r="X364" i="9"/>
  <c r="V364" i="9"/>
  <c r="X365" i="9" l="1"/>
  <c r="W365" i="9"/>
  <c r="V365" i="9"/>
  <c r="A1363" i="9"/>
  <c r="U366" i="9"/>
  <c r="W366" i="9" l="1"/>
  <c r="X366" i="9"/>
  <c r="V366" i="9"/>
  <c r="A1364" i="9"/>
  <c r="U367" i="9"/>
  <c r="X367" i="9" l="1"/>
  <c r="V367" i="9"/>
  <c r="W367" i="9"/>
  <c r="A1365" i="9"/>
  <c r="U368" i="9"/>
  <c r="W368" i="9" l="1"/>
  <c r="X368" i="9"/>
  <c r="V368" i="9"/>
  <c r="A1366" i="9"/>
  <c r="U369" i="9"/>
  <c r="V369" i="9" l="1"/>
  <c r="W369" i="9"/>
  <c r="X369" i="9"/>
  <c r="A1367" i="9"/>
  <c r="U370" i="9"/>
  <c r="W370" i="9" l="1"/>
  <c r="V370" i="9"/>
  <c r="X370" i="9"/>
  <c r="A1368" i="9"/>
  <c r="U371" i="9"/>
  <c r="V371" i="9" l="1"/>
  <c r="X371" i="9"/>
  <c r="W371" i="9"/>
  <c r="A1369" i="9"/>
  <c r="U372" i="9"/>
  <c r="X372" i="9" l="1"/>
  <c r="W372" i="9"/>
  <c r="V372" i="9"/>
  <c r="A1370" i="9"/>
  <c r="U373" i="9"/>
  <c r="X373" i="9" l="1"/>
  <c r="W373" i="9"/>
  <c r="V373" i="9"/>
  <c r="A1371" i="9"/>
  <c r="U374" i="9"/>
  <c r="X374" i="9" l="1"/>
  <c r="W374" i="9"/>
  <c r="V374" i="9"/>
  <c r="A1372" i="9"/>
  <c r="U375" i="9"/>
  <c r="X375" i="9" l="1"/>
  <c r="W375" i="9"/>
  <c r="V375" i="9"/>
  <c r="A1373" i="9"/>
  <c r="U376" i="9"/>
  <c r="A1374" i="9" l="1"/>
  <c r="U377" i="9"/>
  <c r="X376" i="9"/>
  <c r="W376" i="9"/>
  <c r="V376" i="9"/>
  <c r="X377" i="9" l="1"/>
  <c r="W377" i="9"/>
  <c r="V377" i="9"/>
  <c r="A1375" i="9"/>
  <c r="U378" i="9"/>
  <c r="X378" i="9" l="1"/>
  <c r="W378" i="9"/>
  <c r="V378" i="9"/>
  <c r="A1376" i="9"/>
  <c r="U379" i="9"/>
  <c r="A1377" i="9" l="1"/>
  <c r="U380" i="9"/>
  <c r="V379" i="9"/>
  <c r="X379" i="9"/>
  <c r="W379" i="9"/>
  <c r="W380" i="9" l="1"/>
  <c r="V380" i="9"/>
  <c r="X380" i="9"/>
  <c r="A1378" i="9"/>
  <c r="U381" i="9"/>
  <c r="X381" i="9" l="1"/>
  <c r="V381" i="9"/>
  <c r="W381" i="9"/>
  <c r="A1379" i="9"/>
  <c r="U382" i="9"/>
  <c r="A1380" i="9" l="1"/>
  <c r="U383" i="9"/>
  <c r="X382" i="9"/>
  <c r="W382" i="9"/>
  <c r="V382" i="9"/>
  <c r="W383" i="9" l="1"/>
  <c r="V383" i="9"/>
  <c r="X383" i="9"/>
  <c r="A1381" i="9"/>
  <c r="U384" i="9"/>
  <c r="X384" i="9" l="1"/>
  <c r="W384" i="9"/>
  <c r="V384" i="9"/>
  <c r="A1382" i="9"/>
  <c r="U385" i="9"/>
  <c r="X385" i="9" l="1"/>
  <c r="W385" i="9"/>
  <c r="V385" i="9"/>
  <c r="A1383" i="9"/>
  <c r="U386" i="9"/>
  <c r="V386" i="9" l="1"/>
  <c r="X386" i="9"/>
  <c r="W386" i="9"/>
  <c r="A1384" i="9"/>
  <c r="U387" i="9"/>
  <c r="V387" i="9" l="1"/>
  <c r="W387" i="9"/>
  <c r="X387" i="9"/>
  <c r="A1385" i="9"/>
  <c r="U388" i="9"/>
  <c r="V388" i="9" l="1"/>
  <c r="X388" i="9"/>
  <c r="W388" i="9"/>
  <c r="A1386" i="9"/>
  <c r="U389" i="9"/>
  <c r="W389" i="9" l="1"/>
  <c r="X389" i="9"/>
  <c r="V389" i="9"/>
  <c r="A1387" i="9"/>
  <c r="U390" i="9"/>
  <c r="X390" i="9" l="1"/>
  <c r="W390" i="9"/>
  <c r="V390" i="9"/>
  <c r="A1388" i="9"/>
  <c r="U391" i="9"/>
  <c r="V391" i="9" l="1"/>
  <c r="W391" i="9"/>
  <c r="X391" i="9"/>
  <c r="A1389" i="9"/>
  <c r="U392" i="9"/>
  <c r="X392" i="9" l="1"/>
  <c r="W392" i="9"/>
  <c r="V392" i="9"/>
  <c r="A1390" i="9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2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A1622" i="9" s="1"/>
  <c r="A1623" i="9" s="1"/>
  <c r="A1624" i="9" s="1"/>
  <c r="A1625" i="9" s="1"/>
  <c r="A1626" i="9" s="1"/>
  <c r="A1627" i="9" s="1"/>
  <c r="A1628" i="9" s="1"/>
  <c r="A1629" i="9" s="1"/>
  <c r="A1630" i="9" s="1"/>
  <c r="A1631" i="9" s="1"/>
  <c r="A1632" i="9" s="1"/>
  <c r="A1633" i="9" s="1"/>
  <c r="A1634" i="9" s="1"/>
  <c r="A1635" i="9" s="1"/>
  <c r="A1636" i="9" s="1"/>
  <c r="A1637" i="9" s="1"/>
  <c r="A1638" i="9" s="1"/>
  <c r="A1639" i="9" s="1"/>
  <c r="A1640" i="9" s="1"/>
  <c r="A1641" i="9" s="1"/>
  <c r="A1642" i="9" s="1"/>
  <c r="A1643" i="9" s="1"/>
  <c r="A1644" i="9" s="1"/>
  <c r="A1645" i="9" s="1"/>
  <c r="A1646" i="9" s="1"/>
  <c r="A1647" i="9" s="1"/>
  <c r="A1648" i="9" s="1"/>
  <c r="A1649" i="9" s="1"/>
  <c r="A1650" i="9" s="1"/>
  <c r="A1651" i="9" s="1"/>
  <c r="A1652" i="9" s="1"/>
  <c r="A1653" i="9" s="1"/>
  <c r="A1654" i="9" s="1"/>
  <c r="A1655" i="9" s="1"/>
  <c r="A1656" i="9" s="1"/>
  <c r="A1657" i="9" s="1"/>
  <c r="A1658" i="9" s="1"/>
  <c r="A1659" i="9" s="1"/>
  <c r="A1660" i="9" s="1"/>
  <c r="A1661" i="9" s="1"/>
  <c r="A1662" i="9" s="1"/>
  <c r="A1663" i="9" s="1"/>
  <c r="A1664" i="9" s="1"/>
  <c r="A1665" i="9" s="1"/>
  <c r="A1666" i="9" s="1"/>
  <c r="A1667" i="9" s="1"/>
  <c r="A1668" i="9" s="1"/>
  <c r="A1669" i="9" s="1"/>
  <c r="A1670" i="9" s="1"/>
  <c r="A1671" i="9" s="1"/>
  <c r="A1672" i="9" s="1"/>
  <c r="A1673" i="9" s="1"/>
  <c r="A1674" i="9" s="1"/>
  <c r="A1675" i="9" s="1"/>
  <c r="A1676" i="9" s="1"/>
  <c r="A1677" i="9" s="1"/>
  <c r="A1678" i="9" s="1"/>
  <c r="A1679" i="9" s="1"/>
  <c r="A1680" i="9" s="1"/>
  <c r="A1681" i="9" s="1"/>
  <c r="A1682" i="9" s="1"/>
  <c r="A1683" i="9" s="1"/>
  <c r="A1684" i="9" s="1"/>
  <c r="A1685" i="9" s="1"/>
  <c r="A1686" i="9" s="1"/>
  <c r="A1687" i="9" s="1"/>
  <c r="A1688" i="9" s="1"/>
  <c r="A1689" i="9" s="1"/>
  <c r="A1690" i="9" s="1"/>
  <c r="A1691" i="9" s="1"/>
  <c r="A1692" i="9" s="1"/>
  <c r="A1693" i="9" s="1"/>
  <c r="A1694" i="9" s="1"/>
  <c r="A1695" i="9" s="1"/>
  <c r="A1696" i="9" s="1"/>
  <c r="A1697" i="9" s="1"/>
  <c r="A1698" i="9" s="1"/>
  <c r="A1699" i="9" s="1"/>
  <c r="A1700" i="9" s="1"/>
  <c r="A1701" i="9" s="1"/>
  <c r="A1702" i="9" s="1"/>
  <c r="A1703" i="9" s="1"/>
  <c r="A1704" i="9" s="1"/>
  <c r="A1705" i="9" s="1"/>
  <c r="A1706" i="9" s="1"/>
  <c r="A1707" i="9" s="1"/>
  <c r="A1708" i="9" s="1"/>
  <c r="A1709" i="9" s="1"/>
  <c r="A1710" i="9" s="1"/>
  <c r="A1711" i="9" s="1"/>
  <c r="A1712" i="9" s="1"/>
  <c r="A1713" i="9" s="1"/>
  <c r="A1714" i="9" s="1"/>
  <c r="A1715" i="9" s="1"/>
  <c r="A1716" i="9" s="1"/>
  <c r="A1717" i="9" s="1"/>
  <c r="A1718" i="9" s="1"/>
  <c r="A1719" i="9" s="1"/>
  <c r="A1720" i="9" s="1"/>
  <c r="A1721" i="9" s="1"/>
  <c r="A1722" i="9" s="1"/>
  <c r="A1723" i="9" s="1"/>
  <c r="A1724" i="9" s="1"/>
  <c r="A1725" i="9" s="1"/>
  <c r="A1726" i="9" s="1"/>
  <c r="A1727" i="9" s="1"/>
  <c r="A1728" i="9" s="1"/>
  <c r="A1729" i="9" s="1"/>
  <c r="A1730" i="9" s="1"/>
  <c r="A1731" i="9" s="1"/>
  <c r="A1732" i="9" s="1"/>
  <c r="A1733" i="9" s="1"/>
  <c r="A1734" i="9" s="1"/>
  <c r="A1735" i="9" s="1"/>
  <c r="A1736" i="9" s="1"/>
  <c r="A1737" i="9" s="1"/>
  <c r="A1738" i="9" s="1"/>
  <c r="A1739" i="9" s="1"/>
  <c r="A1740" i="9" s="1"/>
  <c r="A1741" i="9" s="1"/>
  <c r="A1742" i="9" s="1"/>
  <c r="A1743" i="9" s="1"/>
  <c r="A1744" i="9" s="1"/>
  <c r="A1745" i="9" s="1"/>
  <c r="A1746" i="9" s="1"/>
  <c r="U393" i="9"/>
  <c r="X393" i="9" l="1"/>
  <c r="V393" i="9"/>
  <c r="W393" i="9"/>
</calcChain>
</file>

<file path=xl/connections.xml><?xml version="1.0" encoding="utf-8"?>
<connections xmlns="http://schemas.openxmlformats.org/spreadsheetml/2006/main">
  <connection id="1" keepAlive="1" name="ModelConnection_ExternalData_1" description="Data Model" type="5" refreshedVersion="6" minRefreshableVersion="5" saveData="1">
    <dbPr connection="Data Model Connection" command="Team Per 100 Poss Stats Table" commandType="3"/>
    <extLst>
      <ext xmlns:x15="http://schemas.microsoft.com/office/spreadsheetml/2010/11/main" uri="{DE250136-89BD-433C-8126-D09CA5730AF9}">
        <x15:connection id="" model="1"/>
      </ext>
    </extLst>
  </connection>
  <connection id="2" keepAlive="1" name="ModelConnection_ExternalData_11" description="Data Model" type="5" refreshedVersion="6" minRefreshableVersion="5" saveData="1">
    <dbPr connection="Data Model Connection" command="Opponent Per 100 Poss Stats Table" commandType="3"/>
    <extLst>
      <ext xmlns:x15="http://schemas.microsoft.com/office/spreadsheetml/2010/11/main" uri="{DE250136-89BD-433C-8126-D09CA5730AF9}">
        <x15:connection id="" model="1"/>
      </ext>
    </extLst>
  </connection>
  <connection id="3" keepAlive="1" name="ModelConnection_ExternalData_12" description="Data Model" type="5" refreshedVersion="6" minRefreshableVersion="5" saveData="1">
    <dbPr connection="Data Model Connection" command="Miscellaneous Stats Table" commandType="3"/>
    <extLst>
      <ext xmlns:x15="http://schemas.microsoft.com/office/spreadsheetml/2010/11/main" uri="{DE250136-89BD-433C-8126-D09CA5730AF9}">
        <x15:connection id="" model="1"/>
      </ext>
    </extLst>
  </connection>
  <connection id="4" keepAlive="1" name="Query - Advanced Table" description="Connection to the 'Advanced Table' query in the workbook." type="5" refreshedVersion="6" background="1" saveData="1">
    <dbPr connection="Provider=Microsoft.Mashup.OleDb.1;Data Source=$Workbook$;Location=Advanced Table;Extended Properties=&quot;&quot;" command="SELECT * FROM [Advanced Table]"/>
  </connection>
  <connection id="5" keepAlive="1" name="Query - Append1" description="Connection to the 'Append1' query in the workbook." type="5" refreshedVersion="6" background="1" saveData="1">
    <dbPr connection="Provider=Microsoft.Mashup.OleDb.1;Data Source=$Workbook$;Location=Append1;Extended Properties=&quot;&quot;" command="SELECT * FROM [Append1]"/>
  </connection>
  <connection id="6" keepAlive="1" name="Query - April Schedule Table" description="Connection to the 'April Schedule Table' query in the workbook." type="5" refreshedVersion="0" background="1">
    <dbPr connection="Provider=Microsoft.Mashup.OleDb.1;Data Source=$Workbook$;Location=&quot;April Schedule Table&quot;;Extended Properties=&quot;&quot;" command="SELECT * FROM [April Schedule Table]"/>
  </connection>
  <connection id="7" keepAlive="1" name="Query - December Schedule Table" description="Connection to the 'December Schedule Table' query in the workbook." type="5" refreshedVersion="0" background="1">
    <dbPr connection="Provider=Microsoft.Mashup.OleDb.1;Data Source=$Workbook$;Location=&quot;December Schedule Table&quot;;Extended Properties=&quot;&quot;" command="SELECT * FROM [December Schedule Table]"/>
  </connection>
  <connection id="8" keepAlive="1" name="Query - February Schedule Table" description="Connection to the 'February Schedule Table' query in the workbook." type="5" refreshedVersion="0" background="1">
    <dbPr connection="Provider=Microsoft.Mashup.OleDb.1;Data Source=$Workbook$;Location=&quot;February Schedule Table&quot;;Extended Properties=&quot;&quot;" command="SELECT * FROM [February Schedule Table]"/>
  </connection>
  <connection id="9" keepAlive="1" name="Query - HDATS" description="Connection to the 'HDATS' query in the workbook." type="5" refreshedVersion="6" background="1" saveData="1">
    <dbPr connection="Provider=Microsoft.Mashup.OleDb.1;Data Source=$Workbook$;Location=HDATS;Extended Properties=&quot;&quot;" command="SELECT * FROM [HDATS]"/>
  </connection>
  <connection id="10" keepAlive="1" name="Query - HFATS" description="Connection to the 'HFATS' query in the workbook." type="5" refreshedVersion="6" background="1" saveData="1">
    <dbPr connection="Provider=Microsoft.Mashup.OleDb.1;Data Source=$Workbook$;Location=HFATS;Extended Properties=&quot;&quot;" command="SELECT * FROM [HFATS]"/>
  </connection>
  <connection id="11" keepAlive="1" name="Query - HomeOU" description="Connection to the 'HomeOU' query in the workbook." type="5" refreshedVersion="6" background="1" saveData="1">
    <dbPr connection="Provider=Microsoft.Mashup.OleDb.1;Data Source=$Workbook$;Location=HomeOU;Extended Properties=&quot;&quot;" command="SELECT * FROM [HomeOU]"/>
  </connection>
  <connection id="12" keepAlive="1" name="Query - January Schedule Table" description="Connection to the 'January Schedule Table' query in the workbook." type="5" refreshedVersion="0" background="1">
    <dbPr connection="Provider=Microsoft.Mashup.OleDb.1;Data Source=$Workbook$;Location=&quot;January Schedule Table&quot;;Extended Properties=&quot;&quot;" command="SELECT * FROM [January Schedule Table]"/>
  </connection>
  <connection id="13" keepAlive="1" name="Query - March Schedule Table" description="Connection to the 'March Schedule Table' query in the workbook." type="5" refreshedVersion="0" background="1">
    <dbPr connection="Provider=Microsoft.Mashup.OleDb.1;Data Source=$Workbook$;Location=&quot;March Schedule Table&quot;;Extended Properties=&quot;&quot;" command="SELECT * FROM [March Schedule Table]"/>
  </connection>
  <connection id="14" name="Query - Miscellaneous Stats Table" description="Connection to the 'Miscellaneous Stats Table' query in the workbook." type="100" refreshedVersion="6" minRefreshableVersion="5">
    <extLst>
      <ext xmlns:x15="http://schemas.microsoft.com/office/spreadsheetml/2010/11/main" uri="{DE250136-89BD-433C-8126-D09CA5730AF9}">
        <x15:connection id="0afc7361-4973-46c2-998d-d928cf72ea24"/>
      </ext>
    </extLst>
  </connection>
  <connection id="15" keepAlive="1" name="Query - November Schedule Table" description="Connection to the 'November Schedule Table' query in the workbook." type="5" refreshedVersion="0" background="1">
    <dbPr connection="Provider=Microsoft.Mashup.OleDb.1;Data Source=$Workbook$;Location=&quot;November Schedule Table&quot;;Extended Properties=&quot;&quot;" command="SELECT * FROM [November Schedule Table]"/>
  </connection>
  <connection id="16" name="Query - Opponent Per 100 Poss Stats Table" description="Connection to the 'Opponent Per 100 Poss Stats Table' query in the workbook." type="100" refreshedVersion="6" minRefreshableVersion="5">
    <extLst>
      <ext xmlns:x15="http://schemas.microsoft.com/office/spreadsheetml/2010/11/main" uri="{DE250136-89BD-433C-8126-D09CA5730AF9}">
        <x15:connection id="0a7c7855-be59-4366-8231-f50910c6df73"/>
      </ext>
    </extLst>
  </connection>
  <connection id="17" keepAlive="1" name="Query - RDATS" description="Connection to the 'RDATS' query in the workbook." type="5" refreshedVersion="6" background="1" saveData="1">
    <dbPr connection="Provider=Microsoft.Mashup.OleDb.1;Data Source=$Workbook$;Location=RDATS;Extended Properties=&quot;&quot;" command="SELECT * FROM [RDATS]"/>
  </connection>
  <connection id="18" keepAlive="1" name="Query - RFATS" description="Connection to the 'RFATS' query in the workbook." type="5" refreshedVersion="6" background="1" saveData="1">
    <dbPr connection="Provider=Microsoft.Mashup.OleDb.1;Data Source=$Workbook$;Location=RFATS;Extended Properties=&quot;&quot;" command="SELECT * FROM [RFATS]"/>
  </connection>
  <connection id="19" keepAlive="1" name="Query - RoadOU" description="Connection to the 'RoadOU' query in the workbook." type="5" refreshedVersion="6" background="1" saveData="1">
    <dbPr connection="Provider=Microsoft.Mashup.OleDb.1;Data Source=$Workbook$;Location=RoadOU;Extended Properties=&quot;&quot;" command="SELECT * FROM [RoadOU]"/>
  </connection>
  <connection id="20" name="Query - Team Per 100 Poss Stats Table" description="Connection to the 'Team Per 100 Poss Stats Table' query in the workbook." type="100" refreshedVersion="6" minRefreshableVersion="5">
    <extLst>
      <ext xmlns:x15="http://schemas.microsoft.com/office/spreadsheetml/2010/11/main" uri="{DE250136-89BD-433C-8126-D09CA5730AF9}">
        <x15:connection id="2b2a9740-15a5-4fcd-acff-486fec2bdf86"/>
      </ext>
    </extLst>
  </connection>
  <connection id="2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<sst xmlns="http://schemas.openxmlformats.org/spreadsheetml/2006/main" count="10413" uniqueCount="2115">
  <si>
    <t>Rk</t>
  </si>
  <si>
    <t>Team</t>
  </si>
  <si>
    <t>G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</si>
  <si>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</si>
  <si>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</si>
  <si>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</si>
  <si>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</si>
  <si>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</si>
  <si>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</si>
  <si>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</si>
  <si>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</si>
  <si>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</si>
  <si>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</si>
  <si>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</si>
  <si>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</si>
  <si>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</si>
  <si>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</si>
  <si>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</si>
  <si>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</si>
  <si>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</si>
  <si>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</si>
  <si>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</si>
  <si>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</si>
  <si>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</si>
  <si>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</si>
  <si>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Los Angeles Clippers</t>
  </si>
  <si>
    <t>Phoenix Suns</t>
  </si>
  <si>
    <t>Toronto Raptors</t>
  </si>
  <si>
    <t>Portland Trail Blazers</t>
  </si>
  <si>
    <t>Charlotte Hornets</t>
  </si>
  <si>
    <t>Detroit Pistons</t>
  </si>
  <si>
    <t>Chicago Bulls</t>
  </si>
  <si>
    <t>Houston Rockets</t>
  </si>
  <si>
    <t>Oklahoma City Thunder</t>
  </si>
  <si>
    <t>Utah Jazz</t>
  </si>
  <si>
    <t>New York Knicks</t>
  </si>
  <si>
    <t>Sacramento Kings</t>
  </si>
  <si>
    <t>New Orleans Pelicans</t>
  </si>
  <si>
    <t>Brooklyn Nets</t>
  </si>
  <si>
    <t>Milwaukee Bucks</t>
  </si>
  <si>
    <t>Washington Wizards</t>
  </si>
  <si>
    <t>Miami Heat</t>
  </si>
  <si>
    <t>Minnesota Timberwolves</t>
  </si>
  <si>
    <t>Dallas Mavericks</t>
  </si>
  <si>
    <t>Golden State Warriors</t>
  </si>
  <si>
    <t>Philadelphia 76ers</t>
  </si>
  <si>
    <t>Boston Celtics</t>
  </si>
  <si>
    <t>Los Angeles Lakers</t>
  </si>
  <si>
    <t>Memphis Grizzlies</t>
  </si>
  <si>
    <t>Cleveland Cavaliers</t>
  </si>
  <si>
    <t>Denver Nuggets</t>
  </si>
  <si>
    <t>Indiana Pacers</t>
  </si>
  <si>
    <t>Atlanta Hawks</t>
  </si>
  <si>
    <t>Orlando Magic</t>
  </si>
  <si>
    <t>San Antonio Spurs</t>
  </si>
  <si>
    <t>Age</t>
  </si>
  <si>
    <t>W</t>
  </si>
  <si>
    <t>L</t>
  </si>
  <si>
    <t>PW</t>
  </si>
  <si>
    <t>PL</t>
  </si>
  <si>
    <t>MOV</t>
  </si>
  <si>
    <t>SOS</t>
  </si>
  <si>
    <t>SRS</t>
  </si>
  <si>
    <t>ORtg</t>
  </si>
  <si>
    <t>DRtg</t>
  </si>
  <si>
    <t>NRtg</t>
  </si>
  <si>
    <t>Pace</t>
  </si>
  <si>
    <t>FTr</t>
  </si>
  <si>
    <t>3PAr</t>
  </si>
  <si>
    <t>TS%</t>
  </si>
  <si>
    <t>Offense Four Factors eFG%</t>
  </si>
  <si>
    <t>Offense Four Factors TOV%</t>
  </si>
  <si>
    <t>Offense Four Factors ORB%</t>
  </si>
  <si>
    <t>Offense Four Factors FT/FGA</t>
  </si>
  <si>
    <t>Defense Four Factors eFG%</t>
  </si>
  <si>
    <t>Defense Four Factors TOV%</t>
  </si>
  <si>
    <t>Defense Four Factors DRB%</t>
  </si>
  <si>
    <t>Defense Four Factors FT/FGA</t>
  </si>
  <si>
    <t>Arena</t>
  </si>
  <si>
    <t>Attend.</t>
  </si>
  <si>
    <t>Attend./G</t>
  </si>
  <si>
    <t>1</t>
  </si>
  <si>
    <t>4</t>
  </si>
  <si>
    <t>3</t>
  </si>
  <si>
    <t>Wells Fargo Center</t>
  </si>
  <si>
    <t>2</t>
  </si>
  <si>
    <t>TD Garden</t>
  </si>
  <si>
    <t>Vivint Smart Home Arena</t>
  </si>
  <si>
    <t>18,306</t>
  </si>
  <si>
    <t>STAPLES Center</t>
  </si>
  <si>
    <t>18,997</t>
  </si>
  <si>
    <t>5</t>
  </si>
  <si>
    <t>AmericanAirlines Arena</t>
  </si>
  <si>
    <t>6</t>
  </si>
  <si>
    <t>Scotiabank Arena</t>
  </si>
  <si>
    <t>7</t>
  </si>
  <si>
    <t>Talking Stick Resort Arena</t>
  </si>
  <si>
    <t>8</t>
  </si>
  <si>
    <t>State Farm Arena</t>
  </si>
  <si>
    <t>9</t>
  </si>
  <si>
    <t>Fiserv Forum</t>
  </si>
  <si>
    <t>10</t>
  </si>
  <si>
    <t>19,068</t>
  </si>
  <si>
    <t>11</t>
  </si>
  <si>
    <t>American Airlines Center</t>
  </si>
  <si>
    <t>12</t>
  </si>
  <si>
    <t>Target Center</t>
  </si>
  <si>
    <t>13</t>
  </si>
  <si>
    <t>Capital One Arena</t>
  </si>
  <si>
    <t>14</t>
  </si>
  <si>
    <t>AT&amp;T Center</t>
  </si>
  <si>
    <t>15</t>
  </si>
  <si>
    <t>Amway Center</t>
  </si>
  <si>
    <t>16</t>
  </si>
  <si>
    <t>Pepsi Center</t>
  </si>
  <si>
    <t>17</t>
  </si>
  <si>
    <t>Chesapeake Energy Arena</t>
  </si>
  <si>
    <t>18,203</t>
  </si>
  <si>
    <t>18</t>
  </si>
  <si>
    <t>Toyota Center</t>
  </si>
  <si>
    <t>19</t>
  </si>
  <si>
    <t>Moda Center</t>
  </si>
  <si>
    <t>20</t>
  </si>
  <si>
    <t>Little Caesars Arena</t>
  </si>
  <si>
    <t>21</t>
  </si>
  <si>
    <t>Quicken Loans Arena</t>
  </si>
  <si>
    <t>22</t>
  </si>
  <si>
    <t>Smoothie King Center</t>
  </si>
  <si>
    <t>23</t>
  </si>
  <si>
    <t>Bankers Life Fieldhouse</t>
  </si>
  <si>
    <t>24</t>
  </si>
  <si>
    <t>Barclays Center</t>
  </si>
  <si>
    <t>25</t>
  </si>
  <si>
    <t>Madison Square Garden (IV)</t>
  </si>
  <si>
    <t>26</t>
  </si>
  <si>
    <t>27</t>
  </si>
  <si>
    <t>Spectrum Center</t>
  </si>
  <si>
    <t>28</t>
  </si>
  <si>
    <t>United Center</t>
  </si>
  <si>
    <t>29</t>
  </si>
  <si>
    <t>FedEx Forum</t>
  </si>
  <si>
    <t>30</t>
  </si>
  <si>
    <t>Golden 1 Center</t>
  </si>
  <si>
    <t>Column1</t>
  </si>
  <si>
    <t>Date</t>
  </si>
  <si>
    <t>Start (ET)</t>
  </si>
  <si>
    <t>Visitor/Neutral</t>
  </si>
  <si>
    <t>Home/Neutral</t>
  </si>
  <si>
    <t>PTS2</t>
  </si>
  <si>
    <t>Notes</t>
  </si>
  <si>
    <t>8:00p</t>
  </si>
  <si>
    <t>Box Score</t>
  </si>
  <si>
    <t>OT</t>
  </si>
  <si>
    <t>10:30p</t>
  </si>
  <si>
    <t>7:00p</t>
  </si>
  <si>
    <t>7:30p</t>
  </si>
  <si>
    <t>8:30p</t>
  </si>
  <si>
    <t>9:00p</t>
  </si>
  <si>
    <t>10:00p</t>
  </si>
  <si>
    <t>5:00p</t>
  </si>
  <si>
    <t>3:30p</t>
  </si>
  <si>
    <t>6:00p</t>
  </si>
  <si>
    <t>9:30p</t>
  </si>
  <si>
    <t>Suns</t>
  </si>
  <si>
    <t>Raptors</t>
  </si>
  <si>
    <t>Trail Blazers</t>
  </si>
  <si>
    <t>Hornets</t>
  </si>
  <si>
    <t>Pistons</t>
  </si>
  <si>
    <t>Bulls</t>
  </si>
  <si>
    <t>Rockets</t>
  </si>
  <si>
    <t>Jazz</t>
  </si>
  <si>
    <t>Kings</t>
  </si>
  <si>
    <t>Nets</t>
  </si>
  <si>
    <t>Bucks</t>
  </si>
  <si>
    <t>Wizards</t>
  </si>
  <si>
    <t>Heat</t>
  </si>
  <si>
    <t>Timberwolves</t>
  </si>
  <si>
    <t>Mavericks</t>
  </si>
  <si>
    <t>76ers</t>
  </si>
  <si>
    <t>Celtics</t>
  </si>
  <si>
    <t>Grizzlies</t>
  </si>
  <si>
    <t>Cavaliers</t>
  </si>
  <si>
    <t>Nuggets</t>
  </si>
  <si>
    <t>Pacers</t>
  </si>
  <si>
    <t>Hawks</t>
  </si>
  <si>
    <t>Magic</t>
  </si>
  <si>
    <t>Clippers</t>
  </si>
  <si>
    <t>Thunder</t>
  </si>
  <si>
    <t>Knicks</t>
  </si>
  <si>
    <t>Pelicans</t>
  </si>
  <si>
    <t>Warriors</t>
  </si>
  <si>
    <t>Lakers</t>
  </si>
  <si>
    <t>Spurs</t>
  </si>
  <si>
    <t>Pts</t>
  </si>
  <si>
    <t>PA</t>
  </si>
  <si>
    <t>Home</t>
  </si>
  <si>
    <t>Away</t>
  </si>
  <si>
    <t>Averages</t>
  </si>
  <si>
    <t>Points For</t>
  </si>
  <si>
    <t>Points Against</t>
  </si>
  <si>
    <t>INT</t>
  </si>
  <si>
    <t>Odds</t>
  </si>
  <si>
    <t>Spread</t>
  </si>
  <si>
    <t>Full Tm</t>
  </si>
  <si>
    <t>Int</t>
  </si>
  <si>
    <t>Rank Tier</t>
  </si>
  <si>
    <t>Four Factors eFG%</t>
  </si>
  <si>
    <t>Four Factors TOV%</t>
  </si>
  <si>
    <t>Four Factors DRB%</t>
  </si>
  <si>
    <t>Four Factors FT/FGA</t>
  </si>
  <si>
    <t>Calc. PF (100 Poss.)</t>
  </si>
  <si>
    <t>Calc. PA (100 Poss.)</t>
  </si>
  <si>
    <t>Ave Pts (100. Poss)</t>
  </si>
  <si>
    <t>Ave. Pace</t>
  </si>
  <si>
    <t>Calc. Points</t>
  </si>
  <si>
    <t xml:space="preserve">SRS Diff. </t>
  </si>
  <si>
    <t>Init Pt. Diff</t>
  </si>
  <si>
    <t>SRS Adj</t>
  </si>
  <si>
    <t>Points</t>
  </si>
  <si>
    <t>Sdev</t>
  </si>
  <si>
    <t>Std Dev</t>
  </si>
  <si>
    <t>Std. Dev</t>
  </si>
  <si>
    <t>Line</t>
  </si>
  <si>
    <t>Calc. Line</t>
  </si>
  <si>
    <t>Calc. W%</t>
  </si>
  <si>
    <t>Vegas w%</t>
  </si>
  <si>
    <t>Cover Prob</t>
  </si>
  <si>
    <t>O/U</t>
  </si>
  <si>
    <t>Calc. Total</t>
  </si>
  <si>
    <t>Offense</t>
  </si>
  <si>
    <t>Score Calcultions</t>
  </si>
  <si>
    <t>Standard Unit</t>
  </si>
  <si>
    <t>Cover Confidence</t>
  </si>
  <si>
    <t>O/U Confidence</t>
  </si>
  <si>
    <t>ML Fav Adjuster</t>
  </si>
  <si>
    <t>ML Dog Adjuster</t>
  </si>
  <si>
    <t>Game</t>
  </si>
  <si>
    <t>Bet</t>
  </si>
  <si>
    <t>Result</t>
  </si>
  <si>
    <t>Net</t>
  </si>
  <si>
    <t>Bet Type</t>
  </si>
  <si>
    <t>Record</t>
  </si>
  <si>
    <t>Cash Flow</t>
  </si>
  <si>
    <t>Type</t>
  </si>
  <si>
    <t>U</t>
  </si>
  <si>
    <t>Under</t>
  </si>
  <si>
    <t>O</t>
  </si>
  <si>
    <t>Over</t>
  </si>
  <si>
    <t>F</t>
  </si>
  <si>
    <t>Favorite Spread</t>
  </si>
  <si>
    <t>D</t>
  </si>
  <si>
    <t>Dog Spread</t>
  </si>
  <si>
    <t>MF</t>
  </si>
  <si>
    <t>Favorite ML</t>
  </si>
  <si>
    <t>MD</t>
  </si>
  <si>
    <t>Dog ML</t>
  </si>
  <si>
    <t>P</t>
  </si>
  <si>
    <t>Parlay</t>
  </si>
  <si>
    <t>Winnings</t>
  </si>
  <si>
    <t>Percentage Gain</t>
  </si>
  <si>
    <t>Win Percentage</t>
  </si>
  <si>
    <t>3:00p</t>
  </si>
  <si>
    <t>12:00p</t>
  </si>
  <si>
    <t>Over 215</t>
  </si>
  <si>
    <t>MoneyLine Parlay</t>
  </si>
  <si>
    <t>Over 210.5</t>
  </si>
  <si>
    <t>Player</t>
  </si>
  <si>
    <t>Pos</t>
  </si>
  <si>
    <t>Tm</t>
  </si>
  <si>
    <t>PER</t>
  </si>
  <si>
    <t>ORB%</t>
  </si>
  <si>
    <t>DRB%</t>
  </si>
  <si>
    <t>TRB%</t>
  </si>
  <si>
    <t>AST%</t>
  </si>
  <si>
    <t>STL%</t>
  </si>
  <si>
    <t>BLK%</t>
  </si>
  <si>
    <t>TOV%</t>
  </si>
  <si>
    <t>USG%</t>
  </si>
  <si>
    <t>OWS</t>
  </si>
  <si>
    <t>DWS</t>
  </si>
  <si>
    <t>WS</t>
  </si>
  <si>
    <t>WS/48</t>
  </si>
  <si>
    <t>OBPM</t>
  </si>
  <si>
    <t>DBPM</t>
  </si>
  <si>
    <t>BPM</t>
  </si>
  <si>
    <t>VORP</t>
  </si>
  <si>
    <t>Steven Adams</t>
  </si>
  <si>
    <t>C</t>
  </si>
  <si>
    <t>OKC</t>
  </si>
  <si>
    <t>Bam Adebayo</t>
  </si>
  <si>
    <t>MIA</t>
  </si>
  <si>
    <t>LaMarcus Aldridge</t>
  </si>
  <si>
    <t>SAS</t>
  </si>
  <si>
    <t>Nickeil Alexander-Walker</t>
  </si>
  <si>
    <t>SG</t>
  </si>
  <si>
    <t>NOP</t>
  </si>
  <si>
    <t>Grayson Allen</t>
  </si>
  <si>
    <t>MEM</t>
  </si>
  <si>
    <t>Jarrett Allen</t>
  </si>
  <si>
    <t>BRK</t>
  </si>
  <si>
    <t>Al-Farouq Aminu</t>
  </si>
  <si>
    <t>ORL</t>
  </si>
  <si>
    <t>Kyle Anderson</t>
  </si>
  <si>
    <t>SF</t>
  </si>
  <si>
    <t>Ryan Anderson</t>
  </si>
  <si>
    <t>HOU</t>
  </si>
  <si>
    <t>Giannis Antetokounmpo</t>
  </si>
  <si>
    <t>MIL</t>
  </si>
  <si>
    <t>Kostas Antetokounmpo</t>
  </si>
  <si>
    <t>LAL</t>
  </si>
  <si>
    <t>Thanasis Antetokounmpo</t>
  </si>
  <si>
    <t>Carmelo Anthony</t>
  </si>
  <si>
    <t>POR</t>
  </si>
  <si>
    <t>OG Anunoby</t>
  </si>
  <si>
    <t>TOR</t>
  </si>
  <si>
    <t>Ryan Arcidiacono</t>
  </si>
  <si>
    <t>PG</t>
  </si>
  <si>
    <t>CHI</t>
  </si>
  <si>
    <t>Trevor Ariza</t>
  </si>
  <si>
    <t>SAC</t>
  </si>
  <si>
    <t>D.J. Augustin</t>
  </si>
  <si>
    <t>Deandre Ayton</t>
  </si>
  <si>
    <t>PHO</t>
  </si>
  <si>
    <t>Dwayne Bacon</t>
  </si>
  <si>
    <t>CHO</t>
  </si>
  <si>
    <t>Marvin Bagley</t>
  </si>
  <si>
    <t>Lonzo Ball</t>
  </si>
  <si>
    <t>Mo Bamba</t>
  </si>
  <si>
    <t>J.J. Barea</t>
  </si>
  <si>
    <t>DAL</t>
  </si>
  <si>
    <t>Harrison Barnes</t>
  </si>
  <si>
    <t>RJ Barrett</t>
  </si>
  <si>
    <t>NYK</t>
  </si>
  <si>
    <t>Will Barton</t>
  </si>
  <si>
    <t>DEN</t>
  </si>
  <si>
    <t>Keita Bates-Diop</t>
  </si>
  <si>
    <t>MIN</t>
  </si>
  <si>
    <t>Nicolas Batum</t>
  </si>
  <si>
    <t>Aron Baynes</t>
  </si>
  <si>
    <t>Kent Bazemore</t>
  </si>
  <si>
    <t>Darius Bazley</t>
  </si>
  <si>
    <t>Bradley Beal</t>
  </si>
  <si>
    <t>WAS</t>
  </si>
  <si>
    <t>Malik Beasley</t>
  </si>
  <si>
    <t>Marco Belinelli</t>
  </si>
  <si>
    <t>Jordan Bell</t>
  </si>
  <si>
    <t>DeAndre' Bembry</t>
  </si>
  <si>
    <t>ATL</t>
  </si>
  <si>
    <t>Dāvis Bertāns</t>
  </si>
  <si>
    <t>Patrick Beverley</t>
  </si>
  <si>
    <t>LAC</t>
  </si>
  <si>
    <t>Khem Birch</t>
  </si>
  <si>
    <t>Goga Bitadze</t>
  </si>
  <si>
    <t>IND</t>
  </si>
  <si>
    <t>Bismack Biyombo</t>
  </si>
  <si>
    <t>Nemanja Bjelica</t>
  </si>
  <si>
    <t>Eric Bledsoe</t>
  </si>
  <si>
    <t>Bogdan Bogdanović</t>
  </si>
  <si>
    <t>Bojan Bogdanović</t>
  </si>
  <si>
    <t>UTA</t>
  </si>
  <si>
    <t>Jonah Bolden</t>
  </si>
  <si>
    <t>PHI</t>
  </si>
  <si>
    <t>Jordan Bone</t>
  </si>
  <si>
    <t>DET</t>
  </si>
  <si>
    <t>Isaac Bonga</t>
  </si>
  <si>
    <t>Devin Booker</t>
  </si>
  <si>
    <t>Chris Boucher</t>
  </si>
  <si>
    <t>Brian Bowen</t>
  </si>
  <si>
    <t>Ky Bowman</t>
  </si>
  <si>
    <t>GSW</t>
  </si>
  <si>
    <t>Avery Bradley</t>
  </si>
  <si>
    <t>Tony Bradley</t>
  </si>
  <si>
    <t>Jarrell Brantley</t>
  </si>
  <si>
    <t>Ignas Brazdeikis</t>
  </si>
  <si>
    <t>Mikal Bridges</t>
  </si>
  <si>
    <t>Miles Bridges</t>
  </si>
  <si>
    <t>Oshae Brissett</t>
  </si>
  <si>
    <t>Ryan Broekhoff</t>
  </si>
  <si>
    <t>Malcolm Brogdon</t>
  </si>
  <si>
    <t>Dillon Brooks</t>
  </si>
  <si>
    <t>Bruce Brown</t>
  </si>
  <si>
    <t>Charlie Brown</t>
  </si>
  <si>
    <t>Jaylen Brown</t>
  </si>
  <si>
    <t>BOS</t>
  </si>
  <si>
    <t>Moses Brown</t>
  </si>
  <si>
    <t>Sterling Brown</t>
  </si>
  <si>
    <t>Troy Brown</t>
  </si>
  <si>
    <t>Jalen Brunson</t>
  </si>
  <si>
    <t>Thomas Bryant</t>
  </si>
  <si>
    <t>Trey Burke</t>
  </si>
  <si>
    <t>Alec Burks</t>
  </si>
  <si>
    <t>Deonte Burton</t>
  </si>
  <si>
    <t>Jimmy Butler</t>
  </si>
  <si>
    <t>Bruno Caboclo</t>
  </si>
  <si>
    <t>Kentavious Caldwell-Pope</t>
  </si>
  <si>
    <t>Vlatko Čančar</t>
  </si>
  <si>
    <t>Clint Capela</t>
  </si>
  <si>
    <t>DeMarre Carroll</t>
  </si>
  <si>
    <t>Jevon Carter</t>
  </si>
  <si>
    <t>Vince Carter</t>
  </si>
  <si>
    <t>Wendell Carter</t>
  </si>
  <si>
    <t>Michael Carter-Williams</t>
  </si>
  <si>
    <t>Alex Caruso</t>
  </si>
  <si>
    <t>Willie Cauley-Stein</t>
  </si>
  <si>
    <t>Tyson Chandler</t>
  </si>
  <si>
    <t>Zylan Cheatham</t>
  </si>
  <si>
    <t>Chris Chiozza</t>
  </si>
  <si>
    <t>Marquese Chriss</t>
  </si>
  <si>
    <t>Gary Clark</t>
  </si>
  <si>
    <t>Brandon Clarke</t>
  </si>
  <si>
    <t>Jordan Clarkson</t>
  </si>
  <si>
    <t>CLE</t>
  </si>
  <si>
    <t>Nicolas Claxton</t>
  </si>
  <si>
    <t>Chris Clemons</t>
  </si>
  <si>
    <t>John Collins</t>
  </si>
  <si>
    <t>Zach Collins</t>
  </si>
  <si>
    <t>Mike Conley</t>
  </si>
  <si>
    <t>Pat Connaughton</t>
  </si>
  <si>
    <t>Quinn Cook</t>
  </si>
  <si>
    <t>Tyler Cook</t>
  </si>
  <si>
    <t>Robert Covington</t>
  </si>
  <si>
    <t>Allen Crabbe</t>
  </si>
  <si>
    <t>Torrey Craig</t>
  </si>
  <si>
    <t>Jae Crowder</t>
  </si>
  <si>
    <t>Jarrett Culver</t>
  </si>
  <si>
    <t>Seth Curry</t>
  </si>
  <si>
    <t>Stephen Curry</t>
  </si>
  <si>
    <t>Troy Daniels</t>
  </si>
  <si>
    <t>Anthony Davis</t>
  </si>
  <si>
    <t>Ed Davis</t>
  </si>
  <si>
    <t>Terence Davis</t>
  </si>
  <si>
    <t>Dewayne Dedmon</t>
  </si>
  <si>
    <t>Matthew Dellavedova</t>
  </si>
  <si>
    <t>DeMar DeRozan</t>
  </si>
  <si>
    <t>Cheick Diallo</t>
  </si>
  <si>
    <t>Hamidou Diallo</t>
  </si>
  <si>
    <t>Gorgui Dieng</t>
  </si>
  <si>
    <t>Spencer Dinwiddie</t>
  </si>
  <si>
    <t>Donte DiVincenzo</t>
  </si>
  <si>
    <t>Luka Dončić</t>
  </si>
  <si>
    <t>Damyean Dotson</t>
  </si>
  <si>
    <t>Goran Dragić</t>
  </si>
  <si>
    <t>Andre Drummond</t>
  </si>
  <si>
    <t>Jared Dudley</t>
  </si>
  <si>
    <t>Kris Dunn</t>
  </si>
  <si>
    <t>Carsen Edwards</t>
  </si>
  <si>
    <t>Wayne Ellington</t>
  </si>
  <si>
    <t>Joel Embiid</t>
  </si>
  <si>
    <t>James Ennis</t>
  </si>
  <si>
    <t>Drew Eubanks</t>
  </si>
  <si>
    <t>Jacob Evans</t>
  </si>
  <si>
    <t>Dante Exum</t>
  </si>
  <si>
    <t>Tacko Fall</t>
  </si>
  <si>
    <t>Derrick Favors</t>
  </si>
  <si>
    <t>Terrance Ferguson</t>
  </si>
  <si>
    <t>Bruno Fernando</t>
  </si>
  <si>
    <t>Yogi Ferrell</t>
  </si>
  <si>
    <t>Dorian Finney-Smith</t>
  </si>
  <si>
    <t>Bryn Forbes</t>
  </si>
  <si>
    <t>Evan Fournier</t>
  </si>
  <si>
    <t>De'Aaron Fox</t>
  </si>
  <si>
    <t>Melvin Frazier</t>
  </si>
  <si>
    <t>Tim Frazier</t>
  </si>
  <si>
    <t>Markelle Fultz</t>
  </si>
  <si>
    <t>Wenyen Gabriel</t>
  </si>
  <si>
    <t>Daniel Gafford</t>
  </si>
  <si>
    <t>Danilo Gallinari</t>
  </si>
  <si>
    <t>Langston Galloway</t>
  </si>
  <si>
    <t>Darius Garland</t>
  </si>
  <si>
    <t>Marc Gasol</t>
  </si>
  <si>
    <t>Rudy Gay</t>
  </si>
  <si>
    <t>Paul George</t>
  </si>
  <si>
    <t>Taj Gibson</t>
  </si>
  <si>
    <t>Harry Giles</t>
  </si>
  <si>
    <t>Shai Gilgeous-Alexander</t>
  </si>
  <si>
    <t>Rudy Gobert</t>
  </si>
  <si>
    <t>Aaron Gordon</t>
  </si>
  <si>
    <t>Eric Gordon</t>
  </si>
  <si>
    <t>Devonte' Graham</t>
  </si>
  <si>
    <t>Treveon Graham</t>
  </si>
  <si>
    <t>Jerami Grant</t>
  </si>
  <si>
    <t>Josh Gray</t>
  </si>
  <si>
    <t>Danny Green</t>
  </si>
  <si>
    <t>Draymond Green</t>
  </si>
  <si>
    <t>JaMychal Green</t>
  </si>
  <si>
    <t>Javonte Green</t>
  </si>
  <si>
    <t>Jeff Green</t>
  </si>
  <si>
    <t>Blake Griffin</t>
  </si>
  <si>
    <t>Marko Guduric</t>
  </si>
  <si>
    <t>Rui Hachimura</t>
  </si>
  <si>
    <t>Devon Hall</t>
  </si>
  <si>
    <t>Tim Hardaway</t>
  </si>
  <si>
    <t>James Harden</t>
  </si>
  <si>
    <t>Maurice Harkless</t>
  </si>
  <si>
    <t>Jared Harper</t>
  </si>
  <si>
    <t>Montrezl Harrell</t>
  </si>
  <si>
    <t>Gary Harris</t>
  </si>
  <si>
    <t>Joe Harris</t>
  </si>
  <si>
    <t>Tobias Harris</t>
  </si>
  <si>
    <t>Shaquille Harrison</t>
  </si>
  <si>
    <t>Josh Hart</t>
  </si>
  <si>
    <t>Isaiah Hartenstein</t>
  </si>
  <si>
    <t>Udonis Haslem</t>
  </si>
  <si>
    <t>Jaxson Hayes</t>
  </si>
  <si>
    <t>Gordon Hayward</t>
  </si>
  <si>
    <t>John Henson</t>
  </si>
  <si>
    <t>Dewan Hernandez</t>
  </si>
  <si>
    <t>Juan Hernangómez</t>
  </si>
  <si>
    <t>Willy Hernangómez</t>
  </si>
  <si>
    <t>Tyler Herro</t>
  </si>
  <si>
    <t>Mario Hezonja</t>
  </si>
  <si>
    <t>Buddy Hield</t>
  </si>
  <si>
    <t>George Hill</t>
  </si>
  <si>
    <t>Solomon Hill</t>
  </si>
  <si>
    <t>Jaylen Hoard</t>
  </si>
  <si>
    <t>Aaron Holiday</t>
  </si>
  <si>
    <t>Jrue Holiday</t>
  </si>
  <si>
    <t>Justin Holiday</t>
  </si>
  <si>
    <t>Rondae Hollis-Jefferson</t>
  </si>
  <si>
    <t>Richaun Holmes</t>
  </si>
  <si>
    <t>Rodney Hood</t>
  </si>
  <si>
    <t>Al Horford</t>
  </si>
  <si>
    <t>Danuel House</t>
  </si>
  <si>
    <t>Dwight Howard</t>
  </si>
  <si>
    <t>Kevin Huerter</t>
  </si>
  <si>
    <t>De'Andre Hunter</t>
  </si>
  <si>
    <t>Chandler Hutchison</t>
  </si>
  <si>
    <t>Serge Ibaka</t>
  </si>
  <si>
    <t>Ersan İlyasova</t>
  </si>
  <si>
    <t>Joe Ingles</t>
  </si>
  <si>
    <t>Brandon Ingram</t>
  </si>
  <si>
    <t>Kyrie Irving</t>
  </si>
  <si>
    <t>Jonathan Isaac</t>
  </si>
  <si>
    <t>Wesley Iwundu</t>
  </si>
  <si>
    <t>Frank Jackson</t>
  </si>
  <si>
    <t>Jaren Jackson</t>
  </si>
  <si>
    <t>Justin Jackson</t>
  </si>
  <si>
    <t>Reggie Jackson</t>
  </si>
  <si>
    <t>Justin James</t>
  </si>
  <si>
    <t>LeBron James</t>
  </si>
  <si>
    <t>Amile Jefferson</t>
  </si>
  <si>
    <t>DaQuan Jeffries</t>
  </si>
  <si>
    <t>Alize Johnson</t>
  </si>
  <si>
    <t>Cameron Johnson</t>
  </si>
  <si>
    <t>James Johnson</t>
  </si>
  <si>
    <t>Stanley Johnson</t>
  </si>
  <si>
    <t>Tyler Johnson</t>
  </si>
  <si>
    <t>Nikola Jokić</t>
  </si>
  <si>
    <t>Damian Jones</t>
  </si>
  <si>
    <t>Derrick Jones</t>
  </si>
  <si>
    <t>Tyus Jones</t>
  </si>
  <si>
    <t>DeAndre Jordan</t>
  </si>
  <si>
    <t>Cory Joseph</t>
  </si>
  <si>
    <t>Mfiondu Kabengele</t>
  </si>
  <si>
    <t>Frank Kaminsky</t>
  </si>
  <si>
    <t>Enes Kanter</t>
  </si>
  <si>
    <t>Luke Kennard</t>
  </si>
  <si>
    <t>Stanton Kidd</t>
  </si>
  <si>
    <t>Michael Kidd-Gilchrist</t>
  </si>
  <si>
    <t>Maxi Kleber</t>
  </si>
  <si>
    <t>Brandon Knight</t>
  </si>
  <si>
    <t>Kevin Knox</t>
  </si>
  <si>
    <t>John Konchar</t>
  </si>
  <si>
    <t>Furkan Korkmaz</t>
  </si>
  <si>
    <t>Luke Kornet</t>
  </si>
  <si>
    <t>Kyle Korver</t>
  </si>
  <si>
    <t>Rodions Kurucs</t>
  </si>
  <si>
    <t>Kyle Kuzma</t>
  </si>
  <si>
    <t>Skal Labissière</t>
  </si>
  <si>
    <t>Jeremy Lamb</t>
  </si>
  <si>
    <t>Romeo Langford</t>
  </si>
  <si>
    <t>Zach LaVine</t>
  </si>
  <si>
    <t>Jake Layman</t>
  </si>
  <si>
    <t>T.J. Leaf</t>
  </si>
  <si>
    <t>Courtney Lee</t>
  </si>
  <si>
    <t>Damion Lee</t>
  </si>
  <si>
    <t>Alex Len</t>
  </si>
  <si>
    <t>Kawhi Leonard</t>
  </si>
  <si>
    <t>Meyers Leonard</t>
  </si>
  <si>
    <t>Caris LeVert</t>
  </si>
  <si>
    <t>Damian Lillard</t>
  </si>
  <si>
    <t>Nassir Little</t>
  </si>
  <si>
    <t>Kevon Looney</t>
  </si>
  <si>
    <t>Brook Lopez</t>
  </si>
  <si>
    <t>Robin Lopez</t>
  </si>
  <si>
    <t>Kevin Love</t>
  </si>
  <si>
    <t>Kyle Lowry</t>
  </si>
  <si>
    <t>Timothé Luwawu-Cabarrot</t>
  </si>
  <si>
    <t>Trey Lyles</t>
  </si>
  <si>
    <t>Daryl Macon</t>
  </si>
  <si>
    <t>Josh Magette</t>
  </si>
  <si>
    <t>Thon Maker</t>
  </si>
  <si>
    <t>Terance Mann</t>
  </si>
  <si>
    <t>Boban Marjanović</t>
  </si>
  <si>
    <t>Lauri Markkanen</t>
  </si>
  <si>
    <t>Caleb Martin</t>
  </si>
  <si>
    <t>Cody Martin</t>
  </si>
  <si>
    <t>Kelan Martin</t>
  </si>
  <si>
    <t>Garrison Mathews</t>
  </si>
  <si>
    <t>Wesley Matthews</t>
  </si>
  <si>
    <t>Patrick McCaw</t>
  </si>
  <si>
    <t>CJ McCollum</t>
  </si>
  <si>
    <t>T.J. McConnell</t>
  </si>
  <si>
    <t>Jalen McDaniels</t>
  </si>
  <si>
    <t>Doug McDermott</t>
  </si>
  <si>
    <t>JaVale McGee</t>
  </si>
  <si>
    <t>Rodney McGruder</t>
  </si>
  <si>
    <t>Alfonzo McKinnie</t>
  </si>
  <si>
    <t>Jordan McLaughlin</t>
  </si>
  <si>
    <t>Ben McLemore</t>
  </si>
  <si>
    <t>Jordan McRae</t>
  </si>
  <si>
    <t>Nicolò Melli</t>
  </si>
  <si>
    <t>De'Anthony Melton</t>
  </si>
  <si>
    <t>Chimezie Metu</t>
  </si>
  <si>
    <t>Khris Middleton</t>
  </si>
  <si>
    <t>C.J. Miles</t>
  </si>
  <si>
    <t>Malcolm Miller</t>
  </si>
  <si>
    <t>Patty Mills</t>
  </si>
  <si>
    <t>Paul Millsap</t>
  </si>
  <si>
    <t>Shake Milton</t>
  </si>
  <si>
    <t>Donovan Mitchell</t>
  </si>
  <si>
    <t>Naz Mitrou-Long</t>
  </si>
  <si>
    <t>Malik Monk</t>
  </si>
  <si>
    <t>E'Twaun Moore</t>
  </si>
  <si>
    <t>Ja Morant</t>
  </si>
  <si>
    <t>Marcus Morris</t>
  </si>
  <si>
    <t>Markieff Morris</t>
  </si>
  <si>
    <t>Monte Morris</t>
  </si>
  <si>
    <t>Johnathan Motley</t>
  </si>
  <si>
    <t>Emmanuel Mudiay</t>
  </si>
  <si>
    <t>Dejounte Murray</t>
  </si>
  <si>
    <t>Jamal Murray</t>
  </si>
  <si>
    <t>Džanan Musa</t>
  </si>
  <si>
    <t>Mike Muscala</t>
  </si>
  <si>
    <t>Sviatoslav Mykhailiuk</t>
  </si>
  <si>
    <t>Abdel Nader</t>
  </si>
  <si>
    <t>Larry Nance</t>
  </si>
  <si>
    <t>Shabazz Napier</t>
  </si>
  <si>
    <t>Raul Neto</t>
  </si>
  <si>
    <t>Georges Niang</t>
  </si>
  <si>
    <t>Nerlens Noel</t>
  </si>
  <si>
    <t>Zach Norvell</t>
  </si>
  <si>
    <t>Jaylen Nowell</t>
  </si>
  <si>
    <t>Frank Ntilikina</t>
  </si>
  <si>
    <t>Kendrick Nunn</t>
  </si>
  <si>
    <t>David Nwaba</t>
  </si>
  <si>
    <t>Royce O'Neale</t>
  </si>
  <si>
    <t>Kyle O'Quinn</t>
  </si>
  <si>
    <t>Semi Ojeleye</t>
  </si>
  <si>
    <t>Jahlil Okafor</t>
  </si>
  <si>
    <t>Elie Okobo</t>
  </si>
  <si>
    <t>Josh Okogie</t>
  </si>
  <si>
    <t>KZ Okpala</t>
  </si>
  <si>
    <t>Kelly Olynyk</t>
  </si>
  <si>
    <t>Miye Oni</t>
  </si>
  <si>
    <t>Cedi Osman</t>
  </si>
  <si>
    <t>Kelly Oubre</t>
  </si>
  <si>
    <t>Jabari Parker</t>
  </si>
  <si>
    <t>Chandler Parsons</t>
  </si>
  <si>
    <t>Eric Paschall</t>
  </si>
  <si>
    <t>Patrick Patterson</t>
  </si>
  <si>
    <t>Justin Patton</t>
  </si>
  <si>
    <t>Chris Paul</t>
  </si>
  <si>
    <t>Elfrid Payton</t>
  </si>
  <si>
    <t>Theo Pinson</t>
  </si>
  <si>
    <t>Mason Plumlee</t>
  </si>
  <si>
    <t>Vincent Poirier</t>
  </si>
  <si>
    <t>Jakob Pöltl</t>
  </si>
  <si>
    <t>Jordan Poole</t>
  </si>
  <si>
    <t>Kevin Porter</t>
  </si>
  <si>
    <t>Michael Porter</t>
  </si>
  <si>
    <t>Otto Porter</t>
  </si>
  <si>
    <t>Bobby Portis</t>
  </si>
  <si>
    <t>Kristaps Porziņģis</t>
  </si>
  <si>
    <t>Dwight Powell</t>
  </si>
  <si>
    <t>Norman Powell</t>
  </si>
  <si>
    <t>Julius Randle</t>
  </si>
  <si>
    <t>Cam Reddish</t>
  </si>
  <si>
    <t>J.J. Redick</t>
  </si>
  <si>
    <t>Josh Richardson</t>
  </si>
  <si>
    <t>Austin Rivers</t>
  </si>
  <si>
    <t>Duncan Robinson</t>
  </si>
  <si>
    <t>Glenn Robinson</t>
  </si>
  <si>
    <t>Jerome Robinson</t>
  </si>
  <si>
    <t>Justin Robinson</t>
  </si>
  <si>
    <t>Mitchell Robinson</t>
  </si>
  <si>
    <t>Rajon Rondo</t>
  </si>
  <si>
    <t>Derrick Rose</t>
  </si>
  <si>
    <t>Terrence Ross</t>
  </si>
  <si>
    <t>Terry Rozier</t>
  </si>
  <si>
    <t>Ricky Rubio</t>
  </si>
  <si>
    <t>D'Angelo Russell</t>
  </si>
  <si>
    <t>Domantas Sabonis</t>
  </si>
  <si>
    <t>JaKarr Sampson</t>
  </si>
  <si>
    <t>Dario Šarić</t>
  </si>
  <si>
    <t>Tomáš Satoranský</t>
  </si>
  <si>
    <t>Admiral Schofield</t>
  </si>
  <si>
    <t>Dennis Schröder</t>
  </si>
  <si>
    <t>Mike Scott</t>
  </si>
  <si>
    <t>Thabo Sefolosha</t>
  </si>
  <si>
    <t>Collin Sexton</t>
  </si>
  <si>
    <t>Landry Shamet</t>
  </si>
  <si>
    <t>Iman Shumpert</t>
  </si>
  <si>
    <t>Pascal Siakam</t>
  </si>
  <si>
    <t>Chris Silva</t>
  </si>
  <si>
    <t>Ben Simmons</t>
  </si>
  <si>
    <t>Anfernee Simons</t>
  </si>
  <si>
    <t>Marcus Smart</t>
  </si>
  <si>
    <t>Dennis Smith</t>
  </si>
  <si>
    <t>Ish Smith</t>
  </si>
  <si>
    <t>Tony Snell</t>
  </si>
  <si>
    <t>Omari Spellman</t>
  </si>
  <si>
    <t>Edmond Sumner</t>
  </si>
  <si>
    <t>Caleb Swanigan</t>
  </si>
  <si>
    <t>Jayson Tatum</t>
  </si>
  <si>
    <t>Jeff Teague</t>
  </si>
  <si>
    <t>Garrett Temple</t>
  </si>
  <si>
    <t>Daniel Theis</t>
  </si>
  <si>
    <t>Isaiah Thomas</t>
  </si>
  <si>
    <t>Khyri Thomas</t>
  </si>
  <si>
    <t>Matt Thomas</t>
  </si>
  <si>
    <t>Tristan Thompson</t>
  </si>
  <si>
    <t>Matisse Thybulle</t>
  </si>
  <si>
    <t>Anthony Tolliver</t>
  </si>
  <si>
    <t>Karl-Anthony Towns</t>
  </si>
  <si>
    <t>Gary Trent</t>
  </si>
  <si>
    <t>Allonzo Trier</t>
  </si>
  <si>
    <t>P.J. Tucker</t>
  </si>
  <si>
    <t>Evan Turner</t>
  </si>
  <si>
    <t>Myles Turner</t>
  </si>
  <si>
    <t>Jonas Valančiūnas</t>
  </si>
  <si>
    <t>Denzel Valentine</t>
  </si>
  <si>
    <t>Jarred Vanderbilt</t>
  </si>
  <si>
    <t>Fred VanVleet</t>
  </si>
  <si>
    <t>Noah Vonleh</t>
  </si>
  <si>
    <t>Nikola Vučević</t>
  </si>
  <si>
    <t>Dean Wade</t>
  </si>
  <si>
    <t>Moritz Wagner</t>
  </si>
  <si>
    <t>Kemba Walker</t>
  </si>
  <si>
    <t>Lonnie Walker</t>
  </si>
  <si>
    <t>Tyrone Wallace</t>
  </si>
  <si>
    <t>Taurean Waller-Prince</t>
  </si>
  <si>
    <t>Derrick Walton</t>
  </si>
  <si>
    <t>Brad Wanamaker</t>
  </si>
  <si>
    <t>T.J. Warren</t>
  </si>
  <si>
    <t>Yuta Watanabe</t>
  </si>
  <si>
    <t>Russell Westbrook</t>
  </si>
  <si>
    <t>Coby White</t>
  </si>
  <si>
    <t>Derrick White</t>
  </si>
  <si>
    <t>Hassan Whiteside</t>
  </si>
  <si>
    <t>Andrew Wiggins</t>
  </si>
  <si>
    <t>Grant Williams</t>
  </si>
  <si>
    <t>Kenrich Williams</t>
  </si>
  <si>
    <t>Lou Williams</t>
  </si>
  <si>
    <t>Marvin Williams</t>
  </si>
  <si>
    <t>Robert Williams</t>
  </si>
  <si>
    <t>Nigel Williams-Goss</t>
  </si>
  <si>
    <t>D.J. Wilson</t>
  </si>
  <si>
    <t>Justise Winslow</t>
  </si>
  <si>
    <t>Christian Wood</t>
  </si>
  <si>
    <t>Delon Wright</t>
  </si>
  <si>
    <t>Thaddeus Young</t>
  </si>
  <si>
    <t>Trae Young</t>
  </si>
  <si>
    <t>Cody Zeller</t>
  </si>
  <si>
    <t>Ante Žižić</t>
  </si>
  <si>
    <t>Ivica Zubac</t>
  </si>
  <si>
    <t xml:space="preserve">Missing Players? </t>
  </si>
  <si>
    <t>Missing Player Adj.</t>
  </si>
  <si>
    <t>Scaled Vorp</t>
  </si>
  <si>
    <t>Dragan Bender</t>
  </si>
  <si>
    <t>Sekou Doumbouya</t>
  </si>
  <si>
    <t>Henry Ellenson</t>
  </si>
  <si>
    <t>Keldon Johnson</t>
  </si>
  <si>
    <t>Max Strus</t>
  </si>
  <si>
    <t>Nets @ Celtics</t>
  </si>
  <si>
    <t>Magic @ Cavaliers</t>
  </si>
  <si>
    <t>Magic -2</t>
  </si>
  <si>
    <t>Over 206</t>
  </si>
  <si>
    <t>Jazz @ Pacers</t>
  </si>
  <si>
    <t>Jazz +2</t>
  </si>
  <si>
    <t>Kings @ 76ers</t>
  </si>
  <si>
    <t>Knicks @ Raptors</t>
  </si>
  <si>
    <t>Raptors -10.5</t>
  </si>
  <si>
    <t>Heat @ Rockets</t>
  </si>
  <si>
    <t>Heat +6</t>
  </si>
  <si>
    <t>Hawks @ Bucks</t>
  </si>
  <si>
    <t>Under 239.5</t>
  </si>
  <si>
    <t>Clippers @ Grizzlies</t>
  </si>
  <si>
    <t>Clippers -7</t>
  </si>
  <si>
    <t>Under 226.5</t>
  </si>
  <si>
    <t>Wizards @ Suns</t>
  </si>
  <si>
    <t>Under 241</t>
  </si>
  <si>
    <t>Lakers @ Pelicans</t>
  </si>
  <si>
    <t>Lakers -6.5</t>
  </si>
  <si>
    <t>Under 231</t>
  </si>
  <si>
    <t>Thunder @ Trail Blazers</t>
  </si>
  <si>
    <t>Thunder +2</t>
  </si>
  <si>
    <t>Bulls @ Warriors</t>
  </si>
  <si>
    <t>Confidence</t>
  </si>
  <si>
    <t>Tremont Waters</t>
  </si>
  <si>
    <t>Kadeem Allen</t>
  </si>
  <si>
    <t>Brandon Goodwin</t>
  </si>
  <si>
    <t>Ty Jerome</t>
  </si>
  <si>
    <t>B.J. Johnson</t>
  </si>
  <si>
    <t>Frank Mason</t>
  </si>
  <si>
    <t>Juwan Morgan</t>
  </si>
  <si>
    <t>Norvel Pelle</t>
  </si>
  <si>
    <t>Shamorie Ponds</t>
  </si>
  <si>
    <t>Nuggets @ Knicks</t>
  </si>
  <si>
    <t>Nuggets -8</t>
  </si>
  <si>
    <t>Over 203</t>
  </si>
  <si>
    <t>Suns @ Pelicans</t>
  </si>
  <si>
    <t>Suns +3</t>
  </si>
  <si>
    <t>Confidence Bucket</t>
  </si>
  <si>
    <t>Unit Flow</t>
  </si>
  <si>
    <t>Luguentz Dort</t>
  </si>
  <si>
    <t>Talen Horton-Tucker</t>
  </si>
  <si>
    <t>Ian Mahinmi</t>
  </si>
  <si>
    <t>Naz Reid</t>
  </si>
  <si>
    <t>4:00p</t>
  </si>
  <si>
    <t>2OT</t>
  </si>
  <si>
    <t>2:00p</t>
  </si>
  <si>
    <t>at Mexico City, Mexico</t>
  </si>
  <si>
    <t>2:30p</t>
  </si>
  <si>
    <t>Clippers @ Pacers</t>
  </si>
  <si>
    <t>Pacers +0</t>
  </si>
  <si>
    <t>Cavaliers @ Celtics</t>
  </si>
  <si>
    <t>Pistons @ Pelicans</t>
  </si>
  <si>
    <t>Pistons +1.5</t>
  </si>
  <si>
    <t>Over 227.5</t>
  </si>
  <si>
    <t>Kings @ Rockets</t>
  </si>
  <si>
    <t>Kings +12.5</t>
  </si>
  <si>
    <t>Over 227</t>
  </si>
  <si>
    <t>Magic @ Bucks</t>
  </si>
  <si>
    <t>Over 218</t>
  </si>
  <si>
    <t>Timberwolves @ Suns</t>
  </si>
  <si>
    <t>Timberwolves +4</t>
  </si>
  <si>
    <t>Under 234</t>
  </si>
  <si>
    <t>Thunder @ Jazz</t>
  </si>
  <si>
    <t>Thunder +8.5</t>
  </si>
  <si>
    <t>Over 212</t>
  </si>
  <si>
    <t>Grizzlies @ Warriors</t>
  </si>
  <si>
    <t>Grizzlies +3</t>
  </si>
  <si>
    <t>Over 218.5</t>
  </si>
  <si>
    <t>Sport</t>
  </si>
  <si>
    <t>Raptors @ Bulls
Cavaliers @ Celtics
Kings @ Rockets
Magic @ Bucks</t>
  </si>
  <si>
    <t>N/A</t>
  </si>
  <si>
    <t>Push</t>
  </si>
  <si>
    <t>Raptors Moneyline (-230)L
Celtics Moneyline (-2000)W
Rockets Moneyline (-1000)L
Bucks Moneyline (-1000)W</t>
  </si>
  <si>
    <t>Wizards @ Hornets</t>
  </si>
  <si>
    <t>Nuggets @ 76ers</t>
  </si>
  <si>
    <t>76ers -4.5</t>
  </si>
  <si>
    <t>Under 205.5</t>
  </si>
  <si>
    <t>Knicks @ Trail Blazers</t>
  </si>
  <si>
    <t>Knicks +9</t>
  </si>
  <si>
    <t>Under 219.5</t>
  </si>
  <si>
    <t>Nuggets @ 76ers
Hawks @ Heat
Knicks @ Trail Blazers</t>
  </si>
  <si>
    <t>76ers Moneyline (-180)
Heat Moneyline (-550)
Trail Blazers Moneyline (-450)</t>
  </si>
  <si>
    <t>Hawks @ Bulls</t>
  </si>
  <si>
    <t>Under 221.5</t>
  </si>
  <si>
    <t>Rockets @ Cavaliers</t>
  </si>
  <si>
    <t>Cavaliers +11.5</t>
  </si>
  <si>
    <t>Under 228.5</t>
  </si>
  <si>
    <t>Celtics @ Pacers</t>
  </si>
  <si>
    <t>Under 209</t>
  </si>
  <si>
    <t>Lakers @ Magic</t>
  </si>
  <si>
    <t>Under 213</t>
  </si>
  <si>
    <t>Clippers @ Raptors</t>
  </si>
  <si>
    <t>Under 223</t>
  </si>
  <si>
    <t>Hornets @ Nets</t>
  </si>
  <si>
    <t>Hornets +9.5</t>
  </si>
  <si>
    <t>Jazz @ Timberwolves</t>
  </si>
  <si>
    <t>Jazz -1</t>
  </si>
  <si>
    <t>Grizzlies @ Suns</t>
  </si>
  <si>
    <t>Under 232.5</t>
  </si>
  <si>
    <t>Pelicans @ Bucks</t>
  </si>
  <si>
    <t>Thunder @ Kings</t>
  </si>
  <si>
    <t>Thunder +1.5</t>
  </si>
  <si>
    <t>Knicks @ Warriors</t>
  </si>
  <si>
    <t>Knicks +5</t>
  </si>
  <si>
    <t>Rockets @ Cavaliers
Lakers @ Magic
Hornets @ Nets
Grizzlies @ Suns
Pelicans @ Bucks</t>
  </si>
  <si>
    <t>Rockets Moneyline (-835)
Lakers Moneyline (-420)
Nets Moneyline (-590)
Suns Moneyline (-275)
Bucks Moneyline (-530)</t>
  </si>
  <si>
    <t>Pelicans +10</t>
  </si>
  <si>
    <t>76ers @ Celtics</t>
  </si>
  <si>
    <t>Under 210</t>
  </si>
  <si>
    <t>Cavaliers @ Spurs</t>
  </si>
  <si>
    <t>Mavericks @ Pistons</t>
  </si>
  <si>
    <t>Mavericks -6</t>
  </si>
  <si>
    <t>Under 219</t>
  </si>
  <si>
    <t>Trail Blazers @ Nuggets</t>
  </si>
  <si>
    <t>Trail Blazers +6</t>
  </si>
  <si>
    <t>Under 214</t>
  </si>
  <si>
    <t>Rockets @ Magic</t>
  </si>
  <si>
    <t>Under 222</t>
  </si>
  <si>
    <t>Pelicans @ 76ers</t>
  </si>
  <si>
    <t>Under 222.5</t>
  </si>
  <si>
    <t>Lakers @ Heat</t>
  </si>
  <si>
    <t>Pacers @ Hawks</t>
  </si>
  <si>
    <t>Pacers -6</t>
  </si>
  <si>
    <t>Hornets @ Bulls</t>
  </si>
  <si>
    <t>Hornets +6.5</t>
  </si>
  <si>
    <t>Bucks @ Grizzlies</t>
  </si>
  <si>
    <t>Warriors @ Jazz</t>
  </si>
  <si>
    <t>Warriors +13</t>
  </si>
  <si>
    <t>Clippers @ Timberwolves</t>
  </si>
  <si>
    <t>Bulls @ Thunder</t>
  </si>
  <si>
    <t>Bulls +6</t>
  </si>
  <si>
    <t>Spurs @ Rockets</t>
  </si>
  <si>
    <t>Under 232</t>
  </si>
  <si>
    <t>Mavericks @ Bucks</t>
  </si>
  <si>
    <t>Mavericks +11</t>
  </si>
  <si>
    <t>Under 227.5</t>
  </si>
  <si>
    <t>Heat @ Grizzlies</t>
  </si>
  <si>
    <t>Heat -4.5</t>
  </si>
  <si>
    <t>Trail Blazers @ Suns</t>
  </si>
  <si>
    <t>Suns +0</t>
  </si>
  <si>
    <t>Wilson Chandler</t>
  </si>
  <si>
    <t>Cavaliers @ Raptors</t>
  </si>
  <si>
    <t>Over 217</t>
  </si>
  <si>
    <t>Over 209.5</t>
  </si>
  <si>
    <t>Hawks @ Knicks</t>
  </si>
  <si>
    <t>Hawks +2</t>
  </si>
  <si>
    <t>Magic @ Jazz</t>
  </si>
  <si>
    <t>Magic +6.5</t>
  </si>
  <si>
    <t>Suns @ Clippers</t>
  </si>
  <si>
    <t>Suns +12.5</t>
  </si>
  <si>
    <t>Defense</t>
  </si>
  <si>
    <t>Vs</t>
  </si>
  <si>
    <t>Pace Tier</t>
  </si>
  <si>
    <t>Pace Adj.</t>
  </si>
  <si>
    <t>Combined Pace</t>
  </si>
  <si>
    <t>Over 226.5</t>
  </si>
  <si>
    <t>Hornets @ Cavaliers</t>
  </si>
  <si>
    <t>Hornets +3.5</t>
  </si>
  <si>
    <t>Under 213.5</t>
  </si>
  <si>
    <t>Raptors @ Pistons</t>
  </si>
  <si>
    <t>Raptors -3.5</t>
  </si>
  <si>
    <t>Heat @ 76ers</t>
  </si>
  <si>
    <t>Heat +7.5</t>
  </si>
  <si>
    <t>Over 209</t>
  </si>
  <si>
    <t>Pelicans @ Timberwolves</t>
  </si>
  <si>
    <t>Pelicans +7</t>
  </si>
  <si>
    <t>Magic @ Nuggets</t>
  </si>
  <si>
    <t>Under 203.5</t>
  </si>
  <si>
    <t>Celtics @ Mavericks</t>
  </si>
  <si>
    <t>Mavericks +2</t>
  </si>
  <si>
    <t>Under 218.5</t>
  </si>
  <si>
    <t>Raptors @ Pistons
Grizzlies @ Thunder
Magic @ Nuggets
Warriors @ Trail Blazers</t>
  </si>
  <si>
    <t>Raptors Moneyline (-175)
Thunder Moneyline (-286)
Nuggets Moneyline (-550)
Trail Blazers Moneyline (-550)</t>
  </si>
  <si>
    <t>Jazz @ Hawks</t>
  </si>
  <si>
    <t>Jazz -6</t>
  </si>
  <si>
    <t>Under 224.5</t>
  </si>
  <si>
    <t>Nets @ Spurs</t>
  </si>
  <si>
    <t>Nets +2.5</t>
  </si>
  <si>
    <t>Rockets @ Clippers</t>
  </si>
  <si>
    <t>Rockets +5.5</t>
  </si>
  <si>
    <t>Reggie Bullock</t>
  </si>
  <si>
    <t>TOT</t>
  </si>
  <si>
    <t>Amir Coffey</t>
  </si>
  <si>
    <t>Kevin Hervey</t>
  </si>
  <si>
    <t>Louis King</t>
  </si>
  <si>
    <t>Adam Mokoka</t>
  </si>
  <si>
    <t>Anžejs Pasečņiks</t>
  </si>
  <si>
    <t>Gary Payton</t>
  </si>
  <si>
    <t>Alen Smailagić</t>
  </si>
  <si>
    <t>Rayjon Tucker</t>
  </si>
  <si>
    <t>Johnathan Williams</t>
  </si>
  <si>
    <t>Jazz @ Bulls</t>
  </si>
  <si>
    <t>Nuggets @ Pacers</t>
  </si>
  <si>
    <t>Nuggets +2</t>
  </si>
  <si>
    <t>Under 209.5</t>
  </si>
  <si>
    <t>Raptors @ Heat</t>
  </si>
  <si>
    <t>Raptors +5.5</t>
  </si>
  <si>
    <t>Warriors @ Timberwolves</t>
  </si>
  <si>
    <t>Over 213.5</t>
  </si>
  <si>
    <t>Nets @ Mavericks</t>
  </si>
  <si>
    <t>Mavericks -7.5</t>
  </si>
  <si>
    <t>Thunder @ Spurs</t>
  </si>
  <si>
    <t>Grizzlies @ Kings</t>
  </si>
  <si>
    <t>Grizzlies +4</t>
  </si>
  <si>
    <t>Under 224</t>
  </si>
  <si>
    <t>Josh Reaves</t>
  </si>
  <si>
    <t>at Paris, France</t>
  </si>
  <si>
    <t>12:30p</t>
  </si>
  <si>
    <t>1:00p</t>
  </si>
  <si>
    <t>Hawks @ Celtics</t>
  </si>
  <si>
    <t>Celtics -11</t>
  </si>
  <si>
    <t>Under 223.5</t>
  </si>
  <si>
    <t>Heat @ Magic</t>
  </si>
  <si>
    <t>Trail Blazers @ Wizards</t>
  </si>
  <si>
    <t>Knicks @ Suns</t>
  </si>
  <si>
    <t>Under 225.5</t>
  </si>
  <si>
    <t>Pelicans @ Lakers</t>
  </si>
  <si>
    <t>Lakers -10.5</t>
  </si>
  <si>
    <t>Heat -1.5</t>
  </si>
  <si>
    <t>Wizards +6.5</t>
  </si>
  <si>
    <t>7:15p</t>
  </si>
  <si>
    <t>9:45p</t>
  </si>
  <si>
    <t>Nets @ Magic</t>
  </si>
  <si>
    <t>Under 212</t>
  </si>
  <si>
    <t>Thunder @ 76ers</t>
  </si>
  <si>
    <t>Thunder +7.5</t>
  </si>
  <si>
    <t>Celtics @ Wizards</t>
  </si>
  <si>
    <t>Celtics -9</t>
  </si>
  <si>
    <t>Pacers @ Hornets</t>
  </si>
  <si>
    <t>Pacers -5</t>
  </si>
  <si>
    <t>Under 208.5</t>
  </si>
  <si>
    <t>Nuggets @ Hawks</t>
  </si>
  <si>
    <t>Jazz @ Pelicans</t>
  </si>
  <si>
    <t>Jazz -3</t>
  </si>
  <si>
    <t>Bucks @ Spurs</t>
  </si>
  <si>
    <t>Bucks -7</t>
  </si>
  <si>
    <t>Warriors @ Kings</t>
  </si>
  <si>
    <t>Warriors +10.5</t>
  </si>
  <si>
    <t>Under 215.5</t>
  </si>
  <si>
    <t>Pistons @ Cavaliers</t>
  </si>
  <si>
    <t>Pistons -3.5</t>
  </si>
  <si>
    <t>Under 217</t>
  </si>
  <si>
    <t>Trail Blazers @ Raptors</t>
  </si>
  <si>
    <t>Raptors -2.5</t>
  </si>
  <si>
    <t>Under 220</t>
  </si>
  <si>
    <t>Thunder @ Nets</t>
  </si>
  <si>
    <t>Thunder -2</t>
  </si>
  <si>
    <t>Timberwolves @ Grizzlies</t>
  </si>
  <si>
    <t>Timberwolves +2.5</t>
  </si>
  <si>
    <t>Kings @ Suns</t>
  </si>
  <si>
    <t>Kings +6.5</t>
  </si>
  <si>
    <t>Under 226</t>
  </si>
  <si>
    <t>Knicks @ Lakers</t>
  </si>
  <si>
    <t>Lakers -13</t>
  </si>
  <si>
    <t>Under 220.5</t>
  </si>
  <si>
    <t>Spurs @ Celtics</t>
  </si>
  <si>
    <t>Celtics -5.5</t>
  </si>
  <si>
    <t>Heat @ Pacers</t>
  </si>
  <si>
    <t>Heat +1</t>
  </si>
  <si>
    <t>Under 211</t>
  </si>
  <si>
    <t>Wizards @ Magic</t>
  </si>
  <si>
    <t>Wizards +10.5</t>
  </si>
  <si>
    <t>Raptors @ Hornets</t>
  </si>
  <si>
    <t>Rockets @ Hawks</t>
  </si>
  <si>
    <t>Rockets -8.5</t>
  </si>
  <si>
    <t>Under 237</t>
  </si>
  <si>
    <t>Nuggets @ Mavericks</t>
  </si>
  <si>
    <t>Bulls @ Pelicans</t>
  </si>
  <si>
    <t>Bulls +4</t>
  </si>
  <si>
    <t>Knicks @ Jazz</t>
  </si>
  <si>
    <t>Bucks @ Warriors</t>
  </si>
  <si>
    <t>Bucks -13.5</t>
  </si>
  <si>
    <t>Justin Anderson</t>
  </si>
  <si>
    <t>Paul Watson</t>
  </si>
  <si>
    <t>Celtics @ 76ers</t>
  </si>
  <si>
    <t>Celtics +2.5</t>
  </si>
  <si>
    <t>Trail Blazers @ Timberwolves</t>
  </si>
  <si>
    <t>Over 224</t>
  </si>
  <si>
    <t>Michael Frazier</t>
  </si>
  <si>
    <t>Pacers @ Bulls</t>
  </si>
  <si>
    <t>Over 212.5</t>
  </si>
  <si>
    <t>Hawks @ Wizards</t>
  </si>
  <si>
    <t>Wizards -1</t>
  </si>
  <si>
    <t>Under 237.5</t>
  </si>
  <si>
    <t>Pelicans @ Knicks</t>
  </si>
  <si>
    <t>Pelicans -4.5</t>
  </si>
  <si>
    <t>Heat @ Nets</t>
  </si>
  <si>
    <t>Heat -3.5</t>
  </si>
  <si>
    <t>Spurs @ Grizzlies</t>
  </si>
  <si>
    <t>Spurs +1</t>
  </si>
  <si>
    <t>Magic @ Suns</t>
  </si>
  <si>
    <t>Magic +2.5</t>
  </si>
  <si>
    <t>Over 217.5</t>
  </si>
  <si>
    <t>Lakers @ Mavericks</t>
  </si>
  <si>
    <t>Lakers +2</t>
  </si>
  <si>
    <t>Bucks @ Kings</t>
  </si>
  <si>
    <t>Bucks -8.5</t>
  </si>
  <si>
    <t>Warriors @ Clippers</t>
  </si>
  <si>
    <t>Clippers -14</t>
  </si>
  <si>
    <t>Over 221.5</t>
  </si>
  <si>
    <t>Conf.</t>
  </si>
  <si>
    <t>Bucket Size</t>
  </si>
  <si>
    <t>Pacers @ Bulls
Hawks @ Wizards
Pelicans @ Knicks
Heat @ Nets
Magic @ Suns
Hornets @ Jazz
Bucks @ Kings
Warriors @ Clippers</t>
  </si>
  <si>
    <t>n/a</t>
  </si>
  <si>
    <t>Pacers Moneyline (-143)W
Wizards Moneyline (-110)W
Pelicans Moneyline (-200)W
Heat Moneyline (-162)L
Magic Moneyline (135)L
Jazz Moneyline (-1000)W
Bucks Moneyline (-450)W
Clippers Moneyline (-1600)W</t>
  </si>
  <si>
    <t>No</t>
  </si>
  <si>
    <t>Antonius Cleveland</t>
  </si>
  <si>
    <t>Kyle Guy</t>
  </si>
  <si>
    <t>76ers @ Pacers</t>
  </si>
  <si>
    <t>76ers +2</t>
  </si>
  <si>
    <t>Over 213</t>
  </si>
  <si>
    <t>Thunder @ Timberwolves</t>
  </si>
  <si>
    <t>Thunder -2.5</t>
  </si>
  <si>
    <t>Over 219</t>
  </si>
  <si>
    <t>Hornets @ Trail Blazers</t>
  </si>
  <si>
    <t>Magic @ Kings</t>
  </si>
  <si>
    <t>Magic +1</t>
  </si>
  <si>
    <t>Cavaliers @ Lakers</t>
  </si>
  <si>
    <t>Lakers -14</t>
  </si>
  <si>
    <t>PJ Dozier</t>
  </si>
  <si>
    <t>Cristiano Felício</t>
  </si>
  <si>
    <t>Jalen Lecque</t>
  </si>
  <si>
    <t>Timberwolves @ Pacers</t>
  </si>
  <si>
    <t>Timberwolves +8.5</t>
  </si>
  <si>
    <t>Over 216.5</t>
  </si>
  <si>
    <t>Bulls @ 76ers</t>
  </si>
  <si>
    <t>Bulls +7</t>
  </si>
  <si>
    <t>Over 215.5</t>
  </si>
  <si>
    <t>Wizards @ Raptors</t>
  </si>
  <si>
    <t>Over 230</t>
  </si>
  <si>
    <t>Heat @ Thunder</t>
  </si>
  <si>
    <t>Cavaliers @ Grizzlies</t>
  </si>
  <si>
    <t>Cavaliers +8.5</t>
  </si>
  <si>
    <t>Hawks @ Spurs</t>
  </si>
  <si>
    <t>Hawks +8.5</t>
  </si>
  <si>
    <t>Trail Blazers @ Mavericks</t>
  </si>
  <si>
    <t>Over 228.5</t>
  </si>
  <si>
    <t>Suns @ Knicks</t>
  </si>
  <si>
    <t>Suns -3</t>
  </si>
  <si>
    <t>Celtics @ Bucks</t>
  </si>
  <si>
    <t>Over 223</t>
  </si>
  <si>
    <t>Nuggets @ Warriors</t>
  </si>
  <si>
    <t>Nuggets -6.5</t>
  </si>
  <si>
    <t>Magic @ Clippers</t>
  </si>
  <si>
    <t>Magic +11</t>
  </si>
  <si>
    <t>Over 230.5</t>
  </si>
  <si>
    <t>Range</t>
  </si>
  <si>
    <t>Pistons @ Wizards</t>
  </si>
  <si>
    <t>Pistons +2</t>
  </si>
  <si>
    <t>Over 233</t>
  </si>
  <si>
    <t>Raptors @ Hawks</t>
  </si>
  <si>
    <t>Raptors -9</t>
  </si>
  <si>
    <t>Over 229</t>
  </si>
  <si>
    <t>76ers @ Nets</t>
  </si>
  <si>
    <t>76ers +1</t>
  </si>
  <si>
    <t>Knicks @ Cavaliers</t>
  </si>
  <si>
    <t>Cavaliers -0.05</t>
  </si>
  <si>
    <t>Over 222.5</t>
  </si>
  <si>
    <t>Thunder @ Rockets</t>
  </si>
  <si>
    <t>Kings @ Heat</t>
  </si>
  <si>
    <t>Bulls @ Bucks</t>
  </si>
  <si>
    <t>Over 225.5</t>
  </si>
  <si>
    <t>Pelicans @ Grizzlies</t>
  </si>
  <si>
    <t>Pelicans +2.5</t>
  </si>
  <si>
    <t>Magic @ Hornets</t>
  </si>
  <si>
    <t>Magic -4.5</t>
  </si>
  <si>
    <t>Over 207.5</t>
  </si>
  <si>
    <t>Lakers @ Celtics</t>
  </si>
  <si>
    <t>Over 225</t>
  </si>
  <si>
    <t>Nuggets @ Timberwolves</t>
  </si>
  <si>
    <t>Nuggets +2.5</t>
  </si>
  <si>
    <t>Spurs @ Suns</t>
  </si>
  <si>
    <t>Spurs +4.5</t>
  </si>
  <si>
    <t>Pacers @ Jazz</t>
  </si>
  <si>
    <t>Pacers +7</t>
  </si>
  <si>
    <t>Over 214</t>
  </si>
  <si>
    <t>Warriors @ Trail Blazers</t>
  </si>
  <si>
    <t>Trail Blazers -6</t>
  </si>
  <si>
    <t>Recency</t>
  </si>
  <si>
    <t>Recency Adj.</t>
  </si>
  <si>
    <t>Clippers @ Mavericks</t>
  </si>
  <si>
    <t>Matt Mooney</t>
  </si>
  <si>
    <t>Kings @ Pistons</t>
  </si>
  <si>
    <t>Pistons -1</t>
  </si>
  <si>
    <t>Thunder @ Magic</t>
  </si>
  <si>
    <t>76ers @ Raptors</t>
  </si>
  <si>
    <t>Grizzlies @ Celtics</t>
  </si>
  <si>
    <t>Celtics -7</t>
  </si>
  <si>
    <t>Lakers @ Knicks</t>
  </si>
  <si>
    <t>Lakers -11</t>
  </si>
  <si>
    <t>Timberwolves @ Bulls</t>
  </si>
  <si>
    <t>Nuggets @ Rockets</t>
  </si>
  <si>
    <t>Nuggets +8</t>
  </si>
  <si>
    <t>Pacers @ Suns</t>
  </si>
  <si>
    <t>Pacers -1</t>
  </si>
  <si>
    <t>Spurs @ Pelicans</t>
  </si>
  <si>
    <t>Spurs +3.5</t>
  </si>
  <si>
    <t>Clippers @ Hawks</t>
  </si>
  <si>
    <t>Clippers -4</t>
  </si>
  <si>
    <t>Jazz @ Warriors</t>
  </si>
  <si>
    <t>Jazz -8</t>
  </si>
  <si>
    <t>Wizards @ Cavaliers</t>
  </si>
  <si>
    <t>Lakers @ Nets</t>
  </si>
  <si>
    <t>Lakers -6</t>
  </si>
  <si>
    <t>Under 229</t>
  </si>
  <si>
    <t>Mavericks @ Trail Blazers</t>
  </si>
  <si>
    <t>Mavericks -4</t>
  </si>
  <si>
    <t>Under 229.5</t>
  </si>
  <si>
    <t>Bucks @ Hornets</t>
  </si>
  <si>
    <t>Bucks -14</t>
  </si>
  <si>
    <t>Celtics @ Magic</t>
  </si>
  <si>
    <t>Celtics +1.5</t>
  </si>
  <si>
    <t>Raptors @ Knicks</t>
  </si>
  <si>
    <t>Raptors -8</t>
  </si>
  <si>
    <t>Nuggets @ Pelicans</t>
  </si>
  <si>
    <t>Nuggets +3.5</t>
  </si>
  <si>
    <t>Kings @ Bulls</t>
  </si>
  <si>
    <t>Bulls -2</t>
  </si>
  <si>
    <t>Clippers @ Heat</t>
  </si>
  <si>
    <t>Clippers -2.5</t>
  </si>
  <si>
    <t>Rockets @ Timberwolves</t>
  </si>
  <si>
    <t>Over 234.5</t>
  </si>
  <si>
    <t>Hawks @ Thunder</t>
  </si>
  <si>
    <t>Thunder -10.5</t>
  </si>
  <si>
    <t>Suns @ Spurs</t>
  </si>
  <si>
    <t>Spurs -4</t>
  </si>
  <si>
    <t>Over 228</t>
  </si>
  <si>
    <t>Pacers @ Warriors</t>
  </si>
  <si>
    <t>Over 214.5</t>
  </si>
  <si>
    <t>Bet Type Drill Down</t>
  </si>
  <si>
    <t>RD</t>
  </si>
  <si>
    <t>HD</t>
  </si>
  <si>
    <t>RF</t>
  </si>
  <si>
    <t>HF</t>
  </si>
  <si>
    <t>Road Dog</t>
  </si>
  <si>
    <t>Home Dog</t>
  </si>
  <si>
    <t>Road Favorite</t>
  </si>
  <si>
    <t>Home Favorite</t>
  </si>
  <si>
    <t>SF-SG</t>
  </si>
  <si>
    <t>Vic Law</t>
  </si>
  <si>
    <t>Zhaire Smith</t>
  </si>
  <si>
    <t>Dion Waiters</t>
  </si>
  <si>
    <t>Zion Williamson</t>
  </si>
  <si>
    <t>Cavaliers @ Pistons</t>
  </si>
  <si>
    <t>Spurs @ Bulls</t>
  </si>
  <si>
    <t>Kings @ Timberwolves</t>
  </si>
  <si>
    <t>Timberwolves -3</t>
  </si>
  <si>
    <t>Cavaliers +7</t>
  </si>
  <si>
    <t>Magic @ Heat</t>
  </si>
  <si>
    <t>Magic +4.5</t>
  </si>
  <si>
    <t>Rockets @ Jazz</t>
  </si>
  <si>
    <t>Rockets +12.5</t>
  </si>
  <si>
    <t>Over 223.5</t>
  </si>
  <si>
    <t>Knicks @ Hornets</t>
  </si>
  <si>
    <t>Knicks +2</t>
  </si>
  <si>
    <t>Warriors @ 76ers</t>
  </si>
  <si>
    <t>Pelicans @ Cavaliers</t>
  </si>
  <si>
    <t>Under 233</t>
  </si>
  <si>
    <t>Hawks @ Raptors</t>
  </si>
  <si>
    <t>Raptors -12</t>
  </si>
  <si>
    <t>Celtics @ Heat</t>
  </si>
  <si>
    <t>Celtics +2</t>
  </si>
  <si>
    <t>Nuggets @ Grizzlies</t>
  </si>
  <si>
    <t>Nuggets +1</t>
  </si>
  <si>
    <t>Wizards @ Bucks</t>
  </si>
  <si>
    <t>Wizards +16</t>
  </si>
  <si>
    <t>Under 241.5</t>
  </si>
  <si>
    <t>Suns @ Mavericks</t>
  </si>
  <si>
    <t>Mavericks -6.5</t>
  </si>
  <si>
    <t>Bulls @ Pacers</t>
  </si>
  <si>
    <t>Bulls +9</t>
  </si>
  <si>
    <t>Pistons @ Nets</t>
  </si>
  <si>
    <t>Pistons +6</t>
  </si>
  <si>
    <t>Grizzlies @ Knicks</t>
  </si>
  <si>
    <t>Grizzlies -2.5</t>
  </si>
  <si>
    <t>Over 224.5</t>
  </si>
  <si>
    <t>Jazz @ Spurs</t>
  </si>
  <si>
    <t>Over 221</t>
  </si>
  <si>
    <t>Thunder -3</t>
  </si>
  <si>
    <t>Rockets @ Trail Blazers</t>
  </si>
  <si>
    <t>Rockets -1.5</t>
  </si>
  <si>
    <t>Under 235.5</t>
  </si>
  <si>
    <t>Full Team</t>
  </si>
  <si>
    <t>Nickname</t>
  </si>
  <si>
    <t>Home Under %</t>
  </si>
  <si>
    <t>Road Under %</t>
  </si>
  <si>
    <t>HF Cover %</t>
  </si>
  <si>
    <t>HD Cover %</t>
  </si>
  <si>
    <t>RF Cover %</t>
  </si>
  <si>
    <t>RD Cover %</t>
  </si>
  <si>
    <t>Home Over %</t>
  </si>
  <si>
    <t>Road Over $</t>
  </si>
  <si>
    <t>HU</t>
  </si>
  <si>
    <t>HO</t>
  </si>
  <si>
    <t>RU</t>
  </si>
  <si>
    <t>RO</t>
  </si>
  <si>
    <t>Bet Team</t>
  </si>
  <si>
    <t>Cover %</t>
  </si>
  <si>
    <t>Over Record</t>
  </si>
  <si>
    <t>Over %</t>
  </si>
  <si>
    <t>Under %</t>
  </si>
  <si>
    <t>Total +/-</t>
  </si>
  <si>
    <t>Detroit</t>
  </si>
  <si>
    <t>Portland</t>
  </si>
  <si>
    <t>Miami</t>
  </si>
  <si>
    <t>Dallas</t>
  </si>
  <si>
    <t>San Antonio</t>
  </si>
  <si>
    <t>Phoenix</t>
  </si>
  <si>
    <t>Okla City</t>
  </si>
  <si>
    <t>Utah</t>
  </si>
  <si>
    <t>New Orleans</t>
  </si>
  <si>
    <t>Toronto</t>
  </si>
  <si>
    <t>Milwaukee</t>
  </si>
  <si>
    <t>Cleveland</t>
  </si>
  <si>
    <t>Indiana</t>
  </si>
  <si>
    <t>Boston</t>
  </si>
  <si>
    <t>Atlanta</t>
  </si>
  <si>
    <t>Philadelphia</t>
  </si>
  <si>
    <t>Memphis</t>
  </si>
  <si>
    <t>LA Clippers</t>
  </si>
  <si>
    <t>Brooklyn</t>
  </si>
  <si>
    <t>Chicago</t>
  </si>
  <si>
    <t>Washington</t>
  </si>
  <si>
    <t>Minnesota</t>
  </si>
  <si>
    <t>Sacramento</t>
  </si>
  <si>
    <t>Houston</t>
  </si>
  <si>
    <t>LA Lakers</t>
  </si>
  <si>
    <t>Golden State</t>
  </si>
  <si>
    <t>Denver</t>
  </si>
  <si>
    <t>Charlotte</t>
  </si>
  <si>
    <t>New York</t>
  </si>
  <si>
    <t>Orlando</t>
  </si>
  <si>
    <t>City</t>
  </si>
  <si>
    <t>ATS Record</t>
  </si>
  <si>
    <t>ATS +/-</t>
  </si>
  <si>
    <t>3-3-0</t>
  </si>
  <si>
    <t>2-3-0</t>
  </si>
  <si>
    <t>1-3-0</t>
  </si>
  <si>
    <t>Home O/U</t>
  </si>
  <si>
    <t>Road O/U</t>
  </si>
  <si>
    <t>Home Favorite ATS</t>
  </si>
  <si>
    <t>2-0-0</t>
  </si>
  <si>
    <t>1-0-0</t>
  </si>
  <si>
    <t>3-0-0</t>
  </si>
  <si>
    <t>1-2-0</t>
  </si>
  <si>
    <t>0-2-0</t>
  </si>
  <si>
    <t>Home Dog ATS</t>
  </si>
  <si>
    <t>3-2-0</t>
  </si>
  <si>
    <t>2-5-0</t>
  </si>
  <si>
    <t>Road Favorite ATS</t>
  </si>
  <si>
    <t>Road Dog ATS</t>
  </si>
  <si>
    <t>Trend Based Cover %</t>
  </si>
  <si>
    <t>push</t>
  </si>
  <si>
    <t>Raptors @ Cavaliers</t>
  </si>
  <si>
    <t>Hornets @ Wizards</t>
  </si>
  <si>
    <t>Wizards -4</t>
  </si>
  <si>
    <t>76ers @ Hawks</t>
  </si>
  <si>
    <t>Hawks +7</t>
  </si>
  <si>
    <t>Warriors @ Celtics</t>
  </si>
  <si>
    <t>Celtics -13</t>
  </si>
  <si>
    <t>Jazz @ Nuggets</t>
  </si>
  <si>
    <t>Nuggets -1.5</t>
  </si>
  <si>
    <t>Over 216</t>
  </si>
  <si>
    <t>Kings @ Clippers</t>
  </si>
  <si>
    <t>Clippers -13.5</t>
  </si>
  <si>
    <t>Josh Jackson</t>
  </si>
  <si>
    <t>Victor Oladipo</t>
  </si>
  <si>
    <t>Isaiah Roby</t>
  </si>
  <si>
    <t>Gabe Vincent</t>
  </si>
  <si>
    <t>Raptors -4.5</t>
  </si>
  <si>
    <t>Bulls @ Nets</t>
  </si>
  <si>
    <t>Bulls +5.5</t>
  </si>
  <si>
    <t>Under 221</t>
  </si>
  <si>
    <t>Mavericks @ Rockets</t>
  </si>
  <si>
    <t>Mavericks +9</t>
  </si>
  <si>
    <t>Over 235.5</t>
  </si>
  <si>
    <t>Grizzlies @ Pelicans</t>
  </si>
  <si>
    <t>Grizzlies +5.5</t>
  </si>
  <si>
    <t>Over 241</t>
  </si>
  <si>
    <t>Nuggets @ Bucks</t>
  </si>
  <si>
    <t>Nuggets +10.5</t>
  </si>
  <si>
    <t>Thunder @ Suns</t>
  </si>
  <si>
    <t>Thunder -1</t>
  </si>
  <si>
    <t>Trail Blazers @ Lakers</t>
  </si>
  <si>
    <t>Trail Blazers +13</t>
  </si>
  <si>
    <t>Under 230.5</t>
  </si>
  <si>
    <t>9-9-0</t>
  </si>
  <si>
    <t>0-7-0</t>
  </si>
  <si>
    <t>Marques Bolden</t>
  </si>
  <si>
    <t>Jeremiah Martin</t>
  </si>
  <si>
    <t>Eric Mika</t>
  </si>
  <si>
    <t>Tariq Owens</t>
  </si>
  <si>
    <t>106</t>
  </si>
  <si>
    <t>118</t>
  </si>
  <si>
    <t>92</t>
  </si>
  <si>
    <t>85</t>
  </si>
  <si>
    <t>17,923</t>
  </si>
  <si>
    <t>102</t>
  </si>
  <si>
    <t>89</t>
  </si>
  <si>
    <t>18,846</t>
  </si>
  <si>
    <t>131</t>
  </si>
  <si>
    <t>112</t>
  </si>
  <si>
    <t>18,410</t>
  </si>
  <si>
    <t>107</t>
  </si>
  <si>
    <t>113</t>
  </si>
  <si>
    <t>18,196</t>
  </si>
  <si>
    <t>95</t>
  </si>
  <si>
    <t>116</t>
  </si>
  <si>
    <t>19,156</t>
  </si>
  <si>
    <t>100</t>
  </si>
  <si>
    <t>123</t>
  </si>
  <si>
    <t>20,328</t>
  </si>
  <si>
    <t>90</t>
  </si>
  <si>
    <t>114</t>
  </si>
  <si>
    <t>18,615</t>
  </si>
  <si>
    <t>129</t>
  </si>
  <si>
    <t>17,583</t>
  </si>
  <si>
    <t>124</t>
  </si>
  <si>
    <t>19,603</t>
  </si>
  <si>
    <t>128</t>
  </si>
  <si>
    <t>15,488</t>
  </si>
  <si>
    <t>109</t>
  </si>
  <si>
    <t>117</t>
  </si>
  <si>
    <t>18,055</t>
  </si>
  <si>
    <t>108</t>
  </si>
  <si>
    <t>17,754</t>
  </si>
  <si>
    <t>19,800</t>
  </si>
  <si>
    <t>Mavericks @ Pacers</t>
  </si>
  <si>
    <t>Mavericks +5</t>
  </si>
  <si>
    <t>Over 202.5</t>
  </si>
  <si>
    <t>Celtics @ Hawks</t>
  </si>
  <si>
    <t>Celtics -6.5</t>
  </si>
  <si>
    <t>76ers @ Heat</t>
  </si>
  <si>
    <t>76ers +2.5</t>
  </si>
  <si>
    <t>Suns @ Nets</t>
  </si>
  <si>
    <t>Suns +2.5</t>
  </si>
  <si>
    <t>Pistons @ Grizzlies</t>
  </si>
  <si>
    <t>Pistons +9.5</t>
  </si>
  <si>
    <t>Timberwolves @ Kings</t>
  </si>
  <si>
    <t>Kings -2</t>
  </si>
  <si>
    <t>Spurs @ Clippers</t>
  </si>
  <si>
    <t>Spurs +9.5</t>
  </si>
  <si>
    <t>12,337</t>
  </si>
  <si>
    <t>139</t>
  </si>
  <si>
    <t>134</t>
  </si>
  <si>
    <t>16,303</t>
  </si>
  <si>
    <t>103</t>
  </si>
  <si>
    <t>15,086</t>
  </si>
  <si>
    <t>125</t>
  </si>
  <si>
    <t>17,120</t>
  </si>
  <si>
    <t>115</t>
  </si>
  <si>
    <t>16,231</t>
  </si>
  <si>
    <t>97</t>
  </si>
  <si>
    <t>119</t>
  </si>
  <si>
    <t>14,891</t>
  </si>
  <si>
    <t>137</t>
  </si>
  <si>
    <t>19,725</t>
  </si>
  <si>
    <t>82</t>
  </si>
  <si>
    <t>96</t>
  </si>
  <si>
    <t>14,597</t>
  </si>
  <si>
    <t>15,819</t>
  </si>
  <si>
    <t>105</t>
  </si>
  <si>
    <t>Bucks @ Pelicans</t>
  </si>
  <si>
    <t>Bucks -6.5</t>
  </si>
  <si>
    <t>Hornets @ Rockets</t>
  </si>
  <si>
    <t>Nuggets -4.5</t>
  </si>
  <si>
    <t>Over 226</t>
  </si>
  <si>
    <t>Spurs @ Lakers</t>
  </si>
  <si>
    <t>Under 227</t>
  </si>
  <si>
    <t>7-4-0</t>
  </si>
  <si>
    <t>120</t>
  </si>
  <si>
    <t>15,424</t>
  </si>
  <si>
    <t>110</t>
  </si>
  <si>
    <t>99</t>
  </si>
  <si>
    <t>127</t>
  </si>
  <si>
    <t>19,520</t>
  </si>
  <si>
    <t>Suns @ Pistons</t>
  </si>
  <si>
    <t>Pistons +2.5</t>
  </si>
  <si>
    <t>Over 219.5</t>
  </si>
  <si>
    <t>Magic @ Celtics</t>
  </si>
  <si>
    <t>Celtics -8</t>
  </si>
  <si>
    <t>Under 210.5</t>
  </si>
  <si>
    <t>Warriors @ Nets</t>
  </si>
  <si>
    <t>Nets -7</t>
  </si>
  <si>
    <t>Pacers @ Raptors</t>
  </si>
  <si>
    <t>Raptors -6</t>
  </si>
  <si>
    <t>Under 216.5</t>
  </si>
  <si>
    <t>Hawks @ Timberwolves</t>
  </si>
  <si>
    <t>Hawks +5.5</t>
  </si>
  <si>
    <t>Cavaliers @ Thunder</t>
  </si>
  <si>
    <t>Thunder -12.5</t>
  </si>
  <si>
    <t>Grizzlies @ Mavericks</t>
  </si>
  <si>
    <t>Mavericks -5</t>
  </si>
  <si>
    <t>Nuggets @ Jazz</t>
  </si>
  <si>
    <t>Nuggets +8.5</t>
  </si>
  <si>
    <t>Heat @ Clippers</t>
  </si>
  <si>
    <t>Clippers -6.5</t>
  </si>
  <si>
    <t>13,707</t>
  </si>
  <si>
    <t>88</t>
  </si>
  <si>
    <t>14,352</t>
  </si>
  <si>
    <t>10,779</t>
  </si>
  <si>
    <t>121</t>
  </si>
  <si>
    <t>20,069</t>
  </si>
  <si>
    <t>98</t>
  </si>
  <si>
    <t>111</t>
  </si>
  <si>
    <t>Magic @ Knicks</t>
  </si>
  <si>
    <t>Magic -2.5</t>
  </si>
  <si>
    <t>Over 205.5</t>
  </si>
  <si>
    <t>Pelicans @ Bulls</t>
  </si>
  <si>
    <t>Over 231</t>
  </si>
  <si>
    <t>76ers @ Bucks</t>
  </si>
  <si>
    <t>Spurs @ Trail Blazers</t>
  </si>
  <si>
    <t>Rockets @ Lakers</t>
  </si>
  <si>
    <t>Rockets +7.5</t>
  </si>
  <si>
    <t>Trend Based Cover % Selection Matrix</t>
  </si>
  <si>
    <t>Confidence Bet</t>
  </si>
  <si>
    <t>Trend Bet</t>
  </si>
  <si>
    <t>Combo Bet</t>
  </si>
  <si>
    <t>Trend Range</t>
  </si>
  <si>
    <t>Hornets @ Pistons</t>
  </si>
  <si>
    <t>Pistons -2</t>
  </si>
  <si>
    <t>Over 206.5</t>
  </si>
  <si>
    <t>Nets @ Pacers</t>
  </si>
  <si>
    <t>Timberwolves @ Raptors</t>
  </si>
  <si>
    <t>Kings @ Bucks</t>
  </si>
  <si>
    <t>Bucks -11</t>
  </si>
  <si>
    <t>Jazz @ Mavericks</t>
  </si>
  <si>
    <t>Mavericks +1</t>
  </si>
  <si>
    <t>Heat @ Warriors</t>
  </si>
  <si>
    <t>Heat -6</t>
  </si>
  <si>
    <t>18,895</t>
  </si>
  <si>
    <t>18,247</t>
  </si>
  <si>
    <t>101</t>
  </si>
  <si>
    <t>17,928</t>
  </si>
  <si>
    <t>19,653</t>
  </si>
  <si>
    <t>20,779</t>
  </si>
  <si>
    <t>20,476</t>
  </si>
  <si>
    <t>17,028</t>
  </si>
  <si>
    <t>91</t>
  </si>
  <si>
    <t>17,043</t>
  </si>
  <si>
    <t>16,760</t>
  </si>
  <si>
    <t>16,632</t>
  </si>
  <si>
    <t>19,370</t>
  </si>
  <si>
    <t>15,980</t>
  </si>
  <si>
    <t>142</t>
  </si>
  <si>
    <t>18,978</t>
  </si>
  <si>
    <t>18,064</t>
  </si>
  <si>
    <t>16,843</t>
  </si>
  <si>
    <t>122</t>
  </si>
  <si>
    <t>16,756</t>
  </si>
  <si>
    <t>135</t>
  </si>
  <si>
    <t>140</t>
  </si>
  <si>
    <t>16,309</t>
  </si>
  <si>
    <t>21,018</t>
  </si>
  <si>
    <t>17,251</t>
  </si>
  <si>
    <t>133</t>
  </si>
  <si>
    <t>17,240</t>
  </si>
  <si>
    <t>19,726</t>
  </si>
  <si>
    <t>Nets +6.5</t>
  </si>
  <si>
    <t>Under 228</t>
  </si>
  <si>
    <t>Daily Conf. Based Record</t>
  </si>
  <si>
    <t>Daily Trend Based Record</t>
  </si>
  <si>
    <t>Daily Combo Record</t>
  </si>
  <si>
    <t>Bet %</t>
  </si>
  <si>
    <t>Money %</t>
  </si>
  <si>
    <t>6-5-0</t>
  </si>
  <si>
    <t>6-10-0</t>
  </si>
  <si>
    <t>5-9-0</t>
  </si>
  <si>
    <t>87</t>
  </si>
  <si>
    <t>76</t>
  </si>
  <si>
    <t>13,941</t>
  </si>
  <si>
    <t>16,761</t>
  </si>
  <si>
    <t>126</t>
  </si>
  <si>
    <t>17,076</t>
  </si>
  <si>
    <t>17,463</t>
  </si>
  <si>
    <t>19,793</t>
  </si>
  <si>
    <t>Total Temp</t>
  </si>
  <si>
    <t>Total</t>
  </si>
  <si>
    <t>Clippers @ 76ers</t>
  </si>
  <si>
    <t>Clippers -1</t>
  </si>
  <si>
    <t>Bulls @ Wizards</t>
  </si>
  <si>
    <t>Bulls +2.5</t>
  </si>
  <si>
    <t>Trail Blazers @ Pelicans</t>
  </si>
  <si>
    <t>Trail Blazers +3</t>
  </si>
  <si>
    <t>Under 240</t>
  </si>
  <si>
    <t>Spurs @ Thunder</t>
  </si>
  <si>
    <t>Spurs +7.5</t>
  </si>
  <si>
    <t>Celtics @ Rockets</t>
  </si>
  <si>
    <t>Bet vs Money</t>
  </si>
  <si>
    <t>Chase Center</t>
  </si>
  <si>
    <t>20,730</t>
  </si>
  <si>
    <t>15,135</t>
  </si>
  <si>
    <t>138</t>
  </si>
  <si>
    <t>15,739</t>
  </si>
  <si>
    <t>William Howard</t>
  </si>
  <si>
    <t>Andre Iguodala</t>
  </si>
  <si>
    <t>SF-PF</t>
  </si>
  <si>
    <t>Malik Newman</t>
  </si>
  <si>
    <t>Jeremy Pargo</t>
  </si>
  <si>
    <t>Marial Shayok</t>
  </si>
  <si>
    <t>Juan Toscano-Anderson</t>
  </si>
  <si>
    <t>Quinndary Weatherspoon</t>
  </si>
  <si>
    <t>Hawks @ Cavaliers</t>
  </si>
  <si>
    <t>Cavaliers +2</t>
  </si>
  <si>
    <t>Under 234.5</t>
  </si>
  <si>
    <t>Pistons @ Magic</t>
  </si>
  <si>
    <t>Pistons +7.5</t>
  </si>
  <si>
    <t>Bucks @ Pacers</t>
  </si>
  <si>
    <t>Raptors @ Nets</t>
  </si>
  <si>
    <t>Wizards @ Knicks</t>
  </si>
  <si>
    <t>Wizards +2.5</t>
  </si>
  <si>
    <t>Hornets @ Timberwolves</t>
  </si>
  <si>
    <t>Hornets +8.5</t>
  </si>
  <si>
    <t>Trail Blazers @ Grizzlies</t>
  </si>
  <si>
    <t>Trail Blazers +4</t>
  </si>
  <si>
    <t>Under 236</t>
  </si>
  <si>
    <t>Kings @ Mavericks</t>
  </si>
  <si>
    <t>Warriors @ Suns</t>
  </si>
  <si>
    <t>Under 225</t>
  </si>
  <si>
    <t>Heat @ Jazz</t>
  </si>
  <si>
    <t>Heat +4.5</t>
  </si>
  <si>
    <t>Under 217.5</t>
  </si>
  <si>
    <t>Lakers @ Nuggets</t>
  </si>
  <si>
    <t>Lakers -2.5</t>
  </si>
  <si>
    <t>Confidence Based Selection Matrix</t>
  </si>
  <si>
    <t>Counterbet</t>
  </si>
  <si>
    <t>7-7-0</t>
  </si>
  <si>
    <t>0-3-0</t>
  </si>
  <si>
    <t>15-13-0</t>
  </si>
  <si>
    <t>16,200</t>
  </si>
  <si>
    <t>16,607</t>
  </si>
  <si>
    <t>15,823</t>
  </si>
  <si>
    <t>17,018</t>
  </si>
  <si>
    <t>18,835</t>
  </si>
  <si>
    <t>104</t>
  </si>
  <si>
    <t>16,889</t>
  </si>
  <si>
    <t>130</t>
  </si>
  <si>
    <t>19,842</t>
  </si>
  <si>
    <t>15,216</t>
  </si>
  <si>
    <t>19,860</t>
  </si>
  <si>
    <t>Clippers @ Celtics</t>
  </si>
  <si>
    <t>Thunder @ Pelicans</t>
  </si>
  <si>
    <t>Thunder +3.5</t>
  </si>
  <si>
    <t>Money Discrepency</t>
  </si>
  <si>
    <t>Money Disc. Buckets</t>
  </si>
  <si>
    <t>Units</t>
  </si>
  <si>
    <t>3-7-0</t>
  </si>
  <si>
    <t>J.P. Macura</t>
  </si>
  <si>
    <t>C-PF</t>
  </si>
  <si>
    <t>P.J. Washington</t>
  </si>
  <si>
    <t>141</t>
  </si>
  <si>
    <t>17,865</t>
  </si>
  <si>
    <t>16,097</t>
  </si>
  <si>
    <t>17,356</t>
  </si>
  <si>
    <t>93</t>
  </si>
  <si>
    <t>20,806</t>
  </si>
  <si>
    <t>17,078</t>
  </si>
  <si>
    <t>Mavericks @ Magic</t>
  </si>
  <si>
    <t>Pacers @ Knicks</t>
  </si>
  <si>
    <t>Pacers -6.5</t>
  </si>
  <si>
    <t>Over 211.5</t>
  </si>
  <si>
    <t>Celtics @ Timberwolves</t>
  </si>
  <si>
    <t>Nuggets @ Thunder</t>
  </si>
  <si>
    <t>Nuggets +1.5</t>
  </si>
  <si>
    <t>Grizzlies @ Lakers</t>
  </si>
  <si>
    <t>Pelicans @ Trail Blazers</t>
  </si>
  <si>
    <t>Trail Blazers +5.5</t>
  </si>
  <si>
    <t>7-3-0</t>
  </si>
  <si>
    <t>4-4-0</t>
  </si>
  <si>
    <t>2-9-1</t>
  </si>
  <si>
    <t>Joe Chealey</t>
  </si>
  <si>
    <t>PF-SF</t>
  </si>
  <si>
    <t>Justin Wright-Foreman</t>
  </si>
  <si>
    <t>19,812</t>
  </si>
  <si>
    <t>19,946</t>
  </si>
  <si>
    <t>86</t>
  </si>
  <si>
    <t>19,079</t>
  </si>
  <si>
    <t>17,050</t>
  </si>
  <si>
    <t>20,506</t>
  </si>
  <si>
    <t>19,754</t>
  </si>
  <si>
    <t>18,290</t>
  </si>
  <si>
    <t>19,626</t>
  </si>
  <si>
    <t>81</t>
  </si>
  <si>
    <t>18,024</t>
  </si>
  <si>
    <t>19,393</t>
  </si>
  <si>
    <t>Heat @ Cavaliers</t>
  </si>
  <si>
    <t>Hawks @ 76ers</t>
  </si>
  <si>
    <t>76ers -8.5</t>
  </si>
  <si>
    <t>Bucks @ Wizards</t>
  </si>
  <si>
    <t>Under 243.5</t>
  </si>
  <si>
    <t>Magic @ Nets</t>
  </si>
  <si>
    <t>Magic +3.5</t>
  </si>
  <si>
    <t>Knicks @ Rockets</t>
  </si>
  <si>
    <t>Under 230</t>
  </si>
  <si>
    <t>Timberwolves @ Mavericks</t>
  </si>
  <si>
    <t>Under 238.5</t>
  </si>
  <si>
    <t>Suns @ Jazz</t>
  </si>
  <si>
    <t>Grizzlies @ Clippers</t>
  </si>
  <si>
    <t>15-10-0</t>
  </si>
  <si>
    <t>19-12-0</t>
  </si>
  <si>
    <t>Dusty Hannahs</t>
  </si>
  <si>
    <t>17,336</t>
  </si>
  <si>
    <t>20,836</t>
  </si>
  <si>
    <t>16,580</t>
  </si>
  <si>
    <t>16,162</t>
  </si>
  <si>
    <t>19,936</t>
  </si>
  <si>
    <t>Hornets @ Pacers</t>
  </si>
  <si>
    <t>Over 210</t>
  </si>
  <si>
    <t>Bucks @ Raptors</t>
  </si>
  <si>
    <t>Bucks -1.5</t>
  </si>
  <si>
    <t>Pistons @ Nuggets</t>
  </si>
  <si>
    <t>Pistons +12.5</t>
  </si>
  <si>
    <t>4-3-0</t>
  </si>
  <si>
    <t>2-7-1</t>
  </si>
  <si>
    <t>16-15-0</t>
  </si>
  <si>
    <t>18-11-0</t>
  </si>
  <si>
    <t>17-14-0</t>
  </si>
  <si>
    <t>Donta Hall</t>
  </si>
  <si>
    <t>80</t>
  </si>
  <si>
    <t>16,088</t>
  </si>
  <si>
    <t>19,993</t>
  </si>
  <si>
    <t>16,911</t>
  </si>
  <si>
    <t>19,143</t>
  </si>
  <si>
    <t>19,460</t>
  </si>
  <si>
    <t>94</t>
  </si>
  <si>
    <t>76ers @ Cavaliers</t>
  </si>
  <si>
    <t>76ers -7.5</t>
  </si>
  <si>
    <t>Nets @ Wizards</t>
  </si>
  <si>
    <t>Nets -2</t>
  </si>
  <si>
    <t>Knicks -1.5</t>
  </si>
  <si>
    <t>Over 208</t>
  </si>
  <si>
    <t>Magic @ Hawks</t>
  </si>
  <si>
    <t>Magic -4</t>
  </si>
  <si>
    <t>Timberwolves @ Heat</t>
  </si>
  <si>
    <t>Timberwolves +10</t>
  </si>
  <si>
    <t>Grizzlies @ Rockets</t>
  </si>
  <si>
    <t>Grizzlies +11</t>
  </si>
  <si>
    <t>Mavericks @ Spurs</t>
  </si>
  <si>
    <t>Clippers @ Suns</t>
  </si>
  <si>
    <t>Celtics @ Jazz</t>
  </si>
  <si>
    <t>Celtics +4.5</t>
  </si>
  <si>
    <t>619,319</t>
  </si>
  <si>
    <t>20,644</t>
  </si>
  <si>
    <t>10-4-0</t>
  </si>
  <si>
    <t>4-1-0</t>
  </si>
  <si>
    <t>15-10-2</t>
  </si>
  <si>
    <t>14-13-1</t>
  </si>
  <si>
    <t>11-11-0</t>
  </si>
  <si>
    <t>13-17-0</t>
  </si>
  <si>
    <t>17-12-1</t>
  </si>
  <si>
    <t>13,152</t>
  </si>
  <si>
    <t>16,332</t>
  </si>
  <si>
    <t>15,021</t>
  </si>
  <si>
    <t>14,967</t>
  </si>
  <si>
    <t>19,600</t>
  </si>
  <si>
    <t>18,354</t>
  </si>
  <si>
    <t>15,157</t>
  </si>
  <si>
    <t>20,175</t>
  </si>
  <si>
    <t>16,872</t>
  </si>
  <si>
    <t>Mychal Mulder</t>
  </si>
  <si>
    <t>Timberwolves @ Magic</t>
  </si>
  <si>
    <t>Timberwolves +7.5</t>
  </si>
  <si>
    <t>Nets @ Hawks</t>
  </si>
  <si>
    <t>Nets -3</t>
  </si>
  <si>
    <t>Hornets @ Raptors</t>
  </si>
  <si>
    <t>Raptors -14</t>
  </si>
  <si>
    <t>Under 215</t>
  </si>
  <si>
    <t>Cavaliers @ Pelicans</t>
  </si>
  <si>
    <t>Cavaliers +12.5</t>
  </si>
  <si>
    <t>Mavericks @ Heat</t>
  </si>
  <si>
    <t>Mavericks +4</t>
  </si>
  <si>
    <t>Thunder @ Bucks</t>
  </si>
  <si>
    <t>Thunder +10.5</t>
  </si>
  <si>
    <t>Kings @ Grizzlies</t>
  </si>
  <si>
    <t>Kings +3.5</t>
  </si>
  <si>
    <t>Pistons @ Suns</t>
  </si>
  <si>
    <t>Pistons +8.5</t>
  </si>
  <si>
    <t>Wizards @ Jazz</t>
  </si>
  <si>
    <t>Wizards +10</t>
  </si>
  <si>
    <t>Nuggets @ Clippers</t>
  </si>
  <si>
    <t>Nuggets +6</t>
  </si>
  <si>
    <t>17,711</t>
  </si>
  <si>
    <t>633,456</t>
  </si>
  <si>
    <t>19,796</t>
  </si>
  <si>
    <t>7-1-0</t>
  </si>
  <si>
    <t>8-5-1</t>
  </si>
  <si>
    <t>16-14-0</t>
  </si>
  <si>
    <t>6-6-1</t>
  </si>
  <si>
    <t>10-13-0</t>
  </si>
  <si>
    <t>5-7-0</t>
  </si>
  <si>
    <t>4-0-0</t>
  </si>
  <si>
    <t>6-14-0</t>
  </si>
  <si>
    <t>4-14-0</t>
  </si>
  <si>
    <t>16-16-0</t>
  </si>
  <si>
    <t>13-18-0</t>
  </si>
  <si>
    <t>17-15-0</t>
  </si>
  <si>
    <t>14-17-0</t>
  </si>
  <si>
    <t>136</t>
  </si>
  <si>
    <t>17,034</t>
  </si>
  <si>
    <t>17,794</t>
  </si>
  <si>
    <t>19,704</t>
  </si>
  <si>
    <t>18,412</t>
  </si>
  <si>
    <t>18,304</t>
  </si>
  <si>
    <t>17,142</t>
  </si>
  <si>
    <t>132</t>
  </si>
  <si>
    <t>17,765</t>
  </si>
  <si>
    <t>16,395</t>
  </si>
  <si>
    <t>19,149</t>
  </si>
  <si>
    <t>18,058</t>
  </si>
  <si>
    <t>19,777</t>
  </si>
  <si>
    <t>17,499</t>
  </si>
  <si>
    <t>18,547</t>
  </si>
  <si>
    <t>Jazz @ Cavaliers</t>
  </si>
  <si>
    <t>Jazz -9.5</t>
  </si>
  <si>
    <t>Over 222</t>
  </si>
  <si>
    <t>Rockets @ Knicks</t>
  </si>
  <si>
    <t>Rockets -10</t>
  </si>
  <si>
    <t>Trail Blazers @ Magic</t>
  </si>
  <si>
    <t>Trail Blazers +6.5</t>
  </si>
  <si>
    <t>Grizzlies @ Hawks</t>
  </si>
  <si>
    <t>Grizzlies +2</t>
  </si>
  <si>
    <t>Bucks @ Heat</t>
  </si>
  <si>
    <t>Bucks -4.5</t>
  </si>
  <si>
    <t>Mavericks @ Bulls</t>
  </si>
  <si>
    <t>Pacers @ Spurs</t>
  </si>
  <si>
    <t>Pacers -2</t>
  </si>
  <si>
    <t>529,870</t>
  </si>
  <si>
    <t>17,093</t>
  </si>
  <si>
    <t>3-1-0</t>
  </si>
  <si>
    <t>9-10-0</t>
  </si>
  <si>
    <t>17-16-0</t>
  </si>
  <si>
    <t>19-14-0</t>
  </si>
  <si>
    <t>12-18-1</t>
  </si>
  <si>
    <t>15,453</t>
  </si>
  <si>
    <t>18,142</t>
  </si>
  <si>
    <t>18,078</t>
  </si>
  <si>
    <t>16,207</t>
  </si>
  <si>
    <t>18,407</t>
  </si>
  <si>
    <t>17,635</t>
  </si>
  <si>
    <t>Spurs @ Hornets</t>
  </si>
  <si>
    <t>Spurs -3</t>
  </si>
  <si>
    <t>Timberwolves @ Pelicans</t>
  </si>
  <si>
    <t>Timberwolves +11.5</t>
  </si>
  <si>
    <t>Under 247</t>
  </si>
  <si>
    <t>Clippers @ Thunder</t>
  </si>
  <si>
    <t>Clippers -3</t>
  </si>
  <si>
    <t>Warriors @ Nuggets</t>
  </si>
  <si>
    <t>Warriors +15.5</t>
  </si>
  <si>
    <t>Raptors @ Suns</t>
  </si>
  <si>
    <t>Raptors -4</t>
  </si>
  <si>
    <t>76ers @ Lakers</t>
  </si>
  <si>
    <t>76ers +12.5</t>
  </si>
  <si>
    <t>Over 220.5</t>
  </si>
  <si>
    <t>Wizards @ Kings</t>
  </si>
  <si>
    <t>Wizards +5.5</t>
  </si>
  <si>
    <t>M - B</t>
  </si>
  <si>
    <t>600,699</t>
  </si>
  <si>
    <t>8-7-0</t>
  </si>
  <si>
    <t>14-13-2</t>
  </si>
  <si>
    <t>14-18-0</t>
  </si>
  <si>
    <t>16-16-1</t>
  </si>
  <si>
    <t>15-16-1</t>
  </si>
  <si>
    <t>12,008</t>
  </si>
  <si>
    <t>15,264</t>
  </si>
  <si>
    <t>15,553</t>
  </si>
  <si>
    <t>16,419</t>
  </si>
  <si>
    <t>Chasson Randle</t>
  </si>
  <si>
    <t>Jarrod Uthoff</t>
  </si>
  <si>
    <t>Celtics @ Cavaliers</t>
  </si>
  <si>
    <t>Celtics -2</t>
  </si>
  <si>
    <t>Thunder @ Pistons</t>
  </si>
  <si>
    <t>Thunder -7.5</t>
  </si>
  <si>
    <t>Pacers @ Bucks</t>
  </si>
  <si>
    <t>Heat -6.5</t>
  </si>
  <si>
    <t>Grizzlies @ Nets</t>
  </si>
  <si>
    <t>Grizzlies +1.5</t>
  </si>
  <si>
    <t>Jazz @ Knicks</t>
  </si>
  <si>
    <t>Bulls @ Timberwolves</t>
  </si>
  <si>
    <t>Bulls +3</t>
  </si>
  <si>
    <t>Pelicans @ Mavericks</t>
  </si>
  <si>
    <t>Mavericks -5.5</t>
  </si>
  <si>
    <t>Wizards @ Trail Blazers</t>
  </si>
  <si>
    <t>Wizards +7.5</t>
  </si>
  <si>
    <t>549,036</t>
  </si>
  <si>
    <t>610,171</t>
  </si>
  <si>
    <t>19,683</t>
  </si>
  <si>
    <t>13-14-2</t>
  </si>
  <si>
    <t>10-12-2</t>
  </si>
  <si>
    <t>17-9-1</t>
  </si>
  <si>
    <t>3-13-1</t>
  </si>
  <si>
    <t>21-10-1</t>
  </si>
  <si>
    <t>15-16-0</t>
  </si>
  <si>
    <t>21-10-0</t>
  </si>
  <si>
    <t>16,897</t>
  </si>
  <si>
    <t>15,138</t>
  </si>
  <si>
    <t>17,695</t>
  </si>
  <si>
    <t>79</t>
  </si>
  <si>
    <t>16,941</t>
  </si>
  <si>
    <t>16,588</t>
  </si>
  <si>
    <t>13,392</t>
  </si>
  <si>
    <t>20,459</t>
  </si>
  <si>
    <t>Nuggets @ Hornets</t>
  </si>
  <si>
    <t>Nuggets -10</t>
  </si>
  <si>
    <t>Over 207</t>
  </si>
  <si>
    <t>Clippers @ Rockets</t>
  </si>
  <si>
    <t>Clippers -1.5</t>
  </si>
  <si>
    <t>Under 236.5</t>
  </si>
  <si>
    <t>76ers @ Kings</t>
  </si>
  <si>
    <t>76ers +5.5</t>
  </si>
  <si>
    <t>Raptors @ Warriors</t>
  </si>
  <si>
    <t>Raptors -8.5</t>
  </si>
  <si>
    <t>MvB Disc.</t>
  </si>
  <si>
    <t/>
  </si>
  <si>
    <t>5-11-1</t>
  </si>
  <si>
    <t>12-12-0</t>
  </si>
  <si>
    <t>0-1-0</t>
  </si>
  <si>
    <t>4-10-0</t>
  </si>
  <si>
    <t>15-18-0</t>
  </si>
  <si>
    <t>13,311</t>
  </si>
  <si>
    <t>15,485</t>
  </si>
  <si>
    <t>Wizards -3.5</t>
  </si>
  <si>
    <t>Under 245.5</t>
  </si>
  <si>
    <t>Spurs @ Nets</t>
  </si>
  <si>
    <t>Thunder @ Knicks</t>
  </si>
  <si>
    <t>Knicks +7</t>
  </si>
  <si>
    <t>Jazz @ Celtics</t>
  </si>
  <si>
    <t>Celtics -2.5</t>
  </si>
  <si>
    <t>Heat @ Pelicans</t>
  </si>
  <si>
    <t>Heat +1.5</t>
  </si>
  <si>
    <t>Pacers -3</t>
  </si>
  <si>
    <t>Magic @ Timberwolves</t>
  </si>
  <si>
    <t>Suns +3.5</t>
  </si>
  <si>
    <t>Bucks @ Lakers</t>
  </si>
  <si>
    <t>Bucks +1.5</t>
  </si>
  <si>
    <t>Combo Result</t>
  </si>
  <si>
    <t>Conf Result</t>
  </si>
  <si>
    <t>Trend Result</t>
  </si>
  <si>
    <t>610,176</t>
  </si>
  <si>
    <t>661,794</t>
  </si>
  <si>
    <t>20,054</t>
  </si>
  <si>
    <t>610,864</t>
  </si>
  <si>
    <t>19,090</t>
  </si>
  <si>
    <t>528,172</t>
  </si>
  <si>
    <t>16,505</t>
  </si>
  <si>
    <t>550,633</t>
  </si>
  <si>
    <t>15,606</t>
  </si>
  <si>
    <t>524,907</t>
  </si>
  <si>
    <t>16,403</t>
  </si>
  <si>
    <t>520,663</t>
  </si>
  <si>
    <t>16,796</t>
  </si>
  <si>
    <t>466,701</t>
  </si>
  <si>
    <t>14,584</t>
  </si>
  <si>
    <t>509,469</t>
  </si>
  <si>
    <t>15,294</t>
  </si>
  <si>
    <t>620,789</t>
  </si>
  <si>
    <t>18,812</t>
  </si>
  <si>
    <t>478,591</t>
  </si>
  <si>
    <t>15,428</t>
  </si>
  <si>
    <t>623,576</t>
  </si>
  <si>
    <t>17,322</t>
  </si>
  <si>
    <t>8-1-0</t>
  </si>
  <si>
    <t>19-5-0</t>
  </si>
  <si>
    <t>17-9-0</t>
  </si>
  <si>
    <t>7-5-0</t>
  </si>
  <si>
    <t>12-11-1</t>
  </si>
  <si>
    <t>12-14-1</t>
  </si>
  <si>
    <t>10-15-1</t>
  </si>
  <si>
    <t>6-10-1</t>
  </si>
  <si>
    <t>10-20-0</t>
  </si>
  <si>
    <t>11-6-1</t>
  </si>
  <si>
    <t>8-8-1</t>
  </si>
  <si>
    <t>10-11-0</t>
  </si>
  <si>
    <t>7-9-0</t>
  </si>
  <si>
    <t>7-10-1</t>
  </si>
  <si>
    <t>3-5-0</t>
  </si>
  <si>
    <t>4-7-0</t>
  </si>
  <si>
    <t>7-15-0</t>
  </si>
  <si>
    <t>4-12-1</t>
  </si>
  <si>
    <t>11-8-0</t>
  </si>
  <si>
    <t>13-11-0</t>
  </si>
  <si>
    <t>8-7-2</t>
  </si>
  <si>
    <t>13-12-0</t>
  </si>
  <si>
    <t>8-10-0</t>
  </si>
  <si>
    <t>4-11-0</t>
  </si>
  <si>
    <t>5-4-0</t>
  </si>
  <si>
    <t>6-6-0</t>
  </si>
  <si>
    <t>13-17-1</t>
  </si>
  <si>
    <t>9-12-0</t>
  </si>
  <si>
    <t>20-11-1</t>
  </si>
  <si>
    <t>18-14-0</t>
  </si>
  <si>
    <t>18-15-0</t>
  </si>
  <si>
    <t>17-15-1</t>
  </si>
  <si>
    <t>18-16-0</t>
  </si>
  <si>
    <t>16-18-0</t>
  </si>
  <si>
    <t>15-17-0</t>
  </si>
  <si>
    <t>13-19-0</t>
  </si>
  <si>
    <t>22-10-0</t>
  </si>
  <si>
    <t>21-12-0</t>
  </si>
  <si>
    <t>21-15-0</t>
  </si>
  <si>
    <t>19-15-0</t>
  </si>
  <si>
    <t>12-20-1</t>
  </si>
  <si>
    <t>Luka Šamanić</t>
  </si>
  <si>
    <t>17,856</t>
  </si>
  <si>
    <t>16,277</t>
  </si>
  <si>
    <t>19,499</t>
  </si>
  <si>
    <t>20,229</t>
  </si>
  <si>
    <t>14,315</t>
  </si>
  <si>
    <t>18,384</t>
  </si>
  <si>
    <t>20,370</t>
  </si>
  <si>
    <t>15,522</t>
  </si>
  <si>
    <t>19,159</t>
  </si>
  <si>
    <t>16,590</t>
  </si>
  <si>
    <t>19,432</t>
  </si>
  <si>
    <t>17,117</t>
  </si>
  <si>
    <t>19,691</t>
  </si>
  <si>
    <t>15,916</t>
  </si>
  <si>
    <t>17,282</t>
  </si>
  <si>
    <t>20,324</t>
  </si>
  <si>
    <t>18,135</t>
  </si>
  <si>
    <t>17,995</t>
  </si>
  <si>
    <t>84</t>
  </si>
  <si>
    <t>18,361</t>
  </si>
  <si>
    <t>16,449</t>
  </si>
  <si>
    <t>Hornets @ Hawks</t>
  </si>
  <si>
    <t>Hornets +4.5</t>
  </si>
  <si>
    <t>Bucks @ Nuggets</t>
  </si>
  <si>
    <t>Bucks +5.5</t>
  </si>
  <si>
    <t>Raptors @ Jazz</t>
  </si>
  <si>
    <t>Raptors +4.5</t>
  </si>
  <si>
    <t>Bet-Money Discrepency Bucket</t>
  </si>
  <si>
    <t>Los Angeles Lakers*</t>
  </si>
  <si>
    <t>Toronto Raptors*</t>
  </si>
  <si>
    <t>Milwaukee Bucks*</t>
  </si>
  <si>
    <t>633,153</t>
  </si>
  <si>
    <t>19,186</t>
  </si>
  <si>
    <t>567,486</t>
  </si>
  <si>
    <t>530,060</t>
  </si>
  <si>
    <t>16,062</t>
  </si>
  <si>
    <t>16-15-1</t>
  </si>
  <si>
    <t>4-2-2</t>
  </si>
  <si>
    <t>15-13-2</t>
  </si>
  <si>
    <t>12-16-2</t>
  </si>
  <si>
    <t>17-14-1</t>
  </si>
  <si>
    <t>14-18-1</t>
  </si>
  <si>
    <t>20-13-0</t>
  </si>
  <si>
    <t>15-17-1</t>
  </si>
  <si>
    <t>143</t>
  </si>
  <si>
    <t>14,399</t>
  </si>
  <si>
    <t>19,838</t>
  </si>
  <si>
    <t>Los Angeles Clippers*</t>
  </si>
  <si>
    <t>Phoenix Suns*</t>
  </si>
  <si>
    <t>Portland Trail Blazers*</t>
  </si>
  <si>
    <t>Charlotte Hornets*</t>
  </si>
  <si>
    <t>Detroit Pistons*</t>
  </si>
  <si>
    <t>Chicago Bulls*</t>
  </si>
  <si>
    <t>Houston Rockets*</t>
  </si>
  <si>
    <t>Oklahoma City Thunder*</t>
  </si>
  <si>
    <t>Utah Jazz*</t>
  </si>
  <si>
    <t>New York Knicks*</t>
  </si>
  <si>
    <t>Sacramento Kings*</t>
  </si>
  <si>
    <t>New Orleans Pelicans*</t>
  </si>
  <si>
    <t>Brooklyn Nets*</t>
  </si>
  <si>
    <t>Washington Wizards*</t>
  </si>
  <si>
    <t>Miami Heat*</t>
  </si>
  <si>
    <t>Minnesota Timberwolves*</t>
  </si>
  <si>
    <t>Dallas Mavericks*</t>
  </si>
  <si>
    <t>Golden State Warriors*</t>
  </si>
  <si>
    <t>Philadelphia 76ers*</t>
  </si>
  <si>
    <t>Boston Celtics*</t>
  </si>
  <si>
    <t>Memphis Grizzlies*</t>
  </si>
  <si>
    <t>Cleveland Cavaliers*</t>
  </si>
  <si>
    <t>Denver Nuggets*</t>
  </si>
  <si>
    <t>Indiana Pacers*</t>
  </si>
  <si>
    <t>Atlanta Hawks*</t>
  </si>
  <si>
    <t>Orlando Magic*</t>
  </si>
  <si>
    <t>San Antonio Spurs*</t>
  </si>
  <si>
    <t>Celtics -3</t>
  </si>
  <si>
    <t>Knicks @ Wizards</t>
  </si>
  <si>
    <t>Knicks +4.5</t>
  </si>
  <si>
    <t>Cavaliers @ Bulls</t>
  </si>
  <si>
    <t>Bulls -3.5</t>
  </si>
  <si>
    <t>Timberwolves @ Rockets</t>
  </si>
  <si>
    <t>Timberwolves +12.5</t>
  </si>
  <si>
    <t>Under 246</t>
  </si>
  <si>
    <t>Mavericks -3</t>
  </si>
  <si>
    <t>Magic @ Grizzlies</t>
  </si>
  <si>
    <t>Suns @ Trail Blazers</t>
  </si>
  <si>
    <t>Suns +4.5</t>
  </si>
  <si>
    <t>Clippers @ Warriors</t>
  </si>
  <si>
    <t>Clippers -12</t>
  </si>
  <si>
    <t>Nets @ Lakers</t>
  </si>
  <si>
    <t>588,907</t>
  </si>
  <si>
    <t>578,458</t>
  </si>
  <si>
    <t>18,077</t>
  </si>
  <si>
    <t>529,002</t>
  </si>
  <si>
    <t>16,531</t>
  </si>
  <si>
    <t>523,297</t>
  </si>
  <si>
    <t>15,857</t>
  </si>
  <si>
    <t>628,303</t>
  </si>
  <si>
    <t>19,634</t>
  </si>
  <si>
    <t>550,515</t>
  </si>
  <si>
    <t>18,351</t>
  </si>
  <si>
    <t>639,352</t>
  </si>
  <si>
    <t>18,804</t>
  </si>
  <si>
    <t>532,702</t>
  </si>
  <si>
    <t>16,647</t>
  </si>
  <si>
    <t>614,176</t>
  </si>
  <si>
    <t>13-10-1</t>
  </si>
  <si>
    <t>12-10-0</t>
  </si>
  <si>
    <t>15-14-0</t>
  </si>
  <si>
    <t>13-13-1</t>
  </si>
  <si>
    <t>9-11-0</t>
  </si>
  <si>
    <t>12-5-1</t>
  </si>
  <si>
    <t>14-8-0</t>
  </si>
  <si>
    <t>10-6-2</t>
  </si>
  <si>
    <t>1-2-1</t>
  </si>
  <si>
    <t>10-5-0</t>
  </si>
  <si>
    <t>17-13-1</t>
  </si>
  <si>
    <t>7-6-0</t>
  </si>
  <si>
    <t>11-10-1</t>
  </si>
  <si>
    <t>21-11-2</t>
  </si>
  <si>
    <t>20-12-0</t>
  </si>
  <si>
    <t>19-13-0</t>
  </si>
  <si>
    <t>17-13-0</t>
  </si>
  <si>
    <t>17-17-0</t>
  </si>
  <si>
    <t>17,053</t>
  </si>
  <si>
    <t>15,048</t>
  </si>
  <si>
    <t>17,837</t>
  </si>
  <si>
    <t>15,388</t>
  </si>
  <si>
    <t>Jazz @ Thunder</t>
  </si>
  <si>
    <t>Mavericks +2.5</t>
  </si>
  <si>
    <t>Pelicans @ Kings</t>
  </si>
  <si>
    <t>Pelicans -1.5</t>
  </si>
  <si>
    <t>Pistons @ 76ers</t>
  </si>
  <si>
    <t>Pistons +11</t>
  </si>
  <si>
    <t>Knicks @ Hawks</t>
  </si>
  <si>
    <t>Hornets @ Heat</t>
  </si>
  <si>
    <t>Hornets +10</t>
  </si>
  <si>
    <t>Under 211.5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</si>
</sst>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0"/>
      <color theme="4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i/>
      <sz val="9"/>
      <color theme="0" tint="-0.34998626667073579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2" tint="-0.499984740745262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/>
      <top style="thin">
        <color theme="1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auto="1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85">
    <xf numFmtId="0" fontId="0" fillId="0" borderId="0" xfId="0"/>
    <xf numFmtId="0" fontId="0" fillId="0" borderId="0" xfId="0" applyNumberFormat="1"/>
    <xf numFmtId="14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0" fontId="4" fillId="0" borderId="0" xfId="0" applyFont="1"/>
    <xf numFmtId="0" fontId="5" fillId="0" borderId="0" xfId="0" applyFont="1" applyFill="1"/>
    <xf numFmtId="0" fontId="6" fillId="2" borderId="1" xfId="0" applyFont="1" applyFill="1" applyBorder="1"/>
    <xf numFmtId="0" fontId="6" fillId="2" borderId="2" xfId="0" applyFont="1" applyFill="1" applyBorder="1" applyAlignment="1">
      <alignment horizontal="right"/>
    </xf>
    <xf numFmtId="0" fontId="6" fillId="2" borderId="4" xfId="0" applyFont="1" applyFill="1" applyBorder="1"/>
    <xf numFmtId="0" fontId="6" fillId="2" borderId="6" xfId="0" applyFont="1" applyFill="1" applyBorder="1" applyAlignment="1">
      <alignment horizontal="right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7" borderId="3" xfId="0" applyFill="1" applyBorder="1"/>
    <xf numFmtId="0" fontId="0" fillId="7" borderId="5" xfId="0" applyFill="1" applyBorder="1"/>
    <xf numFmtId="0" fontId="2" fillId="0" borderId="0" xfId="0" applyFont="1"/>
    <xf numFmtId="164" fontId="0" fillId="0" borderId="0" xfId="0" applyNumberFormat="1"/>
    <xf numFmtId="0" fontId="7" fillId="0" borderId="0" xfId="0" applyFont="1"/>
    <xf numFmtId="164" fontId="7" fillId="0" borderId="0" xfId="0" applyNumberFormat="1" applyFont="1"/>
    <xf numFmtId="9" fontId="7" fillId="0" borderId="0" xfId="2" applyFont="1"/>
    <xf numFmtId="0" fontId="0" fillId="0" borderId="0" xfId="0" applyAlignment="1">
      <alignment horizontal="left"/>
    </xf>
    <xf numFmtId="0" fontId="0" fillId="0" borderId="11" xfId="0" applyBorder="1" applyAlignment="1">
      <alignment horizontal="center"/>
    </xf>
    <xf numFmtId="16" fontId="0" fillId="0" borderId="0" xfId="0" applyNumberFormat="1" applyAlignment="1">
      <alignment horizontal="center" vertical="center"/>
    </xf>
    <xf numFmtId="16" fontId="0" fillId="0" borderId="0" xfId="0" applyNumberFormat="1" applyAlignment="1">
      <alignment horizontal="left" vertical="center"/>
    </xf>
    <xf numFmtId="0" fontId="0" fillId="0" borderId="0" xfId="0" applyAlignment="1">
      <alignment vertical="center"/>
    </xf>
    <xf numFmtId="164" fontId="0" fillId="0" borderId="0" xfId="1" applyNumberFormat="1" applyFont="1" applyAlignment="1">
      <alignment vertical="center"/>
    </xf>
    <xf numFmtId="0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44" fontId="0" fillId="0" borderId="0" xfId="1" applyNumberFormat="1" applyFont="1" applyAlignment="1">
      <alignment vertical="center"/>
    </xf>
    <xf numFmtId="44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right"/>
    </xf>
    <xf numFmtId="9" fontId="0" fillId="0" borderId="0" xfId="2" applyFont="1" applyAlignment="1">
      <alignment horizontal="left"/>
    </xf>
    <xf numFmtId="9" fontId="0" fillId="0" borderId="0" xfId="2" applyFont="1" applyFill="1"/>
    <xf numFmtId="0" fontId="3" fillId="0" borderId="0" xfId="0" applyFont="1"/>
    <xf numFmtId="0" fontId="8" fillId="0" borderId="11" xfId="0" applyFont="1" applyBorder="1"/>
    <xf numFmtId="0" fontId="0" fillId="2" borderId="9" xfId="0" applyNumberFormat="1" applyFill="1" applyBorder="1" applyAlignment="1">
      <alignment horizontal="left"/>
    </xf>
    <xf numFmtId="9" fontId="0" fillId="0" borderId="0" xfId="2" applyFont="1"/>
    <xf numFmtId="44" fontId="0" fillId="0" borderId="0" xfId="0" applyNumberFormat="1" applyAlignment="1">
      <alignment horizontal="center" vertical="center"/>
    </xf>
    <xf numFmtId="10" fontId="0" fillId="0" borderId="11" xfId="1" applyNumberFormat="1" applyFont="1" applyBorder="1"/>
    <xf numFmtId="44" fontId="0" fillId="0" borderId="11" xfId="1" applyFont="1" applyBorder="1" applyAlignment="1">
      <alignment horizontal="right"/>
    </xf>
    <xf numFmtId="9" fontId="0" fillId="0" borderId="11" xfId="2" applyFont="1" applyBorder="1"/>
    <xf numFmtId="0" fontId="0" fillId="0" borderId="0" xfId="1" applyNumberFormat="1" applyFont="1" applyAlignment="1">
      <alignment vertical="center"/>
    </xf>
    <xf numFmtId="17" fontId="0" fillId="0" borderId="0" xfId="0" applyNumberFormat="1"/>
    <xf numFmtId="44" fontId="0" fillId="0" borderId="0" xfId="1" applyFont="1"/>
    <xf numFmtId="0" fontId="1" fillId="0" borderId="0" xfId="1" applyNumberFormat="1" applyFont="1" applyAlignment="1">
      <alignment horizontal="center" vertical="center"/>
    </xf>
    <xf numFmtId="14" fontId="0" fillId="0" borderId="0" xfId="0" applyNumberFormat="1" applyAlignment="1">
      <alignment horizontal="center"/>
    </xf>
    <xf numFmtId="44" fontId="0" fillId="0" borderId="0" xfId="1" applyFont="1" applyAlignment="1">
      <alignment vertical="center"/>
    </xf>
    <xf numFmtId="44" fontId="0" fillId="0" borderId="0" xfId="1" applyFont="1" applyAlignment="1">
      <alignment horizontal="center" vertical="center"/>
    </xf>
    <xf numFmtId="16" fontId="0" fillId="0" borderId="0" xfId="0" applyNumberFormat="1" applyAlignment="1">
      <alignment horizontal="left" vertical="center" wrapText="1"/>
    </xf>
    <xf numFmtId="0" fontId="0" fillId="0" borderId="0" xfId="0" applyAlignment="1">
      <alignment vertical="center" wrapText="1"/>
    </xf>
    <xf numFmtId="16" fontId="6" fillId="0" borderId="0" xfId="0" applyNumberFormat="1" applyFont="1" applyAlignment="1">
      <alignment horizontal="left" vertical="center"/>
    </xf>
    <xf numFmtId="0" fontId="6" fillId="0" borderId="0" xfId="0" applyFont="1" applyAlignment="1">
      <alignment vertical="center"/>
    </xf>
    <xf numFmtId="16" fontId="0" fillId="0" borderId="0" xfId="0" applyNumberFormat="1" applyAlignment="1">
      <alignment vertical="center"/>
    </xf>
    <xf numFmtId="14" fontId="0" fillId="0" borderId="0" xfId="0" applyNumberFormat="1" applyAlignment="1">
      <alignment horizontal="right" vertical="center"/>
    </xf>
    <xf numFmtId="0" fontId="0" fillId="0" borderId="7" xfId="0" applyBorder="1" applyAlignment="1">
      <alignment horizontal="center"/>
    </xf>
    <xf numFmtId="165" fontId="0" fillId="7" borderId="3" xfId="2" applyNumberFormat="1" applyFont="1" applyFill="1" applyBorder="1"/>
    <xf numFmtId="165" fontId="0" fillId="7" borderId="5" xfId="2" applyNumberFormat="1" applyFont="1" applyFill="1" applyBorder="1"/>
    <xf numFmtId="0" fontId="0" fillId="0" borderId="0" xfId="0" quotePrefix="1"/>
    <xf numFmtId="0" fontId="0" fillId="0" borderId="0" xfId="0" applyNumberFormat="1" applyFill="1" applyAlignment="1">
      <alignment horizontal="right"/>
    </xf>
    <xf numFmtId="2" fontId="0" fillId="0" borderId="11" xfId="0" applyNumberFormat="1" applyBorder="1"/>
    <xf numFmtId="2" fontId="0" fillId="0" borderId="11" xfId="1" applyNumberFormat="1" applyFont="1" applyBorder="1"/>
    <xf numFmtId="2" fontId="0" fillId="2" borderId="8" xfId="0" applyNumberFormat="1" applyFill="1" applyBorder="1" applyAlignment="1">
      <alignment horizontal="right"/>
    </xf>
    <xf numFmtId="0" fontId="0" fillId="0" borderId="0" xfId="0" applyAlignment="1">
      <alignment horizontal="center"/>
    </xf>
    <xf numFmtId="0" fontId="8" fillId="0" borderId="0" xfId="0" applyFont="1" applyFill="1" applyBorder="1"/>
    <xf numFmtId="9" fontId="0" fillId="0" borderId="0" xfId="2" applyFont="1" applyAlignment="1">
      <alignment horizontal="center" vertical="center"/>
    </xf>
    <xf numFmtId="164" fontId="0" fillId="0" borderId="0" xfId="1" applyNumberFormat="1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8" fillId="0" borderId="0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9" fontId="0" fillId="0" borderId="0" xfId="2" applyFont="1" applyAlignment="1">
      <alignment horizontal="center" vertical="center" wrapText="1"/>
    </xf>
    <xf numFmtId="9" fontId="1" fillId="0" borderId="0" xfId="2" applyFont="1" applyAlignment="1">
      <alignment horizontal="center" vertical="center"/>
    </xf>
    <xf numFmtId="0" fontId="10" fillId="0" borderId="0" xfId="1" applyNumberFormat="1" applyFont="1" applyAlignment="1">
      <alignment horizontal="center" vertical="center"/>
    </xf>
    <xf numFmtId="9" fontId="1" fillId="0" borderId="0" xfId="2" applyFont="1" applyAlignment="1">
      <alignment horizontal="center" vertical="center" wrapText="1"/>
    </xf>
    <xf numFmtId="0" fontId="0" fillId="0" borderId="0" xfId="0" applyAlignment="1">
      <alignment horizontal="center"/>
    </xf>
    <xf numFmtId="9" fontId="3" fillId="0" borderId="0" xfId="0" applyNumberFormat="1" applyFont="1"/>
    <xf numFmtId="0" fontId="0" fillId="0" borderId="0" xfId="0" applyAlignment="1">
      <alignment wrapText="1"/>
    </xf>
    <xf numFmtId="0" fontId="11" fillId="0" borderId="0" xfId="1" applyNumberFormat="1" applyFont="1" applyAlignment="1">
      <alignment horizontal="center" vertical="center"/>
    </xf>
    <xf numFmtId="16" fontId="0" fillId="0" borderId="0" xfId="0" applyNumberFormat="1" applyFill="1" applyAlignment="1">
      <alignment horizontal="left" vertical="center"/>
    </xf>
    <xf numFmtId="164" fontId="0" fillId="0" borderId="0" xfId="1" applyNumberFormat="1" applyFont="1" applyFill="1" applyAlignment="1">
      <alignment vertical="center"/>
    </xf>
    <xf numFmtId="9" fontId="1" fillId="0" borderId="0" xfId="2" applyFont="1" applyFill="1" applyAlignment="1">
      <alignment horizontal="center" vertical="center"/>
    </xf>
    <xf numFmtId="0" fontId="0" fillId="0" borderId="0" xfId="0" applyAlignment="1">
      <alignment horizontal="center"/>
    </xf>
    <xf numFmtId="9" fontId="0" fillId="0" borderId="0" xfId="2" applyFont="1" applyAlignment="1">
      <alignment horizontal="center"/>
    </xf>
    <xf numFmtId="0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0" fontId="2" fillId="9" borderId="15" xfId="0" applyFont="1" applyFill="1" applyBorder="1" applyAlignment="1">
      <alignment horizontal="center"/>
    </xf>
    <xf numFmtId="0" fontId="2" fillId="9" borderId="7" xfId="0" applyFont="1" applyFill="1" applyBorder="1" applyAlignment="1">
      <alignment horizontal="center"/>
    </xf>
    <xf numFmtId="0" fontId="2" fillId="9" borderId="16" xfId="0" applyFont="1" applyFill="1" applyBorder="1" applyAlignment="1">
      <alignment horizontal="center"/>
    </xf>
    <xf numFmtId="0" fontId="2" fillId="9" borderId="17" xfId="0" applyFont="1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10" borderId="0" xfId="0" applyFill="1"/>
    <xf numFmtId="0" fontId="0" fillId="0" borderId="0" xfId="0" applyFill="1"/>
    <xf numFmtId="0" fontId="12" fillId="0" borderId="13" xfId="0" applyFont="1" applyFill="1" applyBorder="1" applyAlignment="1">
      <alignment horizontal="center"/>
    </xf>
    <xf numFmtId="9" fontId="0" fillId="0" borderId="0" xfId="0" applyNumberFormat="1" applyFill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Fill="1" applyBorder="1"/>
    <xf numFmtId="0" fontId="8" fillId="0" borderId="11" xfId="0" applyFont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1" borderId="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0" borderId="18" xfId="0" applyFill="1" applyBorder="1" applyAlignment="1">
      <alignment horizontal="center"/>
    </xf>
    <xf numFmtId="0" fontId="0" fillId="11" borderId="18" xfId="0" applyFill="1" applyBorder="1" applyAlignment="1">
      <alignment horizontal="center"/>
    </xf>
    <xf numFmtId="0" fontId="0" fillId="11" borderId="19" xfId="0" applyFill="1" applyBorder="1" applyAlignment="1">
      <alignment horizontal="center"/>
    </xf>
    <xf numFmtId="0" fontId="6" fillId="0" borderId="10" xfId="0" applyFont="1" applyBorder="1" applyAlignment="1">
      <alignment horizontal="left"/>
    </xf>
    <xf numFmtId="0" fontId="6" fillId="0" borderId="0" xfId="0" applyFont="1" applyAlignment="1">
      <alignment horizontal="left"/>
    </xf>
    <xf numFmtId="0" fontId="6" fillId="0" borderId="0" xfId="0" applyNumberFormat="1" applyFont="1" applyAlignment="1">
      <alignment horizontal="left" vertical="center"/>
    </xf>
    <xf numFmtId="14" fontId="6" fillId="0" borderId="0" xfId="0" applyNumberFormat="1" applyFont="1" applyAlignment="1">
      <alignment horizontal="left"/>
    </xf>
    <xf numFmtId="0" fontId="0" fillId="0" borderId="0" xfId="0" applyNumberFormat="1" applyFill="1" applyAlignment="1">
      <alignment horizontal="center"/>
    </xf>
    <xf numFmtId="44" fontId="0" fillId="0" borderId="0" xfId="0" applyNumberFormat="1" applyFill="1" applyAlignment="1">
      <alignment horizontal="center"/>
    </xf>
    <xf numFmtId="9" fontId="0" fillId="0" borderId="0" xfId="2" applyFont="1" applyFill="1" applyAlignment="1">
      <alignment horizontal="center" vertical="center"/>
    </xf>
    <xf numFmtId="9" fontId="0" fillId="0" borderId="0" xfId="2" applyFont="1" applyFill="1" applyAlignment="1">
      <alignment horizontal="center"/>
    </xf>
    <xf numFmtId="0" fontId="6" fillId="0" borderId="0" xfId="0" applyFont="1" applyBorder="1" applyAlignment="1">
      <alignment horizontal="left"/>
    </xf>
    <xf numFmtId="0" fontId="0" fillId="0" borderId="21" xfId="0" applyFont="1" applyBorder="1"/>
    <xf numFmtId="0" fontId="0" fillId="0" borderId="22" xfId="0" applyFont="1" applyBorder="1"/>
    <xf numFmtId="9" fontId="0" fillId="0" borderId="21" xfId="2" applyNumberFormat="1" applyFont="1" applyBorder="1"/>
    <xf numFmtId="9" fontId="0" fillId="0" borderId="22" xfId="2" applyNumberFormat="1" applyFont="1" applyBorder="1"/>
    <xf numFmtId="0" fontId="12" fillId="12" borderId="0" xfId="0" applyFont="1" applyFill="1" applyBorder="1"/>
    <xf numFmtId="0" fontId="12" fillId="12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9" fontId="6" fillId="0" borderId="0" xfId="2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9" fontId="0" fillId="0" borderId="12" xfId="0" applyNumberFormat="1" applyFill="1" applyBorder="1" applyAlignment="1">
      <alignment horizontal="left"/>
    </xf>
    <xf numFmtId="9" fontId="0" fillId="0" borderId="0" xfId="2" applyNumberFormat="1" applyFont="1" applyFill="1" applyBorder="1" applyAlignment="1">
      <alignment horizontal="left" vertical="center"/>
    </xf>
    <xf numFmtId="0" fontId="0" fillId="0" borderId="12" xfId="0" applyFill="1" applyBorder="1" applyAlignment="1">
      <alignment horizontal="center"/>
    </xf>
    <xf numFmtId="0" fontId="0" fillId="0" borderId="0" xfId="1" applyNumberFormat="1" applyFont="1" applyFill="1" applyBorder="1" applyAlignment="1">
      <alignment horizontal="center" vertical="center"/>
    </xf>
    <xf numFmtId="0" fontId="0" fillId="0" borderId="14" xfId="0" applyFill="1" applyBorder="1" applyAlignment="1">
      <alignment horizontal="center"/>
    </xf>
    <xf numFmtId="9" fontId="0" fillId="0" borderId="14" xfId="0" applyNumberFormat="1" applyFill="1" applyBorder="1" applyAlignment="1">
      <alignment horizontal="left"/>
    </xf>
    <xf numFmtId="0" fontId="0" fillId="0" borderId="0" xfId="0" applyAlignment="1">
      <alignment horizontal="center"/>
    </xf>
    <xf numFmtId="0" fontId="2" fillId="9" borderId="10" xfId="0" applyFont="1" applyFill="1" applyBorder="1" applyAlignment="1">
      <alignment horizontal="center"/>
    </xf>
    <xf numFmtId="0" fontId="2" fillId="13" borderId="10" xfId="0" applyFont="1" applyFill="1" applyBorder="1" applyAlignment="1">
      <alignment horizontal="center"/>
    </xf>
    <xf numFmtId="0" fontId="2" fillId="13" borderId="24" xfId="0" applyFont="1" applyFill="1" applyBorder="1" applyAlignment="1">
      <alignment horizontal="center"/>
    </xf>
    <xf numFmtId="9" fontId="0" fillId="0" borderId="0" xfId="0" applyNumberFormat="1" applyFill="1" applyBorder="1" applyAlignment="1">
      <alignment horizontal="left"/>
    </xf>
    <xf numFmtId="0" fontId="0" fillId="5" borderId="4" xfId="0" applyFill="1" applyBorder="1" applyAlignment="1">
      <alignment horizontal="center"/>
    </xf>
    <xf numFmtId="2" fontId="0" fillId="5" borderId="6" xfId="0" applyNumberFormat="1" applyFill="1" applyBorder="1" applyAlignment="1">
      <alignment horizontal="center"/>
    </xf>
    <xf numFmtId="0" fontId="0" fillId="10" borderId="4" xfId="0" applyFill="1" applyBorder="1" applyAlignment="1">
      <alignment horizontal="center"/>
    </xf>
    <xf numFmtId="2" fontId="0" fillId="10" borderId="6" xfId="0" applyNumberFormat="1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2" fontId="0" fillId="4" borderId="6" xfId="0" applyNumberFormat="1" applyFill="1" applyBorder="1" applyAlignment="1">
      <alignment horizontal="center"/>
    </xf>
    <xf numFmtId="9" fontId="6" fillId="0" borderId="0" xfId="2" applyNumberFormat="1" applyFont="1" applyAlignment="1">
      <alignment horizontal="center" vertical="center"/>
    </xf>
    <xf numFmtId="9" fontId="0" fillId="0" borderId="0" xfId="2" applyNumberFormat="1" applyFont="1" applyFill="1" applyAlignment="1">
      <alignment horizontal="center"/>
    </xf>
    <xf numFmtId="0" fontId="0" fillId="0" borderId="0" xfId="2" applyNumberFormat="1" applyFont="1" applyFill="1" applyAlignment="1">
      <alignment horizontal="center"/>
    </xf>
    <xf numFmtId="9" fontId="6" fillId="0" borderId="0" xfId="2" applyFont="1" applyAlignment="1">
      <alignment vertical="center"/>
    </xf>
    <xf numFmtId="9" fontId="0" fillId="0" borderId="0" xfId="2" applyFont="1" applyFill="1" applyBorder="1" applyAlignment="1"/>
    <xf numFmtId="9" fontId="0" fillId="0" borderId="0" xfId="2" applyFont="1" applyFill="1" applyAlignment="1"/>
    <xf numFmtId="0" fontId="0" fillId="0" borderId="0" xfId="0" applyAlignment="1">
      <alignment horizontal="center"/>
    </xf>
    <xf numFmtId="9" fontId="0" fillId="0" borderId="0" xfId="2" applyFont="1" applyFill="1" applyBorder="1" applyAlignment="1">
      <alignment vertical="center"/>
    </xf>
    <xf numFmtId="9" fontId="0" fillId="0" borderId="0" xfId="2" applyFont="1" applyFill="1" applyAlignment="1">
      <alignment vertical="center"/>
    </xf>
    <xf numFmtId="10" fontId="3" fillId="0" borderId="0" xfId="2" applyNumberFormat="1" applyFont="1"/>
    <xf numFmtId="9" fontId="8" fillId="0" borderId="0" xfId="2" applyFont="1"/>
    <xf numFmtId="9" fontId="6" fillId="0" borderId="0" xfId="0" applyNumberFormat="1" applyFont="1" applyAlignment="1">
      <alignment horizontal="left" vertical="center"/>
    </xf>
    <xf numFmtId="9" fontId="0" fillId="0" borderId="0" xfId="2" applyNumberFormat="1" applyFont="1" applyFill="1" applyAlignment="1">
      <alignment horizontal="left"/>
    </xf>
    <xf numFmtId="0" fontId="13" fillId="0" borderId="0" xfId="1" applyNumberFormat="1" applyFont="1" applyAlignment="1">
      <alignment horizontal="center" vertical="center"/>
    </xf>
    <xf numFmtId="0" fontId="14" fillId="0" borderId="0" xfId="0" applyNumberFormat="1" applyFont="1" applyAlignment="1">
      <alignment horizontal="left" vertical="center"/>
    </xf>
    <xf numFmtId="9" fontId="14" fillId="0" borderId="0" xfId="2" applyNumberFormat="1" applyFont="1" applyAlignment="1">
      <alignment horizontal="center" vertical="center"/>
    </xf>
    <xf numFmtId="9" fontId="13" fillId="0" borderId="0" xfId="2" applyNumberFormat="1" applyFont="1" applyFill="1" applyAlignment="1">
      <alignment horizontal="center"/>
    </xf>
    <xf numFmtId="9" fontId="13" fillId="0" borderId="0" xfId="2" applyNumberFormat="1" applyFont="1" applyFill="1" applyAlignment="1">
      <alignment horizontal="left"/>
    </xf>
    <xf numFmtId="0" fontId="6" fillId="0" borderId="0" xfId="0" quotePrefix="1" applyFont="1" applyAlignment="1">
      <alignment horizontal="left"/>
    </xf>
    <xf numFmtId="0" fontId="12" fillId="8" borderId="20" xfId="0" applyFont="1" applyFill="1" applyBorder="1" applyAlignment="1">
      <alignment horizontal="center"/>
    </xf>
    <xf numFmtId="0" fontId="12" fillId="8" borderId="10" xfId="0" applyFont="1" applyFill="1" applyBorder="1" applyAlignment="1">
      <alignment horizontal="center"/>
    </xf>
    <xf numFmtId="0" fontId="12" fillId="8" borderId="1" xfId="0" applyFont="1" applyFill="1" applyBorder="1" applyAlignment="1">
      <alignment horizontal="center"/>
    </xf>
    <xf numFmtId="0" fontId="12" fillId="8" borderId="23" xfId="0" applyFont="1" applyFill="1" applyBorder="1" applyAlignment="1">
      <alignment horizontal="center"/>
    </xf>
    <xf numFmtId="0" fontId="12" fillId="8" borderId="2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7" borderId="3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6" fillId="0" borderId="3" xfId="0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0" fillId="4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10" borderId="0" xfId="0" applyFill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25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border>
        <right style="thin">
          <color auto="1"/>
        </right>
        <vertical/>
        <horizontal/>
      </border>
    </dxf>
    <dxf>
      <border>
        <left style="thin">
          <color auto="1"/>
        </left>
        <vertical/>
        <horizontal/>
      </border>
    </dxf>
    <dxf>
      <fill>
        <patternFill>
          <bgColor theme="0"/>
        </patternFill>
      </fill>
      <border>
        <top style="thin">
          <color auto="1"/>
        </top>
        <bottom style="thin">
          <color auto="1"/>
        </bottom>
        <vertical/>
        <horizontal/>
      </border>
    </dxf>
    <dxf>
      <numFmt numFmtId="13" formatCode="0%"/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3" formatCode="0%"/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alignment horizontal="left" vertical="center" textRotation="0" wrapText="0" indent="0" justifyLastLine="0" shrinkToFit="0" readingOrder="0"/>
    </dxf>
    <dxf>
      <numFmt numFmtId="34" formatCode="_(&quot;$&quot;* #,##0.00_);_(&quot;$&quot;* \(#,##0.00\);_(&quot;$&quot;* &quot;-&quot;??_);_(@_)"/>
      <alignment horizontal="center" vertical="center" textRotation="0" wrapText="0" indent="0" justifyLastLine="0" shrinkToFit="0" readingOrder="0"/>
    </dxf>
    <dxf>
      <numFmt numFmtId="34" formatCode="_(&quot;$&quot;* #,##0.00_);_(&quot;$&quot;* \(#,##0.00\);_(&quot;$&quot;* &quot;-&quot;??_);_(@_)"/>
      <alignment horizontal="center" vertical="center" textRotation="0" wrapText="0" indent="0" justifyLastLine="0" shrinkToFit="0" readingOrder="0"/>
    </dxf>
    <dxf>
      <numFmt numFmtId="34" formatCode="_(&quot;$&quot;* #,##0.00_);_(&quot;$&quot;* \(#,##0.00\);_(&quot;$&quot;* &quot;-&quot;??_);_(@_)"/>
      <alignment horizontal="center" vertical="center" textRotation="0" wrapText="0" indent="0" justifyLastLine="0" shrinkToFit="0" readingOrder="0"/>
    </dxf>
    <dxf>
      <numFmt numFmtId="0" formatCode="General"/>
      <alignment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vertical="center" textRotation="0" indent="0" justifyLastLine="0" shrinkToFit="0" readingOrder="0"/>
    </dxf>
    <dxf>
      <numFmt numFmtId="21" formatCode="d\-mmm"/>
      <alignment horizontal="left" vertical="center" textRotation="0" indent="0" justifyLastLine="0" shrinkToFit="0" readingOrder="0"/>
    </dxf>
    <dxf>
      <numFmt numFmtId="21" formatCode="d\-mmm"/>
      <alignment horizontal="center" vertical="center" textRotation="0" wrapText="0" indent="0" justifyLastLine="0" shrinkToFit="0" readingOrder="0"/>
    </dxf>
    <dxf>
      <numFmt numFmtId="21" formatCode="d\-mmm"/>
      <alignment horizontal="center" vertical="center" textRotation="0" wrapText="0" indent="0" justifyLastLine="0" shrinkToFit="0" readingOrder="0"/>
    </dxf>
    <dxf>
      <alignment vertical="center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bgColor theme="0"/>
        </patternFill>
      </fill>
    </dxf>
    <dxf>
      <border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top style="thin">
          <color auto="1"/>
        </top>
        <vertical/>
        <horizontal/>
      </border>
    </dxf>
    <dxf>
      <font>
        <color theme="0"/>
      </font>
    </dxf>
    <dxf>
      <font>
        <color theme="0"/>
      </font>
    </dxf>
    <dxf>
      <border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theme="0"/>
        </patternFill>
      </fill>
    </dxf>
    <dxf>
      <border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theme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1"/>
          <bgColor theme="1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34" formatCode="_(&quot;$&quot;* #,##0.00_);_(&quot;$&quot;* \(#,##0.00\);_(&quot;$&quot;* &quot;-&quot;??_);_(@_)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3" formatCode="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3" formatCode="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numFmt numFmtId="13" formatCode="0%"/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Tracker!$AU$1</c:f>
              <c:strCache>
                <c:ptCount val="1"/>
                <c:pt idx="0">
                  <c:v>Money Disc. Buckets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Tracker!$AU$2:$AU$41</c:f>
              <c:strCache>
                <c:ptCount val="40"/>
                <c:pt idx="0">
                  <c:v>-100  to  -95%</c:v>
                </c:pt>
                <c:pt idx="1">
                  <c:v>-95  to  -90%</c:v>
                </c:pt>
                <c:pt idx="2">
                  <c:v>-90  to  -85%</c:v>
                </c:pt>
                <c:pt idx="3">
                  <c:v>-85  to  -80%</c:v>
                </c:pt>
                <c:pt idx="4">
                  <c:v>-80  to  -75%</c:v>
                </c:pt>
                <c:pt idx="5">
                  <c:v>-75  to  -70%</c:v>
                </c:pt>
                <c:pt idx="6">
                  <c:v>-70  to  -65%</c:v>
                </c:pt>
                <c:pt idx="7">
                  <c:v>-65  to  -60%</c:v>
                </c:pt>
                <c:pt idx="8">
                  <c:v>-60  to  -55%</c:v>
                </c:pt>
                <c:pt idx="9">
                  <c:v>-55  to  -50%</c:v>
                </c:pt>
                <c:pt idx="10">
                  <c:v>-50  to  -45%</c:v>
                </c:pt>
                <c:pt idx="11">
                  <c:v>-45  to  -40%</c:v>
                </c:pt>
                <c:pt idx="12">
                  <c:v>-40  to  -35%</c:v>
                </c:pt>
                <c:pt idx="13">
                  <c:v>-35  to  -30%</c:v>
                </c:pt>
                <c:pt idx="14">
                  <c:v>-30  to  -25%</c:v>
                </c:pt>
                <c:pt idx="15">
                  <c:v>-25  to  -20%</c:v>
                </c:pt>
                <c:pt idx="16">
                  <c:v>-20  to  -15%</c:v>
                </c:pt>
                <c:pt idx="17">
                  <c:v>-15  to  -10%</c:v>
                </c:pt>
                <c:pt idx="18">
                  <c:v>-10  to  -5%</c:v>
                </c:pt>
                <c:pt idx="19">
                  <c:v>-5  to  0%</c:v>
                </c:pt>
                <c:pt idx="20">
                  <c:v>0  to  5%</c:v>
                </c:pt>
                <c:pt idx="21">
                  <c:v>5  to  10%</c:v>
                </c:pt>
                <c:pt idx="22">
                  <c:v>10  to  15%</c:v>
                </c:pt>
                <c:pt idx="23">
                  <c:v>15  to  20%</c:v>
                </c:pt>
                <c:pt idx="24">
                  <c:v>20  to  25%</c:v>
                </c:pt>
                <c:pt idx="25">
                  <c:v>25  to  30%</c:v>
                </c:pt>
                <c:pt idx="26">
                  <c:v>30  to  35%</c:v>
                </c:pt>
                <c:pt idx="27">
                  <c:v>35  to  40%</c:v>
                </c:pt>
                <c:pt idx="28">
                  <c:v>40  to  45%</c:v>
                </c:pt>
                <c:pt idx="29">
                  <c:v>45  to  50%</c:v>
                </c:pt>
                <c:pt idx="30">
                  <c:v>50  to  55%</c:v>
                </c:pt>
                <c:pt idx="31">
                  <c:v>55  to  60%</c:v>
                </c:pt>
                <c:pt idx="32">
                  <c:v>60  to  65%</c:v>
                </c:pt>
                <c:pt idx="33">
                  <c:v>65  to  70%</c:v>
                </c:pt>
                <c:pt idx="34">
                  <c:v>70  to  75%</c:v>
                </c:pt>
                <c:pt idx="35">
                  <c:v>75  to  80%</c:v>
                </c:pt>
                <c:pt idx="36">
                  <c:v>80  to  85%</c:v>
                </c:pt>
                <c:pt idx="37">
                  <c:v>85  to  90%</c:v>
                </c:pt>
                <c:pt idx="38">
                  <c:v>90  to  95%</c:v>
                </c:pt>
                <c:pt idx="39">
                  <c:v>95  to  100%</c:v>
                </c:pt>
              </c:strCache>
            </c:strRef>
          </c:cat>
          <c:val>
            <c:numRef>
              <c:f>Tracker!$AW$2:$AW$41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-1</c:v>
                </c:pt>
                <c:pt idx="10">
                  <c:v>0</c:v>
                </c:pt>
                <c:pt idx="11">
                  <c:v>0</c:v>
                </c:pt>
                <c:pt idx="12">
                  <c:v>-1.0909090909090908</c:v>
                </c:pt>
                <c:pt idx="13">
                  <c:v>-5.1818181818181817</c:v>
                </c:pt>
                <c:pt idx="14">
                  <c:v>-1</c:v>
                </c:pt>
                <c:pt idx="15">
                  <c:v>1.4545454545454544</c:v>
                </c:pt>
                <c:pt idx="16">
                  <c:v>4.2727272727272725</c:v>
                </c:pt>
                <c:pt idx="17">
                  <c:v>1.9999999999999996</c:v>
                </c:pt>
                <c:pt idx="18">
                  <c:v>-3.0909090909090899</c:v>
                </c:pt>
                <c:pt idx="19">
                  <c:v>4.9090909090909092</c:v>
                </c:pt>
                <c:pt idx="20">
                  <c:v>-0.81818181818181823</c:v>
                </c:pt>
                <c:pt idx="21">
                  <c:v>-3.2727272727272725</c:v>
                </c:pt>
                <c:pt idx="22">
                  <c:v>-2.3636363636363638</c:v>
                </c:pt>
                <c:pt idx="23">
                  <c:v>-3.4545454545454541</c:v>
                </c:pt>
                <c:pt idx="24">
                  <c:v>-4.2727272727272725</c:v>
                </c:pt>
                <c:pt idx="25">
                  <c:v>-0.18181818181818177</c:v>
                </c:pt>
                <c:pt idx="26">
                  <c:v>-1.2727272727272725</c:v>
                </c:pt>
                <c:pt idx="27">
                  <c:v>2.5454545454545454</c:v>
                </c:pt>
                <c:pt idx="28">
                  <c:v>0.72727272727272707</c:v>
                </c:pt>
                <c:pt idx="29">
                  <c:v>-9.0909090909090939E-2</c:v>
                </c:pt>
                <c:pt idx="30">
                  <c:v>0</c:v>
                </c:pt>
                <c:pt idx="31">
                  <c:v>0.90909090909090906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FB-4135-8DFA-5EF928F9F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566352"/>
        <c:axId val="606568976"/>
      </c:barChart>
      <c:catAx>
        <c:axId val="60656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568976"/>
        <c:crosses val="autoZero"/>
        <c:auto val="1"/>
        <c:lblAlgn val="ctr"/>
        <c:lblOffset val="100"/>
        <c:noMultiLvlLbl val="0"/>
      </c:catAx>
      <c:valAx>
        <c:axId val="60656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566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Tracker!$BH$1</c:f>
              <c:strCache>
                <c:ptCount val="1"/>
                <c:pt idx="0">
                  <c:v>Money 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Tracker!$BH$2:$BH$21</c:f>
              <c:strCache>
                <c:ptCount val="20"/>
                <c:pt idx="0">
                  <c:v>0  to  5%</c:v>
                </c:pt>
                <c:pt idx="1">
                  <c:v>5  to  10%</c:v>
                </c:pt>
                <c:pt idx="2">
                  <c:v>10  to  15%</c:v>
                </c:pt>
                <c:pt idx="3">
                  <c:v>15  to  20%</c:v>
                </c:pt>
                <c:pt idx="4">
                  <c:v>20  to  25%</c:v>
                </c:pt>
                <c:pt idx="5">
                  <c:v>25  to  30%</c:v>
                </c:pt>
                <c:pt idx="6">
                  <c:v>30  to  35%</c:v>
                </c:pt>
                <c:pt idx="7">
                  <c:v>35  to  40%</c:v>
                </c:pt>
                <c:pt idx="8">
                  <c:v>40  to  45%</c:v>
                </c:pt>
                <c:pt idx="9">
                  <c:v>45  to  50%</c:v>
                </c:pt>
                <c:pt idx="10">
                  <c:v>50  to  55%</c:v>
                </c:pt>
                <c:pt idx="11">
                  <c:v>55  to  60%</c:v>
                </c:pt>
                <c:pt idx="12">
                  <c:v>60  to  65%</c:v>
                </c:pt>
                <c:pt idx="13">
                  <c:v>65  to  70%</c:v>
                </c:pt>
                <c:pt idx="14">
                  <c:v>70  to  75%</c:v>
                </c:pt>
                <c:pt idx="15">
                  <c:v>75  to  80%</c:v>
                </c:pt>
                <c:pt idx="16">
                  <c:v>80  to  85%</c:v>
                </c:pt>
                <c:pt idx="17">
                  <c:v>85  to  90%</c:v>
                </c:pt>
                <c:pt idx="18">
                  <c:v>90  to  95%</c:v>
                </c:pt>
                <c:pt idx="19">
                  <c:v>95  to  100%</c:v>
                </c:pt>
              </c:strCache>
            </c:strRef>
          </c:cat>
          <c:val>
            <c:numRef>
              <c:f>Tracker!$BJ$2:$BJ$21</c:f>
              <c:numCache>
                <c:formatCode>General</c:formatCode>
                <c:ptCount val="20"/>
                <c:pt idx="0">
                  <c:v>-1.0909090909090908</c:v>
                </c:pt>
                <c:pt idx="1">
                  <c:v>-4.2727272727272725</c:v>
                </c:pt>
                <c:pt idx="2">
                  <c:v>-1.1818181818181817</c:v>
                </c:pt>
                <c:pt idx="3">
                  <c:v>3.4545454545454546</c:v>
                </c:pt>
                <c:pt idx="4">
                  <c:v>0.45454545454545436</c:v>
                </c:pt>
                <c:pt idx="5">
                  <c:v>0.36363636363636354</c:v>
                </c:pt>
                <c:pt idx="6">
                  <c:v>-0.2727272727272726</c:v>
                </c:pt>
                <c:pt idx="7">
                  <c:v>-1.545454545454545</c:v>
                </c:pt>
                <c:pt idx="8">
                  <c:v>5.4545454545454541</c:v>
                </c:pt>
                <c:pt idx="9">
                  <c:v>0.63636363636363646</c:v>
                </c:pt>
                <c:pt idx="10">
                  <c:v>-5.3636363636363633</c:v>
                </c:pt>
                <c:pt idx="11">
                  <c:v>-2.3636363636363633</c:v>
                </c:pt>
                <c:pt idx="12">
                  <c:v>2.3636363636363638</c:v>
                </c:pt>
                <c:pt idx="13">
                  <c:v>-2.4545454545454541</c:v>
                </c:pt>
                <c:pt idx="14">
                  <c:v>-2.3636363636363638</c:v>
                </c:pt>
                <c:pt idx="15">
                  <c:v>-1.3636363636363633</c:v>
                </c:pt>
                <c:pt idx="16">
                  <c:v>4.4545454545454541</c:v>
                </c:pt>
                <c:pt idx="17">
                  <c:v>-7.2727272727272725</c:v>
                </c:pt>
                <c:pt idx="18">
                  <c:v>0.45454545454545459</c:v>
                </c:pt>
                <c:pt idx="19">
                  <c:v>1.6363636363636362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DA-45C9-A837-E56E4BCBD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563400"/>
        <c:axId val="606564384"/>
      </c:barChart>
      <c:catAx>
        <c:axId val="606563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564384"/>
        <c:crosses val="autoZero"/>
        <c:auto val="1"/>
        <c:lblAlgn val="ctr"/>
        <c:lblOffset val="100"/>
        <c:noMultiLvlLbl val="0"/>
      </c:catAx>
      <c:valAx>
        <c:axId val="60656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563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Tracker!$BU$1</c:f>
              <c:strCache>
                <c:ptCount val="1"/>
                <c:pt idx="0">
                  <c:v>Bet 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Tracker!$BU$2:$BU$21</c:f>
              <c:strCache>
                <c:ptCount val="20"/>
                <c:pt idx="0">
                  <c:v>0  to  5%</c:v>
                </c:pt>
                <c:pt idx="1">
                  <c:v>5  to  10%</c:v>
                </c:pt>
                <c:pt idx="2">
                  <c:v>10  to  15%</c:v>
                </c:pt>
                <c:pt idx="3">
                  <c:v>15  to  20%</c:v>
                </c:pt>
                <c:pt idx="4">
                  <c:v>20  to  25%</c:v>
                </c:pt>
                <c:pt idx="5">
                  <c:v>25  to  30%</c:v>
                </c:pt>
                <c:pt idx="6">
                  <c:v>30  to  35%</c:v>
                </c:pt>
                <c:pt idx="7">
                  <c:v>35  to  40%</c:v>
                </c:pt>
                <c:pt idx="8">
                  <c:v>40  to  45%</c:v>
                </c:pt>
                <c:pt idx="9">
                  <c:v>45  to  50%</c:v>
                </c:pt>
                <c:pt idx="10">
                  <c:v>50  to  55%</c:v>
                </c:pt>
                <c:pt idx="11">
                  <c:v>55  to  60%</c:v>
                </c:pt>
                <c:pt idx="12">
                  <c:v>60  to  65%</c:v>
                </c:pt>
                <c:pt idx="13">
                  <c:v>65  to  70%</c:v>
                </c:pt>
                <c:pt idx="14">
                  <c:v>70  to  75%</c:v>
                </c:pt>
                <c:pt idx="15">
                  <c:v>75  to  80%</c:v>
                </c:pt>
                <c:pt idx="16">
                  <c:v>80  to  85%</c:v>
                </c:pt>
                <c:pt idx="17">
                  <c:v>85  to  90%</c:v>
                </c:pt>
                <c:pt idx="18">
                  <c:v>90  to  95%</c:v>
                </c:pt>
                <c:pt idx="19">
                  <c:v>95  to  100%</c:v>
                </c:pt>
              </c:strCache>
            </c:strRef>
          </c:cat>
          <c:val>
            <c:numRef>
              <c:f>Tracker!$BW$2:$BW$21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-1.0909090909090908</c:v>
                </c:pt>
                <c:pt idx="3">
                  <c:v>0.72727272727272718</c:v>
                </c:pt>
                <c:pt idx="4">
                  <c:v>-1.3636363636363638</c:v>
                </c:pt>
                <c:pt idx="5">
                  <c:v>-1.3636363636363633</c:v>
                </c:pt>
                <c:pt idx="6">
                  <c:v>1.1818181818181817</c:v>
                </c:pt>
                <c:pt idx="7">
                  <c:v>-2.6363636363636358</c:v>
                </c:pt>
                <c:pt idx="8">
                  <c:v>-9.0909090909090495E-2</c:v>
                </c:pt>
                <c:pt idx="9">
                  <c:v>4.0909090909090908</c:v>
                </c:pt>
                <c:pt idx="10">
                  <c:v>2.0000000000000004</c:v>
                </c:pt>
                <c:pt idx="11">
                  <c:v>-1.545454545454545</c:v>
                </c:pt>
                <c:pt idx="12">
                  <c:v>-2.545454545454545</c:v>
                </c:pt>
                <c:pt idx="13">
                  <c:v>-1.3636363636363633</c:v>
                </c:pt>
                <c:pt idx="14">
                  <c:v>-5.1818181818181817</c:v>
                </c:pt>
                <c:pt idx="15">
                  <c:v>1.3636363636363638</c:v>
                </c:pt>
                <c:pt idx="16">
                  <c:v>-1.2727272727272725</c:v>
                </c:pt>
                <c:pt idx="17">
                  <c:v>-1.2727272727272729</c:v>
                </c:pt>
                <c:pt idx="18">
                  <c:v>-9.0909090909090939E-2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1A-4DB1-96EA-E818A2432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565368"/>
        <c:axId val="606569632"/>
      </c:barChart>
      <c:catAx>
        <c:axId val="606565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569632"/>
        <c:crosses val="autoZero"/>
        <c:auto val="1"/>
        <c:lblAlgn val="ctr"/>
        <c:lblOffset val="100"/>
        <c:noMultiLvlLbl val="0"/>
      </c:catAx>
      <c:valAx>
        <c:axId val="60656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565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0</xdr:row>
      <xdr:rowOff>142875</xdr:rowOff>
    </xdr:from>
    <xdr:to>
      <xdr:col>14</xdr:col>
      <xdr:colOff>523875</xdr:colOff>
      <xdr:row>27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</xdr:row>
      <xdr:rowOff>0</xdr:rowOff>
    </xdr:from>
    <xdr:to>
      <xdr:col>23</xdr:col>
      <xdr:colOff>304800</xdr:colOff>
      <xdr:row>15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19050</xdr:colOff>
      <xdr:row>17</xdr:row>
      <xdr:rowOff>9525</xdr:rowOff>
    </xdr:from>
    <xdr:to>
      <xdr:col>23</xdr:col>
      <xdr:colOff>323850</xdr:colOff>
      <xdr:row>31</xdr:row>
      <xdr:rowOff>85725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ExternalData_1" connectionId="11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Team" tableColumnId="6"/>
      <queryTableField id="2" name="Over Record" tableColumnId="7"/>
      <queryTableField id="3" name="Over %" tableColumnId="8"/>
      <queryTableField id="4" name="Under %" tableColumnId="9"/>
      <queryTableField id="5" name="Total +/-" tableColumnId="10"/>
    </queryTableFields>
  </queryTableRefresh>
</queryTable>
</file>

<file path=xl/queryTables/queryTable2.xml><?xml version="1.0" encoding="utf-8"?>
<queryTable xmlns="http://schemas.openxmlformats.org/spreadsheetml/2006/main" name="ExternalData_2" connectionId="19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Team" tableColumnId="6"/>
      <queryTableField id="2" name="Over Record" tableColumnId="7"/>
      <queryTableField id="3" name="Over %" tableColumnId="8"/>
      <queryTableField id="4" name="Under %" tableColumnId="9"/>
      <queryTableField id="5" name="Total +/-" tableColumnId="10"/>
    </queryTableFields>
  </queryTableRefresh>
</queryTable>
</file>

<file path=xl/queryTables/queryTable3.xml><?xml version="1.0" encoding="utf-8"?>
<queryTable xmlns="http://schemas.openxmlformats.org/spreadsheetml/2006/main" name="ExternalData_3" connectionId="10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Team" tableColumnId="6"/>
      <queryTableField id="2" name="ATS Record" tableColumnId="7"/>
      <queryTableField id="3" name="Cover %" tableColumnId="8"/>
      <queryTableField id="4" name="MOV" tableColumnId="9"/>
      <queryTableField id="5" name="ATS +/-" tableColumnId="10"/>
    </queryTableFields>
  </queryTableRefresh>
</queryTable>
</file>

<file path=xl/queryTables/queryTable4.xml><?xml version="1.0" encoding="utf-8"?>
<queryTable xmlns="http://schemas.openxmlformats.org/spreadsheetml/2006/main" name="ExternalData_4" connectionId="9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Team" tableColumnId="6"/>
      <queryTableField id="2" name="ATS Record" tableColumnId="7"/>
      <queryTableField id="3" name="Cover %" tableColumnId="8"/>
      <queryTableField id="4" name="MOV" tableColumnId="9"/>
      <queryTableField id="5" name="ATS +/-" tableColumnId="10"/>
    </queryTableFields>
  </queryTableRefresh>
</queryTable>
</file>

<file path=xl/queryTables/queryTable5.xml><?xml version="1.0" encoding="utf-8"?>
<queryTable xmlns="http://schemas.openxmlformats.org/spreadsheetml/2006/main" name="ExternalData_5" connectionId="18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Team" tableColumnId="6"/>
      <queryTableField id="2" name="ATS Record" tableColumnId="7"/>
      <queryTableField id="3" name="Cover %" tableColumnId="8"/>
      <queryTableField id="4" name="MOV" tableColumnId="9"/>
      <queryTableField id="5" name="ATS +/-" tableColumnId="10"/>
    </queryTableFields>
  </queryTableRefresh>
</queryTable>
</file>

<file path=xl/queryTables/queryTable6.xml><?xml version="1.0" encoding="utf-8"?>
<queryTable xmlns="http://schemas.openxmlformats.org/spreadsheetml/2006/main" name="ExternalData_6" connectionId="17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Team" tableColumnId="6"/>
      <queryTableField id="2" name="ATS Record" tableColumnId="7"/>
      <queryTableField id="3" name="Cover %" tableColumnId="8"/>
      <queryTableField id="4" name="MOV" tableColumnId="9"/>
      <queryTableField id="5" name="ATS +/-" tableColumnId="10"/>
    </queryTableFields>
  </queryTableRefresh>
</queryTable>
</file>

<file path=xl/queryTables/queryTable7.xml><?xml version="1.0" encoding="utf-8"?>
<queryTable xmlns="http://schemas.openxmlformats.org/spreadsheetml/2006/main" name="ExternalData_1" backgroundRefresh="0" connectionId="1" autoFormatId="16" applyNumberFormats="0" applyBorderFormats="0" applyFontFormats="0" applyPatternFormats="0" applyAlignmentFormats="0" applyWidthHeightFormats="0">
  <queryTableRefresh preserveSortFilterLayout="0" nextId="26">
    <queryTableFields count="25">
      <queryTableField id="1" name="Rk" tableColumnId="1"/>
      <queryTableField id="2" name="Team" tableColumnId="2"/>
      <queryTableField id="3" name="G" tableColumnId="3"/>
      <queryTableField id="4" name="MP" tableColumnId="4"/>
      <queryTableField id="5" name="FG" tableColumnId="5"/>
      <queryTableField id="6" name="FGA" tableColumnId="6"/>
      <queryTableField id="7" name="FG%" tableColumnId="7"/>
      <queryTableField id="8" name="3P" tableColumnId="8"/>
      <queryTableField id="9" name="3PA" tableColumnId="9"/>
      <queryTableField id="10" name="3P%" tableColumnId="10"/>
      <queryTableField id="11" name="2P" tableColumnId="11"/>
      <queryTableField id="12" name="2PA" tableColumnId="12"/>
      <queryTableField id="13" name="2P%" tableColumnId="13"/>
      <queryTableField id="14" name="FT" tableColumnId="14"/>
      <queryTableField id="15" name="FTA" tableColumnId="15"/>
      <queryTableField id="16" name="FT%" tableColumnId="16"/>
      <queryTableField id="17" name="ORB" tableColumnId="17"/>
      <queryTableField id="18" name="DRB" tableColumnId="18"/>
      <queryTableField id="19" name="TRB" tableColumnId="19"/>
      <queryTableField id="20" name="AST" tableColumnId="20"/>
      <queryTableField id="21" name="STL" tableColumnId="21"/>
      <queryTableField id="22" name="BLK" tableColumnId="22"/>
      <queryTableField id="23" name="TOV" tableColumnId="23"/>
      <queryTableField id="24" name="PF" tableColumnId="24"/>
      <queryTableField id="25" name="PTS" tableColumnId="25"/>
    </queryTableFields>
  </queryTableRefresh>
  <extLst>
    <ext xmlns:x15="http://schemas.microsoft.com/office/spreadsheetml/2010/11/main" uri="{883FBD77-0823-4a55-B5E3-86C4891E6966}">
      <x15:queryTable sourceDataName="Query - Team Per 100 Poss Stats Table"/>
    </ext>
  </extLst>
</queryTable>
</file>

<file path=xl/queryTables/queryTable8.xml><?xml version="1.0" encoding="utf-8"?>
<queryTable xmlns="http://schemas.openxmlformats.org/spreadsheetml/2006/main" name="ExternalData_1" backgroundRefresh="0" connectionId="2" autoFormatId="16" applyNumberFormats="0" applyBorderFormats="0" applyFontFormats="0" applyPatternFormats="0" applyAlignmentFormats="0" applyWidthHeightFormats="0">
  <queryTableRefresh preserveSortFilterLayout="0" nextId="26">
    <queryTableFields count="25">
      <queryTableField id="1" name="Rk" tableColumnId="26"/>
      <queryTableField id="2" name="Team" tableColumnId="27"/>
      <queryTableField id="3" name="G" tableColumnId="28"/>
      <queryTableField id="4" name="MP" tableColumnId="29"/>
      <queryTableField id="5" name="FG" tableColumnId="30"/>
      <queryTableField id="6" name="FGA" tableColumnId="31"/>
      <queryTableField id="7" name="FG%" tableColumnId="32"/>
      <queryTableField id="8" name="3P" tableColumnId="33"/>
      <queryTableField id="9" name="3PA" tableColumnId="34"/>
      <queryTableField id="10" name="3P%" tableColumnId="35"/>
      <queryTableField id="11" name="2P" tableColumnId="36"/>
      <queryTableField id="12" name="2PA" tableColumnId="37"/>
      <queryTableField id="13" name="2P%" tableColumnId="38"/>
      <queryTableField id="14" name="FT" tableColumnId="39"/>
      <queryTableField id="15" name="FTA" tableColumnId="40"/>
      <queryTableField id="16" name="FT%" tableColumnId="41"/>
      <queryTableField id="17" name="ORB" tableColumnId="42"/>
      <queryTableField id="18" name="DRB" tableColumnId="43"/>
      <queryTableField id="19" name="TRB" tableColumnId="44"/>
      <queryTableField id="20" name="AST" tableColumnId="45"/>
      <queryTableField id="21" name="STL" tableColumnId="46"/>
      <queryTableField id="22" name="BLK" tableColumnId="47"/>
      <queryTableField id="23" name="TOV" tableColumnId="48"/>
      <queryTableField id="24" name="PF" tableColumnId="49"/>
      <queryTableField id="25" name="PTS" tableColumnId="50"/>
    </queryTableFields>
  </queryTableRefresh>
  <extLst>
    <ext xmlns:x15="http://schemas.microsoft.com/office/spreadsheetml/2010/11/main" uri="{883FBD77-0823-4a55-B5E3-86C4891E6966}">
      <x15:queryTable sourceDataName="Query - Opponent Per 100 Poss Stats Table"/>
    </ext>
  </extLst>
</queryTable>
</file>

<file path=xl/queryTables/queryTable9.xml><?xml version="1.0" encoding="utf-8"?>
<queryTable xmlns="http://schemas.openxmlformats.org/spreadsheetml/2006/main" name="ExternalData_1" backgroundRefresh="0" connectionId="3" autoFormatId="16" applyNumberFormats="0" applyBorderFormats="0" applyFontFormats="0" applyPatternFormats="0" applyAlignmentFormats="0" applyWidthHeightFormats="0">
  <queryTableRefresh preserveSortFilterLayout="0" nextId="29">
    <queryTableFields count="28">
      <queryTableField id="1" name="Rk" tableColumnId="29"/>
      <queryTableField id="2" name="Team" tableColumnId="30"/>
      <queryTableField id="3" name="Age" tableColumnId="31"/>
      <queryTableField id="4" name="W" tableColumnId="32"/>
      <queryTableField id="5" name="L" tableColumnId="33"/>
      <queryTableField id="6" name="PW" tableColumnId="34"/>
      <queryTableField id="7" name="PL" tableColumnId="35"/>
      <queryTableField id="8" name="MOV" tableColumnId="36"/>
      <queryTableField id="9" name="SOS" tableColumnId="37"/>
      <queryTableField id="10" name="SRS" tableColumnId="38"/>
      <queryTableField id="11" name="ORtg" tableColumnId="39"/>
      <queryTableField id="12" name="DRtg" tableColumnId="40"/>
      <queryTableField id="13" name="NRtg" tableColumnId="41"/>
      <queryTableField id="14" name="Pace" tableColumnId="42"/>
      <queryTableField id="15" name="FTr" tableColumnId="43"/>
      <queryTableField id="16" name="3PAr" tableColumnId="44"/>
      <queryTableField id="17" name="TS%" tableColumnId="45"/>
      <queryTableField id="18" name="Offense Four Factors eFG%" tableColumnId="46"/>
      <queryTableField id="19" name="Offense Four Factors TOV%" tableColumnId="47"/>
      <queryTableField id="20" name="Offense Four Factors ORB%" tableColumnId="48"/>
      <queryTableField id="21" name="Offense Four Factors FT/FGA" tableColumnId="49"/>
      <queryTableField id="22" name="Defense Four Factors eFG%" tableColumnId="50"/>
      <queryTableField id="23" name="Defense Four Factors TOV%" tableColumnId="51"/>
      <queryTableField id="24" name="Defense Four Factors DRB%" tableColumnId="52"/>
      <queryTableField id="25" name="Defense Four Factors FT/FGA" tableColumnId="53"/>
      <queryTableField id="26" name="Arena" tableColumnId="54"/>
      <queryTableField id="27" name="Attend." tableColumnId="55"/>
      <queryTableField id="28" name="Attend./G" tableColumnId="56"/>
    </queryTableFields>
  </queryTableRefresh>
  <extLst>
    <ext xmlns:x15="http://schemas.microsoft.com/office/spreadsheetml/2010/11/main" uri="{883FBD77-0823-4a55-B5E3-86C4891E6966}">
      <x15:queryTable sourceDataName="Query - Miscellaneous Stats Table"/>
    </ext>
  </extLst>
</queryTable>
</file>

<file path=xl/queryTables/queryTable10.xml><?xml version="1.0" encoding="utf-8"?>
<queryTable xmlns="http://schemas.openxmlformats.org/spreadsheetml/2006/main" name="ExternalData_1" connectionId="4" autoFormatId="0" applyNumberFormats="0" applyBorderFormats="0" applyFontFormats="1" applyPatternFormats="1" applyAlignmentFormats="0" applyWidthHeightFormats="0">
  <queryTableRefresh preserveSortFilterLayout="0" nextId="31" unboundColumnsRight="1">
    <queryTableFields count="30">
      <queryTableField id="1" name="Rk" tableColumnId="1"/>
      <queryTableField id="2" name="Player" tableColumnId="2"/>
      <queryTableField id="3" name="Pos" tableColumnId="3"/>
      <queryTableField id="4" name="Age" tableColumnId="4"/>
      <queryTableField id="5" name="Tm" tableColumnId="5"/>
      <queryTableField id="6" name="G" tableColumnId="6"/>
      <queryTableField id="7" name="MP" tableColumnId="7"/>
      <queryTableField id="8" name="PER" tableColumnId="8"/>
      <queryTableField id="9" name="TS%" tableColumnId="9"/>
      <queryTableField id="10" name="3PAr" tableColumnId="10"/>
      <queryTableField id="11" name="FTr" tableColumnId="11"/>
      <queryTableField id="12" name="ORB%" tableColumnId="12"/>
      <queryTableField id="13" name="DRB%" tableColumnId="13"/>
      <queryTableField id="14" name="TRB%" tableColumnId="14"/>
      <queryTableField id="15" name="AST%" tableColumnId="15"/>
      <queryTableField id="16" name="STL%" tableColumnId="16"/>
      <queryTableField id="17" name="BLK%" tableColumnId="17"/>
      <queryTableField id="18" name="TOV%" tableColumnId="18"/>
      <queryTableField id="19" name="USG%" tableColumnId="19"/>
      <queryTableField id="20" name="Column1" tableColumnId="20"/>
      <queryTableField id="21" name="OWS" tableColumnId="21"/>
      <queryTableField id="22" name="DWS" tableColumnId="22"/>
      <queryTableField id="23" name="WS" tableColumnId="23"/>
      <queryTableField id="24" name="WS/48" tableColumnId="24"/>
      <queryTableField id="25" name="2" tableColumnId="25"/>
      <queryTableField id="26" name="OBPM" tableColumnId="26"/>
      <queryTableField id="27" name="DBPM" tableColumnId="27"/>
      <queryTableField id="28" name="BPM" tableColumnId="28"/>
      <queryTableField id="29" name="VORP" tableColumnId="29"/>
      <queryTableField id="30" dataBound="0" tableColumnId="30"/>
    </queryTableFields>
  </queryTableRefresh>
</queryTable>
</file>

<file path=xl/queryTables/queryTable11.xml><?xml version="1.0" encoding="utf-8"?>
<queryTable xmlns="http://schemas.openxmlformats.org/spreadsheetml/2006/main" name="ExternalData_1" connectionId="5" autoFormatId="0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Date" tableColumnId="1"/>
      <queryTableField id="2" name="Start (ET)" tableColumnId="2"/>
      <queryTableField id="3" name="Visitor/Neutral" tableColumnId="3"/>
      <queryTableField id="4" name="PTS" tableColumnId="4"/>
      <queryTableField id="5" name="Home/Neutral" tableColumnId="5"/>
      <queryTableField id="6" name="PTS2" tableColumnId="6"/>
      <queryTableField id="7" name="Column1" tableColumnId="7"/>
      <queryTableField id="8" name="2" tableColumnId="8"/>
      <queryTableField id="9" name="Attend." tableColumnId="9"/>
      <queryTableField id="10" name="Notes" tableColumnId="10"/>
    </queryTableFields>
  </queryTableRefresh>
</queryTable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id="9" name="Table" displayName="Table" ref="B9:Y21" totalsRowShown="0" headerRowDxfId="245" dataDxfId="243" headerRowBorderDxfId="244" tableBorderDxfId="242" totalsRowBorderDxfId="241">
  <autoFilter ref="B9:Y21"/>
  <sortState ref="B5:R277">
    <sortCondition ref="H4:H277"/>
  </sortState>
  <tableColumns count="24">
    <tableColumn id="1" name="Game" dataDxfId="240"/>
    <tableColumn id="2" name="Bet" dataDxfId="239"/>
    <tableColumn id="3" name="Confidence" dataDxfId="238" dataCellStyle="Percent"/>
    <tableColumn id="11" name="Combo Bet" dataDxfId="237" dataCellStyle="Percent">
      <calculatedColumnFormula>IFERROR(IF(Table[[#This Row],[Trend Bet]]=Table[[#This Row],[Confidence Bet]],Table[[#This Row],[Confidence Bet]],"--"),"")</calculatedColumnFormula>
    </tableColumn>
    <tableColumn id="7" name="Confidence Bet" dataDxfId="236">
      <calculatedColumnFormula>IFERROR(IF(INDEX($AA$10:$AI$20,MATCH(Table[[#This Row],[Range]],$AA$10:$AA$20,0),MATCH(Table[[#This Row],[Type]],$AA$10:$AI$10,0))="X",Table[[#This Row],[Bet]],IF(INDEX($AA$10:$AI$20,MATCH(Table[[#This Row],[Range]],$AA$10:$AA$20,0),MATCH(Table[[#This Row],[Type]],$AA$10:$AI$10,0))="O",Table[[#This Row],[Counterbet]],"--")),"")</calculatedColumnFormula>
    </tableColumn>
    <tableColumn id="12" name="Trend Bet" dataDxfId="235">
      <calculatedColumnFormula>IFERROR(IF(INDEX($AA$24:$AI$44,MATCH(Table[[#This Row],[Trend Range]],$AA$24:$AA$44,0),MATCH(Table[[#This Row],[Type]],$AA$24:$AI$24,0))="X",Table[[#This Row],[Bet]],IF(INDEX($AA$24:$AI$44,MATCH(Table[[#This Row],[Trend Range]],$AA$24:$AA$44,0),MATCH(Table[[#This Row],[Type]],$AA$24:$AI$24,0))="O",Table[[#This Row],[Counterbet]],"--")),"")</calculatedColumnFormula>
    </tableColumn>
    <tableColumn id="14" name="Trend Based Cover %" dataDxfId="234" dataCellStyle="Percent">
      <calculatedColumnFormula>IFERROR(IF(OR(Table[[#This Row],[Type]]="O",Table[[#This Row],[Type]]="U"),AVERAGE(INDEX(Analysis[],MATCH(Table[[#This Row],[Home]],Analysis[Nickname],0),MATCH("H"&amp;Table[Type],Analysis[#Headers],0)),INDEX(Analysis[],MATCH(Table[[#This Row],[Away]],Analysis[Nickname],0),MATCH("R"&amp;Table[Type],Analysis[#Headers],0))),AVERAGE(INDEX(Analysis[],MATCH(Table[[#This Row],[Bet Team]],Analysis[Nickname],0),MATCH(Table[[#This Row],[Type]],Analysis[#Headers],0)),1-INDEX(Analysis[],MATCH(IF(Table[[#This Row],[Bet Team]]=Table[[#This Row],[Home]],Table[[#This Row],[Away]],Table[[#This Row],[Home]]),Analysis[Nickname],0),MATCH(IF(Table[[#This Row],[Type]]="RD","HF",IF(Table[[#This Row],[Type]]="RF","HD",IF(Table[[#This Row],[Type]]="HD","RF","RD"))),Analysis[#Headers],0)))),"")</calculatedColumnFormula>
    </tableColumn>
    <tableColumn id="20" name="Bet %" dataDxfId="233" dataCellStyle="Percent"/>
    <tableColumn id="21" name="Money %" dataDxfId="232" dataCellStyle="Percent"/>
    <tableColumn id="16" name="MvB Disc." dataDxfId="231">
      <calculatedColumnFormula>IFERROR(IF(Table[[#This Row],[M - B]]&gt;0,ROUNDDOWN(Table[[#This Row],[M - B]]*20,0)*5&amp;"-"&amp;ROUNDDOWN(Table[[#This Row],[M - B]]*20,0)*5+5&amp;"%",ROUNDUP(Table[[#This Row],[M - B]]*20,0)*5&amp;"-"&amp;ROUNDUP(Table[[#This Row],[M - B]]*20,0)*5+5&amp;"%"),"n/a")</calculatedColumnFormula>
    </tableColumn>
    <tableColumn id="8" name="Result" dataDxfId="230" dataCellStyle="Percent"/>
    <tableColumn id="4" name="Odds" dataDxfId="229"/>
    <tableColumn id="5" name="Range" dataDxfId="228">
      <calculatedColumnFormula>IF(ISBLANK(Table[[#This Row],[Confidence]]),"",IFERROR(ROUNDDOWN(Table[[#This Row],[Confidence]]*20,0)*5&amp;"-"&amp;ROUNDDOWN(Table[[#This Row],[Confidence]]*20,0)*5+Tracker!$AB$23*100&amp;"%","n/a"))</calculatedColumnFormula>
    </tableColumn>
    <tableColumn id="15" name="Trend Range" dataDxfId="227">
      <calculatedColumnFormula>IF(ISBLANK(Table[[#This Row],[Trend Based Cover %]]),"",IFERROR(ROUNDDOWN(Table[[#This Row],[Trend Based Cover %]]*20,0)*5&amp;"-"&amp;ROUNDDOWN(Table[[#This Row],[Trend Based Cover %]]*20,0)*5+Tracker!$AB$23*100&amp;"%","n/a"))</calculatedColumnFormula>
    </tableColumn>
    <tableColumn id="22" name="Combo Result" dataDxfId="226">
      <calculatedColumnFormula>IF(Table[[#This Row],[Combo Bet]]="--","--",IF(Table[[#This Row],[Combo Bet]]=Table[[#This Row],[Bet]],Table[[#This Row],[Result]],IF(Table[[#This Row],[Result]]="W","L","W")))</calculatedColumnFormula>
    </tableColumn>
    <tableColumn id="23" name="Conf Result" dataDxfId="225">
      <calculatedColumnFormula>IF(Table[[#This Row],[Confidence Bet]]="--","--",IF(Table[[#This Row],[Confidence Bet]]=Table[[#This Row],[Bet]],Table[[#This Row],[Result]],IF(Table[[#This Row],[Result]]="W","L","W")))</calculatedColumnFormula>
    </tableColumn>
    <tableColumn id="24" name="Trend Result" dataDxfId="224">
      <calculatedColumnFormula>IF(Table[[#This Row],[Trend Bet]]="--","--",IF(Table[[#This Row],[Trend Bet]]=Table[[#This Row],[Bet]],Table[[#This Row],[Result]],IF(Table[[#This Row],[Result]]="W","L","W")))</calculatedColumnFormula>
    </tableColumn>
    <tableColumn id="19" name="Counterbet" dataDxfId="223">
      <calculatedColumnFormula>IF(Table[[#This Row],[Type]]="U","Over "&amp;Table[[#This Row],[Line]],IF(Table[[#This Row],[Type]]="O","Under "&amp;Table[[#This Row],[Line]],IF(Table[[#This Row],[Type]]="RD",Table[[#This Row],[Home]]&amp;" -"&amp;Table[[#This Row],[Line]],IF(Table[[#This Row],[Type]]="RF",Table[[#This Row],[Home]]&amp;" +"&amp;-1*Table[[#This Row],[Line]],IF(Table[[#This Row],[Type]]="HD",Table[[#This Row],[Away]]&amp;" -"&amp;Table[[#This Row],[Line]],IF(Table[[#This Row],[Type]]="HF",Table[[#This Row],[Away]]&amp;" +"&amp;-1*Table[[#This Row],[Line]],""))))))</calculatedColumnFormula>
    </tableColumn>
    <tableColumn id="18" name="Line" dataDxfId="222">
      <calculatedColumnFormula>_xlfn.NUMBERVALUE(IF(Table[[#This Row],[Type]]="O",MID(Table[[#This Row],[Bet]],6,LEN(Table[[#This Row],[Bet]])),IF(Table[[#This Row],[Type]]="U",MID(Table[[#This Row],[Bet]],7,LEN(Table[[#This Row],[Bet]])),IF(ISNUMBER(SEARCH("+",Table[[#This Row],[Bet]])),RIGHT(Table[[#This Row],[Bet]],LEN(Table[[#This Row],[Bet]])-SEARCH("+",Table[[#This Row],[Bet]])),IF(ISNUMBER(SEARCH(" -",Table[[#This Row],[Bet]])),RIGHT(Table[[#This Row],[Bet]],LEN(Table[[#This Row],[Bet]])-SEARCH(" -",Table[[#This Row],[Bet]])+1),"Hold")))))</calculatedColumnFormula>
    </tableColumn>
    <tableColumn id="10" name="Home" dataDxfId="221">
      <calculatedColumnFormula>IFERROR(MID(Table[[#This Row],[Game]],SEARCH("@",Table[[#This Row],[Game]])+2,LEN(Table[[#This Row],[Game]])),"")</calculatedColumnFormula>
    </tableColumn>
    <tableColumn id="9" name="Away" dataDxfId="220">
      <calculatedColumnFormula>IFERROR(LEFT(Table[[#This Row],[Game]],SEARCH("@",Table[[#This Row],[Game]])-2),"")</calculatedColumnFormula>
    </tableColumn>
    <tableColumn id="13" name="Bet Team" dataDxfId="219">
      <calculatedColumnFormula>IF(OR(Table[[#This Row],[Type]]="O",Table[[#This Row],[Type]]="U"),"--",IF(ISNUMBER(SEARCH(Table[[#This Row],[Home]],Table[[#This Row],[Bet]])),Table[[#This Row],[Home]],Table[[#This Row],[Away]]))</calculatedColumnFormula>
    </tableColumn>
    <tableColumn id="6" name="Type" dataDxfId="218">
      <calculatedColumnFormula>IF(ISNUMBER(SEARCH(CHAR(10),Table[[#This Row],[Bet]])),"P",IF(ISNUMBER(FIND("Under",Table[[#This Row],[Bet]])),"U",IF(ISNUMBER(SEARCH("Over",Table[[#This Row],[Bet]])),"O",IF(ISNUMBER(SEARCH("+",Table[[#This Row],[Bet]])),IF(ISNUMBER(SEARCH(Table[[#This Row],[Away]],Table[[#This Row],[Bet]])),"RD","HD"),IF(ISNUMBER(SEARCH("-",Table[[#This Row],[Bet]])),IF(ISNUMBER(SEARCH(Table[[#This Row],[Away]],Table[[#This Row],[Bet]])),"RF","HF"),IF(ISNUMBER(SEARCH("Moneyline",Table[[#This Row],[Bet]])),IF(Table[[#This Row],[Odds]]&lt;0,"MF","MD"),""))))))</calculatedColumnFormula>
    </tableColumn>
    <tableColumn id="17" name="M - B" dataDxfId="217">
      <calculatedColumnFormula>Table[[#This Row],[Money %]]-Table[[#This Row],[Bet %]]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3" name="Analysis" displayName="Analysis" ref="AK9:AU39" totalsRowShown="0" headerRowDxfId="216" dataDxfId="215" tableBorderDxfId="214" dataCellStyle="Percent">
  <autoFilter ref="AK9:AU39"/>
  <sortState ref="AK10:AU39">
    <sortCondition descending="1" ref="AN9:AN39"/>
  </sortState>
  <tableColumns count="11">
    <tableColumn id="1" name="Full Team" dataDxfId="213"/>
    <tableColumn id="11" name="City" dataDxfId="212"/>
    <tableColumn id="2" name="Nickname" dataDxfId="211"/>
    <tableColumn id="3" name="HU" dataDxfId="210" dataCellStyle="Percent">
      <calculatedColumnFormula>INDEX(HomeOU[],MATCH(Analysis[[#This Row],[City]],HomeOU[Team],0),4)</calculatedColumnFormula>
    </tableColumn>
    <tableColumn id="4" name="HO" dataDxfId="209" dataCellStyle="Percent">
      <calculatedColumnFormula>INDEX(HomeOU[],MATCH(Analysis[[#This Row],[City]],HomeOU[Team],0),3)</calculatedColumnFormula>
    </tableColumn>
    <tableColumn id="5" name="RU" dataDxfId="208" dataCellStyle="Percent">
      <calculatedColumnFormula>INDEX(RoadOU[],MATCH(Analysis[[#This Row],[City]],RoadOU[Team],0),4)</calculatedColumnFormula>
    </tableColumn>
    <tableColumn id="6" name="RO" dataDxfId="207" dataCellStyle="Percent">
      <calculatedColumnFormula>INDEX(RoadOU[],MATCH(Analysis[[#This Row],[City]],RoadOU[Team],0),3)</calculatedColumnFormula>
    </tableColumn>
    <tableColumn id="7" name="HF" dataDxfId="206" dataCellStyle="Percent">
      <calculatedColumnFormula>INDEX(HFATS[],MATCH(Analysis[[#This Row],[City]],HFATS[Team],0),3)</calculatedColumnFormula>
    </tableColumn>
    <tableColumn id="8" name="HD" dataDxfId="205" dataCellStyle="Percent">
      <calculatedColumnFormula>INDEX(HDATS[],MATCH(Analysis[[#This Row],[City]],HDATS[Team],0),3)</calculatedColumnFormula>
    </tableColumn>
    <tableColumn id="9" name="RF" dataDxfId="204" dataCellStyle="Percent">
      <calculatedColumnFormula>INDEX(RFATS[],MATCH(Analysis[[#This Row],[City]],RFATS[Team],0),3)</calculatedColumnFormula>
    </tableColumn>
    <tableColumn id="10" name="RD" dataDxfId="203" dataCellStyle="Percent">
      <calculatedColumnFormula>INDEX(RDATS[],MATCH(Analysis[[#This Row],[City]],RDATS[Team],0),3)</calculatedColumnFormula>
    </tableColumn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id="7" name="Tracker" displayName="Tracker" ref="B3:R558" totalsRowShown="0" headerRowDxfId="183" dataDxfId="182">
  <autoFilter ref="B3:R558"/>
  <sortState ref="B4:K196">
    <sortCondition ref="B3:B196"/>
  </sortState>
  <tableColumns count="17">
    <tableColumn id="1" name="Date" dataDxfId="181"/>
    <tableColumn id="8" name="Sport" dataDxfId="180">
      <calculatedColumnFormula>"NBA"</calculatedColumnFormula>
    </tableColumn>
    <tableColumn id="2" name="Game" dataDxfId="179"/>
    <tableColumn id="3" name="Bet" dataDxfId="178"/>
    <tableColumn id="5" name="Confidence" dataDxfId="177" dataCellStyle="Percent"/>
    <tableColumn id="4" name="Odds" dataDxfId="176" dataCellStyle="Currency"/>
    <tableColumn id="6" name="Result" dataDxfId="175"/>
    <tableColumn id="7" name="Net" dataDxfId="174" dataCellStyle="Currency">
      <calculatedColumnFormula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calculatedColumnFormula>
    </tableColumn>
    <tableColumn id="9" name="Bet Type" dataDxfId="173">
      <calculatedColumnFormula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calculatedColumnFormula>
    </tableColumn>
    <tableColumn id="12" name="Home" dataDxfId="172">
      <calculatedColumnFormula>MID(Tracker[[#This Row],[Game]],SEARCH("@",Tracker[[#This Row],[Game]])+2,LEN(Tracker[[#This Row],[Game]]))</calculatedColumnFormula>
    </tableColumn>
    <tableColumn id="11" name="Away" dataDxfId="171">
      <calculatedColumnFormula>LEFT(Tracker[[#This Row],[Game]],SEARCH("@",Tracker[[#This Row],[Game]])-2)</calculatedColumnFormula>
    </tableColumn>
    <tableColumn id="10" name="Bet Type Drill Down" dataDxfId="170">
      <calculatedColumnFormula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calculatedColumnFormula>
    </tableColumn>
    <tableColumn id="13" name="Cover %" dataDxfId="169" dataCellStyle="Percent"/>
    <tableColumn id="14" name="Bet %" dataDxfId="168" dataCellStyle="Percent"/>
    <tableColumn id="15" name="Money %" dataDxfId="167" dataCellStyle="Percent"/>
    <tableColumn id="16" name="Bet-Money Discrepency Bucket" dataDxfId="166" dataCellStyle="Percent">
      <calculatedColumnFormula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calculatedColumnFormula>
    </tableColumn>
    <tableColumn id="17" name="Money Discrepency" dataDxfId="165">
      <calculatedColumnFormula>IF(AND(Tracker[[#This Row],[Money %]]&lt;&gt;"",Tracker[[#This Row],[Bet %]]&lt;&gt;""),Tracker[[#This Row],[Money %]]-Tracker[[#This Row],[Bet %]],NA())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6" name="OLook" displayName="OLook" ref="B2:AA32" totalsRowShown="0">
  <autoFilter ref="B2:AA32"/>
  <tableColumns count="26">
    <tableColumn id="1" name="Full Tm"/>
    <tableColumn id="2" name="Team"/>
    <tableColumn id="3" name="Pts" dataDxfId="161">
      <calculatedColumnFormula>INDEX(Misc[],MATCH($B3,Misc[Team],0),MATCH("ORTG",Misc[#Headers],0))</calculatedColumnFormula>
    </tableColumn>
    <tableColumn id="4" name="G">
      <calculatedColumnFormula>INDEX(Offense[],MATCH($B3,Offense[Team],0),MATCH(E$2,Offense[#Headers],0))</calculatedColumnFormula>
    </tableColumn>
    <tableColumn id="5" name="MP">
      <calculatedColumnFormula>INDEX(Offense[],MATCH($B3,Offense[Team],0),MATCH(F$2,Offense[#Headers],0))</calculatedColumnFormula>
    </tableColumn>
    <tableColumn id="7" name="FGA">
      <calculatedColumnFormula>INDEX(Offense[],MATCH($B3,Offense[Team],0),MATCH(G$2,Offense[#Headers],0))</calculatedColumnFormula>
    </tableColumn>
    <tableColumn id="8" name="FG%">
      <calculatedColumnFormula>INDEX(Offense[],MATCH($B3,Offense[Team],0),MATCH(H$2,Offense[#Headers],0))</calculatedColumnFormula>
    </tableColumn>
    <tableColumn id="10" name="3PA">
      <calculatedColumnFormula>INDEX(Offense[],MATCH($B3,Offense[Team],0),MATCH(I$2,Offense[#Headers],0))</calculatedColumnFormula>
    </tableColumn>
    <tableColumn id="11" name="3P%">
      <calculatedColumnFormula>INDEX(Offense[],MATCH($B3,Offense[Team],0),MATCH(J$2,Offense[#Headers],0))</calculatedColumnFormula>
    </tableColumn>
    <tableColumn id="16" name="FTA">
      <calculatedColumnFormula>INDEX(Offense[],MATCH($B3,Offense[Team],0),MATCH(K$2,Offense[#Headers],0))</calculatedColumnFormula>
    </tableColumn>
    <tableColumn id="17" name="FT%">
      <calculatedColumnFormula>INDEX(Offense[],MATCH($B3,Offense[Team],0),MATCH(L$2,Offense[#Headers],0))</calculatedColumnFormula>
    </tableColumn>
    <tableColumn id="18" name="ORB">
      <calculatedColumnFormula>INDEX(Offense[],MATCH($B3,Offense[Team],0),MATCH(M$2,Offense[#Headers],0))</calculatedColumnFormula>
    </tableColumn>
    <tableColumn id="19" name="DRB">
      <calculatedColumnFormula>INDEX(Offense[],MATCH($B3,Offense[Team],0),MATCH(N$2,Offense[#Headers],0))</calculatedColumnFormula>
    </tableColumn>
    <tableColumn id="21" name="AST">
      <calculatedColumnFormula>INDEX(Offense[],MATCH($B3,Offense[Team],0),MATCH(O$2,Offense[#Headers],0))</calculatedColumnFormula>
    </tableColumn>
    <tableColumn id="22" name="STL">
      <calculatedColumnFormula>INDEX(Offense[],MATCH($B3,Offense[Team],0),MATCH(P$2,Offense[#Headers],0))</calculatedColumnFormula>
    </tableColumn>
    <tableColumn id="23" name="BLK">
      <calculatedColumnFormula>INDEX(Offense[],MATCH($B3,Offense[Team],0),MATCH(Q$2,Offense[#Headers],0))</calculatedColumnFormula>
    </tableColumn>
    <tableColumn id="24" name="TOV">
      <calculatedColumnFormula>INDEX(Offense[],MATCH($B3,Offense[Team],0),MATCH(R$2,Offense[#Headers],0))</calculatedColumnFormula>
    </tableColumn>
    <tableColumn id="25" name="PF">
      <calculatedColumnFormula>INDEX(Offense[],MATCH($B3,Offense[Team],0),MATCH(S$2,Offense[#Headers],0))</calculatedColumnFormula>
    </tableColumn>
    <tableColumn id="27" name="Offense Four Factors eFG%" dataDxfId="160">
      <calculatedColumnFormula>INDEX(Misc[],MATCH($B3,Misc[Team],0),MATCH(T$2,Misc[#Headers],0))</calculatedColumnFormula>
    </tableColumn>
    <tableColumn id="28" name="Offense Four Factors TOV%" dataDxfId="159">
      <calculatedColumnFormula>INDEX(Misc[],MATCH($B3,Misc[Team],0),MATCH(U$2,Misc[#Headers],0))</calculatedColumnFormula>
    </tableColumn>
    <tableColumn id="29" name="Offense Four Factors ORB%" dataDxfId="158">
      <calculatedColumnFormula>INDEX(Misc[],MATCH($B3,Misc[Team],0),MATCH(V$2,Misc[#Headers],0))</calculatedColumnFormula>
    </tableColumn>
    <tableColumn id="30" name="Offense Four Factors FT/FGA" dataDxfId="157">
      <calculatedColumnFormula>INDEX(Misc[],MATCH($B3,Misc[Team],0),MATCH(W$2,Misc[#Headers],0))</calculatedColumnFormula>
    </tableColumn>
    <tableColumn id="31" name="SRS" dataDxfId="156">
      <calculatedColumnFormula>INDEX(Misc[],MATCH($B3,Misc[Team],0),MATCH(X$2,Misc[#Headers],0))</calculatedColumnFormula>
    </tableColumn>
    <tableColumn id="32" name="Pace" dataDxfId="155">
      <calculatedColumnFormula>INDEX(Misc[],MATCH($B3,Misc[Team],0),MATCH(Y$2,Misc[#Headers],0))</calculatedColumnFormula>
    </tableColumn>
    <tableColumn id="33" name="Rank Tier" dataDxfId="154">
      <calculatedColumnFormula>6-ROUND(INDEX(Offense[],MATCH($B3,Offense[Team],0),MATCH("Rk",Offense[#Headers],0))/6,0)</calculatedColumnFormula>
    </tableColumn>
    <tableColumn id="6" name="Pace Tier" dataDxfId="153">
      <calculatedColumnFormula>OLook[[#This Row],[Pace]]-AVERAGE(OLook[Pace])</calculatedColumnFormula>
    </tableColumn>
  </tableColumns>
  <tableStyleInfo name="TableStyleLight14" showFirstColumn="0" showLastColumn="0" showRowStripes="1" showColumnStripes="0"/>
</table>
</file>

<file path=xl/tables/table5.xml><?xml version="1.0" encoding="utf-8"?>
<table xmlns="http://schemas.openxmlformats.org/spreadsheetml/2006/main" id="5" name="DLook" displayName="DLook" ref="B2:X32" totalsRowShown="0">
  <autoFilter ref="B2:X32"/>
  <tableColumns count="23">
    <tableColumn id="1" name="Full Tm"/>
    <tableColumn id="2" name="Team"/>
    <tableColumn id="3" name="Pts" dataDxfId="152">
      <calculatedColumnFormula>INDEX(Misc[],MATCH($B3,Misc[Team],0),MATCH("DRTG",Misc[#Headers],0))</calculatedColumnFormula>
    </tableColumn>
    <tableColumn id="4" name="G">
      <calculatedColumnFormula>INDEX(Defense[],MATCH($B3,Defense[Team],0),MATCH(E$2,Defense[#Headers],0))</calculatedColumnFormula>
    </tableColumn>
    <tableColumn id="5" name="MP">
      <calculatedColumnFormula>INDEX(Defense[],MATCH($B3,Defense[Team],0),MATCH(F$2,Defense[#Headers],0))</calculatedColumnFormula>
    </tableColumn>
    <tableColumn id="7" name="FGA">
      <calculatedColumnFormula>INDEX(Defense[],MATCH($B3,Defense[Team],0),MATCH(G$2,Defense[#Headers],0))</calculatedColumnFormula>
    </tableColumn>
    <tableColumn id="8" name="FG%">
      <calculatedColumnFormula>INDEX(Defense[],MATCH($B3,Defense[Team],0),MATCH(H$2,Defense[#Headers],0))</calculatedColumnFormula>
    </tableColumn>
    <tableColumn id="10" name="3PA">
      <calculatedColumnFormula>INDEX(Defense[],MATCH($B3,Defense[Team],0),MATCH(I$2,Defense[#Headers],0))</calculatedColumnFormula>
    </tableColumn>
    <tableColumn id="11" name="3P%">
      <calculatedColumnFormula>INDEX(Defense[],MATCH($B3,Defense[Team],0),MATCH(J$2,Defense[#Headers],0))</calculatedColumnFormula>
    </tableColumn>
    <tableColumn id="16" name="FTA">
      <calculatedColumnFormula>INDEX(Defense[],MATCH($B3,Defense[Team],0),MATCH(K$2,Defense[#Headers],0))</calculatedColumnFormula>
    </tableColumn>
    <tableColumn id="17" name="FT%">
      <calculatedColumnFormula>INDEX(Defense[],MATCH($B3,Defense[Team],0),MATCH(L$2,Defense[#Headers],0))</calculatedColumnFormula>
    </tableColumn>
    <tableColumn id="18" name="ORB">
      <calculatedColumnFormula>INDEX(Defense[],MATCH($B3,Defense[Team],0),MATCH(M$2,Defense[#Headers],0))</calculatedColumnFormula>
    </tableColumn>
    <tableColumn id="19" name="DRB">
      <calculatedColumnFormula>INDEX(Defense[],MATCH($B3,Defense[Team],0),MATCH(N$2,Defense[#Headers],0))</calculatedColumnFormula>
    </tableColumn>
    <tableColumn id="21" name="AST">
      <calculatedColumnFormula>INDEX(Defense[],MATCH($B3,Defense[Team],0),MATCH(O$2,Defense[#Headers],0))</calculatedColumnFormula>
    </tableColumn>
    <tableColumn id="22" name="STL">
      <calculatedColumnFormula>INDEX(Defense[],MATCH($B3,Defense[Team],0),MATCH(P$2,Defense[#Headers],0))</calculatedColumnFormula>
    </tableColumn>
    <tableColumn id="23" name="BLK">
      <calculatedColumnFormula>INDEX(Defense[],MATCH($B3,Defense[Team],0),MATCH(Q$2,Defense[#Headers],0))</calculatedColumnFormula>
    </tableColumn>
    <tableColumn id="24" name="TOV">
      <calculatedColumnFormula>INDEX(Defense[],MATCH($B3,Defense[Team],0),MATCH(R$2,Defense[#Headers],0))</calculatedColumnFormula>
    </tableColumn>
    <tableColumn id="25" name="PF">
      <calculatedColumnFormula>INDEX(Defense[],MATCH($B3,Defense[Team],0),MATCH(S$2,Defense[#Headers],0))</calculatedColumnFormula>
    </tableColumn>
    <tableColumn id="27" name="Defense Four Factors eFG%" dataDxfId="151">
      <calculatedColumnFormula>INDEX(Misc[],MATCH($B3,Misc[Team],0),MATCH(T$2,Misc[#Headers],0))</calculatedColumnFormula>
    </tableColumn>
    <tableColumn id="28" name="Defense Four Factors TOV%" dataDxfId="150">
      <calculatedColumnFormula>INDEX(Misc[],MATCH($B3,Misc[Team],0),MATCH(U$2,Misc[#Headers],0))</calculatedColumnFormula>
    </tableColumn>
    <tableColumn id="29" name="Defense Four Factors DRB%" dataDxfId="149">
      <calculatedColumnFormula>INDEX(Misc[],MATCH($B3,Misc[Team],0),MATCH(V$2,Misc[#Headers],0))</calculatedColumnFormula>
    </tableColumn>
    <tableColumn id="30" name="Defense Four Factors FT/FGA" dataDxfId="148">
      <calculatedColumnFormula>INDEX(Misc[],MATCH($B3,Misc[Team],0),MATCH(W$2,Misc[#Headers],0))</calculatedColumnFormula>
    </tableColumn>
    <tableColumn id="31" name="Rank Tier" dataDxfId="147">
      <calculatedColumnFormula>6-ROUND(INDEX(Defense[],MATCH($B3,Defense[Team],0),MATCH("Rk",Defense[#Headers],0))/6,0)</calculatedColumnFormula>
    </tableColumn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14" name="HomeOU" displayName="HomeOU" ref="B2:F32" tableType="queryTable" totalsRowShown="0">
  <autoFilter ref="B2:F32"/>
  <tableColumns count="5">
    <tableColumn id="6" uniqueName="6" name="Team" queryTableFieldId="1" dataDxfId="43"/>
    <tableColumn id="7" uniqueName="7" name="Over Record" queryTableFieldId="2" dataDxfId="42"/>
    <tableColumn id="8" uniqueName="8" name="Over %" queryTableFieldId="3" dataDxfId="41"/>
    <tableColumn id="9" uniqueName="9" name="Under %" queryTableFieldId="4" dataDxfId="40"/>
    <tableColumn id="10" uniqueName="10" name="Total +/-" queryTableFieldId="5" dataDxfId="3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id="15" name="RoadOU" displayName="RoadOU" ref="H2:L32" tableType="queryTable" totalsRowShown="0">
  <autoFilter ref="H2:L32"/>
  <tableColumns count="5">
    <tableColumn id="6" uniqueName="6" name="Team" queryTableFieldId="1" dataDxfId="48"/>
    <tableColumn id="7" uniqueName="7" name="Over Record" queryTableFieldId="2" dataDxfId="47"/>
    <tableColumn id="8" uniqueName="8" name="Over %" queryTableFieldId="3" dataDxfId="46"/>
    <tableColumn id="9" uniqueName="9" name="Under %" queryTableFieldId="4" dataDxfId="45"/>
    <tableColumn id="10" uniqueName="10" name="Total +/-" queryTableFieldId="5" dataDxfId="4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id="16" name="HFATS" displayName="HFATS" ref="N2:R32" tableType="queryTable" totalsRowShown="0">
  <autoFilter ref="N2:R32"/>
  <tableColumns count="5">
    <tableColumn id="6" uniqueName="6" name="Team" queryTableFieldId="1" dataDxfId="53"/>
    <tableColumn id="7" uniqueName="7" name="ATS Record" queryTableFieldId="2" dataDxfId="52"/>
    <tableColumn id="8" uniqueName="8" name="Cover %" queryTableFieldId="3" dataDxfId="51"/>
    <tableColumn id="9" uniqueName="9" name="MOV" queryTableFieldId="4" dataDxfId="50"/>
    <tableColumn id="10" uniqueName="10" name="ATS +/-" queryTableFieldId="5" dataDxfId="49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id="17" name="HDATS" displayName="HDATS" ref="T2:X30" tableType="queryTable" totalsRowShown="0">
  <autoFilter ref="T2:X30"/>
  <tableColumns count="5">
    <tableColumn id="6" uniqueName="6" name="Team" queryTableFieldId="1" dataDxfId="58"/>
    <tableColumn id="7" uniqueName="7" name="ATS Record" queryTableFieldId="2" dataDxfId="57"/>
    <tableColumn id="8" uniqueName="8" name="Cover %" queryTableFieldId="3" dataDxfId="56"/>
    <tableColumn id="9" uniqueName="9" name="MOV" queryTableFieldId="4" dataDxfId="55"/>
    <tableColumn id="10" uniqueName="10" name="ATS +/-" queryTableFieldId="5" dataDxfId="54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id="18" name="RFATS" displayName="RFATS" ref="Z2:AD30" tableType="queryTable" totalsRowShown="0">
  <autoFilter ref="Z2:AD30"/>
  <tableColumns count="5">
    <tableColumn id="6" uniqueName="6" name="Team" queryTableFieldId="1" dataDxfId="63"/>
    <tableColumn id="7" uniqueName="7" name="ATS Record" queryTableFieldId="2" dataDxfId="62"/>
    <tableColumn id="8" uniqueName="8" name="Cover %" queryTableFieldId="3" dataDxfId="61"/>
    <tableColumn id="9" uniqueName="9" name="MOV" queryTableFieldId="4" dataDxfId="60"/>
    <tableColumn id="10" uniqueName="10" name="ATS +/-" queryTableFieldId="5" dataDxfId="59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id="19" name="RDATS" displayName="RDATS" ref="AF2:AJ32" tableType="queryTable" totalsRowShown="0">
  <autoFilter ref="AF2:AJ32"/>
  <tableColumns count="5">
    <tableColumn id="6" uniqueName="6" name="Team" queryTableFieldId="1" dataDxfId="68"/>
    <tableColumn id="7" uniqueName="7" name="ATS Record" queryTableFieldId="2" dataDxfId="67"/>
    <tableColumn id="8" uniqueName="8" name="Cover %" queryTableFieldId="3" dataDxfId="66"/>
    <tableColumn id="9" uniqueName="9" name="MOV" queryTableFieldId="4" dataDxfId="65"/>
    <tableColumn id="10" uniqueName="10" name="ATS +/-" queryTableFieldId="5" dataDxfId="6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id="1" name="Offense" displayName="Offense" ref="A1:Y31" tableType="queryTable" totalsRowShown="0">
  <autoFilter ref="A1:Y31"/>
  <tableColumns count="25">
    <tableColumn id="1" uniqueName="1" name="Rk" queryTableFieldId="1" dataDxfId="146"/>
    <tableColumn id="2" uniqueName="2" name="Team" queryTableFieldId="2" dataDxfId="145"/>
    <tableColumn id="3" uniqueName="3" name="G" queryTableFieldId="3" dataDxfId="144"/>
    <tableColumn id="4" uniqueName="4" name="MP" queryTableFieldId="4" dataDxfId="143"/>
    <tableColumn id="5" uniqueName="5" name="FG" queryTableFieldId="5" dataDxfId="142"/>
    <tableColumn id="6" uniqueName="6" name="FGA" queryTableFieldId="6" dataDxfId="141"/>
    <tableColumn id="7" uniqueName="7" name="FG%" queryTableFieldId="7" dataDxfId="140"/>
    <tableColumn id="8" uniqueName="8" name="3P" queryTableFieldId="8" dataDxfId="139"/>
    <tableColumn id="9" uniqueName="9" name="3PA" queryTableFieldId="9" dataDxfId="138"/>
    <tableColumn id="10" uniqueName="10" name="3P%" queryTableFieldId="10" dataDxfId="137"/>
    <tableColumn id="11" uniqueName="11" name="2P" queryTableFieldId="11" dataDxfId="136"/>
    <tableColumn id="12" uniqueName="12" name="2PA" queryTableFieldId="12" dataDxfId="135"/>
    <tableColumn id="13" uniqueName="13" name="2P%" queryTableFieldId="13" dataDxfId="134"/>
    <tableColumn id="14" uniqueName="14" name="FT" queryTableFieldId="14" dataDxfId="133"/>
    <tableColumn id="15" uniqueName="15" name="FTA" queryTableFieldId="15" dataDxfId="132"/>
    <tableColumn id="16" uniqueName="16" name="FT%" queryTableFieldId="16" dataDxfId="131"/>
    <tableColumn id="17" uniqueName="17" name="ORB" queryTableFieldId="17" dataDxfId="130"/>
    <tableColumn id="18" uniqueName="18" name="DRB" queryTableFieldId="18" dataDxfId="129"/>
    <tableColumn id="19" uniqueName="19" name="TRB" queryTableFieldId="19" dataDxfId="128"/>
    <tableColumn id="20" uniqueName="20" name="AST" queryTableFieldId="20" dataDxfId="127"/>
    <tableColumn id="21" uniqueName="21" name="STL" queryTableFieldId="21" dataDxfId="126"/>
    <tableColumn id="22" uniqueName="22" name="BLK" queryTableFieldId="22" dataDxfId="125"/>
    <tableColumn id="23" uniqueName="23" name="TOV" queryTableFieldId="23" dataDxfId="124"/>
    <tableColumn id="24" uniqueName="24" name="PF" queryTableFieldId="24" dataDxfId="123"/>
    <tableColumn id="25" uniqueName="25" name="PTS" queryTableFieldId="25" dataDxfId="122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id="2" name="Defense" displayName="Defense" ref="A1:Y31" tableType="queryTable" totalsRowShown="0">
  <autoFilter ref="A1:Y31"/>
  <tableColumns count="25">
    <tableColumn id="26" uniqueName="26" name="Rk" queryTableFieldId="1" dataDxfId="121"/>
    <tableColumn id="27" uniqueName="27" name="Team" queryTableFieldId="2" dataDxfId="120"/>
    <tableColumn id="28" uniqueName="28" name="G" queryTableFieldId="3" dataDxfId="119"/>
    <tableColumn id="29" uniqueName="29" name="MP" queryTableFieldId="4" dataDxfId="118"/>
    <tableColumn id="30" uniqueName="30" name="FG" queryTableFieldId="5" dataDxfId="117"/>
    <tableColumn id="31" uniqueName="31" name="FGA" queryTableFieldId="6" dataDxfId="116"/>
    <tableColumn id="32" uniqueName="32" name="FG%" queryTableFieldId="7" dataDxfId="115"/>
    <tableColumn id="33" uniqueName="33" name="3P" queryTableFieldId="8" dataDxfId="114"/>
    <tableColumn id="34" uniqueName="34" name="3PA" queryTableFieldId="9" dataDxfId="113"/>
    <tableColumn id="35" uniqueName="35" name="3P%" queryTableFieldId="10" dataDxfId="112"/>
    <tableColumn id="36" uniqueName="36" name="2P" queryTableFieldId="11" dataDxfId="111"/>
    <tableColumn id="37" uniqueName="37" name="2PA" queryTableFieldId="12" dataDxfId="110"/>
    <tableColumn id="38" uniqueName="38" name="2P%" queryTableFieldId="13" dataDxfId="109"/>
    <tableColumn id="39" uniqueName="39" name="FT" queryTableFieldId="14" dataDxfId="108"/>
    <tableColumn id="40" uniqueName="40" name="FTA" queryTableFieldId="15" dataDxfId="107"/>
    <tableColumn id="41" uniqueName="41" name="FT%" queryTableFieldId="16" dataDxfId="106"/>
    <tableColumn id="42" uniqueName="42" name="ORB" queryTableFieldId="17" dataDxfId="105"/>
    <tableColumn id="43" uniqueName="43" name="DRB" queryTableFieldId="18" dataDxfId="104"/>
    <tableColumn id="44" uniqueName="44" name="TRB" queryTableFieldId="19" dataDxfId="103"/>
    <tableColumn id="45" uniqueName="45" name="AST" queryTableFieldId="20" dataDxfId="102"/>
    <tableColumn id="46" uniqueName="46" name="STL" queryTableFieldId="21" dataDxfId="101"/>
    <tableColumn id="47" uniqueName="47" name="BLK" queryTableFieldId="22" dataDxfId="100"/>
    <tableColumn id="48" uniqueName="48" name="TOV" queryTableFieldId="23" dataDxfId="99"/>
    <tableColumn id="49" uniqueName="49" name="PF" queryTableFieldId="24" dataDxfId="98"/>
    <tableColumn id="50" uniqueName="50" name="PTS" queryTableFieldId="25" dataDxfId="97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id="3" name="Misc" displayName="Misc" ref="A1:AB39" tableType="queryTable" totalsRowShown="0">
  <autoFilter ref="A1:AB39"/>
  <tableColumns count="28">
    <tableColumn id="29" uniqueName="29" name="Rk" queryTableFieldId="1" dataDxfId="96"/>
    <tableColumn id="30" uniqueName="30" name="Team" queryTableFieldId="2" dataDxfId="95"/>
    <tableColumn id="31" uniqueName="31" name="Age" queryTableFieldId="3" dataDxfId="94"/>
    <tableColumn id="32" uniqueName="32" name="W" queryTableFieldId="4" dataDxfId="93"/>
    <tableColumn id="33" uniqueName="33" name="L" queryTableFieldId="5" dataDxfId="92"/>
    <tableColumn id="34" uniqueName="34" name="PW" queryTableFieldId="6" dataDxfId="91"/>
    <tableColumn id="35" uniqueName="35" name="PL" queryTableFieldId="7" dataDxfId="90"/>
    <tableColumn id="36" uniqueName="36" name="MOV" queryTableFieldId="8" dataDxfId="89"/>
    <tableColumn id="37" uniqueName="37" name="SOS" queryTableFieldId="9" dataDxfId="88"/>
    <tableColumn id="38" uniqueName="38" name="SRS" queryTableFieldId="10" dataDxfId="87"/>
    <tableColumn id="39" uniqueName="39" name="ORtg" queryTableFieldId="11" dataDxfId="86"/>
    <tableColumn id="40" uniqueName="40" name="DRtg" queryTableFieldId="12" dataDxfId="85"/>
    <tableColumn id="41" uniqueName="41" name="NRtg" queryTableFieldId="13" dataDxfId="84"/>
    <tableColumn id="42" uniqueName="42" name="Pace" queryTableFieldId="14" dataDxfId="83"/>
    <tableColumn id="43" uniqueName="43" name="FTr" queryTableFieldId="15" dataDxfId="82"/>
    <tableColumn id="44" uniqueName="44" name="3PAr" queryTableFieldId="16" dataDxfId="81"/>
    <tableColumn id="45" uniqueName="45" name="TS%" queryTableFieldId="17" dataDxfId="80"/>
    <tableColumn id="46" uniqueName="46" name="Offense Four Factors eFG%" queryTableFieldId="18" dataDxfId="79"/>
    <tableColumn id="47" uniqueName="47" name="Offense Four Factors TOV%" queryTableFieldId="19" dataDxfId="78"/>
    <tableColumn id="48" uniqueName="48" name="Offense Four Factors ORB%" queryTableFieldId="20" dataDxfId="77"/>
    <tableColumn id="49" uniqueName="49" name="Offense Four Factors FT/FGA" queryTableFieldId="21" dataDxfId="76"/>
    <tableColumn id="50" uniqueName="50" name="Defense Four Factors eFG%" queryTableFieldId="22" dataDxfId="75"/>
    <tableColumn id="51" uniqueName="51" name="Defense Four Factors TOV%" queryTableFieldId="23" dataDxfId="74"/>
    <tableColumn id="52" uniqueName="52" name="Defense Four Factors DRB%" queryTableFieldId="24" dataDxfId="73"/>
    <tableColumn id="53" uniqueName="53" name="Defense Four Factors FT/FGA" queryTableFieldId="25" dataDxfId="72"/>
    <tableColumn id="54" uniqueName="54" name="Arena" queryTableFieldId="26" dataDxfId="71"/>
    <tableColumn id="55" uniqueName="55" name="Attend." queryTableFieldId="27" dataDxfId="70"/>
    <tableColumn id="56" uniqueName="56" name="Attend./G" queryTableFieldId="28" dataDxfId="69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id="4" name="Advanced_Table" displayName="Advanced_Table" ref="A1:AD625" tableType="queryTable" totalsRowShown="0">
  <autoFilter ref="A1:AD625"/>
  <sortState ref="A2:AD448">
    <sortCondition descending="1" ref="AD1:AD448"/>
  </sortState>
  <tableColumns count="30">
    <tableColumn id="1" uniqueName="1" name="Rk" queryTableFieldId="1" dataDxfId="38"/>
    <tableColumn id="2" uniqueName="2" name="Player" queryTableFieldId="2" dataDxfId="37"/>
    <tableColumn id="3" uniqueName="3" name="Pos" queryTableFieldId="3" dataDxfId="36"/>
    <tableColumn id="4" uniqueName="4" name="Age" queryTableFieldId="4" dataDxfId="35"/>
    <tableColumn id="5" uniqueName="5" name="Tm" queryTableFieldId="5" dataDxfId="34"/>
    <tableColumn id="6" uniqueName="6" name="G" queryTableFieldId="6" dataDxfId="33"/>
    <tableColumn id="7" uniqueName="7" name="MP" queryTableFieldId="7" dataDxfId="32"/>
    <tableColumn id="8" uniqueName="8" name="PER" queryTableFieldId="8" dataDxfId="31"/>
    <tableColumn id="9" uniqueName="9" name="TS%" queryTableFieldId="9" dataDxfId="30"/>
    <tableColumn id="10" uniqueName="10" name="3PAr" queryTableFieldId="10" dataDxfId="29"/>
    <tableColumn id="11" uniqueName="11" name="FTr" queryTableFieldId="11" dataDxfId="28"/>
    <tableColumn id="12" uniqueName="12" name="ORB%" queryTableFieldId="12" dataDxfId="27"/>
    <tableColumn id="13" uniqueName="13" name="DRB%" queryTableFieldId="13" dataDxfId="26"/>
    <tableColumn id="14" uniqueName="14" name="TRB%" queryTableFieldId="14" dataDxfId="25"/>
    <tableColumn id="15" uniqueName="15" name="AST%" queryTableFieldId="15" dataDxfId="24"/>
    <tableColumn id="16" uniqueName="16" name="STL%" queryTableFieldId="16" dataDxfId="23"/>
    <tableColumn id="17" uniqueName="17" name="BLK%" queryTableFieldId="17" dataDxfId="22"/>
    <tableColumn id="18" uniqueName="18" name="TOV%" queryTableFieldId="18" dataDxfId="21"/>
    <tableColumn id="19" uniqueName="19" name="USG%" queryTableFieldId="19" dataDxfId="20"/>
    <tableColumn id="20" uniqueName="20" name="Column1" queryTableFieldId="20" dataDxfId="19"/>
    <tableColumn id="21" uniqueName="21" name="OWS" queryTableFieldId="21" dataDxfId="18"/>
    <tableColumn id="22" uniqueName="22" name="DWS" queryTableFieldId="22" dataDxfId="17"/>
    <tableColumn id="23" uniqueName="23" name="WS" queryTableFieldId="23" dataDxfId="16"/>
    <tableColumn id="24" uniqueName="24" name="WS/48" queryTableFieldId="24" dataDxfId="15"/>
    <tableColumn id="25" uniqueName="25" name="2" queryTableFieldId="25" dataDxfId="14"/>
    <tableColumn id="26" uniqueName="26" name="OBPM" queryTableFieldId="26" dataDxfId="13"/>
    <tableColumn id="27" uniqueName="27" name="DBPM" queryTableFieldId="27" dataDxfId="12"/>
    <tableColumn id="28" uniqueName="28" name="BPM" queryTableFieldId="28" dataDxfId="11"/>
    <tableColumn id="29" uniqueName="29" name="VORP" queryTableFieldId="29" dataDxfId="10"/>
    <tableColumn id="30" uniqueName="30" name="Scaled Vorp" queryTableFieldId="30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id="8" name="Append1" displayName="Append1" ref="A1:J1231" tableType="queryTable" totalsRowShown="0">
  <autoFilter ref="A1:J1231"/>
  <tableColumns count="10">
    <tableColumn id="1" uniqueName="1" name="Date" queryTableFieldId="1" dataDxfId="9"/>
    <tableColumn id="2" uniqueName="2" name="Start (ET)" queryTableFieldId="2" dataDxfId="8"/>
    <tableColumn id="3" uniqueName="3" name="Visitor/Neutral" queryTableFieldId="3" dataDxfId="7"/>
    <tableColumn id="4" uniqueName="4" name="PTS" queryTableFieldId="4" dataDxfId="6"/>
    <tableColumn id="5" uniqueName="5" name="Home/Neutral" queryTableFieldId="5" dataDxfId="5"/>
    <tableColumn id="6" uniqueName="6" name="PTS2" queryTableFieldId="6" dataDxfId="4"/>
    <tableColumn id="7" uniqueName="7" name="Column1" queryTableFieldId="7" dataDxfId="3"/>
    <tableColumn id="8" uniqueName="8" name="2" queryTableFieldId="8" dataDxfId="2"/>
    <tableColumn id="9" uniqueName="9" name="Attend." queryTableFieldId="9" dataDxfId="1"/>
    <tableColumn id="10" uniqueName="10" name="Notes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table" Target="../tables/table6.xml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32" sqref="I3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U367"/>
  <sheetViews>
    <sheetView tabSelected="1" workbookViewId="0">
      <selection activeCell="L10" sqref="L10:L21"/>
    </sheetView>
  </sheetViews>
  <sheetFormatPr defaultRowHeight="15" x14ac:dyDescent="0.25"/>
  <cols>
    <col min="2" max="2" width="23.5703125" bestFit="1" customWidth="1"/>
    <col min="3" max="3" width="14" bestFit="1" customWidth="1"/>
    <col min="4" max="4" width="15.7109375" bestFit="1" customWidth="1"/>
    <col min="5" max="5" width="15.28515625" bestFit="1" customWidth="1"/>
    <col min="6" max="6" width="19.28515625" style="95" bestFit="1" customWidth="1"/>
    <col min="7" max="7" width="14.140625" style="95" bestFit="1" customWidth="1"/>
    <col min="8" max="8" width="24.28515625" bestFit="1" customWidth="1"/>
    <col min="9" max="9" width="10.5703125" bestFit="1" customWidth="1"/>
    <col min="10" max="10" width="13.85546875" bestFit="1" customWidth="1"/>
    <col min="11" max="11" width="13.85546875" customWidth="1"/>
    <col min="12" max="12" width="11.140625" bestFit="1" customWidth="1"/>
    <col min="13" max="13" width="10.140625" bestFit="1" customWidth="1"/>
    <col min="14" max="14" width="11" hidden="1" customWidth="1"/>
    <col min="15" max="18" width="16.5703125" hidden="1" customWidth="1"/>
    <col min="19" max="19" width="17.85546875" hidden="1" customWidth="1"/>
    <col min="20" max="20" width="9.28515625" hidden="1" customWidth="1"/>
    <col min="21" max="21" width="13.7109375" hidden="1" customWidth="1"/>
    <col min="22" max="22" width="11.5703125" hidden="1" customWidth="1"/>
    <col min="23" max="23" width="13.85546875" hidden="1" customWidth="1"/>
    <col min="24" max="24" width="9.85546875" hidden="1" customWidth="1"/>
    <col min="25" max="25" width="10.140625" hidden="1" customWidth="1"/>
    <col min="37" max="37" width="23.85546875" bestFit="1" customWidth="1"/>
    <col min="38" max="38" width="23.85546875" customWidth="1"/>
    <col min="39" max="39" width="13.7109375" bestFit="1" customWidth="1"/>
    <col min="40" max="40" width="14.28515625" customWidth="1"/>
    <col min="41" max="41" width="13.140625" customWidth="1"/>
    <col min="42" max="42" width="13.42578125" customWidth="1"/>
    <col min="43" max="43" width="11.5703125" customWidth="1"/>
    <col min="44" max="44" width="10.85546875" bestFit="1" customWidth="1"/>
    <col min="45" max="45" width="11.140625" bestFit="1" customWidth="1"/>
    <col min="46" max="46" width="10.7109375" bestFit="1" customWidth="1"/>
    <col min="47" max="47" width="11" bestFit="1" customWidth="1"/>
  </cols>
  <sheetData>
    <row r="1" spans="2:47" x14ac:dyDescent="0.25">
      <c r="C1" s="168" t="s">
        <v>1536</v>
      </c>
      <c r="D1" s="169"/>
    </row>
    <row r="2" spans="2:47" ht="15.75" thickBot="1" x14ac:dyDescent="0.3">
      <c r="C2" s="138" t="str">
        <f>COUNTIFS(Table[Conf Result],"W",Table[Confidence Bet],"&lt;&gt;"&amp;"--")&amp;"-"&amp;COUNTIFS(Table[Conf Result],"L",Table[Confidence Bet],"&lt;&gt;"&amp;"--")&amp;"-"&amp;COUNTIFS(Table[Conf Result],"Push",Table[Confidence Bet],"&lt;&gt;"&amp;"--")</f>
        <v>6-2-1</v>
      </c>
      <c r="D2" s="139" t="str">
        <f>ROUND(COUNTIFS(Table[Conf Result],"W",Table[Confidence Bet],"&lt;&gt;"&amp;"--")/1.1-COUNTIFS(Table[Conf Result],"L",Table[Confidence Bet],"&lt;&gt;"&amp;"--"),2)&amp;" Units"</f>
        <v>3.45 Units</v>
      </c>
    </row>
    <row r="3" spans="2:47" x14ac:dyDescent="0.25">
      <c r="C3" s="170" t="s">
        <v>1537</v>
      </c>
      <c r="D3" s="171"/>
    </row>
    <row r="4" spans="2:47" ht="15.75" thickBot="1" x14ac:dyDescent="0.3">
      <c r="C4" s="140" t="str">
        <f>COUNTIFS(Table[Trend Result],"W",Table[Trend Bet],"&lt;&gt;"&amp;"--")&amp;"-"&amp;COUNTIFS(Table[Trend Result],"L",Table[Trend Bet],"&lt;&gt;"&amp;"--")&amp;"-"&amp;COUNTIFS(Table[Trend Result],"Push",Table[Trend Bet],"&lt;&gt;"&amp;"--")</f>
        <v>4-2-2</v>
      </c>
      <c r="D4" s="141" t="str">
        <f>ROUND(COUNTIFS(Table[Trend Result],"W",Table[Trend Bet],"&lt;&gt;"&amp;"--")/1.1-COUNTIFS(Table[Trend Result],"L",Table[Trend Bet],"&lt;&gt;"&amp;"--"),2)&amp;" Units"</f>
        <v>1.64 Units</v>
      </c>
    </row>
    <row r="5" spans="2:47" x14ac:dyDescent="0.25">
      <c r="C5" s="172" t="s">
        <v>1538</v>
      </c>
      <c r="D5" s="173"/>
    </row>
    <row r="6" spans="2:47" ht="15.75" thickBot="1" x14ac:dyDescent="0.3">
      <c r="C6" s="142" t="str">
        <f>COUNTIFS(Table[Combo Result],"W",Table[Combo Bet],"&lt;&gt;"&amp;"--")&amp;"-"&amp;COUNTIFS(Table[Combo Result],"L",Table[Combo Bet],"&lt;&gt;"&amp;"--")&amp;"-"&amp;COUNTIFS(Table[Combo Result],"Push",Table[Combo Bet],"&lt;&gt;"&amp;"--")</f>
        <v>4-0-1</v>
      </c>
      <c r="D6" s="143" t="str">
        <f>ROUND(COUNTIFS(Table[Combo Result],"W",Table[Combo Bet],"&lt;&gt;"&amp;"--")/1.1-COUNTIFS(Table[Combo Result],"L",Table[Combo Bet],"&lt;&gt;"&amp;"--"),2)&amp;" Units"</f>
        <v>3.64 Units</v>
      </c>
    </row>
    <row r="8" spans="2:47" x14ac:dyDescent="0.25">
      <c r="AN8" t="s">
        <v>1260</v>
      </c>
      <c r="AO8" t="s">
        <v>1266</v>
      </c>
      <c r="AP8" t="s">
        <v>1261</v>
      </c>
      <c r="AQ8" t="s">
        <v>1267</v>
      </c>
      <c r="AR8" t="s">
        <v>1262</v>
      </c>
      <c r="AS8" t="s">
        <v>1263</v>
      </c>
      <c r="AT8" t="s">
        <v>1264</v>
      </c>
      <c r="AU8" t="s">
        <v>1265</v>
      </c>
    </row>
    <row r="9" spans="2:47" x14ac:dyDescent="0.25">
      <c r="B9" s="96" t="s">
        <v>236</v>
      </c>
      <c r="C9" s="96" t="s">
        <v>237</v>
      </c>
      <c r="D9" s="96" t="s">
        <v>798</v>
      </c>
      <c r="E9" s="96" t="s">
        <v>1493</v>
      </c>
      <c r="F9" s="96" t="s">
        <v>1491</v>
      </c>
      <c r="G9" s="96" t="s">
        <v>1492</v>
      </c>
      <c r="H9" s="96" t="s">
        <v>1327</v>
      </c>
      <c r="I9" s="96" t="s">
        <v>1539</v>
      </c>
      <c r="J9" s="96" t="s">
        <v>1540</v>
      </c>
      <c r="K9" s="96" t="s">
        <v>1887</v>
      </c>
      <c r="L9" s="96" t="s">
        <v>238</v>
      </c>
      <c r="M9" s="96" t="s">
        <v>201</v>
      </c>
      <c r="N9" s="96" t="s">
        <v>1122</v>
      </c>
      <c r="O9" s="96" t="s">
        <v>1494</v>
      </c>
      <c r="P9" s="96" t="s">
        <v>1910</v>
      </c>
      <c r="Q9" s="96" t="s">
        <v>1911</v>
      </c>
      <c r="R9" s="96" t="s">
        <v>1912</v>
      </c>
      <c r="S9" s="96" t="s">
        <v>1601</v>
      </c>
      <c r="T9" s="96" t="s">
        <v>222</v>
      </c>
      <c r="U9" s="96" t="s">
        <v>195</v>
      </c>
      <c r="V9" s="96" t="s">
        <v>196</v>
      </c>
      <c r="W9" s="96" t="s">
        <v>1272</v>
      </c>
      <c r="X9" s="96" t="s">
        <v>243</v>
      </c>
      <c r="Y9" s="96" t="s">
        <v>1831</v>
      </c>
      <c r="AA9" s="163" t="s">
        <v>1600</v>
      </c>
      <c r="AB9" s="164"/>
      <c r="AC9" s="164"/>
      <c r="AD9" s="164"/>
      <c r="AE9" s="164"/>
      <c r="AF9" s="164"/>
      <c r="AG9" s="164"/>
      <c r="AH9" s="164"/>
      <c r="AI9" s="164"/>
      <c r="AK9" s="120" t="s">
        <v>1258</v>
      </c>
      <c r="AL9" s="120" t="s">
        <v>1308</v>
      </c>
      <c r="AM9" s="120" t="s">
        <v>1259</v>
      </c>
      <c r="AN9" s="121" t="s">
        <v>1268</v>
      </c>
      <c r="AO9" s="121" t="s">
        <v>1269</v>
      </c>
      <c r="AP9" s="121" t="s">
        <v>1270</v>
      </c>
      <c r="AQ9" s="121" t="s">
        <v>1271</v>
      </c>
      <c r="AR9" s="121" t="s">
        <v>1209</v>
      </c>
      <c r="AS9" s="121" t="s">
        <v>1207</v>
      </c>
      <c r="AT9" s="121" t="s">
        <v>1208</v>
      </c>
      <c r="AU9" s="121" t="s">
        <v>1206</v>
      </c>
    </row>
    <row r="10" spans="2:47" x14ac:dyDescent="0.25">
      <c r="B10" s="81" t="s">
        <v>2105</v>
      </c>
      <c r="C10" s="82" t="s">
        <v>779</v>
      </c>
      <c r="D10" s="113">
        <v>0.57019539980692935</v>
      </c>
      <c r="E10" s="113" t="str">
        <f>IFERROR(IF(Table[[#This Row],[Trend Bet]]=Table[[#This Row],[Confidence Bet]],Table[[#This Row],[Confidence Bet]],"--"),"")</f>
        <v>--</v>
      </c>
      <c r="F10" s="127" t="str">
        <f>IFERROR(IF(INDEX($AA$10:$AI$20,MATCH(Table[[#This Row],[Range]],$AA$10:$AA$20,0),MATCH(Table[[#This Row],[Type]],$AA$10:$AI$10,0))="X",Table[[#This Row],[Bet]],IF(INDEX($AA$10:$AI$20,MATCH(Table[[#This Row],[Range]],$AA$10:$AA$20,0),MATCH(Table[[#This Row],[Type]],$AA$10:$AI$10,0))="O",Table[[#This Row],[Counterbet]],"--")),"")</f>
        <v>--</v>
      </c>
      <c r="G10" s="137" t="str">
        <f>IFERROR(IF(INDEX($AA$24:$AI$44,MATCH(Table[[#This Row],[Trend Range]],$AA$24:$AA$44,0),MATCH(Table[[#This Row],[Type]],$AA$24:$AI$24,0))="X",Table[[#This Row],[Bet]],IF(INDEX($AA$24:$AI$44,MATCH(Table[[#This Row],[Trend Range]],$AA$24:$AA$44,0),MATCH(Table[[#This Row],[Type]],$AA$24:$AI$24,0))="O",Table[[#This Row],[Counterbet]],"--")),"")</f>
        <v>Jazz +2</v>
      </c>
      <c r="H10" s="114">
        <f>IFERROR(IF(OR(Table[[#This Row],[Type]]="O",Table[[#This Row],[Type]]="U"),AVERAGE(INDEX(Analysis[],MATCH(Table[[#This Row],[Home]],Analysis[Nickname],0),MATCH("H"&amp;Table[Type],Analysis[#Headers],0)),INDEX(Analysis[],MATCH(Table[[#This Row],[Away]],Analysis[Nickname],0),MATCH("R"&amp;Table[Type],Analysis[#Headers],0))),AVERAGE(INDEX(Analysis[],MATCH(Table[[#This Row],[Bet Team]],Analysis[Nickname],0),MATCH(Table[[#This Row],[Type]],Analysis[#Headers],0)),1-INDEX(Analysis[],MATCH(IF(Table[[#This Row],[Bet Team]]=Table[[#This Row],[Home]],Table[[#This Row],[Away]],Table[[#This Row],[Home]]),Analysis[Nickname],0),MATCH(IF(Table[[#This Row],[Type]]="RD","HF",IF(Table[[#This Row],[Type]]="RF","HD",IF(Table[[#This Row],[Type]]="HD","RF","RD"))),Analysis[#Headers],0)))),"")</f>
        <v>0.54149999999999998</v>
      </c>
      <c r="I10" s="137">
        <v>0.41</v>
      </c>
      <c r="J10" s="137">
        <v>0.45</v>
      </c>
      <c r="K10" s="137" t="str">
        <f>IFERROR(IF(Table[[#This Row],[M - B]]&gt;0,ROUNDDOWN(Table[[#This Row],[M - B]]*20,0)*5&amp;"-"&amp;ROUNDDOWN(Table[[#This Row],[M - B]]*20,0)*5+5&amp;"%",ROUNDUP(Table[[#This Row],[M - B]]*20,0)*5&amp;"-"&amp;ROUNDUP(Table[[#This Row],[M - B]]*20,0)*5+5&amp;"%"),"n/a")</f>
        <v>0-5%</v>
      </c>
      <c r="L10" s="129" t="s">
        <v>847</v>
      </c>
      <c r="M10" s="95"/>
      <c r="N10" s="111" t="str">
        <f>IF(ISBLANK(Table[[#This Row],[Confidence]]),"",IFERROR(ROUNDDOWN(Table[[#This Row],[Confidence]]*20,0)*5&amp;"-"&amp;ROUNDDOWN(Table[[#This Row],[Confidence]]*20,0)*5+Tracker!$AB$23*100&amp;"%","n/a"))</f>
        <v>55-60%</v>
      </c>
      <c r="O10" s="111" t="str">
        <f>IF(ISBLANK(Table[[#This Row],[Trend Based Cover %]]),"",IFERROR(ROUNDDOWN(Table[[#This Row],[Trend Based Cover %]]*20,0)*5&amp;"-"&amp;ROUNDDOWN(Table[[#This Row],[Trend Based Cover %]]*20,0)*5+Tracker!$AB$23*100&amp;"%","n/a"))</f>
        <v>50-55%</v>
      </c>
      <c r="P10" s="111" t="str">
        <f>IF(Table[[#This Row],[Combo Bet]]="--","--",IF(Table[[#This Row],[Combo Bet]]=Table[[#This Row],[Bet]],Table[[#This Row],[Result]],IF(Table[[#This Row],[Result]]="W","L","W")))</f>
        <v>--</v>
      </c>
      <c r="Q10" s="111" t="str">
        <f>IF(Table[[#This Row],[Confidence Bet]]="--","--",IF(Table[[#This Row],[Confidence Bet]]=Table[[#This Row],[Bet]],Table[[#This Row],[Result]],IF(Table[[#This Row],[Result]]="W","L","W")))</f>
        <v>--</v>
      </c>
      <c r="R10" s="111" t="str">
        <f>IF(Table[[#This Row],[Trend Bet]]="--","--",IF(Table[[#This Row],[Trend Bet]]=Table[[#This Row],[Bet]],Table[[#This Row],[Result]],IF(Table[[#This Row],[Result]]="W","L","W")))</f>
        <v>Push</v>
      </c>
      <c r="S10" s="111" t="str">
        <f>IF(Table[[#This Row],[Type]]="U","Over "&amp;Table[[#This Row],[Line]],IF(Table[[#This Row],[Type]]="O","Under "&amp;Table[[#This Row],[Line]],IF(Table[[#This Row],[Type]]="RD",Table[[#This Row],[Home]]&amp;" -"&amp;Table[[#This Row],[Line]],IF(Table[[#This Row],[Type]]="RF",Table[[#This Row],[Home]]&amp;" +"&amp;-1*Table[[#This Row],[Line]],IF(Table[[#This Row],[Type]]="HD",Table[[#This Row],[Away]]&amp;" -"&amp;Table[[#This Row],[Line]],IF(Table[[#This Row],[Type]]="HF",Table[[#This Row],[Away]]&amp;" +"&amp;-1*Table[[#This Row],[Line]],""))))))</f>
        <v>Thunder -2</v>
      </c>
      <c r="T10" s="111">
        <f>_xlfn.NUMBERVALUE(IF(Table[[#This Row],[Type]]="O",MID(Table[[#This Row],[Bet]],6,LEN(Table[[#This Row],[Bet]])),IF(Table[[#This Row],[Type]]="U",MID(Table[[#This Row],[Bet]],7,LEN(Table[[#This Row],[Bet]])),IF(ISNUMBER(SEARCH("+",Table[[#This Row],[Bet]])),RIGHT(Table[[#This Row],[Bet]],LEN(Table[[#This Row],[Bet]])-SEARCH("+",Table[[#This Row],[Bet]])),IF(ISNUMBER(SEARCH(" -",Table[[#This Row],[Bet]])),RIGHT(Table[[#This Row],[Bet]],LEN(Table[[#This Row],[Bet]])-SEARCH(" -",Table[[#This Row],[Bet]])+1),"Hold")))))</f>
        <v>2</v>
      </c>
      <c r="U10" s="111" t="str">
        <f>IFERROR(MID(Table[[#This Row],[Game]],SEARCH("@",Table[[#This Row],[Game]])+2,LEN(Table[[#This Row],[Game]])),"")</f>
        <v>Thunder</v>
      </c>
      <c r="V10" s="111" t="str">
        <f>IFERROR(LEFT(Table[[#This Row],[Game]],SEARCH("@",Table[[#This Row],[Game]])-2),"")</f>
        <v>Jazz</v>
      </c>
      <c r="W10" s="111" t="str">
        <f>IF(OR(Table[[#This Row],[Type]]="O",Table[[#This Row],[Type]]="U"),"--",IF(ISNUMBER(SEARCH(Table[[#This Row],[Home]],Table[[#This Row],[Bet]])),Table[[#This Row],[Home]],Table[[#This Row],[Away]]))</f>
        <v>Jazz</v>
      </c>
      <c r="X10" s="112" t="str">
        <f>IF(ISNUMBER(SEARCH(CHAR(10),Table[[#This Row],[Bet]])),"P",IF(ISNUMBER(FIND("Under",Table[[#This Row],[Bet]])),"U",IF(ISNUMBER(SEARCH("Over",Table[[#This Row],[Bet]])),"O",IF(ISNUMBER(SEARCH("+",Table[[#This Row],[Bet]])),IF(ISNUMBER(SEARCH(Table[[#This Row],[Away]],Table[[#This Row],[Bet]])),"RD","HD"),IF(ISNUMBER(SEARCH("-",Table[[#This Row],[Bet]])),IF(ISNUMBER(SEARCH(Table[[#This Row],[Away]],Table[[#This Row],[Bet]])),"RF","HF"),IF(ISNUMBER(SEARCH("Moneyline",Table[[#This Row],[Bet]])),IF(Table[[#This Row],[Odds]]&lt;0,"MF","MD"),""))))))</f>
        <v>RD</v>
      </c>
      <c r="Y10" s="111">
        <f>Table[[#This Row],[Money %]]-Table[[#This Row],[Bet %]]</f>
        <v>4.0000000000000036E-2</v>
      </c>
      <c r="AA10" s="88"/>
      <c r="AB10" s="89" t="str">
        <f>Tracker!AD24</f>
        <v>O</v>
      </c>
      <c r="AC10" s="89" t="str">
        <f>Tracker!AE24</f>
        <v>U</v>
      </c>
      <c r="AD10" s="89" t="str">
        <f>Tracker!AF24</f>
        <v>D</v>
      </c>
      <c r="AE10" s="89" t="str">
        <f>Tracker!AG24</f>
        <v>F</v>
      </c>
      <c r="AF10" s="89" t="str">
        <f>Tracker!AH24</f>
        <v>RD</v>
      </c>
      <c r="AG10" s="89" t="str">
        <f>Tracker!AI24</f>
        <v>HD</v>
      </c>
      <c r="AH10" s="89" t="s">
        <v>1208</v>
      </c>
      <c r="AI10" s="90" t="s">
        <v>1209</v>
      </c>
      <c r="AK10" s="116" t="s">
        <v>53</v>
      </c>
      <c r="AL10" s="116" t="s">
        <v>1307</v>
      </c>
      <c r="AM10" s="116" t="s">
        <v>185</v>
      </c>
      <c r="AN10" s="118">
        <f>INDEX(HomeOU[],MATCH(Analysis[[#This Row],[City]],HomeOU[Team],0),4)</f>
        <v>0.6</v>
      </c>
      <c r="AO10" s="118">
        <f>INDEX(HomeOU[],MATCH(Analysis[[#This Row],[City]],HomeOU[Team],0),3)</f>
        <v>0.4</v>
      </c>
      <c r="AP10" s="118">
        <f>INDEX(RoadOU[],MATCH(Analysis[[#This Row],[City]],RoadOU[Team],0),4)</f>
        <v>0.34399999999999997</v>
      </c>
      <c r="AQ10" s="118">
        <f>INDEX(RoadOU[],MATCH(Analysis[[#This Row],[City]],RoadOU[Team],0),3)</f>
        <v>0.65600000000000003</v>
      </c>
      <c r="AR10" s="118">
        <f>INDEX(HFATS[],MATCH(Analysis[[#This Row],[City]],HFATS[Team],0),3)</f>
        <v>0.47399999999999998</v>
      </c>
      <c r="AS10" s="118">
        <f>INDEX(HDATS[],MATCH(Analysis[[#This Row],[City]],HDATS[Team],0),3)</f>
        <v>0.182</v>
      </c>
      <c r="AT10" s="118">
        <f>INDEX(RFATS[],MATCH(Analysis[[#This Row],[City]],RFATS[Team],0),3)</f>
        <v>0.7</v>
      </c>
      <c r="AU10" s="118">
        <f>INDEX(RDATS[],MATCH(Analysis[[#This Row],[City]],RDATS[Team],0),3)</f>
        <v>0.56499999999999995</v>
      </c>
    </row>
    <row r="11" spans="2:47" x14ac:dyDescent="0.25">
      <c r="B11" s="81" t="s">
        <v>2105</v>
      </c>
      <c r="C11" s="82" t="s">
        <v>1068</v>
      </c>
      <c r="D11" s="113">
        <v>0.54970021066907959</v>
      </c>
      <c r="E11" s="113" t="str">
        <f>IFERROR(IF(Table[[#This Row],[Trend Bet]]=Table[[#This Row],[Confidence Bet]],Table[[#This Row],[Confidence Bet]],"--"),"")</f>
        <v>Over 217.5</v>
      </c>
      <c r="F11" s="132" t="str">
        <f>IFERROR(IF(INDEX($AA$10:$AI$20,MATCH(Table[[#This Row],[Range]],$AA$10:$AA$20,0),MATCH(Table[[#This Row],[Type]],$AA$10:$AI$10,0))="X",Table[[#This Row],[Bet]],IF(INDEX($AA$10:$AI$20,MATCH(Table[[#This Row],[Range]],$AA$10:$AA$20,0),MATCH(Table[[#This Row],[Type]],$AA$10:$AI$10,0))="O",Table[[#This Row],[Counterbet]],"--")),"")</f>
        <v>Over 217.5</v>
      </c>
      <c r="G11" s="137" t="str">
        <f>IFERROR(IF(INDEX($AA$24:$AI$44,MATCH(Table[[#This Row],[Trend Range]],$AA$24:$AA$44,0),MATCH(Table[[#This Row],[Type]],$AA$24:$AI$24,0))="X",Table[[#This Row],[Bet]],IF(INDEX($AA$24:$AI$44,MATCH(Table[[#This Row],[Trend Range]],$AA$24:$AA$44,0),MATCH(Table[[#This Row],[Type]],$AA$24:$AI$24,0))="O",Table[[#This Row],[Counterbet]],"--")),"")</f>
        <v>Over 217.5</v>
      </c>
      <c r="H11" s="114">
        <f>IFERROR(IF(OR(Table[[#This Row],[Type]]="O",Table[[#This Row],[Type]]="U"),AVERAGE(INDEX(Analysis[],MATCH(Table[[#This Row],[Home]],Analysis[Nickname],0),MATCH("H"&amp;Table[Type],Analysis[#Headers],0)),INDEX(Analysis[],MATCH(Table[[#This Row],[Away]],Analysis[Nickname],0),MATCH("R"&amp;Table[Type],Analysis[#Headers],0))),AVERAGE(INDEX(Analysis[],MATCH(Table[[#This Row],[Bet Team]],Analysis[Nickname],0),MATCH(Table[[#This Row],[Type]],Analysis[#Headers],0)),1-INDEX(Analysis[],MATCH(IF(Table[[#This Row],[Bet Team]]=Table[[#This Row],[Home]],Table[[#This Row],[Away]],Table[[#This Row],[Home]]),Analysis[Nickname],0),MATCH(IF(Table[[#This Row],[Type]]="RD","HF",IF(Table[[#This Row],[Type]]="RF","HD",IF(Table[[#This Row],[Type]]="HD","RF","RD"))),Analysis[#Headers],0)))),"")</f>
        <v>0.50750000000000006</v>
      </c>
      <c r="I11" s="137">
        <v>0.49</v>
      </c>
      <c r="J11" s="137">
        <v>7.0000000000000007E-2</v>
      </c>
      <c r="K11" s="137" t="str">
        <f>IFERROR(IF(Table[[#This Row],[M - B]]&gt;0,ROUNDDOWN(Table[[#This Row],[M - B]]*20,0)*5&amp;"-"&amp;ROUNDDOWN(Table[[#This Row],[M - B]]*20,0)*5+5&amp;"%",ROUNDUP(Table[[#This Row],[M - B]]*20,0)*5&amp;"-"&amp;ROUNDUP(Table[[#This Row],[M - B]]*20,0)*5+5&amp;"%"),"n/a")</f>
        <v>-45--40%</v>
      </c>
      <c r="L11" s="131" t="s">
        <v>847</v>
      </c>
      <c r="M11" s="95"/>
      <c r="N11" s="111" t="str">
        <f>IF(ISBLANK(Table[[#This Row],[Confidence]]),"",IFERROR(ROUNDDOWN(Table[[#This Row],[Confidence]]*20,0)*5&amp;"-"&amp;ROUNDDOWN(Table[[#This Row],[Confidence]]*20,0)*5+Tracker!$AB$23*100&amp;"%","n/a"))</f>
        <v>50-55%</v>
      </c>
      <c r="O11" s="111" t="str">
        <f>IF(ISBLANK(Table[[#This Row],[Trend Based Cover %]]),"",IFERROR(ROUNDDOWN(Table[[#This Row],[Trend Based Cover %]]*20,0)*5&amp;"-"&amp;ROUNDDOWN(Table[[#This Row],[Trend Based Cover %]]*20,0)*5+Tracker!$AB$23*100&amp;"%","n/a"))</f>
        <v>50-55%</v>
      </c>
      <c r="P11" s="111" t="str">
        <f>IF(Table[[#This Row],[Combo Bet]]="--","--",IF(Table[[#This Row],[Combo Bet]]=Table[[#This Row],[Bet]],Table[[#This Row],[Result]],IF(Table[[#This Row],[Result]]="W","L","W")))</f>
        <v>Push</v>
      </c>
      <c r="Q11" s="111" t="str">
        <f>IF(Table[[#This Row],[Confidence Bet]]="--","--",IF(Table[[#This Row],[Confidence Bet]]=Table[[#This Row],[Bet]],Table[[#This Row],[Result]],IF(Table[[#This Row],[Result]]="W","L","W")))</f>
        <v>Push</v>
      </c>
      <c r="R11" s="111" t="str">
        <f>IF(Table[[#This Row],[Trend Bet]]="--","--",IF(Table[[#This Row],[Trend Bet]]=Table[[#This Row],[Bet]],Table[[#This Row],[Result]],IF(Table[[#This Row],[Result]]="W","L","W")))</f>
        <v>Push</v>
      </c>
      <c r="S11" s="111" t="str">
        <f>IF(Table[[#This Row],[Type]]="U","Over "&amp;Table[[#This Row],[Line]],IF(Table[[#This Row],[Type]]="O","Under "&amp;Table[[#This Row],[Line]],IF(Table[[#This Row],[Type]]="RD",Table[[#This Row],[Home]]&amp;" -"&amp;Table[[#This Row],[Line]],IF(Table[[#This Row],[Type]]="RF",Table[[#This Row],[Home]]&amp;" +"&amp;-1*Table[[#This Row],[Line]],IF(Table[[#This Row],[Type]]="HD",Table[[#This Row],[Away]]&amp;" -"&amp;Table[[#This Row],[Line]],IF(Table[[#This Row],[Type]]="HF",Table[[#This Row],[Away]]&amp;" +"&amp;-1*Table[[#This Row],[Line]],""))))))</f>
        <v>Under 217.5</v>
      </c>
      <c r="T11" s="111">
        <f>_xlfn.NUMBERVALUE(IF(Table[[#This Row],[Type]]="O",MID(Table[[#This Row],[Bet]],6,LEN(Table[[#This Row],[Bet]])),IF(Table[[#This Row],[Type]]="U",MID(Table[[#This Row],[Bet]],7,LEN(Table[[#This Row],[Bet]])),IF(ISNUMBER(SEARCH("+",Table[[#This Row],[Bet]])),RIGHT(Table[[#This Row],[Bet]],LEN(Table[[#This Row],[Bet]])-SEARCH("+",Table[[#This Row],[Bet]])),IF(ISNUMBER(SEARCH(" -",Table[[#This Row],[Bet]])),RIGHT(Table[[#This Row],[Bet]],LEN(Table[[#This Row],[Bet]])-SEARCH(" -",Table[[#This Row],[Bet]])+1),"Hold")))))</f>
        <v>217.5</v>
      </c>
      <c r="U11" s="111" t="str">
        <f>IFERROR(MID(Table[[#This Row],[Game]],SEARCH("@",Table[[#This Row],[Game]])+2,LEN(Table[[#This Row],[Game]])),"")</f>
        <v>Thunder</v>
      </c>
      <c r="V11" s="111" t="str">
        <f>IFERROR(LEFT(Table[[#This Row],[Game]],SEARCH("@",Table[[#This Row],[Game]])-2),"")</f>
        <v>Jazz</v>
      </c>
      <c r="W11" s="111" t="str">
        <f>IF(OR(Table[[#This Row],[Type]]="O",Table[[#This Row],[Type]]="U"),"--",IF(ISNUMBER(SEARCH(Table[[#This Row],[Home]],Table[[#This Row],[Bet]])),Table[[#This Row],[Home]],Table[[#This Row],[Away]]))</f>
        <v>--</v>
      </c>
      <c r="X11" s="112" t="str">
        <f>IF(ISNUMBER(SEARCH(CHAR(10),Table[[#This Row],[Bet]])),"P",IF(ISNUMBER(FIND("Under",Table[[#This Row],[Bet]])),"U",IF(ISNUMBER(SEARCH("Over",Table[[#This Row],[Bet]])),"O",IF(ISNUMBER(SEARCH("+",Table[[#This Row],[Bet]])),IF(ISNUMBER(SEARCH(Table[[#This Row],[Away]],Table[[#This Row],[Bet]])),"RD","HD"),IF(ISNUMBER(SEARCH("-",Table[[#This Row],[Bet]])),IF(ISNUMBER(SEARCH(Table[[#This Row],[Away]],Table[[#This Row],[Bet]])),"RF","HF"),IF(ISNUMBER(SEARCH("Moneyline",Table[[#This Row],[Bet]])),IF(Table[[#This Row],[Odds]]&lt;0,"MF","MD"),""))))))</f>
        <v>O</v>
      </c>
      <c r="Y11" s="111">
        <f>Table[[#This Row],[Money %]]-Table[[#This Row],[Bet %]]</f>
        <v>-0.42</v>
      </c>
      <c r="AA11" s="88" t="str">
        <f>Tracker!AA25</f>
        <v>50-55%</v>
      </c>
      <c r="AB11" s="101" t="str">
        <f>Tracker!AD25</f>
        <v>X</v>
      </c>
      <c r="AC11" s="102" t="str">
        <f>Tracker!AE25</f>
        <v>O</v>
      </c>
      <c r="AD11" s="101" t="str">
        <f>Tracker!AF25</f>
        <v>X</v>
      </c>
      <c r="AE11" s="102" t="str">
        <f>Tracker!AG25</f>
        <v>O</v>
      </c>
      <c r="AF11" s="101" t="str">
        <f>Tracker!AH25</f>
        <v>X</v>
      </c>
      <c r="AG11" s="102" t="str">
        <f>Tracker!AI25</f>
        <v/>
      </c>
      <c r="AH11" s="101" t="str">
        <f>Tracker!AJ25</f>
        <v/>
      </c>
      <c r="AI11" s="103" t="str">
        <f>Tracker!AK25</f>
        <v>O</v>
      </c>
      <c r="AK11" s="116" t="s">
        <v>35</v>
      </c>
      <c r="AL11" s="116" t="s">
        <v>1306</v>
      </c>
      <c r="AM11" s="116" t="s">
        <v>188</v>
      </c>
      <c r="AN11" s="118">
        <f>INDEX(HomeOU[],MATCH(Analysis[[#This Row],[City]],HomeOU[Team],0),4)</f>
        <v>0.625</v>
      </c>
      <c r="AO11" s="118">
        <f>INDEX(HomeOU[],MATCH(Analysis[[#This Row],[City]],HomeOU[Team],0),3)</f>
        <v>0.375</v>
      </c>
      <c r="AP11" s="118">
        <f>INDEX(RoadOU[],MATCH(Analysis[[#This Row],[City]],RoadOU[Team],0),4)</f>
        <v>0.438</v>
      </c>
      <c r="AQ11" s="118">
        <f>INDEX(RoadOU[],MATCH(Analysis[[#This Row],[City]],RoadOU[Team],0),3)</f>
        <v>0.56200000000000006</v>
      </c>
      <c r="AR11" s="118">
        <f>INDEX(HFATS[],MATCH(Analysis[[#This Row],[City]],HFATS[Team],0),3)</f>
        <v>0.55600000000000005</v>
      </c>
      <c r="AS11" s="118">
        <f>INDEX(HDATS[],MATCH(Analysis[[#This Row],[City]],HDATS[Team],0),3)</f>
        <v>0.54200000000000004</v>
      </c>
      <c r="AT11" s="118">
        <f>INDEX(RFATS[],MATCH(Analysis[[#This Row],[City]],RFATS[Team],0),3)</f>
        <v>0.8</v>
      </c>
      <c r="AU11" s="118">
        <f>INDEX(RDATS[],MATCH(Analysis[[#This Row],[City]],RDATS[Team],0),3)</f>
        <v>0.46200000000000002</v>
      </c>
    </row>
    <row r="12" spans="2:47" x14ac:dyDescent="0.25">
      <c r="B12" s="95" t="s">
        <v>1042</v>
      </c>
      <c r="C12" s="95" t="s">
        <v>2106</v>
      </c>
      <c r="D12" s="114">
        <v>0.63761245849544168</v>
      </c>
      <c r="E12" s="114" t="str">
        <f>IFERROR(IF(Table[[#This Row],[Trend Bet]]=Table[[#This Row],[Confidence Bet]],Table[[#This Row],[Confidence Bet]],"--"),"")</f>
        <v>--</v>
      </c>
      <c r="F12" s="97" t="str">
        <f>IFERROR(IF(INDEX($AA$10:$AI$20,MATCH(Table[[#This Row],[Range]],$AA$10:$AA$20,0),MATCH(Table[[#This Row],[Type]],$AA$10:$AI$10,0))="X",Table[[#This Row],[Bet]],IF(INDEX($AA$10:$AI$20,MATCH(Table[[#This Row],[Range]],$AA$10:$AA$20,0),MATCH(Table[[#This Row],[Type]],$AA$10:$AI$10,0))="O",Table[[#This Row],[Counterbet]],"--")),"")</f>
        <v>Mavericks +2.5</v>
      </c>
      <c r="G12" s="97" t="str">
        <f>IFERROR(IF(INDEX($AA$24:$AI$44,MATCH(Table[[#This Row],[Trend Range]],$AA$24:$AA$44,0),MATCH(Table[[#This Row],[Type]],$AA$24:$AI$24,0))="X",Table[[#This Row],[Bet]],IF(INDEX($AA$24:$AI$44,MATCH(Table[[#This Row],[Trend Range]],$AA$24:$AA$44,0),MATCH(Table[[#This Row],[Type]],$AA$24:$AI$24,0))="O",Table[[#This Row],[Counterbet]],"--")),"")</f>
        <v>Nuggets -2.5</v>
      </c>
      <c r="H12" s="114">
        <f>IFERROR(IF(OR(Table[[#This Row],[Type]]="O",Table[[#This Row],[Type]]="U"),AVERAGE(INDEX(Analysis[],MATCH(Table[[#This Row],[Home]],Analysis[Nickname],0),MATCH("H"&amp;Table[Type],Analysis[#Headers],0)),INDEX(Analysis[],MATCH(Table[[#This Row],[Away]],Analysis[Nickname],0),MATCH("R"&amp;Table[Type],Analysis[#Headers],0))),AVERAGE(INDEX(Analysis[],MATCH(Table[[#This Row],[Bet Team]],Analysis[Nickname],0),MATCH(Table[[#This Row],[Type]],Analysis[#Headers],0)),1-INDEX(Analysis[],MATCH(IF(Table[[#This Row],[Bet Team]]=Table[[#This Row],[Home]],Table[[#This Row],[Away]],Table[[#This Row],[Home]]),Analysis[Nickname],0),MATCH(IF(Table[[#This Row],[Type]]="RD","HF",IF(Table[[#This Row],[Type]]="RF","HD",IF(Table[[#This Row],[Type]]="HD","RF","RD"))),Analysis[#Headers],0)))),"")</f>
        <v>0.29400000000000004</v>
      </c>
      <c r="I12" s="97">
        <v>0.39</v>
      </c>
      <c r="J12" s="97">
        <v>0.25</v>
      </c>
      <c r="K12" s="97" t="str">
        <f>IFERROR(IF(Table[[#This Row],[M - B]]&gt;0,ROUNDDOWN(Table[[#This Row],[M - B]]*20,0)*5&amp;"-"&amp;ROUNDDOWN(Table[[#This Row],[M - B]]*20,0)*5+5&amp;"%",ROUNDUP(Table[[#This Row],[M - B]]*20,0)*5&amp;"-"&amp;ROUNDUP(Table[[#This Row],[M - B]]*20,0)*5+5&amp;"%"),"n/a")</f>
        <v>-15--10%</v>
      </c>
      <c r="L12" s="125" t="s">
        <v>56</v>
      </c>
      <c r="M12" s="95"/>
      <c r="N12" s="111" t="str">
        <f>IF(ISBLANK(Table[[#This Row],[Confidence]]),"",IFERROR(ROUNDDOWN(Table[[#This Row],[Confidence]]*20,0)*5&amp;"-"&amp;ROUNDDOWN(Table[[#This Row],[Confidence]]*20,0)*5+Tracker!$AB$23*100&amp;"%","n/a"))</f>
        <v>60-65%</v>
      </c>
      <c r="O12" s="111" t="str">
        <f>IF(ISBLANK(Table[[#This Row],[Trend Based Cover %]]),"",IFERROR(ROUNDDOWN(Table[[#This Row],[Trend Based Cover %]]*20,0)*5&amp;"-"&amp;ROUNDDOWN(Table[[#This Row],[Trend Based Cover %]]*20,0)*5+Tracker!$AB$23*100&amp;"%","n/a"))</f>
        <v>25-30%</v>
      </c>
      <c r="P12" s="111" t="str">
        <f>IF(Table[[#This Row],[Combo Bet]]="--","--",IF(Table[[#This Row],[Combo Bet]]=Table[[#This Row],[Bet]],Table[[#This Row],[Result]],IF(Table[[#This Row],[Result]]="W","L","W")))</f>
        <v>--</v>
      </c>
      <c r="Q12" s="111" t="str">
        <f>IF(Table[[#This Row],[Confidence Bet]]="--","--",IF(Table[[#This Row],[Confidence Bet]]=Table[[#This Row],[Bet]],Table[[#This Row],[Result]],IF(Table[[#This Row],[Result]]="W","L","W")))</f>
        <v>W</v>
      </c>
      <c r="R12" s="111" t="str">
        <f>IF(Table[[#This Row],[Trend Bet]]="--","--",IF(Table[[#This Row],[Trend Bet]]=Table[[#This Row],[Bet]],Table[[#This Row],[Result]],IF(Table[[#This Row],[Result]]="W","L","W")))</f>
        <v>L</v>
      </c>
      <c r="S12" s="111" t="str">
        <f>IF(Table[[#This Row],[Type]]="U","Over "&amp;Table[[#This Row],[Line]],IF(Table[[#This Row],[Type]]="O","Under "&amp;Table[[#This Row],[Line]],IF(Table[[#This Row],[Type]]="RD",Table[[#This Row],[Home]]&amp;" -"&amp;Table[[#This Row],[Line]],IF(Table[[#This Row],[Type]]="RF",Table[[#This Row],[Home]]&amp;" +"&amp;-1*Table[[#This Row],[Line]],IF(Table[[#This Row],[Type]]="HD",Table[[#This Row],[Away]]&amp;" -"&amp;Table[[#This Row],[Line]],IF(Table[[#This Row],[Type]]="HF",Table[[#This Row],[Away]]&amp;" +"&amp;-1*Table[[#This Row],[Line]],""))))))</f>
        <v>Nuggets -2.5</v>
      </c>
      <c r="T12" s="111">
        <f>_xlfn.NUMBERVALUE(IF(Table[[#This Row],[Type]]="O",MID(Table[[#This Row],[Bet]],6,LEN(Table[[#This Row],[Bet]])),IF(Table[[#This Row],[Type]]="U",MID(Table[[#This Row],[Bet]],7,LEN(Table[[#This Row],[Bet]])),IF(ISNUMBER(SEARCH("+",Table[[#This Row],[Bet]])),RIGHT(Table[[#This Row],[Bet]],LEN(Table[[#This Row],[Bet]])-SEARCH("+",Table[[#This Row],[Bet]])),IF(ISNUMBER(SEARCH(" -",Table[[#This Row],[Bet]])),RIGHT(Table[[#This Row],[Bet]],LEN(Table[[#This Row],[Bet]])-SEARCH(" -",Table[[#This Row],[Bet]])+1),"Hold")))))</f>
        <v>2.5</v>
      </c>
      <c r="U12" s="111" t="str">
        <f>IFERROR(MID(Table[[#This Row],[Game]],SEARCH("@",Table[[#This Row],[Game]])+2,LEN(Table[[#This Row],[Game]])),"")</f>
        <v>Mavericks</v>
      </c>
      <c r="V12" s="111" t="str">
        <f>IFERROR(LEFT(Table[[#This Row],[Game]],SEARCH("@",Table[[#This Row],[Game]])-2),"")</f>
        <v>Nuggets</v>
      </c>
      <c r="W12" s="111" t="str">
        <f>IF(OR(Table[[#This Row],[Type]]="O",Table[[#This Row],[Type]]="U"),"--",IF(ISNUMBER(SEARCH(Table[[#This Row],[Home]],Table[[#This Row],[Bet]])),Table[[#This Row],[Home]],Table[[#This Row],[Away]]))</f>
        <v>Mavericks</v>
      </c>
      <c r="X12" s="112" t="str">
        <f>IF(ISNUMBER(SEARCH(CHAR(10),Table[[#This Row],[Bet]])),"P",IF(ISNUMBER(FIND("Under",Table[[#This Row],[Bet]])),"U",IF(ISNUMBER(SEARCH("Over",Table[[#This Row],[Bet]])),"O",IF(ISNUMBER(SEARCH("+",Table[[#This Row],[Bet]])),IF(ISNUMBER(SEARCH(Table[[#This Row],[Away]],Table[[#This Row],[Bet]])),"RD","HD"),IF(ISNUMBER(SEARCH("-",Table[[#This Row],[Bet]])),IF(ISNUMBER(SEARCH(Table[[#This Row],[Away]],Table[[#This Row],[Bet]])),"RF","HF"),IF(ISNUMBER(SEARCH("Moneyline",Table[[#This Row],[Bet]])),IF(Table[[#This Row],[Odds]]&lt;0,"MF","MD"),""))))))</f>
        <v>HD</v>
      </c>
      <c r="Y12" s="111">
        <f>Table[[#This Row],[Money %]]-Table[[#This Row],[Bet %]]</f>
        <v>-0.14000000000000001</v>
      </c>
      <c r="AA12" s="88" t="str">
        <f>Tracker!AA26</f>
        <v>55-60%</v>
      </c>
      <c r="AB12" s="101" t="str">
        <f>Tracker!AD26</f>
        <v>X</v>
      </c>
      <c r="AC12" s="102" t="str">
        <f>Tracker!AE26</f>
        <v>O</v>
      </c>
      <c r="AD12" s="101" t="str">
        <f>Tracker!AF26</f>
        <v/>
      </c>
      <c r="AE12" s="102" t="str">
        <f>Tracker!AG26</f>
        <v>X</v>
      </c>
      <c r="AF12" s="101" t="str">
        <f>Tracker!AH26</f>
        <v/>
      </c>
      <c r="AG12" s="102" t="str">
        <f>Tracker!AI26</f>
        <v>O</v>
      </c>
      <c r="AH12" s="101" t="str">
        <f>Tracker!AJ26</f>
        <v>X</v>
      </c>
      <c r="AI12" s="103" t="str">
        <f>Tracker!AK26</f>
        <v>X</v>
      </c>
      <c r="AK12" s="116" t="s">
        <v>44</v>
      </c>
      <c r="AL12" s="116" t="s">
        <v>1303</v>
      </c>
      <c r="AM12" s="116" t="s">
        <v>190</v>
      </c>
      <c r="AN12" s="118">
        <f>INDEX(HomeOU[],MATCH(Analysis[[#This Row],[City]],HomeOU[Team],0),4)</f>
        <v>0.52900000000000003</v>
      </c>
      <c r="AO12" s="118">
        <f>INDEX(HomeOU[],MATCH(Analysis[[#This Row],[City]],HomeOU[Team],0),3)</f>
        <v>0.47099999999999997</v>
      </c>
      <c r="AP12" s="118">
        <f>INDEX(RoadOU[],MATCH(Analysis[[#This Row],[City]],RoadOU[Team],0),4)</f>
        <v>0.54800000000000004</v>
      </c>
      <c r="AQ12" s="118">
        <f>INDEX(RoadOU[],MATCH(Analysis[[#This Row],[City]],RoadOU[Team],0),3)</f>
        <v>0.45200000000000001</v>
      </c>
      <c r="AR12" s="118">
        <f>INDEX(HFATS[],MATCH(Analysis[[#This Row],[City]],HFATS[Team],0),3)</f>
        <v>0.25</v>
      </c>
      <c r="AS12" s="118">
        <f>INDEX(HDATS[],MATCH(Analysis[[#This Row],[City]],HDATS[Team],0),3)</f>
        <v>0.433</v>
      </c>
      <c r="AT12" s="118" t="e">
        <f>INDEX(RFATS[],MATCH(Analysis[[#This Row],[City]],RFATS[Team],0),3)</f>
        <v>#N/A</v>
      </c>
      <c r="AU12" s="118">
        <f>INDEX(RDATS[],MATCH(Analysis[[#This Row],[City]],RDATS[Team],0),3)</f>
        <v>0.54800000000000004</v>
      </c>
    </row>
    <row r="13" spans="2:47" x14ac:dyDescent="0.25">
      <c r="B13" s="81" t="s">
        <v>1042</v>
      </c>
      <c r="C13" s="82" t="s">
        <v>834</v>
      </c>
      <c r="D13" s="113">
        <v>0.55849305993353604</v>
      </c>
      <c r="E13" s="113" t="str">
        <f>IFERROR(IF(Table[[#This Row],[Trend Bet]]=Table[[#This Row],[Confidence Bet]],Table[[#This Row],[Confidence Bet]],"--"),"")</f>
        <v>--</v>
      </c>
      <c r="F13" s="97" t="str">
        <f>IFERROR(IF(INDEX($AA$10:$AI$20,MATCH(Table[[#This Row],[Range]],$AA$10:$AA$20,0),MATCH(Table[[#This Row],[Type]],$AA$10:$AI$10,0))="X",Table[[#This Row],[Bet]],IF(INDEX($AA$10:$AI$20,MATCH(Table[[#This Row],[Range]],$AA$10:$AA$20,0),MATCH(Table[[#This Row],[Type]],$AA$10:$AI$10,0))="O",Table[[#This Row],[Counterbet]],"--")),"")</f>
        <v>Over 218</v>
      </c>
      <c r="G13" s="97" t="str">
        <f>IFERROR(IF(INDEX($AA$24:$AI$44,MATCH(Table[[#This Row],[Trend Range]],$AA$24:$AA$44,0),MATCH(Table[[#This Row],[Type]],$AA$24:$AI$24,0))="X",Table[[#This Row],[Bet]],IF(INDEX($AA$24:$AI$44,MATCH(Table[[#This Row],[Trend Range]],$AA$24:$AA$44,0),MATCH(Table[[#This Row],[Type]],$AA$24:$AI$24,0))="O",Table[[#This Row],[Counterbet]],"--")),"")</f>
        <v>--</v>
      </c>
      <c r="H13" s="114">
        <f>IFERROR(IF(OR(Table[[#This Row],[Type]]="O",Table[[#This Row],[Type]]="U"),AVERAGE(INDEX(Analysis[],MATCH(Table[[#This Row],[Home]],Analysis[Nickname],0),MATCH("H"&amp;Table[Type],Analysis[#Headers],0)),INDEX(Analysis[],MATCH(Table[[#This Row],[Away]],Analysis[Nickname],0),MATCH("R"&amp;Table[Type],Analysis[#Headers],0))),AVERAGE(INDEX(Analysis[],MATCH(Table[[#This Row],[Bet Team]],Analysis[Nickname],0),MATCH(Table[[#This Row],[Type]],Analysis[#Headers],0)),1-INDEX(Analysis[],MATCH(IF(Table[[#This Row],[Bet Team]]=Table[[#This Row],[Home]],Table[[#This Row],[Away]],Table[[#This Row],[Home]]),Analysis[Nickname],0),MATCH(IF(Table[[#This Row],[Type]]="RD","HF",IF(Table[[#This Row],[Type]]="RF","HD",IF(Table[[#This Row],[Type]]="HD","RF","RD"))),Analysis[#Headers],0)))),"")</f>
        <v>0.56000000000000005</v>
      </c>
      <c r="I13" s="97">
        <v>0.89</v>
      </c>
      <c r="J13" s="97">
        <v>0.56999999999999995</v>
      </c>
      <c r="K13" s="97" t="str">
        <f>IFERROR(IF(Table[[#This Row],[M - B]]&gt;0,ROUNDDOWN(Table[[#This Row],[M - B]]*20,0)*5&amp;"-"&amp;ROUNDDOWN(Table[[#This Row],[M - B]]*20,0)*5+5&amp;"%",ROUNDUP(Table[[#This Row],[M - B]]*20,0)*5&amp;"-"&amp;ROUNDUP(Table[[#This Row],[M - B]]*20,0)*5+5&amp;"%"),"n/a")</f>
        <v>-35--30%</v>
      </c>
      <c r="L13" s="125" t="s">
        <v>57</v>
      </c>
      <c r="M13" s="95"/>
      <c r="N13" s="111" t="str">
        <f>IF(ISBLANK(Table[[#This Row],[Confidence]]),"",IFERROR(ROUNDDOWN(Table[[#This Row],[Confidence]]*20,0)*5&amp;"-"&amp;ROUNDDOWN(Table[[#This Row],[Confidence]]*20,0)*5+Tracker!$AB$23*100&amp;"%","n/a"))</f>
        <v>55-60%</v>
      </c>
      <c r="O13" s="111" t="str">
        <f>IF(ISBLANK(Table[[#This Row],[Trend Based Cover %]]),"",IFERROR(ROUNDDOWN(Table[[#This Row],[Trend Based Cover %]]*20,0)*5&amp;"-"&amp;ROUNDDOWN(Table[[#This Row],[Trend Based Cover %]]*20,0)*5+Tracker!$AB$23*100&amp;"%","n/a"))</f>
        <v>55-60%</v>
      </c>
      <c r="P13" s="111" t="str">
        <f>IF(Table[[#This Row],[Combo Bet]]="--","--",IF(Table[[#This Row],[Combo Bet]]=Table[[#This Row],[Bet]],Table[[#This Row],[Result]],IF(Table[[#This Row],[Result]]="W","L","W")))</f>
        <v>--</v>
      </c>
      <c r="Q13" s="111" t="str">
        <f>IF(Table[[#This Row],[Confidence Bet]]="--","--",IF(Table[[#This Row],[Confidence Bet]]=Table[[#This Row],[Bet]],Table[[#This Row],[Result]],IF(Table[[#This Row],[Result]]="W","L","W")))</f>
        <v>L</v>
      </c>
      <c r="R13" s="111" t="str">
        <f>IF(Table[[#This Row],[Trend Bet]]="--","--",IF(Table[[#This Row],[Trend Bet]]=Table[[#This Row],[Bet]],Table[[#This Row],[Result]],IF(Table[[#This Row],[Result]]="W","L","W")))</f>
        <v>--</v>
      </c>
      <c r="S13" s="111" t="str">
        <f>IF(Table[[#This Row],[Type]]="U","Over "&amp;Table[[#This Row],[Line]],IF(Table[[#This Row],[Type]]="O","Under "&amp;Table[[#This Row],[Line]],IF(Table[[#This Row],[Type]]="RD",Table[[#This Row],[Home]]&amp;" -"&amp;Table[[#This Row],[Line]],IF(Table[[#This Row],[Type]]="RF",Table[[#This Row],[Home]]&amp;" +"&amp;-1*Table[[#This Row],[Line]],IF(Table[[#This Row],[Type]]="HD",Table[[#This Row],[Away]]&amp;" -"&amp;Table[[#This Row],[Line]],IF(Table[[#This Row],[Type]]="HF",Table[[#This Row],[Away]]&amp;" +"&amp;-1*Table[[#This Row],[Line]],""))))))</f>
        <v>Under 218</v>
      </c>
      <c r="T13" s="111">
        <f>_xlfn.NUMBERVALUE(IF(Table[[#This Row],[Type]]="O",MID(Table[[#This Row],[Bet]],6,LEN(Table[[#This Row],[Bet]])),IF(Table[[#This Row],[Type]]="U",MID(Table[[#This Row],[Bet]],7,LEN(Table[[#This Row],[Bet]])),IF(ISNUMBER(SEARCH("+",Table[[#This Row],[Bet]])),RIGHT(Table[[#This Row],[Bet]],LEN(Table[[#This Row],[Bet]])-SEARCH("+",Table[[#This Row],[Bet]])),IF(ISNUMBER(SEARCH(" -",Table[[#This Row],[Bet]])),RIGHT(Table[[#This Row],[Bet]],LEN(Table[[#This Row],[Bet]])-SEARCH(" -",Table[[#This Row],[Bet]])+1),"Hold")))))</f>
        <v>218</v>
      </c>
      <c r="U13" s="111" t="str">
        <f>IFERROR(MID(Table[[#This Row],[Game]],SEARCH("@",Table[[#This Row],[Game]])+2,LEN(Table[[#This Row],[Game]])),"")</f>
        <v>Mavericks</v>
      </c>
      <c r="V13" s="111" t="str">
        <f>IFERROR(LEFT(Table[[#This Row],[Game]],SEARCH("@",Table[[#This Row],[Game]])-2),"")</f>
        <v>Nuggets</v>
      </c>
      <c r="W13" s="111" t="str">
        <f>IF(OR(Table[[#This Row],[Type]]="O",Table[[#This Row],[Type]]="U"),"--",IF(ISNUMBER(SEARCH(Table[[#This Row],[Home]],Table[[#This Row],[Bet]])),Table[[#This Row],[Home]],Table[[#This Row],[Away]]))</f>
        <v>--</v>
      </c>
      <c r="X13" s="112" t="str">
        <f>IF(ISNUMBER(SEARCH(CHAR(10),Table[[#This Row],[Bet]])),"P",IF(ISNUMBER(FIND("Under",Table[[#This Row],[Bet]])),"U",IF(ISNUMBER(SEARCH("Over",Table[[#This Row],[Bet]])),"O",IF(ISNUMBER(SEARCH("+",Table[[#This Row],[Bet]])),IF(ISNUMBER(SEARCH(Table[[#This Row],[Away]],Table[[#This Row],[Bet]])),"RD","HD"),IF(ISNUMBER(SEARCH("-",Table[[#This Row],[Bet]])),IF(ISNUMBER(SEARCH(Table[[#This Row],[Away]],Table[[#This Row],[Bet]])),"RF","HF"),IF(ISNUMBER(SEARCH("Moneyline",Table[[#This Row],[Bet]])),IF(Table[[#This Row],[Odds]]&lt;0,"MF","MD"),""))))))</f>
        <v>O</v>
      </c>
      <c r="Y13" s="111">
        <f>Table[[#This Row],[Money %]]-Table[[#This Row],[Bet %]]</f>
        <v>-0.32000000000000006</v>
      </c>
      <c r="AA13" s="88" t="str">
        <f>Tracker!AA27</f>
        <v>60-65%</v>
      </c>
      <c r="AB13" s="101" t="str">
        <f>Tracker!AD27</f>
        <v>X</v>
      </c>
      <c r="AC13" s="102" t="str">
        <f>Tracker!AE27</f>
        <v>X</v>
      </c>
      <c r="AD13" s="101" t="str">
        <f>Tracker!AF27</f>
        <v/>
      </c>
      <c r="AE13" s="102" t="str">
        <f>Tracker!AG27</f>
        <v>X</v>
      </c>
      <c r="AF13" s="101" t="str">
        <f>Tracker!AH27</f>
        <v/>
      </c>
      <c r="AG13" s="102" t="str">
        <f>Tracker!AI27</f>
        <v>X</v>
      </c>
      <c r="AH13" s="101" t="str">
        <f>Tracker!AJ27</f>
        <v/>
      </c>
      <c r="AI13" s="103" t="str">
        <f>Tracker!AK27</f>
        <v>X</v>
      </c>
      <c r="AK13" s="116" t="s">
        <v>47</v>
      </c>
      <c r="AL13" s="116" t="s">
        <v>1302</v>
      </c>
      <c r="AM13" s="116" t="s">
        <v>191</v>
      </c>
      <c r="AN13" s="118">
        <f>INDEX(HomeOU[],MATCH(Analysis[[#This Row],[City]],HomeOU[Team],0),4)</f>
        <v>0.58099999999999996</v>
      </c>
      <c r="AO13" s="118">
        <f>INDEX(HomeOU[],MATCH(Analysis[[#This Row],[City]],HomeOU[Team],0),3)</f>
        <v>0.41899999999999998</v>
      </c>
      <c r="AP13" s="118">
        <f>INDEX(RoadOU[],MATCH(Analysis[[#This Row],[City]],RoadOU[Team],0),4)</f>
        <v>0.46899999999999997</v>
      </c>
      <c r="AQ13" s="118">
        <f>INDEX(RoadOU[],MATCH(Analysis[[#This Row],[City]],RoadOU[Team],0),3)</f>
        <v>0.53100000000000003</v>
      </c>
      <c r="AR13" s="118">
        <f>INDEX(HFATS[],MATCH(Analysis[[#This Row],[City]],HFATS[Team],0),3)</f>
        <v>0.56699999999999995</v>
      </c>
      <c r="AS13" s="118" t="e">
        <f>INDEX(HDATS[],MATCH(Analysis[[#This Row],[City]],HDATS[Team],0),3)</f>
        <v>#N/A</v>
      </c>
      <c r="AT13" s="118">
        <f>INDEX(RFATS[],MATCH(Analysis[[#This Row],[City]],RFATS[Team],0),3)</f>
        <v>0.435</v>
      </c>
      <c r="AU13" s="118">
        <f>INDEX(RDATS[],MATCH(Analysis[[#This Row],[City]],RDATS[Team],0),3)</f>
        <v>0.88900000000000001</v>
      </c>
    </row>
    <row r="14" spans="2:47" x14ac:dyDescent="0.25">
      <c r="B14" s="81" t="s">
        <v>2107</v>
      </c>
      <c r="C14" s="82" t="s">
        <v>2108</v>
      </c>
      <c r="D14" s="114">
        <v>0.50971258968345345</v>
      </c>
      <c r="E14" s="145" t="str">
        <f>IFERROR(IF(Table[[#This Row],[Trend Bet]]=Table[[#This Row],[Confidence Bet]],Table[[#This Row],[Confidence Bet]],"--"),"")</f>
        <v>--</v>
      </c>
      <c r="F14" s="97" t="str">
        <f>IFERROR(IF(INDEX($AA$10:$AI$20,MATCH(Table[[#This Row],[Range]],$AA$10:$AA$20,0),MATCH(Table[[#This Row],[Type]],$AA$10:$AI$10,0))="X",Table[[#This Row],[Bet]],IF(INDEX($AA$10:$AI$20,MATCH(Table[[#This Row],[Range]],$AA$10:$AA$20,0),MATCH(Table[[#This Row],[Type]],$AA$10:$AI$10,0))="O",Table[[#This Row],[Counterbet]],"--")),"")</f>
        <v>--</v>
      </c>
      <c r="G14" s="97" t="str">
        <f>IFERROR(IF(INDEX($AA$24:$AI$44,MATCH(Table[[#This Row],[Trend Range]],$AA$24:$AA$44,0),MATCH(Table[[#This Row],[Type]],$AA$24:$AI$24,0))="X",Table[[#This Row],[Bet]],IF(INDEX($AA$24:$AI$44,MATCH(Table[[#This Row],[Trend Range]],$AA$24:$AA$44,0),MATCH(Table[[#This Row],[Type]],$AA$24:$AI$24,0))="O",Table[[#This Row],[Counterbet]],"--")),"")</f>
        <v>--</v>
      </c>
      <c r="H14" s="145">
        <f>IFERROR(IF(OR(Table[[#This Row],[Type]]="O",Table[[#This Row],[Type]]="U"),AVERAGE(INDEX(Analysis[],MATCH(Table[[#This Row],[Home]],Analysis[Nickname],0),MATCH("H"&amp;Table[Type],Analysis[#Headers],0)),INDEX(Analysis[],MATCH(Table[[#This Row],[Away]],Analysis[Nickname],0),MATCH("R"&amp;Table[Type],Analysis[#Headers],0))),AVERAGE(INDEX(Analysis[],MATCH(Table[[#This Row],[Bet Team]],Analysis[Nickname],0),MATCH(Table[[#This Row],[Type]],Analysis[#Headers],0)),1-INDEX(Analysis[],MATCH(IF(Table[[#This Row],[Bet Team]]=Table[[#This Row],[Home]],Table[[#This Row],[Away]],Table[[#This Row],[Home]]),Analysis[Nickname],0),MATCH(IF(Table[[#This Row],[Type]]="RD","HF",IF(Table[[#This Row],[Type]]="RF","HD",IF(Table[[#This Row],[Type]]="HD","RF","RD"))),Analysis[#Headers],0)))),"")</f>
        <v>0.67100000000000004</v>
      </c>
      <c r="I14" s="97">
        <v>0.83</v>
      </c>
      <c r="J14" s="97">
        <v>0.89</v>
      </c>
      <c r="K14" s="97" t="str">
        <f>IFERROR(IF(Table[[#This Row],[M - B]]&gt;0,ROUNDDOWN(Table[[#This Row],[M - B]]*20,0)*5&amp;"-"&amp;ROUNDDOWN(Table[[#This Row],[M - B]]*20,0)*5+5&amp;"%",ROUNDUP(Table[[#This Row],[M - B]]*20,0)*5&amp;"-"&amp;ROUNDUP(Table[[#This Row],[M - B]]*20,0)*5+5&amp;"%"),"n/a")</f>
        <v>5-10%</v>
      </c>
      <c r="L14" s="146" t="s">
        <v>847</v>
      </c>
      <c r="M14" s="95"/>
      <c r="N14" s="111" t="str">
        <f>IF(ISBLANK(Table[[#This Row],[Confidence]]),"",IFERROR(ROUNDDOWN(Table[[#This Row],[Confidence]]*20,0)*5&amp;"-"&amp;ROUNDDOWN(Table[[#This Row],[Confidence]]*20,0)*5+Tracker!$AB$23*100&amp;"%","n/a"))</f>
        <v>50-55%</v>
      </c>
      <c r="O14" s="111" t="str">
        <f>IF(ISBLANK(Table[[#This Row],[Trend Based Cover %]]),"",IFERROR(ROUNDDOWN(Table[[#This Row],[Trend Based Cover %]]*20,0)*5&amp;"-"&amp;ROUNDDOWN(Table[[#This Row],[Trend Based Cover %]]*20,0)*5+Tracker!$AB$23*100&amp;"%","n/a"))</f>
        <v>65-70%</v>
      </c>
      <c r="P14" s="111" t="str">
        <f>IF(Table[[#This Row],[Combo Bet]]="--","--",IF(Table[[#This Row],[Combo Bet]]=Table[[#This Row],[Bet]],Table[[#This Row],[Result]],IF(Table[[#This Row],[Result]]="W","L","W")))</f>
        <v>--</v>
      </c>
      <c r="Q14" s="111" t="str">
        <f>IF(Table[[#This Row],[Confidence Bet]]="--","--",IF(Table[[#This Row],[Confidence Bet]]=Table[[#This Row],[Bet]],Table[[#This Row],[Result]],IF(Table[[#This Row],[Result]]="W","L","W")))</f>
        <v>--</v>
      </c>
      <c r="R14" s="111" t="str">
        <f>IF(Table[[#This Row],[Trend Bet]]="--","--",IF(Table[[#This Row],[Trend Bet]]=Table[[#This Row],[Bet]],Table[[#This Row],[Result]],IF(Table[[#This Row],[Result]]="W","L","W")))</f>
        <v>--</v>
      </c>
      <c r="S14" s="111" t="str">
        <f>IF(Table[[#This Row],[Type]]="U","Over "&amp;Table[[#This Row],[Line]],IF(Table[[#This Row],[Type]]="O","Under "&amp;Table[[#This Row],[Line]],IF(Table[[#This Row],[Type]]="RD",Table[[#This Row],[Home]]&amp;" -"&amp;Table[[#This Row],[Line]],IF(Table[[#This Row],[Type]]="RF",Table[[#This Row],[Home]]&amp;" +"&amp;-1*Table[[#This Row],[Line]],IF(Table[[#This Row],[Type]]="HD",Table[[#This Row],[Away]]&amp;" -"&amp;Table[[#This Row],[Line]],IF(Table[[#This Row],[Type]]="HF",Table[[#This Row],[Away]]&amp;" +"&amp;-1*Table[[#This Row],[Line]],""))))))</f>
        <v>Kings +1.5</v>
      </c>
      <c r="T14" s="111">
        <f>_xlfn.NUMBERVALUE(IF(Table[[#This Row],[Type]]="O",MID(Table[[#This Row],[Bet]],6,LEN(Table[[#This Row],[Bet]])),IF(Table[[#This Row],[Type]]="U",MID(Table[[#This Row],[Bet]],7,LEN(Table[[#This Row],[Bet]])),IF(ISNUMBER(SEARCH("+",Table[[#This Row],[Bet]])),RIGHT(Table[[#This Row],[Bet]],LEN(Table[[#This Row],[Bet]])-SEARCH("+",Table[[#This Row],[Bet]])),IF(ISNUMBER(SEARCH(" -",Table[[#This Row],[Bet]])),RIGHT(Table[[#This Row],[Bet]],LEN(Table[[#This Row],[Bet]])-SEARCH(" -",Table[[#This Row],[Bet]])+1),"Hold")))))</f>
        <v>-1.5</v>
      </c>
      <c r="U14" s="111" t="str">
        <f>IFERROR(MID(Table[[#This Row],[Game]],SEARCH("@",Table[[#This Row],[Game]])+2,LEN(Table[[#This Row],[Game]])),"")</f>
        <v>Kings</v>
      </c>
      <c r="V14" s="111" t="str">
        <f>IFERROR(LEFT(Table[[#This Row],[Game]],SEARCH("@",Table[[#This Row],[Game]])-2),"")</f>
        <v>Pelicans</v>
      </c>
      <c r="W14" s="111" t="str">
        <f>IF(OR(Table[[#This Row],[Type]]="O",Table[[#This Row],[Type]]="U"),"--",IF(ISNUMBER(SEARCH(Table[[#This Row],[Home]],Table[[#This Row],[Bet]])),Table[[#This Row],[Home]],Table[[#This Row],[Away]]))</f>
        <v>Pelicans</v>
      </c>
      <c r="X14" s="112" t="str">
        <f>IF(ISNUMBER(SEARCH(CHAR(10),Table[[#This Row],[Bet]])),"P",IF(ISNUMBER(FIND("Under",Table[[#This Row],[Bet]])),"U",IF(ISNUMBER(SEARCH("Over",Table[[#This Row],[Bet]])),"O",IF(ISNUMBER(SEARCH("+",Table[[#This Row],[Bet]])),IF(ISNUMBER(SEARCH(Table[[#This Row],[Away]],Table[[#This Row],[Bet]])),"RD","HD"),IF(ISNUMBER(SEARCH("-",Table[[#This Row],[Bet]])),IF(ISNUMBER(SEARCH(Table[[#This Row],[Away]],Table[[#This Row],[Bet]])),"RF","HF"),IF(ISNUMBER(SEARCH("Moneyline",Table[[#This Row],[Bet]])),IF(Table[[#This Row],[Odds]]&lt;0,"MF","MD"),""))))))</f>
        <v>RF</v>
      </c>
      <c r="Y14" s="111">
        <f>Table[[#This Row],[Money %]]-Table[[#This Row],[Bet %]]</f>
        <v>6.0000000000000053E-2</v>
      </c>
      <c r="AA14" s="88" t="str">
        <f>Tracker!AA28</f>
        <v>65-70%</v>
      </c>
      <c r="AB14" s="101" t="str">
        <f>Tracker!AD28</f>
        <v/>
      </c>
      <c r="AC14" s="102" t="str">
        <f>Tracker!AE28</f>
        <v>O</v>
      </c>
      <c r="AD14" s="101" t="str">
        <f>Tracker!AF28</f>
        <v>X</v>
      </c>
      <c r="AE14" s="102" t="str">
        <f>Tracker!AG28</f>
        <v/>
      </c>
      <c r="AF14" s="101" t="str">
        <f>Tracker!AH28</f>
        <v>X</v>
      </c>
      <c r="AG14" s="102" t="str">
        <f>Tracker!AI28</f>
        <v>O</v>
      </c>
      <c r="AH14" s="101" t="str">
        <f>Tracker!AJ28</f>
        <v>O</v>
      </c>
      <c r="AI14" s="103" t="str">
        <f>Tracker!AK28</f>
        <v>X</v>
      </c>
      <c r="AK14" s="116" t="s">
        <v>50</v>
      </c>
      <c r="AL14" s="116" t="s">
        <v>1304</v>
      </c>
      <c r="AM14" s="116" t="s">
        <v>182</v>
      </c>
      <c r="AN14" s="118">
        <f>INDEX(HomeOU[],MATCH(Analysis[[#This Row],[City]],HomeOU[Team],0),4)</f>
        <v>0.53100000000000003</v>
      </c>
      <c r="AO14" s="118">
        <f>INDEX(HomeOU[],MATCH(Analysis[[#This Row],[City]],HomeOU[Team],0),3)</f>
        <v>0.46899999999999997</v>
      </c>
      <c r="AP14" s="118">
        <f>INDEX(RoadOU[],MATCH(Analysis[[#This Row],[City]],RoadOU[Team],0),4)</f>
        <v>0.51600000000000001</v>
      </c>
      <c r="AQ14" s="118">
        <f>INDEX(RoadOU[],MATCH(Analysis[[#This Row],[City]],RoadOU[Team],0),3)</f>
        <v>0.48399999999999999</v>
      </c>
      <c r="AR14" s="118">
        <f>INDEX(HFATS[],MATCH(Analysis[[#This Row],[City]],HFATS[Team],0),3)</f>
        <v>0.53600000000000003</v>
      </c>
      <c r="AS14" s="118">
        <f>INDEX(HDATS[],MATCH(Analysis[[#This Row],[City]],HDATS[Team],0),3)</f>
        <v>0.33300000000000002</v>
      </c>
      <c r="AT14" s="118">
        <f>INDEX(RFATS[],MATCH(Analysis[[#This Row],[City]],RFATS[Team],0),3)</f>
        <v>0.41199999999999998</v>
      </c>
      <c r="AU14" s="118">
        <f>INDEX(RDATS[],MATCH(Analysis[[#This Row],[City]],RDATS[Team],0),3)</f>
        <v>0.5</v>
      </c>
    </row>
    <row r="15" spans="2:47" x14ac:dyDescent="0.25">
      <c r="B15" s="81" t="s">
        <v>2107</v>
      </c>
      <c r="C15" s="82" t="s">
        <v>874</v>
      </c>
      <c r="D15" s="114">
        <v>0.56577307526011533</v>
      </c>
      <c r="E15" s="145" t="str">
        <f>IFERROR(IF(Table[[#This Row],[Trend Bet]]=Table[[#This Row],[Confidence Bet]],Table[[#This Row],[Confidence Bet]],"--"),"")</f>
        <v>Over 232.5</v>
      </c>
      <c r="F15" s="97" t="str">
        <f>IFERROR(IF(INDEX($AA$10:$AI$20,MATCH(Table[[#This Row],[Range]],$AA$10:$AA$20,0),MATCH(Table[[#This Row],[Type]],$AA$10:$AI$10,0))="X",Table[[#This Row],[Bet]],IF(INDEX($AA$10:$AI$20,MATCH(Table[[#This Row],[Range]],$AA$10:$AA$20,0),MATCH(Table[[#This Row],[Type]],$AA$10:$AI$10,0))="O",Table[[#This Row],[Counterbet]],"--")),"")</f>
        <v>Over 232.5</v>
      </c>
      <c r="G15" s="97" t="str">
        <f>IFERROR(IF(INDEX($AA$24:$AI$44,MATCH(Table[[#This Row],[Trend Range]],$AA$24:$AA$44,0),MATCH(Table[[#This Row],[Type]],$AA$24:$AI$24,0))="X",Table[[#This Row],[Bet]],IF(INDEX($AA$24:$AI$44,MATCH(Table[[#This Row],[Trend Range]],$AA$24:$AA$44,0),MATCH(Table[[#This Row],[Type]],$AA$24:$AI$24,0))="O",Table[[#This Row],[Counterbet]],"--")),"")</f>
        <v>Over 232.5</v>
      </c>
      <c r="H15" s="145">
        <f>IFERROR(IF(OR(Table[[#This Row],[Type]]="O",Table[[#This Row],[Type]]="U"),AVERAGE(INDEX(Analysis[],MATCH(Table[[#This Row],[Home]],Analysis[Nickname],0),MATCH("H"&amp;Table[Type],Analysis[#Headers],0)),INDEX(Analysis[],MATCH(Table[[#This Row],[Away]],Analysis[Nickname],0),MATCH("R"&amp;Table[Type],Analysis[#Headers],0))),AVERAGE(INDEX(Analysis[],MATCH(Table[[#This Row],[Bet Team]],Analysis[Nickname],0),MATCH(Table[[#This Row],[Type]],Analysis[#Headers],0)),1-INDEX(Analysis[],MATCH(IF(Table[[#This Row],[Bet Team]]=Table[[#This Row],[Home]],Table[[#This Row],[Away]],Table[[#This Row],[Home]]),Analysis[Nickname],0),MATCH(IF(Table[[#This Row],[Type]]="RD","HF",IF(Table[[#This Row],[Type]]="RF","HD",IF(Table[[#This Row],[Type]]="HD","RF","RD"))),Analysis[#Headers],0)))),"")</f>
        <v>0.44500000000000001</v>
      </c>
      <c r="I15" s="97">
        <v>0.43</v>
      </c>
      <c r="J15" s="97">
        <v>0.68</v>
      </c>
      <c r="K15" s="97" t="str">
        <f>IFERROR(IF(Table[[#This Row],[M - B]]&gt;0,ROUNDDOWN(Table[[#This Row],[M - B]]*20,0)*5&amp;"-"&amp;ROUNDDOWN(Table[[#This Row],[M - B]]*20,0)*5+5&amp;"%",ROUNDUP(Table[[#This Row],[M - B]]*20,0)*5&amp;"-"&amp;ROUNDUP(Table[[#This Row],[M - B]]*20,0)*5+5&amp;"%"),"n/a")</f>
        <v>25-30%</v>
      </c>
      <c r="L15" s="146" t="s">
        <v>847</v>
      </c>
      <c r="M15" s="95"/>
      <c r="N15" s="111" t="str">
        <f>IF(ISBLANK(Table[[#This Row],[Confidence]]),"",IFERROR(ROUNDDOWN(Table[[#This Row],[Confidence]]*20,0)*5&amp;"-"&amp;ROUNDDOWN(Table[[#This Row],[Confidence]]*20,0)*5+Tracker!$AB$23*100&amp;"%","n/a"))</f>
        <v>55-60%</v>
      </c>
      <c r="O15" s="111" t="str">
        <f>IF(ISBLANK(Table[[#This Row],[Trend Based Cover %]]),"",IFERROR(ROUNDDOWN(Table[[#This Row],[Trend Based Cover %]]*20,0)*5&amp;"-"&amp;ROUNDDOWN(Table[[#This Row],[Trend Based Cover %]]*20,0)*5+Tracker!$AB$23*100&amp;"%","n/a"))</f>
        <v>40-45%</v>
      </c>
      <c r="P15" s="111" t="str">
        <f>IF(Table[[#This Row],[Combo Bet]]="--","--",IF(Table[[#This Row],[Combo Bet]]=Table[[#This Row],[Bet]],Table[[#This Row],[Result]],IF(Table[[#This Row],[Result]]="W","L","W")))</f>
        <v>W</v>
      </c>
      <c r="Q15" s="111" t="str">
        <f>IF(Table[[#This Row],[Confidence Bet]]="--","--",IF(Table[[#This Row],[Confidence Bet]]=Table[[#This Row],[Bet]],Table[[#This Row],[Result]],IF(Table[[#This Row],[Result]]="W","L","W")))</f>
        <v>W</v>
      </c>
      <c r="R15" s="111" t="str">
        <f>IF(Table[[#This Row],[Trend Bet]]="--","--",IF(Table[[#This Row],[Trend Bet]]=Table[[#This Row],[Bet]],Table[[#This Row],[Result]],IF(Table[[#This Row],[Result]]="W","L","W")))</f>
        <v>W</v>
      </c>
      <c r="S15" s="111" t="str">
        <f>IF(Table[[#This Row],[Type]]="U","Over "&amp;Table[[#This Row],[Line]],IF(Table[[#This Row],[Type]]="O","Under "&amp;Table[[#This Row],[Line]],IF(Table[[#This Row],[Type]]="RD",Table[[#This Row],[Home]]&amp;" -"&amp;Table[[#This Row],[Line]],IF(Table[[#This Row],[Type]]="RF",Table[[#This Row],[Home]]&amp;" +"&amp;-1*Table[[#This Row],[Line]],IF(Table[[#This Row],[Type]]="HD",Table[[#This Row],[Away]]&amp;" -"&amp;Table[[#This Row],[Line]],IF(Table[[#This Row],[Type]]="HF",Table[[#This Row],[Away]]&amp;" +"&amp;-1*Table[[#This Row],[Line]],""))))))</f>
        <v>Over 232.5</v>
      </c>
      <c r="T15" s="111">
        <f>_xlfn.NUMBERVALUE(IF(Table[[#This Row],[Type]]="O",MID(Table[[#This Row],[Bet]],6,LEN(Table[[#This Row],[Bet]])),IF(Table[[#This Row],[Type]]="U",MID(Table[[#This Row],[Bet]],7,LEN(Table[[#This Row],[Bet]])),IF(ISNUMBER(SEARCH("+",Table[[#This Row],[Bet]])),RIGHT(Table[[#This Row],[Bet]],LEN(Table[[#This Row],[Bet]])-SEARCH("+",Table[[#This Row],[Bet]])),IF(ISNUMBER(SEARCH(" -",Table[[#This Row],[Bet]])),RIGHT(Table[[#This Row],[Bet]],LEN(Table[[#This Row],[Bet]])-SEARCH(" -",Table[[#This Row],[Bet]])+1),"Hold")))))</f>
        <v>232.5</v>
      </c>
      <c r="U15" s="111" t="str">
        <f>IFERROR(MID(Table[[#This Row],[Game]],SEARCH("@",Table[[#This Row],[Game]])+2,LEN(Table[[#This Row],[Game]])),"")</f>
        <v>Kings</v>
      </c>
      <c r="V15" s="111" t="str">
        <f>IFERROR(LEFT(Table[[#This Row],[Game]],SEARCH("@",Table[[#This Row],[Game]])-2),"")</f>
        <v>Pelicans</v>
      </c>
      <c r="W15" s="111" t="str">
        <f>IF(OR(Table[[#This Row],[Type]]="O",Table[[#This Row],[Type]]="U"),"--",IF(ISNUMBER(SEARCH(Table[[#This Row],[Home]],Table[[#This Row],[Bet]])),Table[[#This Row],[Home]],Table[[#This Row],[Away]]))</f>
        <v>--</v>
      </c>
      <c r="X15" s="112" t="str">
        <f>IF(ISNUMBER(SEARCH(CHAR(10),Table[[#This Row],[Bet]])),"P",IF(ISNUMBER(FIND("Under",Table[[#This Row],[Bet]])),"U",IF(ISNUMBER(SEARCH("Over",Table[[#This Row],[Bet]])),"O",IF(ISNUMBER(SEARCH("+",Table[[#This Row],[Bet]])),IF(ISNUMBER(SEARCH(Table[[#This Row],[Away]],Table[[#This Row],[Bet]])),"RD","HD"),IF(ISNUMBER(SEARCH("-",Table[[#This Row],[Bet]])),IF(ISNUMBER(SEARCH(Table[[#This Row],[Away]],Table[[#This Row],[Bet]])),"RF","HF"),IF(ISNUMBER(SEARCH("Moneyline",Table[[#This Row],[Bet]])),IF(Table[[#This Row],[Odds]]&lt;0,"MF","MD"),""))))))</f>
        <v>U</v>
      </c>
      <c r="Y15" s="111">
        <f>Table[[#This Row],[Money %]]-Table[[#This Row],[Bet %]]</f>
        <v>0.25000000000000006</v>
      </c>
      <c r="AA15" s="88" t="str">
        <f>Tracker!AA29</f>
        <v>70-75%</v>
      </c>
      <c r="AB15" s="101" t="str">
        <f>Tracker!AD29</f>
        <v>O</v>
      </c>
      <c r="AC15" s="102" t="str">
        <f>Tracker!AE29</f>
        <v>O</v>
      </c>
      <c r="AD15" s="101" t="str">
        <f>Tracker!AF29</f>
        <v>X</v>
      </c>
      <c r="AE15" s="102" t="str">
        <f>Tracker!AG29</f>
        <v>O</v>
      </c>
      <c r="AF15" s="101" t="str">
        <f>Tracker!AH29</f>
        <v>X</v>
      </c>
      <c r="AG15" s="102" t="str">
        <f>Tracker!AI29</f>
        <v/>
      </c>
      <c r="AH15" s="101" t="str">
        <f>Tracker!AJ29</f>
        <v/>
      </c>
      <c r="AI15" s="103" t="str">
        <f>Tracker!AK29</f>
        <v>O</v>
      </c>
      <c r="AK15" s="116" t="s">
        <v>32</v>
      </c>
      <c r="AL15" s="116" t="s">
        <v>1301</v>
      </c>
      <c r="AM15" s="116" t="s">
        <v>169</v>
      </c>
      <c r="AN15" s="118">
        <f>INDEX(HomeOU[],MATCH(Analysis[[#This Row],[City]],HomeOU[Team],0),4)</f>
        <v>0.53100000000000003</v>
      </c>
      <c r="AO15" s="118">
        <f>INDEX(HomeOU[],MATCH(Analysis[[#This Row],[City]],HomeOU[Team],0),3)</f>
        <v>0.46899999999999997</v>
      </c>
      <c r="AP15" s="118">
        <f>INDEX(RoadOU[],MATCH(Analysis[[#This Row],[City]],RoadOU[Team],0),4)</f>
        <v>0.59399999999999997</v>
      </c>
      <c r="AQ15" s="118">
        <f>INDEX(RoadOU[],MATCH(Analysis[[#This Row],[City]],RoadOU[Team],0),3)</f>
        <v>0.40600000000000003</v>
      </c>
      <c r="AR15" s="118">
        <f>INDEX(HFATS[],MATCH(Analysis[[#This Row],[City]],HFATS[Team],0),3)</f>
        <v>0.48399999999999999</v>
      </c>
      <c r="AS15" s="118">
        <f>INDEX(HDATS[],MATCH(Analysis[[#This Row],[City]],HDATS[Team],0),3)</f>
        <v>0</v>
      </c>
      <c r="AT15" s="118">
        <f>INDEX(RFATS[],MATCH(Analysis[[#This Row],[City]],RFATS[Team],0),3)</f>
        <v>0.318</v>
      </c>
      <c r="AU15" s="118">
        <f>INDEX(RDATS[],MATCH(Analysis[[#This Row],[City]],RDATS[Team],0),3)</f>
        <v>0.7</v>
      </c>
    </row>
    <row r="16" spans="2:47" x14ac:dyDescent="0.25">
      <c r="B16" s="81" t="s">
        <v>2109</v>
      </c>
      <c r="C16" s="82" t="s">
        <v>2110</v>
      </c>
      <c r="D16" s="114">
        <v>0.61203463177364303</v>
      </c>
      <c r="E16" s="145" t="str">
        <f>IFERROR(IF(Table[[#This Row],[Trend Bet]]=Table[[#This Row],[Confidence Bet]],Table[[#This Row],[Confidence Bet]],"--"),"")</f>
        <v>--</v>
      </c>
      <c r="F16" s="97" t="str">
        <f>IFERROR(IF(INDEX($AA$10:$AI$20,MATCH(Table[[#This Row],[Range]],$AA$10:$AA$20,0),MATCH(Table[[#This Row],[Type]],$AA$10:$AI$10,0))="X",Table[[#This Row],[Bet]],IF(INDEX($AA$10:$AI$20,MATCH(Table[[#This Row],[Range]],$AA$10:$AA$20,0),MATCH(Table[[#This Row],[Type]],$AA$10:$AI$10,0))="O",Table[[#This Row],[Counterbet]],"--")),"")</f>
        <v>--</v>
      </c>
      <c r="G16" s="97" t="str">
        <f>IFERROR(IF(INDEX($AA$24:$AI$44,MATCH(Table[[#This Row],[Trend Range]],$AA$24:$AA$44,0),MATCH(Table[[#This Row],[Type]],$AA$24:$AI$24,0))="X",Table[[#This Row],[Bet]],IF(INDEX($AA$24:$AI$44,MATCH(Table[[#This Row],[Trend Range]],$AA$24:$AA$44,0),MATCH(Table[[#This Row],[Type]],$AA$24:$AI$24,0))="O",Table[[#This Row],[Counterbet]],"--")),"")</f>
        <v>Pistons +11</v>
      </c>
      <c r="H16" s="145">
        <f>IFERROR(IF(OR(Table[[#This Row],[Type]]="O",Table[[#This Row],[Type]]="U"),AVERAGE(INDEX(Analysis[],MATCH(Table[[#This Row],[Home]],Analysis[Nickname],0),MATCH("H"&amp;Table[Type],Analysis[#Headers],0)),INDEX(Analysis[],MATCH(Table[[#This Row],[Away]],Analysis[Nickname],0),MATCH("R"&amp;Table[Type],Analysis[#Headers],0))),AVERAGE(INDEX(Analysis[],MATCH(Table[[#This Row],[Bet Team]],Analysis[Nickname],0),MATCH(Table[[#This Row],[Type]],Analysis[#Headers],0)),1-INDEX(Analysis[],MATCH(IF(Table[[#This Row],[Bet Team]]=Table[[#This Row],[Home]],Table[[#This Row],[Away]],Table[[#This Row],[Home]]),Analysis[Nickname],0),MATCH(IF(Table[[#This Row],[Type]]="RD","HF",IF(Table[[#This Row],[Type]]="RF","HD",IF(Table[[#This Row],[Type]]="HD","RF","RD"))),Analysis[#Headers],0)))),"")</f>
        <v>0.4</v>
      </c>
      <c r="I16" s="156">
        <v>0.37</v>
      </c>
      <c r="J16" s="156">
        <v>0.5</v>
      </c>
      <c r="K16" s="97" t="str">
        <f>IFERROR(IF(Table[[#This Row],[M - B]]&gt;0,ROUNDDOWN(Table[[#This Row],[M - B]]*20,0)*5&amp;"-"&amp;ROUNDDOWN(Table[[#This Row],[M - B]]*20,0)*5+5&amp;"%",ROUNDUP(Table[[#This Row],[M - B]]*20,0)*5&amp;"-"&amp;ROUNDUP(Table[[#This Row],[M - B]]*20,0)*5+5&amp;"%"),"n/a")</f>
        <v>10-15%</v>
      </c>
      <c r="L16" s="146" t="s">
        <v>57</v>
      </c>
      <c r="M16" s="95"/>
      <c r="N16" s="111" t="str">
        <f>IF(ISBLANK(Table[[#This Row],[Confidence]]),"",IFERROR(ROUNDDOWN(Table[[#This Row],[Confidence]]*20,0)*5&amp;"-"&amp;ROUNDDOWN(Table[[#This Row],[Confidence]]*20,0)*5+Tracker!$AB$23*100&amp;"%","n/a"))</f>
        <v>60-65%</v>
      </c>
      <c r="O16" s="111" t="str">
        <f>IF(ISBLANK(Table[[#This Row],[Trend Based Cover %]]),"",IFERROR(ROUNDDOWN(Table[[#This Row],[Trend Based Cover %]]*20,0)*5&amp;"-"&amp;ROUNDDOWN(Table[[#This Row],[Trend Based Cover %]]*20,0)*5+Tracker!$AB$23*100&amp;"%","n/a"))</f>
        <v>40-45%</v>
      </c>
      <c r="P16" s="111" t="str">
        <f>IF(Table[[#This Row],[Combo Bet]]="--","--",IF(Table[[#This Row],[Combo Bet]]=Table[[#This Row],[Bet]],Table[[#This Row],[Result]],IF(Table[[#This Row],[Result]]="W","L","W")))</f>
        <v>--</v>
      </c>
      <c r="Q16" s="111" t="str">
        <f>IF(Table[[#This Row],[Confidence Bet]]="--","--",IF(Table[[#This Row],[Confidence Bet]]=Table[[#This Row],[Bet]],Table[[#This Row],[Result]],IF(Table[[#This Row],[Result]]="W","L","W")))</f>
        <v>--</v>
      </c>
      <c r="R16" s="111" t="str">
        <f>IF(Table[[#This Row],[Trend Bet]]="--","--",IF(Table[[#This Row],[Trend Bet]]=Table[[#This Row],[Bet]],Table[[#This Row],[Result]],IF(Table[[#This Row],[Result]]="W","L","W")))</f>
        <v>L</v>
      </c>
      <c r="S16" s="111" t="str">
        <f>IF(Table[[#This Row],[Type]]="U","Over "&amp;Table[[#This Row],[Line]],IF(Table[[#This Row],[Type]]="O","Under "&amp;Table[[#This Row],[Line]],IF(Table[[#This Row],[Type]]="RD",Table[[#This Row],[Home]]&amp;" -"&amp;Table[[#This Row],[Line]],IF(Table[[#This Row],[Type]]="RF",Table[[#This Row],[Home]]&amp;" +"&amp;-1*Table[[#This Row],[Line]],IF(Table[[#This Row],[Type]]="HD",Table[[#This Row],[Away]]&amp;" -"&amp;Table[[#This Row],[Line]],IF(Table[[#This Row],[Type]]="HF",Table[[#This Row],[Away]]&amp;" +"&amp;-1*Table[[#This Row],[Line]],""))))))</f>
        <v>76ers -11</v>
      </c>
      <c r="T16" s="111">
        <f>_xlfn.NUMBERVALUE(IF(Table[[#This Row],[Type]]="O",MID(Table[[#This Row],[Bet]],6,LEN(Table[[#This Row],[Bet]])),IF(Table[[#This Row],[Type]]="U",MID(Table[[#This Row],[Bet]],7,LEN(Table[[#This Row],[Bet]])),IF(ISNUMBER(SEARCH("+",Table[[#This Row],[Bet]])),RIGHT(Table[[#This Row],[Bet]],LEN(Table[[#This Row],[Bet]])-SEARCH("+",Table[[#This Row],[Bet]])),IF(ISNUMBER(SEARCH(" -",Table[[#This Row],[Bet]])),RIGHT(Table[[#This Row],[Bet]],LEN(Table[[#This Row],[Bet]])-SEARCH(" -",Table[[#This Row],[Bet]])+1),"Hold")))))</f>
        <v>11</v>
      </c>
      <c r="U16" s="111" t="str">
        <f>IFERROR(MID(Table[[#This Row],[Game]],SEARCH("@",Table[[#This Row],[Game]])+2,LEN(Table[[#This Row],[Game]])),"")</f>
        <v>76ers</v>
      </c>
      <c r="V16" s="111" t="str">
        <f>IFERROR(LEFT(Table[[#This Row],[Game]],SEARCH("@",Table[[#This Row],[Game]])-2),"")</f>
        <v>Pistons</v>
      </c>
      <c r="W16" s="111" t="str">
        <f>IF(OR(Table[[#This Row],[Type]]="O",Table[[#This Row],[Type]]="U"),"--",IF(ISNUMBER(SEARCH(Table[[#This Row],[Home]],Table[[#This Row],[Bet]])),Table[[#This Row],[Home]],Table[[#This Row],[Away]]))</f>
        <v>Pistons</v>
      </c>
      <c r="X16" s="112" t="str">
        <f>IF(ISNUMBER(SEARCH(CHAR(10),Table[[#This Row],[Bet]])),"P",IF(ISNUMBER(FIND("Under",Table[[#This Row],[Bet]])),"U",IF(ISNUMBER(SEARCH("Over",Table[[#This Row],[Bet]])),"O",IF(ISNUMBER(SEARCH("+",Table[[#This Row],[Bet]])),IF(ISNUMBER(SEARCH(Table[[#This Row],[Away]],Table[[#This Row],[Bet]])),"RD","HD"),IF(ISNUMBER(SEARCH("-",Table[[#This Row],[Bet]])),IF(ISNUMBER(SEARCH(Table[[#This Row],[Away]],Table[[#This Row],[Bet]])),"RF","HF"),IF(ISNUMBER(SEARCH("Moneyline",Table[[#This Row],[Bet]])),IF(Table[[#This Row],[Odds]]&lt;0,"MF","MD"),""))))))</f>
        <v>RD</v>
      </c>
      <c r="Y16" s="111">
        <f>Table[[#This Row],[Money %]]-Table[[#This Row],[Bet %]]</f>
        <v>0.13</v>
      </c>
      <c r="AA16" s="88" t="str">
        <f>Tracker!AA30</f>
        <v>75-80%</v>
      </c>
      <c r="AB16" s="101" t="str">
        <f>Tracker!AD30</f>
        <v>O</v>
      </c>
      <c r="AC16" s="102" t="str">
        <f>Tracker!AE30</f>
        <v>O</v>
      </c>
      <c r="AD16" s="101" t="str">
        <f>Tracker!AF30</f>
        <v>X</v>
      </c>
      <c r="AE16" s="102" t="str">
        <f>Tracker!AG30</f>
        <v>X</v>
      </c>
      <c r="AF16" s="101" t="str">
        <f>Tracker!AH30</f>
        <v>X</v>
      </c>
      <c r="AG16" s="102" t="str">
        <f>Tracker!AI30</f>
        <v/>
      </c>
      <c r="AH16" s="101" t="str">
        <f>Tracker!AJ30</f>
        <v>X</v>
      </c>
      <c r="AI16" s="103" t="str">
        <f>Tracker!AK30</f>
        <v>O</v>
      </c>
      <c r="AK16" s="116" t="s">
        <v>29</v>
      </c>
      <c r="AL16" s="116" t="s">
        <v>1305</v>
      </c>
      <c r="AM16" s="116" t="s">
        <v>166</v>
      </c>
      <c r="AN16" s="118">
        <f>INDEX(HomeOU[],MATCH(Analysis[[#This Row],[City]],HomeOU[Team],0),4)</f>
        <v>0.56699999999999995</v>
      </c>
      <c r="AO16" s="118">
        <f>INDEX(HomeOU[],MATCH(Analysis[[#This Row],[City]],HomeOU[Team],0),3)</f>
        <v>0.433</v>
      </c>
      <c r="AP16" s="118">
        <f>INDEX(RoadOU[],MATCH(Analysis[[#This Row],[City]],RoadOU[Team],0),4)</f>
        <v>0.48499999999999999</v>
      </c>
      <c r="AQ16" s="118">
        <f>INDEX(RoadOU[],MATCH(Analysis[[#This Row],[City]],RoadOU[Team],0),3)</f>
        <v>0.51500000000000001</v>
      </c>
      <c r="AR16" s="118">
        <f>INDEX(HFATS[],MATCH(Analysis[[#This Row],[City]],HFATS[Team],0),3)</f>
        <v>0.4</v>
      </c>
      <c r="AS16" s="118">
        <f>INDEX(HDATS[],MATCH(Analysis[[#This Row],[City]],HDATS[Team],0),3)</f>
        <v>0.52</v>
      </c>
      <c r="AT16" s="118">
        <f>INDEX(RFATS[],MATCH(Analysis[[#This Row],[City]],RFATS[Team],0),3)</f>
        <v>1</v>
      </c>
      <c r="AU16" s="118">
        <f>INDEX(RDATS[],MATCH(Analysis[[#This Row],[City]],RDATS[Team],0),3)</f>
        <v>0.51600000000000001</v>
      </c>
    </row>
    <row r="17" spans="2:47" x14ac:dyDescent="0.25">
      <c r="B17" s="81" t="s">
        <v>2109</v>
      </c>
      <c r="C17" s="82" t="s">
        <v>2114</v>
      </c>
      <c r="D17" s="114">
        <v>0.5265805403438959</v>
      </c>
      <c r="E17" s="145" t="str">
        <f>IFERROR(IF(Table[[#This Row],[Trend Bet]]=Table[[#This Row],[Confidence Bet]],Table[[#This Row],[Confidence Bet]],"--"),"")</f>
        <v>--</v>
      </c>
      <c r="F17" s="97" t="str">
        <f>IFERROR(IF(INDEX($AA$10:$AI$20,MATCH(Table[[#This Row],[Range]],$AA$10:$AA$20,0),MATCH(Table[[#This Row],[Type]],$AA$10:$AI$10,0))="X",Table[[#This Row],[Bet]],IF(INDEX($AA$10:$AI$20,MATCH(Table[[#This Row],[Range]],$AA$10:$AA$20,0),MATCH(Table[[#This Row],[Type]],$AA$10:$AI$10,0))="O",Table[[#This Row],[Counterbet]],"--")),"")</f>
        <v>Over 211.5</v>
      </c>
      <c r="G17" s="97" t="str">
        <f>IFERROR(IF(INDEX($AA$24:$AI$44,MATCH(Table[[#This Row],[Trend Range]],$AA$24:$AA$44,0),MATCH(Table[[#This Row],[Type]],$AA$24:$AI$24,0))="X",Table[[#This Row],[Bet]],IF(INDEX($AA$24:$AI$44,MATCH(Table[[#This Row],[Trend Range]],$AA$24:$AA$44,0),MATCH(Table[[#This Row],[Type]],$AA$24:$AI$24,0))="O",Table[[#This Row],[Counterbet]],"--")),"")</f>
        <v>--</v>
      </c>
      <c r="H17" s="145">
        <f>IFERROR(IF(OR(Table[[#This Row],[Type]]="O",Table[[#This Row],[Type]]="U"),AVERAGE(INDEX(Analysis[],MATCH(Table[[#This Row],[Home]],Analysis[Nickname],0),MATCH("H"&amp;Table[Type],Analysis[#Headers],0)),INDEX(Analysis[],MATCH(Table[[#This Row],[Away]],Analysis[Nickname],0),MATCH("R"&amp;Table[Type],Analysis[#Headers],0))),AVERAGE(INDEX(Analysis[],MATCH(Table[[#This Row],[Bet Team]],Analysis[Nickname],0),MATCH(Table[[#This Row],[Type]],Analysis[#Headers],0)),1-INDEX(Analysis[],MATCH(IF(Table[[#This Row],[Bet Team]]=Table[[#This Row],[Home]],Table[[#This Row],[Away]],Table[[#This Row],[Home]]),Analysis[Nickname],0),MATCH(IF(Table[[#This Row],[Type]]="RD","HF",IF(Table[[#This Row],[Type]]="RF","HD",IF(Table[[#This Row],[Type]]="HD","RF","RD"))),Analysis[#Headers],0)))),"")</f>
        <v>0.46499999999999997</v>
      </c>
      <c r="I17" s="156">
        <v>0.43</v>
      </c>
      <c r="J17" s="156">
        <v>0.92</v>
      </c>
      <c r="K17" s="97" t="str">
        <f>IFERROR(IF(Table[[#This Row],[M - B]]&gt;0,ROUNDDOWN(Table[[#This Row],[M - B]]*20,0)*5&amp;"-"&amp;ROUNDDOWN(Table[[#This Row],[M - B]]*20,0)*5+5&amp;"%",ROUNDUP(Table[[#This Row],[M - B]]*20,0)*5&amp;"-"&amp;ROUNDUP(Table[[#This Row],[M - B]]*20,0)*5+5&amp;"%"),"n/a")</f>
        <v>45-50%</v>
      </c>
      <c r="L17" s="146" t="s">
        <v>57</v>
      </c>
      <c r="M17" s="95"/>
      <c r="N17" s="111" t="str">
        <f>IF(ISBLANK(Table[[#This Row],[Confidence]]),"",IFERROR(ROUNDDOWN(Table[[#This Row],[Confidence]]*20,0)*5&amp;"-"&amp;ROUNDDOWN(Table[[#This Row],[Confidence]]*20,0)*5+Tracker!$AB$23*100&amp;"%","n/a"))</f>
        <v>50-55%</v>
      </c>
      <c r="O17" s="111" t="str">
        <f>IF(ISBLANK(Table[[#This Row],[Trend Based Cover %]]),"",IFERROR(ROUNDDOWN(Table[[#This Row],[Trend Based Cover %]]*20,0)*5&amp;"-"&amp;ROUNDDOWN(Table[[#This Row],[Trend Based Cover %]]*20,0)*5+Tracker!$AB$23*100&amp;"%","n/a"))</f>
        <v>45-50%</v>
      </c>
      <c r="P17" s="111" t="str">
        <f>IF(Table[[#This Row],[Combo Bet]]="--","--",IF(Table[[#This Row],[Combo Bet]]=Table[[#This Row],[Bet]],Table[[#This Row],[Result]],IF(Table[[#This Row],[Result]]="W","L","W")))</f>
        <v>--</v>
      </c>
      <c r="Q17" s="111" t="str">
        <f>IF(Table[[#This Row],[Confidence Bet]]="--","--",IF(Table[[#This Row],[Confidence Bet]]=Table[[#This Row],[Bet]],Table[[#This Row],[Result]],IF(Table[[#This Row],[Result]]="W","L","W")))</f>
        <v>W</v>
      </c>
      <c r="R17" s="111" t="str">
        <f>IF(Table[[#This Row],[Trend Bet]]="--","--",IF(Table[[#This Row],[Trend Bet]]=Table[[#This Row],[Bet]],Table[[#This Row],[Result]],IF(Table[[#This Row],[Result]]="W","L","W")))</f>
        <v>--</v>
      </c>
      <c r="S17" s="111" t="str">
        <f>IF(Table[[#This Row],[Type]]="U","Over "&amp;Table[[#This Row],[Line]],IF(Table[[#This Row],[Type]]="O","Under "&amp;Table[[#This Row],[Line]],IF(Table[[#This Row],[Type]]="RD",Table[[#This Row],[Home]]&amp;" -"&amp;Table[[#This Row],[Line]],IF(Table[[#This Row],[Type]]="RF",Table[[#This Row],[Home]]&amp;" +"&amp;-1*Table[[#This Row],[Line]],IF(Table[[#This Row],[Type]]="HD",Table[[#This Row],[Away]]&amp;" -"&amp;Table[[#This Row],[Line]],IF(Table[[#This Row],[Type]]="HF",Table[[#This Row],[Away]]&amp;" +"&amp;-1*Table[[#This Row],[Line]],""))))))</f>
        <v>Over 211.5</v>
      </c>
      <c r="T17" s="111">
        <f>_xlfn.NUMBERVALUE(IF(Table[[#This Row],[Type]]="O",MID(Table[[#This Row],[Bet]],6,LEN(Table[[#This Row],[Bet]])),IF(Table[[#This Row],[Type]]="U",MID(Table[[#This Row],[Bet]],7,LEN(Table[[#This Row],[Bet]])),IF(ISNUMBER(SEARCH("+",Table[[#This Row],[Bet]])),RIGHT(Table[[#This Row],[Bet]],LEN(Table[[#This Row],[Bet]])-SEARCH("+",Table[[#This Row],[Bet]])),IF(ISNUMBER(SEARCH(" -",Table[[#This Row],[Bet]])),RIGHT(Table[[#This Row],[Bet]],LEN(Table[[#This Row],[Bet]])-SEARCH(" -",Table[[#This Row],[Bet]])+1),"Hold")))))</f>
        <v>211.5</v>
      </c>
      <c r="U17" s="111" t="str">
        <f>IFERROR(MID(Table[[#This Row],[Game]],SEARCH("@",Table[[#This Row],[Game]])+2,LEN(Table[[#This Row],[Game]])),"")</f>
        <v>76ers</v>
      </c>
      <c r="V17" s="111" t="str">
        <f>IFERROR(LEFT(Table[[#This Row],[Game]],SEARCH("@",Table[[#This Row],[Game]])-2),"")</f>
        <v>Pistons</v>
      </c>
      <c r="W17" s="111" t="str">
        <f>IF(OR(Table[[#This Row],[Type]]="O",Table[[#This Row],[Type]]="U"),"--",IF(ISNUMBER(SEARCH(Table[[#This Row],[Home]],Table[[#This Row],[Bet]])),Table[[#This Row],[Home]],Table[[#This Row],[Away]]))</f>
        <v>--</v>
      </c>
      <c r="X17" s="112" t="str">
        <f>IF(ISNUMBER(SEARCH(CHAR(10),Table[[#This Row],[Bet]])),"P",IF(ISNUMBER(FIND("Under",Table[[#This Row],[Bet]])),"U",IF(ISNUMBER(SEARCH("Over",Table[[#This Row],[Bet]])),"O",IF(ISNUMBER(SEARCH("+",Table[[#This Row],[Bet]])),IF(ISNUMBER(SEARCH(Table[[#This Row],[Away]],Table[[#This Row],[Bet]])),"RD","HD"),IF(ISNUMBER(SEARCH("-",Table[[#This Row],[Bet]])),IF(ISNUMBER(SEARCH(Table[[#This Row],[Away]],Table[[#This Row],[Bet]])),"RF","HF"),IF(ISNUMBER(SEARCH("Moneyline",Table[[#This Row],[Bet]])),IF(Table[[#This Row],[Odds]]&lt;0,"MF","MD"),""))))))</f>
        <v>U</v>
      </c>
      <c r="Y17" s="111">
        <f>Table[[#This Row],[Money %]]-Table[[#This Row],[Bet %]]</f>
        <v>0.49000000000000005</v>
      </c>
      <c r="AA17" s="88" t="str">
        <f>Tracker!AA31</f>
        <v>80-85%</v>
      </c>
      <c r="AB17" s="101" t="str">
        <f>Tracker!AD31</f>
        <v>X</v>
      </c>
      <c r="AC17" s="102" t="str">
        <f>Tracker!AE31</f>
        <v>O</v>
      </c>
      <c r="AD17" s="101" t="str">
        <f>Tracker!AF31</f>
        <v/>
      </c>
      <c r="AE17" s="102" t="str">
        <f>Tracker!AG31</f>
        <v>O</v>
      </c>
      <c r="AF17" s="101" t="str">
        <f>Tracker!AH31</f>
        <v/>
      </c>
      <c r="AG17" s="102" t="str">
        <f>Tracker!AI31</f>
        <v/>
      </c>
      <c r="AH17" s="101" t="str">
        <f>Tracker!AJ31</f>
        <v>O</v>
      </c>
      <c r="AI17" s="103" t="str">
        <f>Tracker!AK31</f>
        <v/>
      </c>
      <c r="AK17" s="116" t="s">
        <v>46</v>
      </c>
      <c r="AL17" s="116" t="s">
        <v>1291</v>
      </c>
      <c r="AM17" s="116" t="s">
        <v>179</v>
      </c>
      <c r="AN17" s="118">
        <f>INDEX(HomeOU[],MATCH(Analysis[[#This Row],[City]],HomeOU[Team],0),4)</f>
        <v>0.53100000000000003</v>
      </c>
      <c r="AO17" s="118">
        <f>INDEX(HomeOU[],MATCH(Analysis[[#This Row],[City]],HomeOU[Team],0),3)</f>
        <v>0.46899999999999997</v>
      </c>
      <c r="AP17" s="118">
        <f>INDEX(RoadOU[],MATCH(Analysis[[#This Row],[City]],RoadOU[Team],0),4)</f>
        <v>0.53100000000000003</v>
      </c>
      <c r="AQ17" s="118">
        <f>INDEX(RoadOU[],MATCH(Analysis[[#This Row],[City]],RoadOU[Team],0),3)</f>
        <v>0.46899999999999997</v>
      </c>
      <c r="AR17" s="118">
        <f>INDEX(HFATS[],MATCH(Analysis[[#This Row],[City]],HFATS[Team],0),3)</f>
        <v>0.51800000000000002</v>
      </c>
      <c r="AS17" s="118">
        <f>INDEX(HDATS[],MATCH(Analysis[[#This Row],[City]],HDATS[Team],0),3)</f>
        <v>1</v>
      </c>
      <c r="AT17" s="118">
        <f>INDEX(RFATS[],MATCH(Analysis[[#This Row],[City]],RFATS[Team],0),3)</f>
        <v>0.625</v>
      </c>
      <c r="AU17" s="118">
        <f>INDEX(RDATS[],MATCH(Analysis[[#This Row],[City]],RDATS[Team],0),3)</f>
        <v>0.71399999999999997</v>
      </c>
    </row>
    <row r="18" spans="2:47" x14ac:dyDescent="0.25">
      <c r="B18" s="81" t="s">
        <v>2111</v>
      </c>
      <c r="C18" s="82" t="s">
        <v>2054</v>
      </c>
      <c r="D18" s="114">
        <v>0.67646047098535078</v>
      </c>
      <c r="E18" s="145" t="str">
        <f>IFERROR(IF(Table[[#This Row],[Trend Bet]]=Table[[#This Row],[Confidence Bet]],Table[[#This Row],[Confidence Bet]],"--"),"")</f>
        <v>Knicks +4.5</v>
      </c>
      <c r="F18" s="97" t="str">
        <f>IFERROR(IF(INDEX($AA$10:$AI$20,MATCH(Table[[#This Row],[Range]],$AA$10:$AA$20,0),MATCH(Table[[#This Row],[Type]],$AA$10:$AI$10,0))="X",Table[[#This Row],[Bet]],IF(INDEX($AA$10:$AI$20,MATCH(Table[[#This Row],[Range]],$AA$10:$AA$20,0),MATCH(Table[[#This Row],[Type]],$AA$10:$AI$10,0))="O",Table[[#This Row],[Counterbet]],"--")),"")</f>
        <v>Knicks +4.5</v>
      </c>
      <c r="G18" s="97" t="str">
        <f>IFERROR(IF(INDEX($AA$24:$AI$44,MATCH(Table[[#This Row],[Trend Range]],$AA$24:$AA$44,0),MATCH(Table[[#This Row],[Type]],$AA$24:$AI$24,0))="X",Table[[#This Row],[Bet]],IF(INDEX($AA$24:$AI$44,MATCH(Table[[#This Row],[Trend Range]],$AA$24:$AA$44,0),MATCH(Table[[#This Row],[Type]],$AA$24:$AI$24,0))="O",Table[[#This Row],[Counterbet]],"--")),"")</f>
        <v>Knicks +4.5</v>
      </c>
      <c r="H18" s="145">
        <f>IFERROR(IF(OR(Table[[#This Row],[Type]]="O",Table[[#This Row],[Type]]="U"),AVERAGE(INDEX(Analysis[],MATCH(Table[[#This Row],[Home]],Analysis[Nickname],0),MATCH("H"&amp;Table[Type],Analysis[#Headers],0)),INDEX(Analysis[],MATCH(Table[[#This Row],[Away]],Analysis[Nickname],0),MATCH("R"&amp;Table[Type],Analysis[#Headers],0))),AVERAGE(INDEX(Analysis[],MATCH(Table[[#This Row],[Bet Team]],Analysis[Nickname],0),MATCH(Table[[#This Row],[Type]],Analysis[#Headers],0)),1-INDEX(Analysis[],MATCH(IF(Table[[#This Row],[Bet Team]]=Table[[#This Row],[Home]],Table[[#This Row],[Away]],Table[[#This Row],[Home]]),Analysis[Nickname],0),MATCH(IF(Table[[#This Row],[Type]]="RD","HF",IF(Table[[#This Row],[Type]]="RF","HD",IF(Table[[#This Row],[Type]]="HD","RF","RD"))),Analysis[#Headers],0)))),"")</f>
        <v>0.39749999999999996</v>
      </c>
      <c r="I18" s="156">
        <v>0.28000000000000003</v>
      </c>
      <c r="J18" s="156">
        <v>0.1</v>
      </c>
      <c r="K18" s="97" t="str">
        <f>IFERROR(IF(Table[[#This Row],[M - B]]&gt;0,ROUNDDOWN(Table[[#This Row],[M - B]]*20,0)*5&amp;"-"&amp;ROUNDDOWN(Table[[#This Row],[M - B]]*20,0)*5+5&amp;"%",ROUNDUP(Table[[#This Row],[M - B]]*20,0)*5&amp;"-"&amp;ROUNDUP(Table[[#This Row],[M - B]]*20,0)*5+5&amp;"%"),"n/a")</f>
        <v>-20--15%</v>
      </c>
      <c r="L18" s="146" t="s">
        <v>56</v>
      </c>
      <c r="M18" s="95"/>
      <c r="N18" s="111" t="str">
        <f>IF(ISBLANK(Table[[#This Row],[Confidence]]),"",IFERROR(ROUNDDOWN(Table[[#This Row],[Confidence]]*20,0)*5&amp;"-"&amp;ROUNDDOWN(Table[[#This Row],[Confidence]]*20,0)*5+Tracker!$AB$23*100&amp;"%","n/a"))</f>
        <v>65-70%</v>
      </c>
      <c r="O18" s="111" t="str">
        <f>IF(ISBLANK(Table[[#This Row],[Trend Based Cover %]]),"",IFERROR(ROUNDDOWN(Table[[#This Row],[Trend Based Cover %]]*20,0)*5&amp;"-"&amp;ROUNDDOWN(Table[[#This Row],[Trend Based Cover %]]*20,0)*5+Tracker!$AB$23*100&amp;"%","n/a"))</f>
        <v>35-40%</v>
      </c>
      <c r="P18" s="111" t="str">
        <f>IF(Table[[#This Row],[Combo Bet]]="--","--",IF(Table[[#This Row],[Combo Bet]]=Table[[#This Row],[Bet]],Table[[#This Row],[Result]],IF(Table[[#This Row],[Result]]="W","L","W")))</f>
        <v>W</v>
      </c>
      <c r="Q18" s="111" t="str">
        <f>IF(Table[[#This Row],[Confidence Bet]]="--","--",IF(Table[[#This Row],[Confidence Bet]]=Table[[#This Row],[Bet]],Table[[#This Row],[Result]],IF(Table[[#This Row],[Result]]="W","L","W")))</f>
        <v>W</v>
      </c>
      <c r="R18" s="111" t="str">
        <f>IF(Table[[#This Row],[Trend Bet]]="--","--",IF(Table[[#This Row],[Trend Bet]]=Table[[#This Row],[Bet]],Table[[#This Row],[Result]],IF(Table[[#This Row],[Result]]="W","L","W")))</f>
        <v>W</v>
      </c>
      <c r="S18" s="111" t="str">
        <f>IF(Table[[#This Row],[Type]]="U","Over "&amp;Table[[#This Row],[Line]],IF(Table[[#This Row],[Type]]="O","Under "&amp;Table[[#This Row],[Line]],IF(Table[[#This Row],[Type]]="RD",Table[[#This Row],[Home]]&amp;" -"&amp;Table[[#This Row],[Line]],IF(Table[[#This Row],[Type]]="RF",Table[[#This Row],[Home]]&amp;" +"&amp;-1*Table[[#This Row],[Line]],IF(Table[[#This Row],[Type]]="HD",Table[[#This Row],[Away]]&amp;" -"&amp;Table[[#This Row],[Line]],IF(Table[[#This Row],[Type]]="HF",Table[[#This Row],[Away]]&amp;" +"&amp;-1*Table[[#This Row],[Line]],""))))))</f>
        <v>Hawks -4.5</v>
      </c>
      <c r="T18" s="111">
        <f>_xlfn.NUMBERVALUE(IF(Table[[#This Row],[Type]]="O",MID(Table[[#This Row],[Bet]],6,LEN(Table[[#This Row],[Bet]])),IF(Table[[#This Row],[Type]]="U",MID(Table[[#This Row],[Bet]],7,LEN(Table[[#This Row],[Bet]])),IF(ISNUMBER(SEARCH("+",Table[[#This Row],[Bet]])),RIGHT(Table[[#This Row],[Bet]],LEN(Table[[#This Row],[Bet]])-SEARCH("+",Table[[#This Row],[Bet]])),IF(ISNUMBER(SEARCH(" -",Table[[#This Row],[Bet]])),RIGHT(Table[[#This Row],[Bet]],LEN(Table[[#This Row],[Bet]])-SEARCH(" -",Table[[#This Row],[Bet]])+1),"Hold")))))</f>
        <v>4.5</v>
      </c>
      <c r="U18" s="111" t="str">
        <f>IFERROR(MID(Table[[#This Row],[Game]],SEARCH("@",Table[[#This Row],[Game]])+2,LEN(Table[[#This Row],[Game]])),"")</f>
        <v>Hawks</v>
      </c>
      <c r="V18" s="111" t="str">
        <f>IFERROR(LEFT(Table[[#This Row],[Game]],SEARCH("@",Table[[#This Row],[Game]])-2),"")</f>
        <v>Knicks</v>
      </c>
      <c r="W18" s="111" t="str">
        <f>IF(OR(Table[[#This Row],[Type]]="O",Table[[#This Row],[Type]]="U"),"--",IF(ISNUMBER(SEARCH(Table[[#This Row],[Home]],Table[[#This Row],[Bet]])),Table[[#This Row],[Home]],Table[[#This Row],[Away]]))</f>
        <v>Knicks</v>
      </c>
      <c r="X18" s="112" t="str">
        <f>IF(ISNUMBER(SEARCH(CHAR(10),Table[[#This Row],[Bet]])),"P",IF(ISNUMBER(FIND("Under",Table[[#This Row],[Bet]])),"U",IF(ISNUMBER(SEARCH("Over",Table[[#This Row],[Bet]])),"O",IF(ISNUMBER(SEARCH("+",Table[[#This Row],[Bet]])),IF(ISNUMBER(SEARCH(Table[[#This Row],[Away]],Table[[#This Row],[Bet]])),"RD","HD"),IF(ISNUMBER(SEARCH("-",Table[[#This Row],[Bet]])),IF(ISNUMBER(SEARCH(Table[[#This Row],[Away]],Table[[#This Row],[Bet]])),"RF","HF"),IF(ISNUMBER(SEARCH("Moneyline",Table[[#This Row],[Bet]])),IF(Table[[#This Row],[Odds]]&lt;0,"MF","MD"),""))))))</f>
        <v>RD</v>
      </c>
      <c r="Y18" s="111">
        <f>Table[[#This Row],[Money %]]-Table[[#This Row],[Bet %]]</f>
        <v>-0.18000000000000002</v>
      </c>
      <c r="AA18" s="88" t="str">
        <f>Tracker!AA32</f>
        <v>85-90%</v>
      </c>
      <c r="AB18" s="101" t="str">
        <f>Tracker!AD32</f>
        <v/>
      </c>
      <c r="AC18" s="102" t="str">
        <f>Tracker!AE32</f>
        <v>X</v>
      </c>
      <c r="AD18" s="101" t="str">
        <f>Tracker!AF32</f>
        <v/>
      </c>
      <c r="AE18" s="102" t="str">
        <f>Tracker!AG32</f>
        <v/>
      </c>
      <c r="AF18" s="101" t="str">
        <f>Tracker!AH32</f>
        <v/>
      </c>
      <c r="AG18" s="102" t="str">
        <f>Tracker!AI32</f>
        <v/>
      </c>
      <c r="AH18" s="101" t="str">
        <f>Tracker!AJ32</f>
        <v/>
      </c>
      <c r="AI18" s="103" t="str">
        <f>Tracker!AK32</f>
        <v/>
      </c>
      <c r="AK18" s="116" t="s">
        <v>38</v>
      </c>
      <c r="AL18" s="116" t="s">
        <v>1296</v>
      </c>
      <c r="AM18" s="116" t="s">
        <v>172</v>
      </c>
      <c r="AN18" s="118">
        <f>INDEX(HomeOU[],MATCH(Analysis[[#This Row],[City]],HomeOU[Team],0),4)</f>
        <v>0.51600000000000001</v>
      </c>
      <c r="AO18" s="118">
        <f>INDEX(HomeOU[],MATCH(Analysis[[#This Row],[City]],HomeOU[Team],0),3)</f>
        <v>0.48399999999999999</v>
      </c>
      <c r="AP18" s="118">
        <f>INDEX(RoadOU[],MATCH(Analysis[[#This Row],[City]],RoadOU[Team],0),4)</f>
        <v>0.5</v>
      </c>
      <c r="AQ18" s="118">
        <f>INDEX(RoadOU[],MATCH(Analysis[[#This Row],[City]],RoadOU[Team],0),3)</f>
        <v>0.5</v>
      </c>
      <c r="AR18" s="118">
        <f>INDEX(HFATS[],MATCH(Analysis[[#This Row],[City]],HFATS[Team],0),3)</f>
        <v>0.47599999999999998</v>
      </c>
      <c r="AS18" s="118">
        <f>INDEX(HDATS[],MATCH(Analysis[[#This Row],[City]],HDATS[Team],0),3)</f>
        <v>0.63600000000000001</v>
      </c>
      <c r="AT18" s="118">
        <f>INDEX(RFATS[],MATCH(Analysis[[#This Row],[City]],RFATS[Team],0),3)</f>
        <v>0.41699999999999998</v>
      </c>
      <c r="AU18" s="118">
        <f>INDEX(RDATS[],MATCH(Analysis[[#This Row],[City]],RDATS[Team],0),3)</f>
        <v>0.45</v>
      </c>
    </row>
    <row r="19" spans="2:47" x14ac:dyDescent="0.25">
      <c r="B19" s="81" t="s">
        <v>2111</v>
      </c>
      <c r="C19" s="82" t="s">
        <v>874</v>
      </c>
      <c r="D19" s="114">
        <v>0.59198891564968104</v>
      </c>
      <c r="E19" s="145" t="str">
        <f>IFERROR(IF(Table[[#This Row],[Trend Bet]]=Table[[#This Row],[Confidence Bet]],Table[[#This Row],[Confidence Bet]],"--"),"")</f>
        <v>Over 232.5</v>
      </c>
      <c r="F19" s="97" t="str">
        <f>IFERROR(IF(INDEX($AA$10:$AI$20,MATCH(Table[[#This Row],[Range]],$AA$10:$AA$20,0),MATCH(Table[[#This Row],[Type]],$AA$10:$AI$10,0))="X",Table[[#This Row],[Bet]],IF(INDEX($AA$10:$AI$20,MATCH(Table[[#This Row],[Range]],$AA$10:$AA$20,0),MATCH(Table[[#This Row],[Type]],$AA$10:$AI$10,0))="O",Table[[#This Row],[Counterbet]],"--")),"")</f>
        <v>Over 232.5</v>
      </c>
      <c r="G19" s="97" t="str">
        <f>IFERROR(IF(INDEX($AA$24:$AI$44,MATCH(Table[[#This Row],[Trend Range]],$AA$24:$AA$44,0),MATCH(Table[[#This Row],[Type]],$AA$24:$AI$24,0))="X",Table[[#This Row],[Bet]],IF(INDEX($AA$24:$AI$44,MATCH(Table[[#This Row],[Trend Range]],$AA$24:$AA$44,0),MATCH(Table[[#This Row],[Type]],$AA$24:$AI$24,0))="O",Table[[#This Row],[Counterbet]],"--")),"")</f>
        <v>Over 232.5</v>
      </c>
      <c r="H19" s="145">
        <f>IFERROR(IF(OR(Table[[#This Row],[Type]]="O",Table[[#This Row],[Type]]="U"),AVERAGE(INDEX(Analysis[],MATCH(Table[[#This Row],[Home]],Analysis[Nickname],0),MATCH("H"&amp;Table[Type],Analysis[#Headers],0)),INDEX(Analysis[],MATCH(Table[[#This Row],[Away]],Analysis[Nickname],0),MATCH("R"&amp;Table[Type],Analysis[#Headers],0))),AVERAGE(INDEX(Analysis[],MATCH(Table[[#This Row],[Bet Team]],Analysis[Nickname],0),MATCH(Table[[#This Row],[Type]],Analysis[#Headers],0)),1-INDEX(Analysis[],MATCH(IF(Table[[#This Row],[Bet Team]]=Table[[#This Row],[Home]],Table[[#This Row],[Away]],Table[[#This Row],[Home]]),Analysis[Nickname],0),MATCH(IF(Table[[#This Row],[Type]]="RD","HF",IF(Table[[#This Row],[Type]]="RF","HD",IF(Table[[#This Row],[Type]]="HD","RF","RD"))),Analysis[#Headers],0)))),"")</f>
        <v>0.41600000000000004</v>
      </c>
      <c r="I19" s="156">
        <v>0.21</v>
      </c>
      <c r="J19" s="156">
        <v>0.21</v>
      </c>
      <c r="K19" s="97" t="str">
        <f>IFERROR(IF(Table[[#This Row],[M - B]]&gt;0,ROUNDDOWN(Table[[#This Row],[M - B]]*20,0)*5&amp;"-"&amp;ROUNDDOWN(Table[[#This Row],[M - B]]*20,0)*5+5&amp;"%",ROUNDUP(Table[[#This Row],[M - B]]*20,0)*5&amp;"-"&amp;ROUNDUP(Table[[#This Row],[M - B]]*20,0)*5+5&amp;"%"),"n/a")</f>
        <v>0-5%</v>
      </c>
      <c r="L19" s="146" t="s">
        <v>57</v>
      </c>
      <c r="M19" s="95"/>
      <c r="N19" s="111" t="str">
        <f>IF(ISBLANK(Table[[#This Row],[Confidence]]),"",IFERROR(ROUNDDOWN(Table[[#This Row],[Confidence]]*20,0)*5&amp;"-"&amp;ROUNDDOWN(Table[[#This Row],[Confidence]]*20,0)*5+Tracker!$AB$23*100&amp;"%","n/a"))</f>
        <v>55-60%</v>
      </c>
      <c r="O19" s="111" t="str">
        <f>IF(ISBLANK(Table[[#This Row],[Trend Based Cover %]]),"",IFERROR(ROUNDDOWN(Table[[#This Row],[Trend Based Cover %]]*20,0)*5&amp;"-"&amp;ROUNDDOWN(Table[[#This Row],[Trend Based Cover %]]*20,0)*5+Tracker!$AB$23*100&amp;"%","n/a"))</f>
        <v>40-45%</v>
      </c>
      <c r="P19" s="111" t="str">
        <f>IF(Table[[#This Row],[Combo Bet]]="--","--",IF(Table[[#This Row],[Combo Bet]]=Table[[#This Row],[Bet]],Table[[#This Row],[Result]],IF(Table[[#This Row],[Result]]="W","L","W")))</f>
        <v>W</v>
      </c>
      <c r="Q19" s="111" t="str">
        <f>IF(Table[[#This Row],[Confidence Bet]]="--","--",IF(Table[[#This Row],[Confidence Bet]]=Table[[#This Row],[Bet]],Table[[#This Row],[Result]],IF(Table[[#This Row],[Result]]="W","L","W")))</f>
        <v>W</v>
      </c>
      <c r="R19" s="111" t="str">
        <f>IF(Table[[#This Row],[Trend Bet]]="--","--",IF(Table[[#This Row],[Trend Bet]]=Table[[#This Row],[Bet]],Table[[#This Row],[Result]],IF(Table[[#This Row],[Result]]="W","L","W")))</f>
        <v>W</v>
      </c>
      <c r="S19" s="111" t="str">
        <f>IF(Table[[#This Row],[Type]]="U","Over "&amp;Table[[#This Row],[Line]],IF(Table[[#This Row],[Type]]="O","Under "&amp;Table[[#This Row],[Line]],IF(Table[[#This Row],[Type]]="RD",Table[[#This Row],[Home]]&amp;" -"&amp;Table[[#This Row],[Line]],IF(Table[[#This Row],[Type]]="RF",Table[[#This Row],[Home]]&amp;" +"&amp;-1*Table[[#This Row],[Line]],IF(Table[[#This Row],[Type]]="HD",Table[[#This Row],[Away]]&amp;" -"&amp;Table[[#This Row],[Line]],IF(Table[[#This Row],[Type]]="HF",Table[[#This Row],[Away]]&amp;" +"&amp;-1*Table[[#This Row],[Line]],""))))))</f>
        <v>Over 232.5</v>
      </c>
      <c r="T19" s="111">
        <f>_xlfn.NUMBERVALUE(IF(Table[[#This Row],[Type]]="O",MID(Table[[#This Row],[Bet]],6,LEN(Table[[#This Row],[Bet]])),IF(Table[[#This Row],[Type]]="U",MID(Table[[#This Row],[Bet]],7,LEN(Table[[#This Row],[Bet]])),IF(ISNUMBER(SEARCH("+",Table[[#This Row],[Bet]])),RIGHT(Table[[#This Row],[Bet]],LEN(Table[[#This Row],[Bet]])-SEARCH("+",Table[[#This Row],[Bet]])),IF(ISNUMBER(SEARCH(" -",Table[[#This Row],[Bet]])),RIGHT(Table[[#This Row],[Bet]],LEN(Table[[#This Row],[Bet]])-SEARCH(" -",Table[[#This Row],[Bet]])+1),"Hold")))))</f>
        <v>232.5</v>
      </c>
      <c r="U19" s="111" t="str">
        <f>IFERROR(MID(Table[[#This Row],[Game]],SEARCH("@",Table[[#This Row],[Game]])+2,LEN(Table[[#This Row],[Game]])),"")</f>
        <v>Hawks</v>
      </c>
      <c r="V19" s="111" t="str">
        <f>IFERROR(LEFT(Table[[#This Row],[Game]],SEARCH("@",Table[[#This Row],[Game]])-2),"")</f>
        <v>Knicks</v>
      </c>
      <c r="W19" s="111" t="str">
        <f>IF(OR(Table[[#This Row],[Type]]="O",Table[[#This Row],[Type]]="U"),"--",IF(ISNUMBER(SEARCH(Table[[#This Row],[Home]],Table[[#This Row],[Bet]])),Table[[#This Row],[Home]],Table[[#This Row],[Away]]))</f>
        <v>--</v>
      </c>
      <c r="X19" s="112" t="str">
        <f>IF(ISNUMBER(SEARCH(CHAR(10),Table[[#This Row],[Bet]])),"P",IF(ISNUMBER(FIND("Under",Table[[#This Row],[Bet]])),"U",IF(ISNUMBER(SEARCH("Over",Table[[#This Row],[Bet]])),"O",IF(ISNUMBER(SEARCH("+",Table[[#This Row],[Bet]])),IF(ISNUMBER(SEARCH(Table[[#This Row],[Away]],Table[[#This Row],[Bet]])),"RD","HD"),IF(ISNUMBER(SEARCH("-",Table[[#This Row],[Bet]])),IF(ISNUMBER(SEARCH(Table[[#This Row],[Away]],Table[[#This Row],[Bet]])),"RF","HF"),IF(ISNUMBER(SEARCH("Moneyline",Table[[#This Row],[Bet]])),IF(Table[[#This Row],[Odds]]&lt;0,"MF","MD"),""))))))</f>
        <v>U</v>
      </c>
      <c r="Y19" s="111">
        <f>Table[[#This Row],[Money %]]-Table[[#This Row],[Bet %]]</f>
        <v>0</v>
      </c>
      <c r="AA19" s="88" t="str">
        <f>Tracker!AA33</f>
        <v>90-95%</v>
      </c>
      <c r="AB19" s="101" t="str">
        <f>Tracker!AD33</f>
        <v/>
      </c>
      <c r="AC19" s="102" t="str">
        <f>Tracker!AE33</f>
        <v/>
      </c>
      <c r="AD19" s="101" t="str">
        <f>Tracker!AF33</f>
        <v/>
      </c>
      <c r="AE19" s="102" t="str">
        <f>Tracker!AG33</f>
        <v>X</v>
      </c>
      <c r="AF19" s="101" t="str">
        <f>Tracker!AH33</f>
        <v/>
      </c>
      <c r="AG19" s="102" t="str">
        <f>Tracker!AI33</f>
        <v/>
      </c>
      <c r="AH19" s="101" t="str">
        <f>Tracker!AJ33</f>
        <v>X</v>
      </c>
      <c r="AI19" s="103" t="str">
        <f>Tracker!AK33</f>
        <v/>
      </c>
      <c r="AK19" s="116" t="s">
        <v>25</v>
      </c>
      <c r="AL19" s="116" t="s">
        <v>1295</v>
      </c>
      <c r="AM19" s="116" t="s">
        <v>186</v>
      </c>
      <c r="AN19" s="118">
        <f>INDEX(HomeOU[],MATCH(Analysis[[#This Row],[City]],HomeOU[Team],0),4)</f>
        <v>0.51600000000000001</v>
      </c>
      <c r="AO19" s="118">
        <f>INDEX(HomeOU[],MATCH(Analysis[[#This Row],[City]],HomeOU[Team],0),3)</f>
        <v>0.48399999999999999</v>
      </c>
      <c r="AP19" s="118">
        <f>INDEX(RoadOU[],MATCH(Analysis[[#This Row],[City]],RoadOU[Team],0),4)</f>
        <v>0.56200000000000006</v>
      </c>
      <c r="AQ19" s="118">
        <f>INDEX(RoadOU[],MATCH(Analysis[[#This Row],[City]],RoadOU[Team],0),3)</f>
        <v>0.438</v>
      </c>
      <c r="AR19" s="118">
        <f>INDEX(HFATS[],MATCH(Analysis[[#This Row],[City]],HFATS[Team],0),3)</f>
        <v>0.53300000000000003</v>
      </c>
      <c r="AS19" s="118">
        <f>INDEX(HDATS[],MATCH(Analysis[[#This Row],[City]],HDATS[Team],0),3)</f>
        <v>1</v>
      </c>
      <c r="AT19" s="118">
        <f>INDEX(RFATS[],MATCH(Analysis[[#This Row],[City]],RFATS[Team],0),3)</f>
        <v>0.63600000000000001</v>
      </c>
      <c r="AU19" s="118">
        <f>INDEX(RDATS[],MATCH(Analysis[[#This Row],[City]],RDATS[Team],0),3)</f>
        <v>0.3</v>
      </c>
    </row>
    <row r="20" spans="2:47" ht="15.75" thickBot="1" x14ac:dyDescent="0.3">
      <c r="B20" s="81" t="s">
        <v>2112</v>
      </c>
      <c r="C20" s="82" t="s">
        <v>2113</v>
      </c>
      <c r="D20" s="114">
        <v>0.52744877589056682</v>
      </c>
      <c r="E20" s="145" t="str">
        <f>IFERROR(IF(Table[[#This Row],[Trend Bet]]=Table[[#This Row],[Confidence Bet]],Table[[#This Row],[Confidence Bet]],"--"),"")</f>
        <v>Hornets +10</v>
      </c>
      <c r="F20" s="97" t="str">
        <f>IFERROR(IF(INDEX($AA$10:$AI$20,MATCH(Table[[#This Row],[Range]],$AA$10:$AA$20,0),MATCH(Table[[#This Row],[Type]],$AA$10:$AI$10,0))="X",Table[[#This Row],[Bet]],IF(INDEX($AA$10:$AI$20,MATCH(Table[[#This Row],[Range]],$AA$10:$AA$20,0),MATCH(Table[[#This Row],[Type]],$AA$10:$AI$10,0))="O",Table[[#This Row],[Counterbet]],"--")),"")</f>
        <v>Hornets +10</v>
      </c>
      <c r="G20" s="97" t="str">
        <f>IFERROR(IF(INDEX($AA$24:$AI$44,MATCH(Table[[#This Row],[Trend Range]],$AA$24:$AA$44,0),MATCH(Table[[#This Row],[Type]],$AA$24:$AI$24,0))="X",Table[[#This Row],[Bet]],IF(INDEX($AA$24:$AI$44,MATCH(Table[[#This Row],[Trend Range]],$AA$24:$AA$44,0),MATCH(Table[[#This Row],[Type]],$AA$24:$AI$24,0))="O",Table[[#This Row],[Counterbet]],"--")),"")</f>
        <v>Hornets +10</v>
      </c>
      <c r="H20" s="145">
        <f>IFERROR(IF(OR(Table[[#This Row],[Type]]="O",Table[[#This Row],[Type]]="U"),AVERAGE(INDEX(Analysis[],MATCH(Table[[#This Row],[Home]],Analysis[Nickname],0),MATCH("H"&amp;Table[Type],Analysis[#Headers],0)),INDEX(Analysis[],MATCH(Table[[#This Row],[Away]],Analysis[Nickname],0),MATCH("R"&amp;Table[Type],Analysis[#Headers],0))),AVERAGE(INDEX(Analysis[],MATCH(Table[[#This Row],[Bet Team]],Analysis[Nickname],0),MATCH(Table[[#This Row],[Type]],Analysis[#Headers],0)),1-INDEX(Analysis[],MATCH(IF(Table[[#This Row],[Bet Team]]=Table[[#This Row],[Home]],Table[[#This Row],[Away]],Table[[#This Row],[Home]]),Analysis[Nickname],0),MATCH(IF(Table[[#This Row],[Type]]="RD","HF",IF(Table[[#This Row],[Type]]="RF","HD",IF(Table[[#This Row],[Type]]="HD","RF","RD"))),Analysis[#Headers],0)))),"")</f>
        <v>0.43099999999999999</v>
      </c>
      <c r="I20" s="156">
        <v>0.44</v>
      </c>
      <c r="J20" s="156">
        <v>0.25</v>
      </c>
      <c r="K20" s="97" t="str">
        <f>IFERROR(IF(Table[[#This Row],[M - B]]&gt;0,ROUNDDOWN(Table[[#This Row],[M - B]]*20,0)*5&amp;"-"&amp;ROUNDDOWN(Table[[#This Row],[M - B]]*20,0)*5+5&amp;"%",ROUNDUP(Table[[#This Row],[M - B]]*20,0)*5&amp;"-"&amp;ROUNDUP(Table[[#This Row],[M - B]]*20,0)*5+5&amp;"%"),"n/a")</f>
        <v>-20--15%</v>
      </c>
      <c r="L20" s="146" t="s">
        <v>56</v>
      </c>
      <c r="M20" s="95"/>
      <c r="N20" s="111" t="str">
        <f>IF(ISBLANK(Table[[#This Row],[Confidence]]),"",IFERROR(ROUNDDOWN(Table[[#This Row],[Confidence]]*20,0)*5&amp;"-"&amp;ROUNDDOWN(Table[[#This Row],[Confidence]]*20,0)*5+Tracker!$AB$23*100&amp;"%","n/a"))</f>
        <v>50-55%</v>
      </c>
      <c r="O20" s="111" t="str">
        <f>IF(ISBLANK(Table[[#This Row],[Trend Based Cover %]]),"",IFERROR(ROUNDDOWN(Table[[#This Row],[Trend Based Cover %]]*20,0)*5&amp;"-"&amp;ROUNDDOWN(Table[[#This Row],[Trend Based Cover %]]*20,0)*5+Tracker!$AB$23*100&amp;"%","n/a"))</f>
        <v>40-45%</v>
      </c>
      <c r="P20" s="111" t="str">
        <f>IF(Table[[#This Row],[Combo Bet]]="--","--",IF(Table[[#This Row],[Combo Bet]]=Table[[#This Row],[Bet]],Table[[#This Row],[Result]],IF(Table[[#This Row],[Result]]="W","L","W")))</f>
        <v>W</v>
      </c>
      <c r="Q20" s="111" t="str">
        <f>IF(Table[[#This Row],[Confidence Bet]]="--","--",IF(Table[[#This Row],[Confidence Bet]]=Table[[#This Row],[Bet]],Table[[#This Row],[Result]],IF(Table[[#This Row],[Result]]="W","L","W")))</f>
        <v>W</v>
      </c>
      <c r="R20" s="111" t="str">
        <f>IF(Table[[#This Row],[Trend Bet]]="--","--",IF(Table[[#This Row],[Trend Bet]]=Table[[#This Row],[Bet]],Table[[#This Row],[Result]],IF(Table[[#This Row],[Result]]="W","L","W")))</f>
        <v>W</v>
      </c>
      <c r="S20" s="111" t="str">
        <f>IF(Table[[#This Row],[Type]]="U","Over "&amp;Table[[#This Row],[Line]],IF(Table[[#This Row],[Type]]="O","Under "&amp;Table[[#This Row],[Line]],IF(Table[[#This Row],[Type]]="RD",Table[[#This Row],[Home]]&amp;" -"&amp;Table[[#This Row],[Line]],IF(Table[[#This Row],[Type]]="RF",Table[[#This Row],[Home]]&amp;" +"&amp;-1*Table[[#This Row],[Line]],IF(Table[[#This Row],[Type]]="HD",Table[[#This Row],[Away]]&amp;" -"&amp;Table[[#This Row],[Line]],IF(Table[[#This Row],[Type]]="HF",Table[[#This Row],[Away]]&amp;" +"&amp;-1*Table[[#This Row],[Line]],""))))))</f>
        <v>Heat -10</v>
      </c>
      <c r="T20" s="111">
        <f>_xlfn.NUMBERVALUE(IF(Table[[#This Row],[Type]]="O",MID(Table[[#This Row],[Bet]],6,LEN(Table[[#This Row],[Bet]])),IF(Table[[#This Row],[Type]]="U",MID(Table[[#This Row],[Bet]],7,LEN(Table[[#This Row],[Bet]])),IF(ISNUMBER(SEARCH("+",Table[[#This Row],[Bet]])),RIGHT(Table[[#This Row],[Bet]],LEN(Table[[#This Row],[Bet]])-SEARCH("+",Table[[#This Row],[Bet]])),IF(ISNUMBER(SEARCH(" -",Table[[#This Row],[Bet]])),RIGHT(Table[[#This Row],[Bet]],LEN(Table[[#This Row],[Bet]])-SEARCH(" -",Table[[#This Row],[Bet]])+1),"Hold")))))</f>
        <v>10</v>
      </c>
      <c r="U20" s="111" t="str">
        <f>IFERROR(MID(Table[[#This Row],[Game]],SEARCH("@",Table[[#This Row],[Game]])+2,LEN(Table[[#This Row],[Game]])),"")</f>
        <v>Heat</v>
      </c>
      <c r="V20" s="111" t="str">
        <f>IFERROR(LEFT(Table[[#This Row],[Game]],SEARCH("@",Table[[#This Row],[Game]])-2),"")</f>
        <v>Hornets</v>
      </c>
      <c r="W20" s="111" t="str">
        <f>IF(OR(Table[[#This Row],[Type]]="O",Table[[#This Row],[Type]]="U"),"--",IF(ISNUMBER(SEARCH(Table[[#This Row],[Home]],Table[[#This Row],[Bet]])),Table[[#This Row],[Home]],Table[[#This Row],[Away]]))</f>
        <v>Hornets</v>
      </c>
      <c r="X20" s="112" t="str">
        <f>IF(ISNUMBER(SEARCH(CHAR(10),Table[[#This Row],[Bet]])),"P",IF(ISNUMBER(FIND("Under",Table[[#This Row],[Bet]])),"U",IF(ISNUMBER(SEARCH("Over",Table[[#This Row],[Bet]])),"O",IF(ISNUMBER(SEARCH("+",Table[[#This Row],[Bet]])),IF(ISNUMBER(SEARCH(Table[[#This Row],[Away]],Table[[#This Row],[Bet]])),"RD","HD"),IF(ISNUMBER(SEARCH("-",Table[[#This Row],[Bet]])),IF(ISNUMBER(SEARCH(Table[[#This Row],[Away]],Table[[#This Row],[Bet]])),"RF","HF"),IF(ISNUMBER(SEARCH("Moneyline",Table[[#This Row],[Bet]])),IF(Table[[#This Row],[Odds]]&lt;0,"MF","MD"),""))))))</f>
        <v>RD</v>
      </c>
      <c r="Y20" s="111">
        <f>Table[[#This Row],[Money %]]-Table[[#This Row],[Bet %]]</f>
        <v>-0.19</v>
      </c>
      <c r="AA20" s="91" t="str">
        <f>Tracker!AA34</f>
        <v>95-100%</v>
      </c>
      <c r="AB20" s="104" t="str">
        <f>Tracker!AD34</f>
        <v/>
      </c>
      <c r="AC20" s="105" t="str">
        <f>Tracker!AE34</f>
        <v/>
      </c>
      <c r="AD20" s="104" t="str">
        <f>Tracker!AF34</f>
        <v>X</v>
      </c>
      <c r="AE20" s="105" t="str">
        <f>Tracker!AG34</f>
        <v/>
      </c>
      <c r="AF20" s="104" t="str">
        <f>Tracker!AH34</f>
        <v>X</v>
      </c>
      <c r="AG20" s="105" t="str">
        <f>Tracker!AI34</f>
        <v/>
      </c>
      <c r="AH20" s="104" t="str">
        <f>Tracker!AJ34</f>
        <v/>
      </c>
      <c r="AI20" s="106" t="str">
        <f>Tracker!AK34</f>
        <v/>
      </c>
      <c r="AK20" s="116" t="s">
        <v>48</v>
      </c>
      <c r="AL20" s="116" t="s">
        <v>1294</v>
      </c>
      <c r="AM20" s="116" t="s">
        <v>180</v>
      </c>
      <c r="AN20" s="118">
        <f>INDEX(HomeOU[],MATCH(Analysis[[#This Row],[City]],HomeOU[Team],0),4)</f>
        <v>0.54500000000000004</v>
      </c>
      <c r="AO20" s="118">
        <f>INDEX(HomeOU[],MATCH(Analysis[[#This Row],[City]],HomeOU[Team],0),3)</f>
        <v>0.45500000000000002</v>
      </c>
      <c r="AP20" s="118">
        <f>INDEX(RoadOU[],MATCH(Analysis[[#This Row],[City]],RoadOU[Team],0),4)</f>
        <v>0.53100000000000003</v>
      </c>
      <c r="AQ20" s="118">
        <f>INDEX(RoadOU[],MATCH(Analysis[[#This Row],[City]],RoadOU[Team],0),3)</f>
        <v>0.46899999999999997</v>
      </c>
      <c r="AR20" s="118">
        <f>INDEX(HFATS[],MATCH(Analysis[[#This Row],[City]],HFATS[Team],0),3)</f>
        <v>0.66700000000000004</v>
      </c>
      <c r="AS20" s="118">
        <f>INDEX(HDATS[],MATCH(Analysis[[#This Row],[City]],HDATS[Team],0),3)</f>
        <v>0.5</v>
      </c>
      <c r="AT20" s="118">
        <f>INDEX(RFATS[],MATCH(Analysis[[#This Row],[City]],RFATS[Team],0),3)</f>
        <v>0.6</v>
      </c>
      <c r="AU20" s="118">
        <f>INDEX(RDATS[],MATCH(Analysis[[#This Row],[City]],RDATS[Team],0),3)</f>
        <v>0.46200000000000002</v>
      </c>
    </row>
    <row r="21" spans="2:47" x14ac:dyDescent="0.25">
      <c r="B21" s="81" t="s">
        <v>2112</v>
      </c>
      <c r="C21" s="82" t="s">
        <v>1636</v>
      </c>
      <c r="D21" s="114">
        <v>0.59704933415369199</v>
      </c>
      <c r="E21" s="145" t="str">
        <f>IFERROR(IF(Table[[#This Row],[Trend Bet]]=Table[[#This Row],[Confidence Bet]],Table[[#This Row],[Confidence Bet]],"--"),"")</f>
        <v>--</v>
      </c>
      <c r="F21" s="97" t="str">
        <f>IFERROR(IF(INDEX($AA$10:$AI$20,MATCH(Table[[#This Row],[Range]],$AA$10:$AA$20,0),MATCH(Table[[#This Row],[Type]],$AA$10:$AI$10,0))="X",Table[[#This Row],[Bet]],IF(INDEX($AA$10:$AI$20,MATCH(Table[[#This Row],[Range]],$AA$10:$AA$20,0),MATCH(Table[[#This Row],[Type]],$AA$10:$AI$10,0))="O",Table[[#This Row],[Counterbet]],"--")),"")</f>
        <v>Over 211.5</v>
      </c>
      <c r="G21" s="97" t="str">
        <f>IFERROR(IF(INDEX($AA$24:$AI$44,MATCH(Table[[#This Row],[Trend Range]],$AA$24:$AA$44,0),MATCH(Table[[#This Row],[Type]],$AA$24:$AI$24,0))="X",Table[[#This Row],[Bet]],IF(INDEX($AA$24:$AI$44,MATCH(Table[[#This Row],[Trend Range]],$AA$24:$AA$44,0),MATCH(Table[[#This Row],[Type]],$AA$24:$AI$24,0))="O",Table[[#This Row],[Counterbet]],"--")),"")</f>
        <v>--</v>
      </c>
      <c r="H21" s="145">
        <f>IFERROR(IF(OR(Table[[#This Row],[Type]]="O",Table[[#This Row],[Type]]="U"),AVERAGE(INDEX(Analysis[],MATCH(Table[[#This Row],[Home]],Analysis[Nickname],0),MATCH("H"&amp;Table[Type],Analysis[#Headers],0)),INDEX(Analysis[],MATCH(Table[[#This Row],[Away]],Analysis[Nickname],0),MATCH("R"&amp;Table[Type],Analysis[#Headers],0))),AVERAGE(INDEX(Analysis[],MATCH(Table[[#This Row],[Bet Team]],Analysis[Nickname],0),MATCH(Table[[#This Row],[Type]],Analysis[#Headers],0)),1-INDEX(Analysis[],MATCH(IF(Table[[#This Row],[Bet Team]]=Table[[#This Row],[Home]],Table[[#This Row],[Away]],Table[[#This Row],[Home]]),Analysis[Nickname],0),MATCH(IF(Table[[#This Row],[Type]]="RD","HF",IF(Table[[#This Row],[Type]]="RF","HD",IF(Table[[#This Row],[Type]]="HD","RF","RD"))),Analysis[#Headers],0)))),"")</f>
        <v>0.59600000000000009</v>
      </c>
      <c r="I21" s="156">
        <v>0.64</v>
      </c>
      <c r="J21" s="156">
        <v>0.73</v>
      </c>
      <c r="K21" s="97" t="str">
        <f>IFERROR(IF(Table[[#This Row],[M - B]]&gt;0,ROUNDDOWN(Table[[#This Row],[M - B]]*20,0)*5&amp;"-"&amp;ROUNDDOWN(Table[[#This Row],[M - B]]*20,0)*5+5&amp;"%",ROUNDUP(Table[[#This Row],[M - B]]*20,0)*5&amp;"-"&amp;ROUNDUP(Table[[#This Row],[M - B]]*20,0)*5+5&amp;"%"),"n/a")</f>
        <v>5-10%</v>
      </c>
      <c r="L21" s="146" t="s">
        <v>57</v>
      </c>
      <c r="M21" s="95"/>
      <c r="N21" s="111" t="str">
        <f>IF(ISBLANK(Table[[#This Row],[Confidence]]),"",IFERROR(ROUNDDOWN(Table[[#This Row],[Confidence]]*20,0)*5&amp;"-"&amp;ROUNDDOWN(Table[[#This Row],[Confidence]]*20,0)*5+Tracker!$AB$23*100&amp;"%","n/a"))</f>
        <v>55-60%</v>
      </c>
      <c r="O21" s="111" t="str">
        <f>IF(ISBLANK(Table[[#This Row],[Trend Based Cover %]]),"",IFERROR(ROUNDDOWN(Table[[#This Row],[Trend Based Cover %]]*20,0)*5&amp;"-"&amp;ROUNDDOWN(Table[[#This Row],[Trend Based Cover %]]*20,0)*5+Tracker!$AB$23*100&amp;"%","n/a"))</f>
        <v>55-60%</v>
      </c>
      <c r="P21" s="111" t="str">
        <f>IF(Table[[#This Row],[Combo Bet]]="--","--",IF(Table[[#This Row],[Combo Bet]]=Table[[#This Row],[Bet]],Table[[#This Row],[Result]],IF(Table[[#This Row],[Result]]="W","L","W")))</f>
        <v>--</v>
      </c>
      <c r="Q21" s="111" t="str">
        <f>IF(Table[[#This Row],[Confidence Bet]]="--","--",IF(Table[[#This Row],[Confidence Bet]]=Table[[#This Row],[Bet]],Table[[#This Row],[Result]],IF(Table[[#This Row],[Result]]="W","L","W")))</f>
        <v>L</v>
      </c>
      <c r="R21" s="111" t="str">
        <f>IF(Table[[#This Row],[Trend Bet]]="--","--",IF(Table[[#This Row],[Trend Bet]]=Table[[#This Row],[Bet]],Table[[#This Row],[Result]],IF(Table[[#This Row],[Result]]="W","L","W")))</f>
        <v>--</v>
      </c>
      <c r="S21" s="111" t="str">
        <f>IF(Table[[#This Row],[Type]]="U","Over "&amp;Table[[#This Row],[Line]],IF(Table[[#This Row],[Type]]="O","Under "&amp;Table[[#This Row],[Line]],IF(Table[[#This Row],[Type]]="RD",Table[[#This Row],[Home]]&amp;" -"&amp;Table[[#This Row],[Line]],IF(Table[[#This Row],[Type]]="RF",Table[[#This Row],[Home]]&amp;" +"&amp;-1*Table[[#This Row],[Line]],IF(Table[[#This Row],[Type]]="HD",Table[[#This Row],[Away]]&amp;" -"&amp;Table[[#This Row],[Line]],IF(Table[[#This Row],[Type]]="HF",Table[[#This Row],[Away]]&amp;" +"&amp;-1*Table[[#This Row],[Line]],""))))))</f>
        <v>Under 211.5</v>
      </c>
      <c r="T21" s="111">
        <f>_xlfn.NUMBERVALUE(IF(Table[[#This Row],[Type]]="O",MID(Table[[#This Row],[Bet]],6,LEN(Table[[#This Row],[Bet]])),IF(Table[[#This Row],[Type]]="U",MID(Table[[#This Row],[Bet]],7,LEN(Table[[#This Row],[Bet]])),IF(ISNUMBER(SEARCH("+",Table[[#This Row],[Bet]])),RIGHT(Table[[#This Row],[Bet]],LEN(Table[[#This Row],[Bet]])-SEARCH("+",Table[[#This Row],[Bet]])),IF(ISNUMBER(SEARCH(" -",Table[[#This Row],[Bet]])),RIGHT(Table[[#This Row],[Bet]],LEN(Table[[#This Row],[Bet]])-SEARCH(" -",Table[[#This Row],[Bet]])+1),"Hold")))))</f>
        <v>211.5</v>
      </c>
      <c r="U21" s="111" t="str">
        <f>IFERROR(MID(Table[[#This Row],[Game]],SEARCH("@",Table[[#This Row],[Game]])+2,LEN(Table[[#This Row],[Game]])),"")</f>
        <v>Heat</v>
      </c>
      <c r="V21" s="111" t="str">
        <f>IFERROR(LEFT(Table[[#This Row],[Game]],SEARCH("@",Table[[#This Row],[Game]])-2),"")</f>
        <v>Hornets</v>
      </c>
      <c r="W21" s="111" t="str">
        <f>IF(OR(Table[[#This Row],[Type]]="O",Table[[#This Row],[Type]]="U"),"--",IF(ISNUMBER(SEARCH(Table[[#This Row],[Home]],Table[[#This Row],[Bet]])),Table[[#This Row],[Home]],Table[[#This Row],[Away]]))</f>
        <v>--</v>
      </c>
      <c r="X21" s="112" t="str">
        <f>IF(ISNUMBER(SEARCH(CHAR(10),Table[[#This Row],[Bet]])),"P",IF(ISNUMBER(FIND("Under",Table[[#This Row],[Bet]])),"U",IF(ISNUMBER(SEARCH("Over",Table[[#This Row],[Bet]])),"O",IF(ISNUMBER(SEARCH("+",Table[[#This Row],[Bet]])),IF(ISNUMBER(SEARCH(Table[[#This Row],[Away]],Table[[#This Row],[Bet]])),"RD","HD"),IF(ISNUMBER(SEARCH("-",Table[[#This Row],[Bet]])),IF(ISNUMBER(SEARCH(Table[[#This Row],[Away]],Table[[#This Row],[Bet]])),"RF","HF"),IF(ISNUMBER(SEARCH("Moneyline",Table[[#This Row],[Bet]])),IF(Table[[#This Row],[Odds]]&lt;0,"MF","MD"),""))))))</f>
        <v>O</v>
      </c>
      <c r="Y21" s="111">
        <f>Table[[#This Row],[Money %]]-Table[[#This Row],[Bet %]]</f>
        <v>8.9999999999999969E-2</v>
      </c>
      <c r="AK21" s="116" t="s">
        <v>36</v>
      </c>
      <c r="AL21" s="116" t="s">
        <v>1300</v>
      </c>
      <c r="AM21" s="116" t="s">
        <v>171</v>
      </c>
      <c r="AN21" s="118">
        <f>INDEX(HomeOU[],MATCH(Analysis[[#This Row],[City]],HomeOU[Team],0),4)</f>
        <v>0.45200000000000001</v>
      </c>
      <c r="AO21" s="118">
        <f>INDEX(HomeOU[],MATCH(Analysis[[#This Row],[City]],HomeOU[Team],0),3)</f>
        <v>0.54800000000000004</v>
      </c>
      <c r="AP21" s="118">
        <f>INDEX(RoadOU[],MATCH(Analysis[[#This Row],[City]],RoadOU[Team],0),4)</f>
        <v>0.48499999999999999</v>
      </c>
      <c r="AQ21" s="118">
        <f>INDEX(RoadOU[],MATCH(Analysis[[#This Row],[City]],RoadOU[Team],0),3)</f>
        <v>0.51500000000000001</v>
      </c>
      <c r="AR21" s="118">
        <f>INDEX(HFATS[],MATCH(Analysis[[#This Row],[City]],HFATS[Team],0),3)</f>
        <v>0.28599999999999998</v>
      </c>
      <c r="AS21" s="118">
        <f>INDEX(HDATS[],MATCH(Analysis[[#This Row],[City]],HDATS[Team],0),3)</f>
        <v>0.53300000000000003</v>
      </c>
      <c r="AT21" s="118">
        <f>INDEX(RFATS[],MATCH(Analysis[[#This Row],[City]],RFATS[Team],0),3)</f>
        <v>0.57099999999999995</v>
      </c>
      <c r="AU21" s="118">
        <f>INDEX(RDATS[],MATCH(Analysis[[#This Row],[City]],RDATS[Team],0),3)</f>
        <v>0.65400000000000003</v>
      </c>
    </row>
    <row r="22" spans="2:47" ht="15.75" thickBot="1" x14ac:dyDescent="0.3">
      <c r="B22" s="81"/>
      <c r="C22" s="82"/>
      <c r="D22" s="114"/>
      <c r="E22" s="145"/>
      <c r="F22" s="97"/>
      <c r="G22" s="97"/>
      <c r="H22" s="145"/>
      <c r="I22" s="156"/>
      <c r="J22" s="156"/>
      <c r="K22" s="97"/>
      <c r="L22" s="146"/>
      <c r="M22" s="95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2"/>
      <c r="Y22" s="111"/>
      <c r="AK22" s="116" t="s">
        <v>31</v>
      </c>
      <c r="AL22" s="116" t="s">
        <v>1297</v>
      </c>
      <c r="AM22" s="116" t="s">
        <v>168</v>
      </c>
      <c r="AN22" s="118">
        <f>INDEX(HomeOU[],MATCH(Analysis[[#This Row],[City]],HomeOU[Team],0),4)</f>
        <v>0.5</v>
      </c>
      <c r="AO22" s="118">
        <f>INDEX(HomeOU[],MATCH(Analysis[[#This Row],[City]],HomeOU[Team],0),3)</f>
        <v>0.5</v>
      </c>
      <c r="AP22" s="118">
        <f>INDEX(RoadOU[],MATCH(Analysis[[#This Row],[City]],RoadOU[Team],0),4)</f>
        <v>0.45200000000000001</v>
      </c>
      <c r="AQ22" s="118">
        <f>INDEX(RoadOU[],MATCH(Analysis[[#This Row],[City]],RoadOU[Team],0),3)</f>
        <v>0.54800000000000004</v>
      </c>
      <c r="AR22" s="118">
        <f>INDEX(HFATS[],MATCH(Analysis[[#This Row],[City]],HFATS[Team],0),3)</f>
        <v>0.5</v>
      </c>
      <c r="AS22" s="118">
        <f>INDEX(HDATS[],MATCH(Analysis[[#This Row],[City]],HDATS[Team],0),3)</f>
        <v>0.375</v>
      </c>
      <c r="AT22" s="118">
        <f>INDEX(RFATS[],MATCH(Analysis[[#This Row],[City]],RFATS[Team],0),3)</f>
        <v>0.28599999999999998</v>
      </c>
      <c r="AU22" s="118">
        <f>INDEX(RDATS[],MATCH(Analysis[[#This Row],[City]],RDATS[Team],0),3)</f>
        <v>0.52200000000000002</v>
      </c>
    </row>
    <row r="23" spans="2:47" x14ac:dyDescent="0.25">
      <c r="B23" s="81"/>
      <c r="C23" s="82"/>
      <c r="D23" s="114"/>
      <c r="E23" s="145"/>
      <c r="F23" s="97"/>
      <c r="G23" s="97"/>
      <c r="H23" s="145"/>
      <c r="I23" s="156"/>
      <c r="J23" s="156"/>
      <c r="K23" s="97"/>
      <c r="L23" s="146"/>
      <c r="M23" s="95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2"/>
      <c r="Y23" s="111"/>
      <c r="AA23" s="165" t="s">
        <v>1490</v>
      </c>
      <c r="AB23" s="166"/>
      <c r="AC23" s="166"/>
      <c r="AD23" s="166"/>
      <c r="AE23" s="166"/>
      <c r="AF23" s="166"/>
      <c r="AG23" s="166"/>
      <c r="AH23" s="166"/>
      <c r="AI23" s="167"/>
      <c r="AK23" s="116" t="s">
        <v>33</v>
      </c>
      <c r="AL23" s="116" t="s">
        <v>1284</v>
      </c>
      <c r="AM23" s="116" t="s">
        <v>187</v>
      </c>
      <c r="AN23" s="118">
        <f>INDEX(HomeOU[],MATCH(Analysis[[#This Row],[City]],HomeOU[Team],0),4)</f>
        <v>0.5</v>
      </c>
      <c r="AO23" s="118">
        <f>INDEX(HomeOU[],MATCH(Analysis[[#This Row],[City]],HomeOU[Team],0),3)</f>
        <v>0.5</v>
      </c>
      <c r="AP23" s="118">
        <f>INDEX(RoadOU[],MATCH(Analysis[[#This Row],[City]],RoadOU[Team],0),4)</f>
        <v>0.54800000000000004</v>
      </c>
      <c r="AQ23" s="118">
        <f>INDEX(RoadOU[],MATCH(Analysis[[#This Row],[City]],RoadOU[Team],0),3)</f>
        <v>0.45200000000000001</v>
      </c>
      <c r="AR23" s="118">
        <f>INDEX(HFATS[],MATCH(Analysis[[#This Row],[City]],HFATS[Team],0),3)</f>
        <v>0.5</v>
      </c>
      <c r="AS23" s="118">
        <f>INDEX(HDATS[],MATCH(Analysis[[#This Row],[City]],HDATS[Team],0),3)</f>
        <v>0.54500000000000004</v>
      </c>
      <c r="AT23" s="118">
        <f>INDEX(RFATS[],MATCH(Analysis[[#This Row],[City]],RFATS[Team],0),3)</f>
        <v>0.57099999999999995</v>
      </c>
      <c r="AU23" s="118">
        <f>INDEX(RDATS[],MATCH(Analysis[[#This Row],[City]],RDATS[Team],0),3)</f>
        <v>0.79200000000000004</v>
      </c>
    </row>
    <row r="24" spans="2:47" x14ac:dyDescent="0.25">
      <c r="B24" s="81"/>
      <c r="C24" s="82"/>
      <c r="D24" s="114"/>
      <c r="E24" s="145"/>
      <c r="F24" s="97"/>
      <c r="G24" s="97"/>
      <c r="H24" s="145"/>
      <c r="I24" s="156"/>
      <c r="J24" s="156"/>
      <c r="K24" s="97"/>
      <c r="L24" s="146"/>
      <c r="M24" s="95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2"/>
      <c r="Y24" s="111"/>
      <c r="AA24" s="88"/>
      <c r="AB24" s="89" t="s">
        <v>246</v>
      </c>
      <c r="AC24" s="89" t="s">
        <v>244</v>
      </c>
      <c r="AD24" s="89" t="s">
        <v>248</v>
      </c>
      <c r="AE24" s="134" t="s">
        <v>250</v>
      </c>
      <c r="AF24" s="135" t="s">
        <v>1206</v>
      </c>
      <c r="AG24" s="135" t="s">
        <v>1208</v>
      </c>
      <c r="AH24" s="135" t="s">
        <v>1207</v>
      </c>
      <c r="AI24" s="136" t="s">
        <v>1209</v>
      </c>
      <c r="AK24" s="116" t="s">
        <v>42</v>
      </c>
      <c r="AL24" s="116" t="s">
        <v>1299</v>
      </c>
      <c r="AM24" s="116" t="s">
        <v>176</v>
      </c>
      <c r="AN24" s="118">
        <f>INDEX(HomeOU[],MATCH(Analysis[[#This Row],[City]],HomeOU[Team],0),4)</f>
        <v>0.5</v>
      </c>
      <c r="AO24" s="118">
        <f>INDEX(HomeOU[],MATCH(Analysis[[#This Row],[City]],HomeOU[Team],0),3)</f>
        <v>0.5</v>
      </c>
      <c r="AP24" s="118">
        <f>INDEX(RoadOU[],MATCH(Analysis[[#This Row],[City]],RoadOU[Team],0),4)</f>
        <v>0.375</v>
      </c>
      <c r="AQ24" s="118">
        <f>INDEX(RoadOU[],MATCH(Analysis[[#This Row],[City]],RoadOU[Team],0),3)</f>
        <v>0.625</v>
      </c>
      <c r="AR24" s="118">
        <f>INDEX(HFATS[],MATCH(Analysis[[#This Row],[City]],HFATS[Team],0),3)</f>
        <v>0.188</v>
      </c>
      <c r="AS24" s="118">
        <f>INDEX(HDATS[],MATCH(Analysis[[#This Row],[City]],HDATS[Team],0),3)</f>
        <v>0.26700000000000002</v>
      </c>
      <c r="AT24" s="118">
        <f>INDEX(RFATS[],MATCH(Analysis[[#This Row],[City]],RFATS[Team],0),3)</f>
        <v>0.6</v>
      </c>
      <c r="AU24" s="118">
        <f>INDEX(RDATS[],MATCH(Analysis[[#This Row],[City]],RDATS[Team],0),3)</f>
        <v>0.5</v>
      </c>
    </row>
    <row r="25" spans="2:47" x14ac:dyDescent="0.25">
      <c r="B25" s="81"/>
      <c r="C25" s="82"/>
      <c r="D25" s="114"/>
      <c r="E25" s="145"/>
      <c r="F25" s="97"/>
      <c r="G25" s="97"/>
      <c r="H25" s="145"/>
      <c r="I25" s="156"/>
      <c r="J25" s="156"/>
      <c r="K25" s="97"/>
      <c r="L25" s="146"/>
      <c r="M25" s="95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2"/>
      <c r="Y25" s="111"/>
      <c r="AA25" s="88" t="str">
        <f>Tracker!AG3</f>
        <v>0-5%</v>
      </c>
      <c r="AB25" s="101" t="str">
        <f>Tracker!AJ3</f>
        <v/>
      </c>
      <c r="AC25" s="102" t="str">
        <f>Tracker!AK3</f>
        <v/>
      </c>
      <c r="AD25" s="101" t="str">
        <f>Tracker!AL3</f>
        <v/>
      </c>
      <c r="AE25" s="102" t="str">
        <f>Tracker!AM3</f>
        <v/>
      </c>
      <c r="AF25" s="101" t="str">
        <f>Tracker!AN3</f>
        <v/>
      </c>
      <c r="AG25" s="102" t="str">
        <f>Tracker!AO3</f>
        <v/>
      </c>
      <c r="AH25" s="101" t="str">
        <f>Tracker!AP3</f>
        <v/>
      </c>
      <c r="AI25" s="103" t="str">
        <f>Tracker!AQ3</f>
        <v/>
      </c>
      <c r="AK25" s="116" t="s">
        <v>45</v>
      </c>
      <c r="AL25" s="116" t="s">
        <v>1293</v>
      </c>
      <c r="AM25" s="116" t="s">
        <v>178</v>
      </c>
      <c r="AN25" s="118">
        <f>INDEX(HomeOU[],MATCH(Analysis[[#This Row],[City]],HomeOU[Team],0),4)</f>
        <v>0.41399999999999998</v>
      </c>
      <c r="AO25" s="118">
        <f>INDEX(HomeOU[],MATCH(Analysis[[#This Row],[City]],HomeOU[Team],0),3)</f>
        <v>0.58599999999999997</v>
      </c>
      <c r="AP25" s="118">
        <f>INDEX(RoadOU[],MATCH(Analysis[[#This Row],[City]],RoadOU[Team],0),4)</f>
        <v>0.52900000000000003</v>
      </c>
      <c r="AQ25" s="118">
        <f>INDEX(RoadOU[],MATCH(Analysis[[#This Row],[City]],RoadOU[Team],0),3)</f>
        <v>0.47099999999999997</v>
      </c>
      <c r="AR25" s="118">
        <f>INDEX(HFATS[],MATCH(Analysis[[#This Row],[City]],HFATS[Team],0),3)</f>
        <v>0.6</v>
      </c>
      <c r="AS25" s="118">
        <f>INDEX(HDATS[],MATCH(Analysis[[#This Row],[City]],HDATS[Team],0),3)</f>
        <v>1</v>
      </c>
      <c r="AT25" s="118">
        <f>INDEX(RFATS[],MATCH(Analysis[[#This Row],[City]],RFATS[Team],0),3)</f>
        <v>0.25</v>
      </c>
      <c r="AU25" s="118">
        <f>INDEX(RDATS[],MATCH(Analysis[[#This Row],[City]],RDATS[Team],0),3)</f>
        <v>0.312</v>
      </c>
    </row>
    <row r="26" spans="2:47" x14ac:dyDescent="0.25">
      <c r="F26"/>
      <c r="G26"/>
      <c r="AA26" s="88" t="str">
        <f>Tracker!AG4</f>
        <v>5-10%</v>
      </c>
      <c r="AB26" s="101" t="str">
        <f>Tracker!AJ4</f>
        <v/>
      </c>
      <c r="AC26" s="102" t="str">
        <f>Tracker!AK4</f>
        <v/>
      </c>
      <c r="AD26" s="101" t="str">
        <f>Tracker!AL4</f>
        <v/>
      </c>
      <c r="AE26" s="102" t="str">
        <f>Tracker!AM4</f>
        <v/>
      </c>
      <c r="AF26" s="101" t="str">
        <f>Tracker!AN4</f>
        <v/>
      </c>
      <c r="AG26" s="102" t="str">
        <f>Tracker!AO4</f>
        <v/>
      </c>
      <c r="AH26" s="101" t="str">
        <f>Tracker!AP4</f>
        <v/>
      </c>
      <c r="AI26" s="103" t="str">
        <f>Tracker!AQ4</f>
        <v/>
      </c>
      <c r="AK26" s="116" t="s">
        <v>40</v>
      </c>
      <c r="AL26" s="116" t="s">
        <v>1298</v>
      </c>
      <c r="AM26" s="116" t="s">
        <v>174</v>
      </c>
      <c r="AN26" s="118">
        <f>INDEX(HomeOU[],MATCH(Analysis[[#This Row],[City]],HomeOU[Team],0),4)</f>
        <v>0.5</v>
      </c>
      <c r="AO26" s="118">
        <f>INDEX(HomeOU[],MATCH(Analysis[[#This Row],[City]],HomeOU[Team],0),3)</f>
        <v>0.5</v>
      </c>
      <c r="AP26" s="118">
        <f>INDEX(RoadOU[],MATCH(Analysis[[#This Row],[City]],RoadOU[Team],0),4)</f>
        <v>0.32300000000000001</v>
      </c>
      <c r="AQ26" s="118">
        <f>INDEX(RoadOU[],MATCH(Analysis[[#This Row],[City]],RoadOU[Team],0),3)</f>
        <v>0.67700000000000005</v>
      </c>
      <c r="AR26" s="118">
        <f>INDEX(HFATS[],MATCH(Analysis[[#This Row],[City]],HFATS[Team],0),3)</f>
        <v>0.53800000000000003</v>
      </c>
      <c r="AS26" s="118">
        <f>INDEX(HDATS[],MATCH(Analysis[[#This Row],[City]],HDATS[Team],0),3)</f>
        <v>0.57899999999999996</v>
      </c>
      <c r="AT26" s="118">
        <f>INDEX(RFATS[],MATCH(Analysis[[#This Row],[City]],RFATS[Team],0),3)</f>
        <v>0.33300000000000002</v>
      </c>
      <c r="AU26" s="118">
        <f>INDEX(RDATS[],MATCH(Analysis[[#This Row],[City]],RDATS[Team],0),3)</f>
        <v>0.48099999999999998</v>
      </c>
    </row>
    <row r="27" spans="2:47" x14ac:dyDescent="0.25">
      <c r="F27"/>
      <c r="G27"/>
      <c r="AA27" s="88" t="str">
        <f>Tracker!AG5</f>
        <v>10-15%</v>
      </c>
      <c r="AB27" s="101" t="str">
        <f>Tracker!AJ5</f>
        <v/>
      </c>
      <c r="AC27" s="102" t="str">
        <f>Tracker!AK5</f>
        <v/>
      </c>
      <c r="AD27" s="101" t="str">
        <f>Tracker!AL5</f>
        <v/>
      </c>
      <c r="AE27" s="102" t="str">
        <f>Tracker!AM5</f>
        <v/>
      </c>
      <c r="AF27" s="101" t="str">
        <f>Tracker!AN5</f>
        <v/>
      </c>
      <c r="AG27" s="102" t="str">
        <f>Tracker!AO5</f>
        <v/>
      </c>
      <c r="AH27" s="101" t="str">
        <f>Tracker!AP5</f>
        <v/>
      </c>
      <c r="AI27" s="103" t="str">
        <f>Tracker!AQ5</f>
        <v/>
      </c>
      <c r="AK27" s="116" t="s">
        <v>34</v>
      </c>
      <c r="AL27" s="116" t="s">
        <v>1285</v>
      </c>
      <c r="AM27" s="116" t="s">
        <v>170</v>
      </c>
      <c r="AN27" s="118">
        <f>INDEX(HomeOU[],MATCH(Analysis[[#This Row],[City]],HomeOU[Team],0),4)</f>
        <v>0.48399999999999999</v>
      </c>
      <c r="AO27" s="118">
        <f>INDEX(HomeOU[],MATCH(Analysis[[#This Row],[City]],HomeOU[Team],0),3)</f>
        <v>0.51600000000000001</v>
      </c>
      <c r="AP27" s="118">
        <f>INDEX(RoadOU[],MATCH(Analysis[[#This Row],[City]],RoadOU[Team],0),4)</f>
        <v>0.48499999999999999</v>
      </c>
      <c r="AQ27" s="118">
        <f>INDEX(RoadOU[],MATCH(Analysis[[#This Row],[City]],RoadOU[Team],0),3)</f>
        <v>0.51500000000000001</v>
      </c>
      <c r="AR27" s="118">
        <f>INDEX(HFATS[],MATCH(Analysis[[#This Row],[City]],HFATS[Team],0),3)</f>
        <v>0.42899999999999999</v>
      </c>
      <c r="AS27" s="118">
        <f>INDEX(HDATS[],MATCH(Analysis[[#This Row],[City]],HDATS[Team],0),3)</f>
        <v>1</v>
      </c>
      <c r="AT27" s="118">
        <f>INDEX(RFATS[],MATCH(Analysis[[#This Row],[City]],RFATS[Team],0),3)</f>
        <v>0.47599999999999998</v>
      </c>
      <c r="AU27" s="118">
        <f>INDEX(RDATS[],MATCH(Analysis[[#This Row],[City]],RDATS[Team],0),3)</f>
        <v>0.58299999999999996</v>
      </c>
    </row>
    <row r="28" spans="2:47" x14ac:dyDescent="0.25">
      <c r="F28"/>
      <c r="G28"/>
      <c r="AA28" s="88" t="str">
        <f>Tracker!AG6</f>
        <v>15-20%</v>
      </c>
      <c r="AB28" s="101" t="str">
        <f>Tracker!AJ6</f>
        <v/>
      </c>
      <c r="AC28" s="102" t="str">
        <f>Tracker!AK6</f>
        <v/>
      </c>
      <c r="AD28" s="101" t="str">
        <f>Tracker!AL6</f>
        <v/>
      </c>
      <c r="AE28" s="102" t="str">
        <f>Tracker!AM6</f>
        <v/>
      </c>
      <c r="AF28" s="101" t="str">
        <f>Tracker!AN6</f>
        <v/>
      </c>
      <c r="AG28" s="102" t="str">
        <f>Tracker!AO6</f>
        <v/>
      </c>
      <c r="AH28" s="101" t="str">
        <f>Tracker!AP6</f>
        <v/>
      </c>
      <c r="AI28" s="103" t="str">
        <f>Tracker!AQ6</f>
        <v/>
      </c>
      <c r="AK28" s="116" t="s">
        <v>51</v>
      </c>
      <c r="AL28" s="116" t="s">
        <v>1290</v>
      </c>
      <c r="AM28" s="116" t="s">
        <v>183</v>
      </c>
      <c r="AN28" s="118">
        <f>INDEX(HomeOU[],MATCH(Analysis[[#This Row],[City]],HomeOU[Team],0),4)</f>
        <v>0.45200000000000001</v>
      </c>
      <c r="AO28" s="118">
        <f>INDEX(HomeOU[],MATCH(Analysis[[#This Row],[City]],HomeOU[Team],0),3)</f>
        <v>0.54800000000000004</v>
      </c>
      <c r="AP28" s="118">
        <f>INDEX(RoadOU[],MATCH(Analysis[[#This Row],[City]],RoadOU[Team],0),4)</f>
        <v>0.45500000000000002</v>
      </c>
      <c r="AQ28" s="118">
        <f>INDEX(RoadOU[],MATCH(Analysis[[#This Row],[City]],RoadOU[Team],0),3)</f>
        <v>0.54500000000000004</v>
      </c>
      <c r="AR28" s="118">
        <f>INDEX(HFATS[],MATCH(Analysis[[#This Row],[City]],HFATS[Team],0),3)</f>
        <v>0.51800000000000002</v>
      </c>
      <c r="AS28" s="118">
        <f>INDEX(HDATS[],MATCH(Analysis[[#This Row],[City]],HDATS[Team],0),3)</f>
        <v>0.33300000000000002</v>
      </c>
      <c r="AT28" s="118">
        <f>INDEX(RFATS[],MATCH(Analysis[[#This Row],[City]],RFATS[Team],0),3)</f>
        <v>0.64700000000000002</v>
      </c>
      <c r="AU28" s="118">
        <f>INDEX(RDATS[],MATCH(Analysis[[#This Row],[City]],RDATS[Team],0),3)</f>
        <v>0.53300000000000003</v>
      </c>
    </row>
    <row r="29" spans="2:47" x14ac:dyDescent="0.25">
      <c r="F29"/>
      <c r="G29"/>
      <c r="AA29" s="88" t="str">
        <f>Tracker!AG7</f>
        <v>20-25%</v>
      </c>
      <c r="AB29" s="101" t="str">
        <f>Tracker!AJ7</f>
        <v/>
      </c>
      <c r="AC29" s="102" t="str">
        <f>Tracker!AK7</f>
        <v/>
      </c>
      <c r="AD29" s="101" t="str">
        <f>Tracker!AL7</f>
        <v/>
      </c>
      <c r="AE29" s="102" t="str">
        <f>Tracker!AM7</f>
        <v>O</v>
      </c>
      <c r="AF29" s="101" t="str">
        <f>Tracker!AN7</f>
        <v/>
      </c>
      <c r="AG29" s="102" t="str">
        <f>Tracker!AO7</f>
        <v>O</v>
      </c>
      <c r="AH29" s="101" t="str">
        <f>Tracker!AP7</f>
        <v/>
      </c>
      <c r="AI29" s="103" t="str">
        <f>Tracker!AQ7</f>
        <v/>
      </c>
      <c r="AK29" s="116" t="s">
        <v>37</v>
      </c>
      <c r="AL29" s="116" t="s">
        <v>1286</v>
      </c>
      <c r="AM29" s="116" t="s">
        <v>189</v>
      </c>
      <c r="AN29" s="118">
        <f>INDEX(HomeOU[],MATCH(Analysis[[#This Row],[City]],HomeOU[Team],0),4)</f>
        <v>0.438</v>
      </c>
      <c r="AO29" s="118">
        <f>INDEX(HomeOU[],MATCH(Analysis[[#This Row],[City]],HomeOU[Team],0),3)</f>
        <v>0.56200000000000006</v>
      </c>
      <c r="AP29" s="118">
        <f>INDEX(RoadOU[],MATCH(Analysis[[#This Row],[City]],RoadOU[Team],0),4)</f>
        <v>0.438</v>
      </c>
      <c r="AQ29" s="118">
        <f>INDEX(RoadOU[],MATCH(Analysis[[#This Row],[City]],RoadOU[Team],0),3)</f>
        <v>0.56200000000000006</v>
      </c>
      <c r="AR29" s="118">
        <f>INDEX(HFATS[],MATCH(Analysis[[#This Row],[City]],HFATS[Team],0),3)</f>
        <v>0.42899999999999999</v>
      </c>
      <c r="AS29" s="118">
        <f>INDEX(HDATS[],MATCH(Analysis[[#This Row],[City]],HDATS[Team],0),3)</f>
        <v>0.63600000000000001</v>
      </c>
      <c r="AT29" s="118">
        <f>INDEX(RFATS[],MATCH(Analysis[[#This Row],[City]],RFATS[Team],0),3)</f>
        <v>0.875</v>
      </c>
      <c r="AU29" s="118">
        <f>INDEX(RDATS[],MATCH(Analysis[[#This Row],[City]],RDATS[Team],0),3)</f>
        <v>0.45500000000000002</v>
      </c>
    </row>
    <row r="30" spans="2:47" x14ac:dyDescent="0.25">
      <c r="F30"/>
      <c r="G30"/>
      <c r="AA30" s="88" t="str">
        <f>Tracker!AG8</f>
        <v>25-30%</v>
      </c>
      <c r="AB30" s="101" t="str">
        <f>Tracker!AJ8</f>
        <v/>
      </c>
      <c r="AC30" s="102" t="str">
        <f>Tracker!AK8</f>
        <v/>
      </c>
      <c r="AD30" s="101" t="str">
        <f>Tracker!AL8</f>
        <v>O</v>
      </c>
      <c r="AE30" s="102" t="str">
        <f>Tracker!AM8</f>
        <v>O</v>
      </c>
      <c r="AF30" s="101" t="str">
        <f>Tracker!AN8</f>
        <v>O</v>
      </c>
      <c r="AG30" s="102" t="str">
        <f>Tracker!AO8</f>
        <v/>
      </c>
      <c r="AH30" s="101" t="str">
        <f>Tracker!AP8</f>
        <v>O</v>
      </c>
      <c r="AI30" s="103" t="str">
        <f>Tracker!AQ8</f>
        <v/>
      </c>
      <c r="AK30" s="116" t="s">
        <v>26</v>
      </c>
      <c r="AL30" s="116" t="s">
        <v>1283</v>
      </c>
      <c r="AM30" s="116" t="s">
        <v>163</v>
      </c>
      <c r="AN30" s="118">
        <f>INDEX(HomeOU[],MATCH(Analysis[[#This Row],[City]],HomeOU[Team],0),4)</f>
        <v>0.441</v>
      </c>
      <c r="AO30" s="118">
        <f>INDEX(HomeOU[],MATCH(Analysis[[#This Row],[City]],HomeOU[Team],0),3)</f>
        <v>0.55900000000000005</v>
      </c>
      <c r="AP30" s="118">
        <f>INDEX(RoadOU[],MATCH(Analysis[[#This Row],[City]],RoadOU[Team],0),4)</f>
        <v>0.56699999999999995</v>
      </c>
      <c r="AQ30" s="118">
        <f>INDEX(RoadOU[],MATCH(Analysis[[#This Row],[City]],RoadOU[Team],0),3)</f>
        <v>0.433</v>
      </c>
      <c r="AR30" s="118">
        <f>INDEX(HFATS[],MATCH(Analysis[[#This Row],[City]],HFATS[Team],0),3)</f>
        <v>0.3</v>
      </c>
      <c r="AS30" s="118">
        <f>INDEX(HDATS[],MATCH(Analysis[[#This Row],[City]],HDATS[Team],0),3)</f>
        <v>0.5</v>
      </c>
      <c r="AT30" s="118">
        <f>INDEX(RFATS[],MATCH(Analysis[[#This Row],[City]],RFATS[Team],0),3)</f>
        <v>0.5</v>
      </c>
      <c r="AU30" s="118">
        <f>INDEX(RDATS[],MATCH(Analysis[[#This Row],[City]],RDATS[Team],0),3)</f>
        <v>0.54500000000000004</v>
      </c>
    </row>
    <row r="31" spans="2:47" x14ac:dyDescent="0.25">
      <c r="F31"/>
      <c r="G31"/>
      <c r="AA31" s="88" t="str">
        <f>Tracker!AG9</f>
        <v>30-35%</v>
      </c>
      <c r="AB31" s="101" t="str">
        <f>Tracker!AJ9</f>
        <v/>
      </c>
      <c r="AC31" s="102" t="str">
        <f>Tracker!AK9</f>
        <v>X</v>
      </c>
      <c r="AD31" s="101" t="str">
        <f>Tracker!AL9</f>
        <v/>
      </c>
      <c r="AE31" s="102" t="str">
        <f>Tracker!AM9</f>
        <v>O</v>
      </c>
      <c r="AF31" s="101" t="str">
        <f>Tracker!AN9</f>
        <v>O</v>
      </c>
      <c r="AG31" s="102" t="str">
        <f>Tracker!AO9</f>
        <v/>
      </c>
      <c r="AH31" s="101" t="str">
        <f>Tracker!AP9</f>
        <v/>
      </c>
      <c r="AI31" s="103" t="str">
        <f>Tracker!AQ9</f>
        <v/>
      </c>
      <c r="AK31" s="116" t="s">
        <v>49</v>
      </c>
      <c r="AL31" s="116" t="s">
        <v>1289</v>
      </c>
      <c r="AM31" s="116" t="s">
        <v>181</v>
      </c>
      <c r="AN31" s="118">
        <f>INDEX(HomeOU[],MATCH(Analysis[[#This Row],[City]],HomeOU[Team],0),4)</f>
        <v>0.41699999999999998</v>
      </c>
      <c r="AO31" s="118">
        <f>INDEX(HomeOU[],MATCH(Analysis[[#This Row],[City]],HomeOU[Team],0),3)</f>
        <v>0.58299999999999996</v>
      </c>
      <c r="AP31" s="118">
        <f>INDEX(RoadOU[],MATCH(Analysis[[#This Row],[City]],RoadOU[Team],0),4)</f>
        <v>0.48299999999999998</v>
      </c>
      <c r="AQ31" s="118">
        <f>INDEX(RoadOU[],MATCH(Analysis[[#This Row],[City]],RoadOU[Team],0),3)</f>
        <v>0.51700000000000002</v>
      </c>
      <c r="AR31" s="118">
        <f>INDEX(HFATS[],MATCH(Analysis[[#This Row],[City]],HFATS[Team],0),3)</f>
        <v>0</v>
      </c>
      <c r="AS31" s="118">
        <f>INDEX(HDATS[],MATCH(Analysis[[#This Row],[City]],HDATS[Team],0),3)</f>
        <v>0.51800000000000002</v>
      </c>
      <c r="AT31" s="118" t="e">
        <f>INDEX(RFATS[],MATCH(Analysis[[#This Row],[City]],RFATS[Team],0),3)</f>
        <v>#N/A</v>
      </c>
      <c r="AU31" s="118">
        <f>INDEX(RDATS[],MATCH(Analysis[[#This Row],[City]],RDATS[Team],0),3)</f>
        <v>0.51700000000000002</v>
      </c>
    </row>
    <row r="32" spans="2:47" x14ac:dyDescent="0.25">
      <c r="B32" s="81"/>
      <c r="C32" s="82"/>
      <c r="D32" s="114"/>
      <c r="E32" s="160"/>
      <c r="F32" s="97"/>
      <c r="G32" s="97"/>
      <c r="H32" s="160"/>
      <c r="I32" s="161"/>
      <c r="J32" s="161"/>
      <c r="K32" s="97"/>
      <c r="L32" s="146"/>
      <c r="M32" s="95"/>
      <c r="N32" s="111" t="str">
        <f>IF(ISBLANK(Table[[#This Row],[Confidence]]),"",IFERROR(ROUNDDOWN(Table[[#This Row],[Confidence]]*20,0)*5&amp;"-"&amp;ROUNDDOWN(Table[[#This Row],[Confidence]]*20,0)*5+Tracker!$AB$23*100&amp;"%","n/a"))</f>
        <v>n/a</v>
      </c>
      <c r="O32" s="111" t="str">
        <f>IF(ISBLANK(Table[[#This Row],[Trend Based Cover %]]),"",IFERROR(ROUNDDOWN(Table[[#This Row],[Trend Based Cover %]]*20,0)*5&amp;"-"&amp;ROUNDDOWN(Table[[#This Row],[Trend Based Cover %]]*20,0)*5+Tracker!$AB$23*100&amp;"%","n/a"))</f>
        <v>n/a</v>
      </c>
      <c r="P32" s="111" t="e">
        <f>IF(Table[[#This Row],[Combo Bet]]="--","--",IF(Table[[#This Row],[Combo Bet]]=Table[[#This Row],[Bet]],Table[[#This Row],[Result]],IF(Table[[#This Row],[Result]]="W","L","W")))</f>
        <v>#VALUE!</v>
      </c>
      <c r="Q32" s="111" t="e">
        <f>IF(Table[[#This Row],[Confidence Bet]]="--","--",IF(Table[[#This Row],[Confidence Bet]]=Table[[#This Row],[Bet]],Table[[#This Row],[Result]],IF(Table[[#This Row],[Result]]="W","L","W")))</f>
        <v>#VALUE!</v>
      </c>
      <c r="R32" s="111" t="e">
        <f>IF(Table[[#This Row],[Trend Bet]]="--","--",IF(Table[[#This Row],[Trend Bet]]=Table[[#This Row],[Bet]],Table[[#This Row],[Result]],IF(Table[[#This Row],[Result]]="W","L","W")))</f>
        <v>#VALUE!</v>
      </c>
      <c r="S32" s="111" t="e">
        <f>IF(Table[[#This Row],[Type]]="U","Over "&amp;Table[[#This Row],[Line]],IF(Table[[#This Row],[Type]]="O","Under "&amp;Table[[#This Row],[Line]],IF(Table[[#This Row],[Type]]="RD",Table[[#This Row],[Home]]&amp;" -"&amp;Table[[#This Row],[Line]],IF(Table[[#This Row],[Type]]="RF",Table[[#This Row],[Home]]&amp;" +"&amp;-1*Table[[#This Row],[Line]],IF(Table[[#This Row],[Type]]="HD",Table[[#This Row],[Away]]&amp;" -"&amp;Table[[#This Row],[Line]],IF(Table[[#This Row],[Type]]="HF",Table[[#This Row],[Away]]&amp;" +"&amp;-1*Table[[#This Row],[Line]],""))))))</f>
        <v>#VALUE!</v>
      </c>
      <c r="T32" s="111" t="e">
        <f>_xlfn.NUMBERVALUE(IF(Table[[#This Row],[Type]]="O",MID(Table[[#This Row],[Bet]],6,LEN(Table[[#This Row],[Bet]])),IF(Table[[#This Row],[Type]]="U",MID(Table[[#This Row],[Bet]],7,LEN(Table[[#This Row],[Bet]])),IF(ISNUMBER(SEARCH("+",Table[[#This Row],[Bet]])),RIGHT(Table[[#This Row],[Bet]],LEN(Table[[#This Row],[Bet]])-SEARCH("+",Table[[#This Row],[Bet]])),IF(ISNUMBER(SEARCH(" -",Table[[#This Row],[Bet]])),RIGHT(Table[[#This Row],[Bet]],LEN(Table[[#This Row],[Bet]])-SEARCH(" -",Table[[#This Row],[Bet]])+1),"Hold")))))</f>
        <v>#VALUE!</v>
      </c>
      <c r="U32" s="111" t="str">
        <f>IFERROR(MID(Table[[#This Row],[Game]],SEARCH("@",Table[[#This Row],[Game]])+2,LEN(Table[[#This Row],[Game]])),"")</f>
        <v/>
      </c>
      <c r="V32" s="111" t="str">
        <f>IFERROR(LEFT(Table[[#This Row],[Game]],SEARCH("@",Table[[#This Row],[Game]])-2),"")</f>
        <v/>
      </c>
      <c r="W32" s="111" t="e">
        <f>IF(OR(Table[[#This Row],[Type]]="O",Table[[#This Row],[Type]]="U"),"--",IF(ISNUMBER(SEARCH(Table[[#This Row],[Home]],Table[[#This Row],[Bet]])),Table[[#This Row],[Home]],Table[[#This Row],[Away]]))</f>
        <v>#VALUE!</v>
      </c>
      <c r="X32" s="112" t="str">
        <f>IF(ISNUMBER(SEARCH(CHAR(10),Table[[#This Row],[Bet]])),"P",IF(ISNUMBER(FIND("Under",Table[[#This Row],[Bet]])),"U",IF(ISNUMBER(SEARCH("Over",Table[[#This Row],[Bet]])),"O",IF(ISNUMBER(SEARCH("+",Table[[#This Row],[Bet]])),IF(ISNUMBER(SEARCH(Table[[#This Row],[Away]],Table[[#This Row],[Bet]])),"RD","HD"),IF(ISNUMBER(SEARCH("-",Table[[#This Row],[Bet]])),IF(ISNUMBER(SEARCH(Table[[#This Row],[Away]],Table[[#This Row],[Bet]])),"RF","HF"),IF(ISNUMBER(SEARCH("Moneyline",Table[[#This Row],[Bet]])),IF(Table[[#This Row],[Odds]]&lt;0,"MF","MD"),""))))))</f>
        <v/>
      </c>
      <c r="Y32" s="111" t="e">
        <f>Table[[#This Row],[Money %]]-Table[[#This Row],[Bet %]]</f>
        <v>#VALUE!</v>
      </c>
      <c r="AA32" s="88" t="str">
        <f>Tracker!AG10</f>
        <v>35-40%</v>
      </c>
      <c r="AB32" s="101" t="str">
        <f>Tracker!AJ10</f>
        <v>X</v>
      </c>
      <c r="AC32" s="102" t="str">
        <f>Tracker!AK10</f>
        <v>O</v>
      </c>
      <c r="AD32" s="101" t="str">
        <f>Tracker!AL10</f>
        <v/>
      </c>
      <c r="AE32" s="102" t="str">
        <f>Tracker!AM10</f>
        <v>X</v>
      </c>
      <c r="AF32" s="101" t="str">
        <f>Tracker!AN10</f>
        <v>X</v>
      </c>
      <c r="AG32" s="102" t="str">
        <f>Tracker!AO10</f>
        <v/>
      </c>
      <c r="AH32" s="101" t="str">
        <f>Tracker!AP10</f>
        <v>O</v>
      </c>
      <c r="AI32" s="103" t="str">
        <f>Tracker!AQ10</f>
        <v>X</v>
      </c>
      <c r="AK32" s="116" t="s">
        <v>39</v>
      </c>
      <c r="AL32" s="116" t="s">
        <v>1288</v>
      </c>
      <c r="AM32" s="116" t="s">
        <v>173</v>
      </c>
      <c r="AN32" s="118">
        <f>INDEX(HomeOU[],MATCH(Analysis[[#This Row],[City]],HomeOU[Team],0),4)</f>
        <v>0.48399999999999999</v>
      </c>
      <c r="AO32" s="118">
        <f>INDEX(HomeOU[],MATCH(Analysis[[#This Row],[City]],HomeOU[Team],0),3)</f>
        <v>0.51600000000000001</v>
      </c>
      <c r="AP32" s="118">
        <f>INDEX(RoadOU[],MATCH(Analysis[[#This Row],[City]],RoadOU[Team],0),4)</f>
        <v>0.56200000000000006</v>
      </c>
      <c r="AQ32" s="118">
        <f>INDEX(RoadOU[],MATCH(Analysis[[#This Row],[City]],RoadOU[Team],0),3)</f>
        <v>0.438</v>
      </c>
      <c r="AR32" s="118">
        <f>INDEX(HFATS[],MATCH(Analysis[[#This Row],[City]],HFATS[Team],0),3)</f>
        <v>0.61299999999999999</v>
      </c>
      <c r="AS32" s="118" t="e">
        <f>INDEX(HDATS[],MATCH(Analysis[[#This Row],[City]],HDATS[Team],0),3)</f>
        <v>#N/A</v>
      </c>
      <c r="AT32" s="118">
        <f>INDEX(RFATS[],MATCH(Analysis[[#This Row],[City]],RFATS[Team],0),3)</f>
        <v>0.53600000000000003</v>
      </c>
      <c r="AU32" s="118">
        <f>INDEX(RDATS[],MATCH(Analysis[[#This Row],[City]],RDATS[Team],0),3)</f>
        <v>0.4</v>
      </c>
    </row>
    <row r="33" spans="2:47" x14ac:dyDescent="0.25">
      <c r="B33" s="81"/>
      <c r="C33" s="82"/>
      <c r="D33" s="114"/>
      <c r="E33" s="160"/>
      <c r="F33" s="97"/>
      <c r="G33" s="97"/>
      <c r="H33" s="160"/>
      <c r="I33" s="161"/>
      <c r="J33" s="161"/>
      <c r="K33" s="97"/>
      <c r="L33" s="146"/>
      <c r="M33" s="95"/>
      <c r="N33" s="111" t="str">
        <f>IF(ISBLANK(Table[[#This Row],[Confidence]]),"",IFERROR(ROUNDDOWN(Table[[#This Row],[Confidence]]*20,0)*5&amp;"-"&amp;ROUNDDOWN(Table[[#This Row],[Confidence]]*20,0)*5+Tracker!$AB$23*100&amp;"%","n/a"))</f>
        <v>n/a</v>
      </c>
      <c r="O33" s="111" t="str">
        <f>IF(ISBLANK(Table[[#This Row],[Trend Based Cover %]]),"",IFERROR(ROUNDDOWN(Table[[#This Row],[Trend Based Cover %]]*20,0)*5&amp;"-"&amp;ROUNDDOWN(Table[[#This Row],[Trend Based Cover %]]*20,0)*5+Tracker!$AB$23*100&amp;"%","n/a"))</f>
        <v>n/a</v>
      </c>
      <c r="P33" s="111" t="e">
        <f>IF(Table[[#This Row],[Combo Bet]]="--","--",IF(Table[[#This Row],[Combo Bet]]=Table[[#This Row],[Bet]],Table[[#This Row],[Result]],IF(Table[[#This Row],[Result]]="W","L","W")))</f>
        <v>#VALUE!</v>
      </c>
      <c r="Q33" s="111" t="e">
        <f>IF(Table[[#This Row],[Confidence Bet]]="--","--",IF(Table[[#This Row],[Confidence Bet]]=Table[[#This Row],[Bet]],Table[[#This Row],[Result]],IF(Table[[#This Row],[Result]]="W","L","W")))</f>
        <v>#VALUE!</v>
      </c>
      <c r="R33" s="111" t="e">
        <f>IF(Table[[#This Row],[Trend Bet]]="--","--",IF(Table[[#This Row],[Trend Bet]]=Table[[#This Row],[Bet]],Table[[#This Row],[Result]],IF(Table[[#This Row],[Result]]="W","L","W")))</f>
        <v>#VALUE!</v>
      </c>
      <c r="S33" s="111" t="e">
        <f>IF(Table[[#This Row],[Type]]="U","Over "&amp;Table[[#This Row],[Line]],IF(Table[[#This Row],[Type]]="O","Under "&amp;Table[[#This Row],[Line]],IF(Table[[#This Row],[Type]]="RD",Table[[#This Row],[Home]]&amp;" -"&amp;Table[[#This Row],[Line]],IF(Table[[#This Row],[Type]]="RF",Table[[#This Row],[Home]]&amp;" +"&amp;-1*Table[[#This Row],[Line]],IF(Table[[#This Row],[Type]]="HD",Table[[#This Row],[Away]]&amp;" -"&amp;Table[[#This Row],[Line]],IF(Table[[#This Row],[Type]]="HF",Table[[#This Row],[Away]]&amp;" +"&amp;-1*Table[[#This Row],[Line]],""))))))</f>
        <v>#VALUE!</v>
      </c>
      <c r="T33" s="111" t="e">
        <f>_xlfn.NUMBERVALUE(IF(Table[[#This Row],[Type]]="O",MID(Table[[#This Row],[Bet]],6,LEN(Table[[#This Row],[Bet]])),IF(Table[[#This Row],[Type]]="U",MID(Table[[#This Row],[Bet]],7,LEN(Table[[#This Row],[Bet]])),IF(ISNUMBER(SEARCH("+",Table[[#This Row],[Bet]])),RIGHT(Table[[#This Row],[Bet]],LEN(Table[[#This Row],[Bet]])-SEARCH("+",Table[[#This Row],[Bet]])),IF(ISNUMBER(SEARCH(" -",Table[[#This Row],[Bet]])),RIGHT(Table[[#This Row],[Bet]],LEN(Table[[#This Row],[Bet]])-SEARCH(" -",Table[[#This Row],[Bet]])+1),"Hold")))))</f>
        <v>#VALUE!</v>
      </c>
      <c r="U33" s="111" t="str">
        <f>IFERROR(MID(Table[[#This Row],[Game]],SEARCH("@",Table[[#This Row],[Game]])+2,LEN(Table[[#This Row],[Game]])),"")</f>
        <v/>
      </c>
      <c r="V33" s="111" t="str">
        <f>IFERROR(LEFT(Table[[#This Row],[Game]],SEARCH("@",Table[[#This Row],[Game]])-2),"")</f>
        <v/>
      </c>
      <c r="W33" s="111" t="e">
        <f>IF(OR(Table[[#This Row],[Type]]="O",Table[[#This Row],[Type]]="U"),"--",IF(ISNUMBER(SEARCH(Table[[#This Row],[Home]],Table[[#This Row],[Bet]])),Table[[#This Row],[Home]],Table[[#This Row],[Away]]))</f>
        <v>#VALUE!</v>
      </c>
      <c r="X33" s="112" t="str">
        <f>IF(ISNUMBER(SEARCH(CHAR(10),Table[[#This Row],[Bet]])),"P",IF(ISNUMBER(FIND("Under",Table[[#This Row],[Bet]])),"U",IF(ISNUMBER(SEARCH("Over",Table[[#This Row],[Bet]])),"O",IF(ISNUMBER(SEARCH("+",Table[[#This Row],[Bet]])),IF(ISNUMBER(SEARCH(Table[[#This Row],[Away]],Table[[#This Row],[Bet]])),"RD","HD"),IF(ISNUMBER(SEARCH("-",Table[[#This Row],[Bet]])),IF(ISNUMBER(SEARCH(Table[[#This Row],[Away]],Table[[#This Row],[Bet]])),"RF","HF"),IF(ISNUMBER(SEARCH("Moneyline",Table[[#This Row],[Bet]])),IF(Table[[#This Row],[Odds]]&lt;0,"MF","MD"),""))))))</f>
        <v/>
      </c>
      <c r="Y33" s="111" t="e">
        <f>Table[[#This Row],[Money %]]-Table[[#This Row],[Bet %]]</f>
        <v>#VALUE!</v>
      </c>
      <c r="AA33" s="88" t="str">
        <f>Tracker!AG11</f>
        <v>40-45%</v>
      </c>
      <c r="AB33" s="101" t="str">
        <f>Tracker!AJ11</f>
        <v>X</v>
      </c>
      <c r="AC33" s="102" t="str">
        <f>Tracker!AK11</f>
        <v>O</v>
      </c>
      <c r="AD33" s="101" t="str">
        <f>Tracker!AL11</f>
        <v/>
      </c>
      <c r="AE33" s="102" t="str">
        <f>Tracker!AM11</f>
        <v>X</v>
      </c>
      <c r="AF33" s="101" t="str">
        <f>Tracker!AN11</f>
        <v>X</v>
      </c>
      <c r="AG33" s="102" t="str">
        <f>Tracker!AO11</f>
        <v>X</v>
      </c>
      <c r="AH33" s="101" t="str">
        <f>Tracker!AP11</f>
        <v/>
      </c>
      <c r="AI33" s="103" t="str">
        <f>Tracker!AQ11</f>
        <v/>
      </c>
      <c r="AK33" s="116" t="s">
        <v>52</v>
      </c>
      <c r="AL33" s="116" t="s">
        <v>1292</v>
      </c>
      <c r="AM33" s="116" t="s">
        <v>184</v>
      </c>
      <c r="AN33" s="118">
        <f>INDEX(HomeOU[],MATCH(Analysis[[#This Row],[City]],HomeOU[Team],0),4)</f>
        <v>0.39400000000000002</v>
      </c>
      <c r="AO33" s="118">
        <f>INDEX(HomeOU[],MATCH(Analysis[[#This Row],[City]],HomeOU[Team],0),3)</f>
        <v>0.60599999999999998</v>
      </c>
      <c r="AP33" s="118">
        <f>INDEX(RoadOU[],MATCH(Analysis[[#This Row],[City]],RoadOU[Team],0),4)</f>
        <v>0.42399999999999999</v>
      </c>
      <c r="AQ33" s="118">
        <f>INDEX(RoadOU[],MATCH(Analysis[[#This Row],[City]],RoadOU[Team],0),3)</f>
        <v>0.57599999999999996</v>
      </c>
      <c r="AR33" s="118">
        <f>INDEX(HFATS[],MATCH(Analysis[[#This Row],[City]],HFATS[Team],0),3)</f>
        <v>0.66700000000000004</v>
      </c>
      <c r="AS33" s="118">
        <f>INDEX(HDATS[],MATCH(Analysis[[#This Row],[City]],HDATS[Team],0),3)</f>
        <v>0.6</v>
      </c>
      <c r="AT33" s="118">
        <f>INDEX(RFATS[],MATCH(Analysis[[#This Row],[City]],RFATS[Team],0),3)</f>
        <v>0</v>
      </c>
      <c r="AU33" s="118">
        <f>INDEX(RDATS[],MATCH(Analysis[[#This Row],[City]],RDATS[Team],0),3)</f>
        <v>0.33300000000000002</v>
      </c>
    </row>
    <row r="34" spans="2:47" x14ac:dyDescent="0.25">
      <c r="B34" s="81"/>
      <c r="C34" s="82"/>
      <c r="D34" s="114"/>
      <c r="E34" s="160"/>
      <c r="F34" s="97"/>
      <c r="G34" s="97"/>
      <c r="H34" s="160"/>
      <c r="I34" s="161"/>
      <c r="J34" s="161"/>
      <c r="K34" s="97"/>
      <c r="L34" s="146"/>
      <c r="M34" s="95"/>
      <c r="N34" s="111" t="str">
        <f>IF(ISBLANK(Table[[#This Row],[Confidence]]),"",IFERROR(ROUNDDOWN(Table[[#This Row],[Confidence]]*20,0)*5&amp;"-"&amp;ROUNDDOWN(Table[[#This Row],[Confidence]]*20,0)*5+Tracker!$AB$23*100&amp;"%","n/a"))</f>
        <v>n/a</v>
      </c>
      <c r="O34" s="111" t="str">
        <f>IF(ISBLANK(Table[[#This Row],[Trend Based Cover %]]),"",IFERROR(ROUNDDOWN(Table[[#This Row],[Trend Based Cover %]]*20,0)*5&amp;"-"&amp;ROUNDDOWN(Table[[#This Row],[Trend Based Cover %]]*20,0)*5+Tracker!$AB$23*100&amp;"%","n/a"))</f>
        <v>n/a</v>
      </c>
      <c r="P34" s="111" t="e">
        <f>IF(Table[[#This Row],[Combo Bet]]="--","--",IF(Table[[#This Row],[Combo Bet]]=Table[[#This Row],[Bet]],Table[[#This Row],[Result]],IF(Table[[#This Row],[Result]]="W","L","W")))</f>
        <v>#VALUE!</v>
      </c>
      <c r="Q34" s="111" t="e">
        <f>IF(Table[[#This Row],[Confidence Bet]]="--","--",IF(Table[[#This Row],[Confidence Bet]]=Table[[#This Row],[Bet]],Table[[#This Row],[Result]],IF(Table[[#This Row],[Result]]="W","L","W")))</f>
        <v>#VALUE!</v>
      </c>
      <c r="R34" s="111" t="e">
        <f>IF(Table[[#This Row],[Trend Bet]]="--","--",IF(Table[[#This Row],[Trend Bet]]=Table[[#This Row],[Bet]],Table[[#This Row],[Result]],IF(Table[[#This Row],[Result]]="W","L","W")))</f>
        <v>#VALUE!</v>
      </c>
      <c r="S34" s="111" t="e">
        <f>IF(Table[[#This Row],[Type]]="U","Over "&amp;Table[[#This Row],[Line]],IF(Table[[#This Row],[Type]]="O","Under "&amp;Table[[#This Row],[Line]],IF(Table[[#This Row],[Type]]="RD",Table[[#This Row],[Home]]&amp;" -"&amp;Table[[#This Row],[Line]],IF(Table[[#This Row],[Type]]="RF",Table[[#This Row],[Home]]&amp;" +"&amp;-1*Table[[#This Row],[Line]],IF(Table[[#This Row],[Type]]="HD",Table[[#This Row],[Away]]&amp;" -"&amp;Table[[#This Row],[Line]],IF(Table[[#This Row],[Type]]="HF",Table[[#This Row],[Away]]&amp;" +"&amp;-1*Table[[#This Row],[Line]],""))))))</f>
        <v>#VALUE!</v>
      </c>
      <c r="T34" s="111" t="e">
        <f>_xlfn.NUMBERVALUE(IF(Table[[#This Row],[Type]]="O",MID(Table[[#This Row],[Bet]],6,LEN(Table[[#This Row],[Bet]])),IF(Table[[#This Row],[Type]]="U",MID(Table[[#This Row],[Bet]],7,LEN(Table[[#This Row],[Bet]])),IF(ISNUMBER(SEARCH("+",Table[[#This Row],[Bet]])),RIGHT(Table[[#This Row],[Bet]],LEN(Table[[#This Row],[Bet]])-SEARCH("+",Table[[#This Row],[Bet]])),IF(ISNUMBER(SEARCH(" -",Table[[#This Row],[Bet]])),RIGHT(Table[[#This Row],[Bet]],LEN(Table[[#This Row],[Bet]])-SEARCH(" -",Table[[#This Row],[Bet]])+1),"Hold")))))</f>
        <v>#VALUE!</v>
      </c>
      <c r="U34" s="111" t="str">
        <f>IFERROR(MID(Table[[#This Row],[Game]],SEARCH("@",Table[[#This Row],[Game]])+2,LEN(Table[[#This Row],[Game]])),"")</f>
        <v/>
      </c>
      <c r="V34" s="111" t="str">
        <f>IFERROR(LEFT(Table[[#This Row],[Game]],SEARCH("@",Table[[#This Row],[Game]])-2),"")</f>
        <v/>
      </c>
      <c r="W34" s="111" t="e">
        <f>IF(OR(Table[[#This Row],[Type]]="O",Table[[#This Row],[Type]]="U"),"--",IF(ISNUMBER(SEARCH(Table[[#This Row],[Home]],Table[[#This Row],[Bet]])),Table[[#This Row],[Home]],Table[[#This Row],[Away]]))</f>
        <v>#VALUE!</v>
      </c>
      <c r="X34" s="112" t="str">
        <f>IF(ISNUMBER(SEARCH(CHAR(10),Table[[#This Row],[Bet]])),"P",IF(ISNUMBER(FIND("Under",Table[[#This Row],[Bet]])),"U",IF(ISNUMBER(SEARCH("Over",Table[[#This Row],[Bet]])),"O",IF(ISNUMBER(SEARCH("+",Table[[#This Row],[Bet]])),IF(ISNUMBER(SEARCH(Table[[#This Row],[Away]],Table[[#This Row],[Bet]])),"RD","HD"),IF(ISNUMBER(SEARCH("-",Table[[#This Row],[Bet]])),IF(ISNUMBER(SEARCH(Table[[#This Row],[Away]],Table[[#This Row],[Bet]])),"RF","HF"),IF(ISNUMBER(SEARCH("Moneyline",Table[[#This Row],[Bet]])),IF(Table[[#This Row],[Odds]]&lt;0,"MF","MD"),""))))))</f>
        <v/>
      </c>
      <c r="Y34" s="111" t="e">
        <f>Table[[#This Row],[Money %]]-Table[[#This Row],[Bet %]]</f>
        <v>#VALUE!</v>
      </c>
      <c r="AA34" s="88" t="str">
        <f>Tracker!AG12</f>
        <v>45-50%</v>
      </c>
      <c r="AB34" s="101" t="str">
        <f>Tracker!AJ12</f>
        <v/>
      </c>
      <c r="AC34" s="102" t="str">
        <f>Tracker!AK12</f>
        <v/>
      </c>
      <c r="AD34" s="101" t="str">
        <f>Tracker!AL12</f>
        <v>X</v>
      </c>
      <c r="AE34" s="102" t="str">
        <f>Tracker!AM12</f>
        <v/>
      </c>
      <c r="AF34" s="101" t="str">
        <f>Tracker!AN12</f>
        <v/>
      </c>
      <c r="AG34" s="102" t="str">
        <f>Tracker!AO12</f>
        <v/>
      </c>
      <c r="AH34" s="101" t="str">
        <f>Tracker!AP12</f>
        <v/>
      </c>
      <c r="AI34" s="103" t="str">
        <f>Tracker!AQ12</f>
        <v>X</v>
      </c>
      <c r="AK34" s="116" t="s">
        <v>54</v>
      </c>
      <c r="AL34" s="116" t="s">
        <v>1282</v>
      </c>
      <c r="AM34" s="116" t="s">
        <v>192</v>
      </c>
      <c r="AN34" s="118">
        <f>INDEX(HomeOU[],MATCH(Analysis[[#This Row],[City]],HomeOU[Team],0),4)</f>
        <v>0.433</v>
      </c>
      <c r="AO34" s="118">
        <f>INDEX(HomeOU[],MATCH(Analysis[[#This Row],[City]],HomeOU[Team],0),3)</f>
        <v>0.56699999999999995</v>
      </c>
      <c r="AP34" s="118">
        <f>INDEX(RoadOU[],MATCH(Analysis[[#This Row],[City]],RoadOU[Team],0),4)</f>
        <v>0.35499999999999998</v>
      </c>
      <c r="AQ34" s="118">
        <f>INDEX(RoadOU[],MATCH(Analysis[[#This Row],[City]],RoadOU[Team],0),3)</f>
        <v>0.64500000000000002</v>
      </c>
      <c r="AR34" s="118">
        <f>INDEX(HFATS[],MATCH(Analysis[[#This Row],[City]],HFATS[Team],0),3)</f>
        <v>0.222</v>
      </c>
      <c r="AS34" s="118">
        <f>INDEX(HDATS[],MATCH(Analysis[[#This Row],[City]],HDATS[Team],0),3)</f>
        <v>0.5</v>
      </c>
      <c r="AT34" s="118">
        <f>INDEX(RFATS[],MATCH(Analysis[[#This Row],[City]],RFATS[Team],0),3)</f>
        <v>0.375</v>
      </c>
      <c r="AU34" s="118">
        <f>INDEX(RDATS[],MATCH(Analysis[[#This Row],[City]],RDATS[Team],0),3)</f>
        <v>0.5</v>
      </c>
    </row>
    <row r="35" spans="2:47" x14ac:dyDescent="0.25">
      <c r="B35" s="81"/>
      <c r="C35" s="82"/>
      <c r="D35" s="114"/>
      <c r="E35" s="160"/>
      <c r="F35" s="97"/>
      <c r="G35" s="97"/>
      <c r="H35" s="160"/>
      <c r="I35" s="161"/>
      <c r="J35" s="161"/>
      <c r="K35" s="97"/>
      <c r="L35" s="146"/>
      <c r="M35" s="95"/>
      <c r="N35" s="111" t="str">
        <f>IF(ISBLANK(Table[[#This Row],[Confidence]]),"",IFERROR(ROUNDDOWN(Table[[#This Row],[Confidence]]*20,0)*5&amp;"-"&amp;ROUNDDOWN(Table[[#This Row],[Confidence]]*20,0)*5+Tracker!$AB$23*100&amp;"%","n/a"))</f>
        <v>n/a</v>
      </c>
      <c r="O35" s="111" t="str">
        <f>IF(ISBLANK(Table[[#This Row],[Trend Based Cover %]]),"",IFERROR(ROUNDDOWN(Table[[#This Row],[Trend Based Cover %]]*20,0)*5&amp;"-"&amp;ROUNDDOWN(Table[[#This Row],[Trend Based Cover %]]*20,0)*5+Tracker!$AB$23*100&amp;"%","n/a"))</f>
        <v>n/a</v>
      </c>
      <c r="P35" s="111" t="e">
        <f>IF(Table[[#This Row],[Combo Bet]]="--","--",IF(Table[[#This Row],[Combo Bet]]=Table[[#This Row],[Bet]],Table[[#This Row],[Result]],IF(Table[[#This Row],[Result]]="W","L","W")))</f>
        <v>#VALUE!</v>
      </c>
      <c r="Q35" s="111" t="e">
        <f>IF(Table[[#This Row],[Confidence Bet]]="--","--",IF(Table[[#This Row],[Confidence Bet]]=Table[[#This Row],[Bet]],Table[[#This Row],[Result]],IF(Table[[#This Row],[Result]]="W","L","W")))</f>
        <v>#VALUE!</v>
      </c>
      <c r="R35" s="111" t="e">
        <f>IF(Table[[#This Row],[Trend Bet]]="--","--",IF(Table[[#This Row],[Trend Bet]]=Table[[#This Row],[Bet]],Table[[#This Row],[Result]],IF(Table[[#This Row],[Result]]="W","L","W")))</f>
        <v>#VALUE!</v>
      </c>
      <c r="S35" s="111" t="e">
        <f>IF(Table[[#This Row],[Type]]="U","Over "&amp;Table[[#This Row],[Line]],IF(Table[[#This Row],[Type]]="O","Under "&amp;Table[[#This Row],[Line]],IF(Table[[#This Row],[Type]]="RD",Table[[#This Row],[Home]]&amp;" -"&amp;Table[[#This Row],[Line]],IF(Table[[#This Row],[Type]]="RF",Table[[#This Row],[Home]]&amp;" +"&amp;-1*Table[[#This Row],[Line]],IF(Table[[#This Row],[Type]]="HD",Table[[#This Row],[Away]]&amp;" -"&amp;Table[[#This Row],[Line]],IF(Table[[#This Row],[Type]]="HF",Table[[#This Row],[Away]]&amp;" +"&amp;-1*Table[[#This Row],[Line]],""))))))</f>
        <v>#VALUE!</v>
      </c>
      <c r="T35" s="111" t="e">
        <f>_xlfn.NUMBERVALUE(IF(Table[[#This Row],[Type]]="O",MID(Table[[#This Row],[Bet]],6,LEN(Table[[#This Row],[Bet]])),IF(Table[[#This Row],[Type]]="U",MID(Table[[#This Row],[Bet]],7,LEN(Table[[#This Row],[Bet]])),IF(ISNUMBER(SEARCH("+",Table[[#This Row],[Bet]])),RIGHT(Table[[#This Row],[Bet]],LEN(Table[[#This Row],[Bet]])-SEARCH("+",Table[[#This Row],[Bet]])),IF(ISNUMBER(SEARCH(" -",Table[[#This Row],[Bet]])),RIGHT(Table[[#This Row],[Bet]],LEN(Table[[#This Row],[Bet]])-SEARCH(" -",Table[[#This Row],[Bet]])+1),"Hold")))))</f>
        <v>#VALUE!</v>
      </c>
      <c r="U35" s="111" t="str">
        <f>IFERROR(MID(Table[[#This Row],[Game]],SEARCH("@",Table[[#This Row],[Game]])+2,LEN(Table[[#This Row],[Game]])),"")</f>
        <v/>
      </c>
      <c r="V35" s="111" t="str">
        <f>IFERROR(LEFT(Table[[#This Row],[Game]],SEARCH("@",Table[[#This Row],[Game]])-2),"")</f>
        <v/>
      </c>
      <c r="W35" s="111" t="e">
        <f>IF(OR(Table[[#This Row],[Type]]="O",Table[[#This Row],[Type]]="U"),"--",IF(ISNUMBER(SEARCH(Table[[#This Row],[Home]],Table[[#This Row],[Bet]])),Table[[#This Row],[Home]],Table[[#This Row],[Away]]))</f>
        <v>#VALUE!</v>
      </c>
      <c r="X35" s="112" t="str">
        <f>IF(ISNUMBER(SEARCH(CHAR(10),Table[[#This Row],[Bet]])),"P",IF(ISNUMBER(FIND("Under",Table[[#This Row],[Bet]])),"U",IF(ISNUMBER(SEARCH("Over",Table[[#This Row],[Bet]])),"O",IF(ISNUMBER(SEARCH("+",Table[[#This Row],[Bet]])),IF(ISNUMBER(SEARCH(Table[[#This Row],[Away]],Table[[#This Row],[Bet]])),"RD","HD"),IF(ISNUMBER(SEARCH("-",Table[[#This Row],[Bet]])),IF(ISNUMBER(SEARCH(Table[[#This Row],[Away]],Table[[#This Row],[Bet]])),"RF","HF"),IF(ISNUMBER(SEARCH("Moneyline",Table[[#This Row],[Bet]])),IF(Table[[#This Row],[Odds]]&lt;0,"MF","MD"),""))))))</f>
        <v/>
      </c>
      <c r="Y35" s="111" t="e">
        <f>Table[[#This Row],[Money %]]-Table[[#This Row],[Bet %]]</f>
        <v>#VALUE!</v>
      </c>
      <c r="AA35" s="88" t="str">
        <f>Tracker!AG13</f>
        <v>50-55%</v>
      </c>
      <c r="AB35" s="101" t="str">
        <f>Tracker!AJ13</f>
        <v>X</v>
      </c>
      <c r="AC35" s="102" t="str">
        <f>Tracker!AK13</f>
        <v>O</v>
      </c>
      <c r="AD35" s="101" t="str">
        <f>Tracker!AL13</f>
        <v>X</v>
      </c>
      <c r="AE35" s="102" t="str">
        <f>Tracker!AM13</f>
        <v>X</v>
      </c>
      <c r="AF35" s="101" t="str">
        <f>Tracker!AN13</f>
        <v>X</v>
      </c>
      <c r="AG35" s="102" t="str">
        <f>Tracker!AO13</f>
        <v/>
      </c>
      <c r="AH35" s="101" t="str">
        <f>Tracker!AP13</f>
        <v>X</v>
      </c>
      <c r="AI35" s="103" t="str">
        <f>Tracker!AQ13</f>
        <v>X</v>
      </c>
      <c r="AK35" s="116" t="s">
        <v>43</v>
      </c>
      <c r="AL35" s="116" t="s">
        <v>1281</v>
      </c>
      <c r="AM35" s="116" t="s">
        <v>177</v>
      </c>
      <c r="AN35" s="118">
        <f>INDEX(HomeOU[],MATCH(Analysis[[#This Row],[City]],HomeOU[Team],0),4)</f>
        <v>0.36399999999999999</v>
      </c>
      <c r="AO35" s="118">
        <f>INDEX(HomeOU[],MATCH(Analysis[[#This Row],[City]],HomeOU[Team],0),3)</f>
        <v>0.63600000000000001</v>
      </c>
      <c r="AP35" s="118">
        <f>INDEX(RoadOU[],MATCH(Analysis[[#This Row],[City]],RoadOU[Team],0),4)</f>
        <v>0.438</v>
      </c>
      <c r="AQ35" s="118">
        <f>INDEX(RoadOU[],MATCH(Analysis[[#This Row],[City]],RoadOU[Team],0),3)</f>
        <v>0.56200000000000006</v>
      </c>
      <c r="AR35" s="118">
        <f>INDEX(HFATS[],MATCH(Analysis[[#This Row],[City]],HFATS[Team],0),3)</f>
        <v>0.433</v>
      </c>
      <c r="AS35" s="118">
        <f>INDEX(HDATS[],MATCH(Analysis[[#This Row],[City]],HDATS[Team],0),3)</f>
        <v>0</v>
      </c>
      <c r="AT35" s="118">
        <f>INDEX(RFATS[],MATCH(Analysis[[#This Row],[City]],RFATS[Team],0),3)</f>
        <v>0.70599999999999996</v>
      </c>
      <c r="AU35" s="118">
        <f>INDEX(RDATS[],MATCH(Analysis[[#This Row],[City]],RDATS[Team],0),3)</f>
        <v>0.61499999999999999</v>
      </c>
    </row>
    <row r="36" spans="2:47" x14ac:dyDescent="0.25">
      <c r="B36" s="81"/>
      <c r="C36" s="82"/>
      <c r="D36" s="114"/>
      <c r="E36" s="160"/>
      <c r="F36" s="97"/>
      <c r="G36" s="97"/>
      <c r="H36" s="160"/>
      <c r="I36" s="161"/>
      <c r="J36" s="161"/>
      <c r="K36" s="97"/>
      <c r="L36" s="146"/>
      <c r="M36" s="95"/>
      <c r="N36" s="111" t="str">
        <f>IF(ISBLANK(Table[[#This Row],[Confidence]]),"",IFERROR(ROUNDDOWN(Table[[#This Row],[Confidence]]*20,0)*5&amp;"-"&amp;ROUNDDOWN(Table[[#This Row],[Confidence]]*20,0)*5+Tracker!$AB$23*100&amp;"%","n/a"))</f>
        <v>n/a</v>
      </c>
      <c r="O36" s="111" t="str">
        <f>IF(ISBLANK(Table[[#This Row],[Trend Based Cover %]]),"",IFERROR(ROUNDDOWN(Table[[#This Row],[Trend Based Cover %]]*20,0)*5&amp;"-"&amp;ROUNDDOWN(Table[[#This Row],[Trend Based Cover %]]*20,0)*5+Tracker!$AB$23*100&amp;"%","n/a"))</f>
        <v>n/a</v>
      </c>
      <c r="P36" s="111" t="e">
        <f>IF(Table[[#This Row],[Combo Bet]]="--","--",IF(Table[[#This Row],[Combo Bet]]=Table[[#This Row],[Bet]],Table[[#This Row],[Result]],IF(Table[[#This Row],[Result]]="W","L","W")))</f>
        <v>#VALUE!</v>
      </c>
      <c r="Q36" s="111" t="e">
        <f>IF(Table[[#This Row],[Confidence Bet]]="--","--",IF(Table[[#This Row],[Confidence Bet]]=Table[[#This Row],[Bet]],Table[[#This Row],[Result]],IF(Table[[#This Row],[Result]]="W","L","W")))</f>
        <v>#VALUE!</v>
      </c>
      <c r="R36" s="111" t="e">
        <f>IF(Table[[#This Row],[Trend Bet]]="--","--",IF(Table[[#This Row],[Trend Bet]]=Table[[#This Row],[Bet]],Table[[#This Row],[Result]],IF(Table[[#This Row],[Result]]="W","L","W")))</f>
        <v>#VALUE!</v>
      </c>
      <c r="S36" s="111" t="e">
        <f>IF(Table[[#This Row],[Type]]="U","Over "&amp;Table[[#This Row],[Line]],IF(Table[[#This Row],[Type]]="O","Under "&amp;Table[[#This Row],[Line]],IF(Table[[#This Row],[Type]]="RD",Table[[#This Row],[Home]]&amp;" -"&amp;Table[[#This Row],[Line]],IF(Table[[#This Row],[Type]]="RF",Table[[#This Row],[Home]]&amp;" +"&amp;-1*Table[[#This Row],[Line]],IF(Table[[#This Row],[Type]]="HD",Table[[#This Row],[Away]]&amp;" -"&amp;Table[[#This Row],[Line]],IF(Table[[#This Row],[Type]]="HF",Table[[#This Row],[Away]]&amp;" +"&amp;-1*Table[[#This Row],[Line]],""))))))</f>
        <v>#VALUE!</v>
      </c>
      <c r="T36" s="111" t="e">
        <f>_xlfn.NUMBERVALUE(IF(Table[[#This Row],[Type]]="O",MID(Table[[#This Row],[Bet]],6,LEN(Table[[#This Row],[Bet]])),IF(Table[[#This Row],[Type]]="U",MID(Table[[#This Row],[Bet]],7,LEN(Table[[#This Row],[Bet]])),IF(ISNUMBER(SEARCH("+",Table[[#This Row],[Bet]])),RIGHT(Table[[#This Row],[Bet]],LEN(Table[[#This Row],[Bet]])-SEARCH("+",Table[[#This Row],[Bet]])),IF(ISNUMBER(SEARCH(" -",Table[[#This Row],[Bet]])),RIGHT(Table[[#This Row],[Bet]],LEN(Table[[#This Row],[Bet]])-SEARCH(" -",Table[[#This Row],[Bet]])+1),"Hold")))))</f>
        <v>#VALUE!</v>
      </c>
      <c r="U36" s="111" t="str">
        <f>IFERROR(MID(Table[[#This Row],[Game]],SEARCH("@",Table[[#This Row],[Game]])+2,LEN(Table[[#This Row],[Game]])),"")</f>
        <v/>
      </c>
      <c r="V36" s="111" t="str">
        <f>IFERROR(LEFT(Table[[#This Row],[Game]],SEARCH("@",Table[[#This Row],[Game]])-2),"")</f>
        <v/>
      </c>
      <c r="W36" s="111" t="e">
        <f>IF(OR(Table[[#This Row],[Type]]="O",Table[[#This Row],[Type]]="U"),"--",IF(ISNUMBER(SEARCH(Table[[#This Row],[Home]],Table[[#This Row],[Bet]])),Table[[#This Row],[Home]],Table[[#This Row],[Away]]))</f>
        <v>#VALUE!</v>
      </c>
      <c r="X36" s="112" t="str">
        <f>IF(ISNUMBER(SEARCH(CHAR(10),Table[[#This Row],[Bet]])),"P",IF(ISNUMBER(FIND("Under",Table[[#This Row],[Bet]])),"U",IF(ISNUMBER(SEARCH("Over",Table[[#This Row],[Bet]])),"O",IF(ISNUMBER(SEARCH("+",Table[[#This Row],[Bet]])),IF(ISNUMBER(SEARCH(Table[[#This Row],[Away]],Table[[#This Row],[Bet]])),"RD","HD"),IF(ISNUMBER(SEARCH("-",Table[[#This Row],[Bet]])),IF(ISNUMBER(SEARCH(Table[[#This Row],[Away]],Table[[#This Row],[Bet]])),"RF","HF"),IF(ISNUMBER(SEARCH("Moneyline",Table[[#This Row],[Bet]])),IF(Table[[#This Row],[Odds]]&lt;0,"MF","MD"),""))))))</f>
        <v/>
      </c>
      <c r="Y36" s="111" t="e">
        <f>Table[[#This Row],[Money %]]-Table[[#This Row],[Bet %]]</f>
        <v>#VALUE!</v>
      </c>
      <c r="AA36" s="88" t="str">
        <f>Tracker!AG14</f>
        <v>55-60%</v>
      </c>
      <c r="AB36" s="101" t="str">
        <f>Tracker!AJ14</f>
        <v/>
      </c>
      <c r="AC36" s="102" t="str">
        <f>Tracker!AK14</f>
        <v>O</v>
      </c>
      <c r="AD36" s="101" t="str">
        <f>Tracker!AL14</f>
        <v/>
      </c>
      <c r="AE36" s="102" t="str">
        <f>Tracker!AM14</f>
        <v>O</v>
      </c>
      <c r="AF36" s="101" t="str">
        <f>Tracker!AN14</f>
        <v>O</v>
      </c>
      <c r="AG36" s="102" t="str">
        <f>Tracker!AO14</f>
        <v/>
      </c>
      <c r="AH36" s="101" t="str">
        <f>Tracker!AP14</f>
        <v>X</v>
      </c>
      <c r="AI36" s="103" t="str">
        <f>Tracker!AQ14</f>
        <v>O</v>
      </c>
      <c r="AK36" s="116" t="s">
        <v>27</v>
      </c>
      <c r="AL36" s="116" t="s">
        <v>1287</v>
      </c>
      <c r="AM36" s="116" t="s">
        <v>164</v>
      </c>
      <c r="AN36" s="118">
        <f>INDEX(HomeOU[],MATCH(Analysis[[#This Row],[City]],HomeOU[Team],0),4)</f>
        <v>0.46899999999999997</v>
      </c>
      <c r="AO36" s="118">
        <f>INDEX(HomeOU[],MATCH(Analysis[[#This Row],[City]],HomeOU[Team],0),3)</f>
        <v>0.53100000000000003</v>
      </c>
      <c r="AP36" s="118">
        <f>INDEX(RoadOU[],MATCH(Analysis[[#This Row],[City]],RoadOU[Team],0),4)</f>
        <v>0.45200000000000001</v>
      </c>
      <c r="AQ36" s="118">
        <f>INDEX(RoadOU[],MATCH(Analysis[[#This Row],[City]],RoadOU[Team],0),3)</f>
        <v>0.54800000000000004</v>
      </c>
      <c r="AR36" s="118">
        <f>INDEX(HFATS[],MATCH(Analysis[[#This Row],[City]],HFATS[Team],0),3)</f>
        <v>0.621</v>
      </c>
      <c r="AS36" s="118">
        <f>INDEX(HDATS[],MATCH(Analysis[[#This Row],[City]],HDATS[Team],0),3)</f>
        <v>0.33300000000000002</v>
      </c>
      <c r="AT36" s="118">
        <f>INDEX(RFATS[],MATCH(Analysis[[#This Row],[City]],RFATS[Team],0),3)</f>
        <v>0.5</v>
      </c>
      <c r="AU36" s="118">
        <f>INDEX(RDATS[],MATCH(Analysis[[#This Row],[City]],RDATS[Team],0),3)</f>
        <v>0.53300000000000003</v>
      </c>
    </row>
    <row r="37" spans="2:47" x14ac:dyDescent="0.25">
      <c r="B37" s="81"/>
      <c r="C37" s="82"/>
      <c r="D37" s="114"/>
      <c r="E37" s="160"/>
      <c r="F37" s="97"/>
      <c r="G37" s="97"/>
      <c r="H37" s="160"/>
      <c r="I37" s="161"/>
      <c r="J37" s="161"/>
      <c r="K37" s="97"/>
      <c r="L37" s="146"/>
      <c r="M37" s="95"/>
      <c r="N37" s="111" t="str">
        <f>IF(ISBLANK(Table[[#This Row],[Confidence]]),"",IFERROR(ROUNDDOWN(Table[[#This Row],[Confidence]]*20,0)*5&amp;"-"&amp;ROUNDDOWN(Table[[#This Row],[Confidence]]*20,0)*5+Tracker!$AB$23*100&amp;"%","n/a"))</f>
        <v>n/a</v>
      </c>
      <c r="O37" s="111" t="str">
        <f>IF(ISBLANK(Table[[#This Row],[Trend Based Cover %]]),"",IFERROR(ROUNDDOWN(Table[[#This Row],[Trend Based Cover %]]*20,0)*5&amp;"-"&amp;ROUNDDOWN(Table[[#This Row],[Trend Based Cover %]]*20,0)*5+Tracker!$AB$23*100&amp;"%","n/a"))</f>
        <v>n/a</v>
      </c>
      <c r="P37" s="111" t="e">
        <f>IF(Table[[#This Row],[Combo Bet]]="--","--",IF(Table[[#This Row],[Combo Bet]]=Table[[#This Row],[Bet]],Table[[#This Row],[Result]],IF(Table[[#This Row],[Result]]="W","L","W")))</f>
        <v>#VALUE!</v>
      </c>
      <c r="Q37" s="111" t="e">
        <f>IF(Table[[#This Row],[Confidence Bet]]="--","--",IF(Table[[#This Row],[Confidence Bet]]=Table[[#This Row],[Bet]],Table[[#This Row],[Result]],IF(Table[[#This Row],[Result]]="W","L","W")))</f>
        <v>#VALUE!</v>
      </c>
      <c r="R37" s="111" t="e">
        <f>IF(Table[[#This Row],[Trend Bet]]="--","--",IF(Table[[#This Row],[Trend Bet]]=Table[[#This Row],[Bet]],Table[[#This Row],[Result]],IF(Table[[#This Row],[Result]]="W","L","W")))</f>
        <v>#VALUE!</v>
      </c>
      <c r="S37" s="111" t="e">
        <f>IF(Table[[#This Row],[Type]]="U","Over "&amp;Table[[#This Row],[Line]],IF(Table[[#This Row],[Type]]="O","Under "&amp;Table[[#This Row],[Line]],IF(Table[[#This Row],[Type]]="RD",Table[[#This Row],[Home]]&amp;" -"&amp;Table[[#This Row],[Line]],IF(Table[[#This Row],[Type]]="RF",Table[[#This Row],[Home]]&amp;" +"&amp;-1*Table[[#This Row],[Line]],IF(Table[[#This Row],[Type]]="HD",Table[[#This Row],[Away]]&amp;" -"&amp;Table[[#This Row],[Line]],IF(Table[[#This Row],[Type]]="HF",Table[[#This Row],[Away]]&amp;" +"&amp;-1*Table[[#This Row],[Line]],""))))))</f>
        <v>#VALUE!</v>
      </c>
      <c r="T37" s="111" t="e">
        <f>_xlfn.NUMBERVALUE(IF(Table[[#This Row],[Type]]="O",MID(Table[[#This Row],[Bet]],6,LEN(Table[[#This Row],[Bet]])),IF(Table[[#This Row],[Type]]="U",MID(Table[[#This Row],[Bet]],7,LEN(Table[[#This Row],[Bet]])),IF(ISNUMBER(SEARCH("+",Table[[#This Row],[Bet]])),RIGHT(Table[[#This Row],[Bet]],LEN(Table[[#This Row],[Bet]])-SEARCH("+",Table[[#This Row],[Bet]])),IF(ISNUMBER(SEARCH(" -",Table[[#This Row],[Bet]])),RIGHT(Table[[#This Row],[Bet]],LEN(Table[[#This Row],[Bet]])-SEARCH(" -",Table[[#This Row],[Bet]])+1),"Hold")))))</f>
        <v>#VALUE!</v>
      </c>
      <c r="U37" s="111" t="str">
        <f>IFERROR(MID(Table[[#This Row],[Game]],SEARCH("@",Table[[#This Row],[Game]])+2,LEN(Table[[#This Row],[Game]])),"")</f>
        <v/>
      </c>
      <c r="V37" s="111" t="str">
        <f>IFERROR(LEFT(Table[[#This Row],[Game]],SEARCH("@",Table[[#This Row],[Game]])-2),"")</f>
        <v/>
      </c>
      <c r="W37" s="111" t="e">
        <f>IF(OR(Table[[#This Row],[Type]]="O",Table[[#This Row],[Type]]="U"),"--",IF(ISNUMBER(SEARCH(Table[[#This Row],[Home]],Table[[#This Row],[Bet]])),Table[[#This Row],[Home]],Table[[#This Row],[Away]]))</f>
        <v>#VALUE!</v>
      </c>
      <c r="X37" s="112" t="str">
        <f>IF(ISNUMBER(SEARCH(CHAR(10),Table[[#This Row],[Bet]])),"P",IF(ISNUMBER(FIND("Under",Table[[#This Row],[Bet]])),"U",IF(ISNUMBER(SEARCH("Over",Table[[#This Row],[Bet]])),"O",IF(ISNUMBER(SEARCH("+",Table[[#This Row],[Bet]])),IF(ISNUMBER(SEARCH(Table[[#This Row],[Away]],Table[[#This Row],[Bet]])),"RD","HD"),IF(ISNUMBER(SEARCH("-",Table[[#This Row],[Bet]])),IF(ISNUMBER(SEARCH(Table[[#This Row],[Away]],Table[[#This Row],[Bet]])),"RF","HF"),IF(ISNUMBER(SEARCH("Moneyline",Table[[#This Row],[Bet]])),IF(Table[[#This Row],[Odds]]&lt;0,"MF","MD"),""))))))</f>
        <v/>
      </c>
      <c r="Y37" s="111" t="e">
        <f>Table[[#This Row],[Money %]]-Table[[#This Row],[Bet %]]</f>
        <v>#VALUE!</v>
      </c>
      <c r="AA37" s="88" t="str">
        <f>Tracker!AG15</f>
        <v>60-65%</v>
      </c>
      <c r="AB37" s="101" t="str">
        <f>Tracker!AJ15</f>
        <v>O</v>
      </c>
      <c r="AC37" s="102" t="str">
        <f>Tracker!AK15</f>
        <v/>
      </c>
      <c r="AD37" s="101" t="str">
        <f>Tracker!AL15</f>
        <v>X</v>
      </c>
      <c r="AE37" s="102" t="str">
        <f>Tracker!AM15</f>
        <v>O</v>
      </c>
      <c r="AF37" s="101" t="str">
        <f>Tracker!AN15</f>
        <v>O</v>
      </c>
      <c r="AG37" s="102" t="str">
        <f>Tracker!AO15</f>
        <v>X</v>
      </c>
      <c r="AH37" s="101" t="str">
        <f>Tracker!AP15</f>
        <v>X</v>
      </c>
      <c r="AI37" s="103" t="str">
        <f>Tracker!AQ15</f>
        <v>X</v>
      </c>
      <c r="AK37" s="116" t="s">
        <v>28</v>
      </c>
      <c r="AL37" s="116" t="s">
        <v>1279</v>
      </c>
      <c r="AM37" s="116" t="s">
        <v>165</v>
      </c>
      <c r="AN37" s="118">
        <f>INDEX(HomeOU[],MATCH(Analysis[[#This Row],[City]],HomeOU[Team],0),4)</f>
        <v>0.40600000000000003</v>
      </c>
      <c r="AO37" s="118">
        <f>INDEX(HomeOU[],MATCH(Analysis[[#This Row],[City]],HomeOU[Team],0),3)</f>
        <v>0.59399999999999997</v>
      </c>
      <c r="AP37" s="118">
        <f>INDEX(RoadOU[],MATCH(Analysis[[#This Row],[City]],RoadOU[Team],0),4)</f>
        <v>0.47099999999999997</v>
      </c>
      <c r="AQ37" s="118">
        <f>INDEX(RoadOU[],MATCH(Analysis[[#This Row],[City]],RoadOU[Team],0),3)</f>
        <v>0.52900000000000003</v>
      </c>
      <c r="AR37" s="118">
        <f>INDEX(HFATS[],MATCH(Analysis[[#This Row],[City]],HFATS[Team],0),3)</f>
        <v>0.52400000000000002</v>
      </c>
      <c r="AS37" s="118">
        <f>INDEX(HDATS[],MATCH(Analysis[[#This Row],[City]],HDATS[Team],0),3)</f>
        <v>0.222</v>
      </c>
      <c r="AT37" s="118">
        <f>INDEX(RFATS[],MATCH(Analysis[[#This Row],[City]],RFATS[Team],0),3)</f>
        <v>0.36399999999999999</v>
      </c>
      <c r="AU37" s="118">
        <f>INDEX(RDATS[],MATCH(Analysis[[#This Row],[City]],RDATS[Team],0),3)</f>
        <v>0.435</v>
      </c>
    </row>
    <row r="38" spans="2:47" x14ac:dyDescent="0.25">
      <c r="B38" s="81"/>
      <c r="C38" s="82"/>
      <c r="D38" s="114"/>
      <c r="E38" s="160"/>
      <c r="F38" s="97"/>
      <c r="G38" s="97"/>
      <c r="H38" s="160"/>
      <c r="I38" s="161"/>
      <c r="J38" s="161"/>
      <c r="K38" s="97"/>
      <c r="L38" s="146"/>
      <c r="M38" s="95"/>
      <c r="N38" s="111" t="str">
        <f>IF(ISBLANK(Table[[#This Row],[Confidence]]),"",IFERROR(ROUNDDOWN(Table[[#This Row],[Confidence]]*20,0)*5&amp;"-"&amp;ROUNDDOWN(Table[[#This Row],[Confidence]]*20,0)*5+Tracker!$AB$23*100&amp;"%","n/a"))</f>
        <v>n/a</v>
      </c>
      <c r="O38" s="111" t="str">
        <f>IF(ISBLANK(Table[[#This Row],[Trend Based Cover %]]),"",IFERROR(ROUNDDOWN(Table[[#This Row],[Trend Based Cover %]]*20,0)*5&amp;"-"&amp;ROUNDDOWN(Table[[#This Row],[Trend Based Cover %]]*20,0)*5+Tracker!$AB$23*100&amp;"%","n/a"))</f>
        <v>n/a</v>
      </c>
      <c r="P38" s="111" t="e">
        <f>IF(Table[[#This Row],[Combo Bet]]="--","--",IF(Table[[#This Row],[Combo Bet]]=Table[[#This Row],[Bet]],Table[[#This Row],[Result]],IF(Table[[#This Row],[Result]]="W","L","W")))</f>
        <v>#VALUE!</v>
      </c>
      <c r="Q38" s="111" t="e">
        <f>IF(Table[[#This Row],[Confidence Bet]]="--","--",IF(Table[[#This Row],[Confidence Bet]]=Table[[#This Row],[Bet]],Table[[#This Row],[Result]],IF(Table[[#This Row],[Result]]="W","L","W")))</f>
        <v>#VALUE!</v>
      </c>
      <c r="R38" s="111" t="e">
        <f>IF(Table[[#This Row],[Trend Bet]]="--","--",IF(Table[[#This Row],[Trend Bet]]=Table[[#This Row],[Bet]],Table[[#This Row],[Result]],IF(Table[[#This Row],[Result]]="W","L","W")))</f>
        <v>#VALUE!</v>
      </c>
      <c r="S38" s="111" t="e">
        <f>IF(Table[[#This Row],[Type]]="U","Over "&amp;Table[[#This Row],[Line]],IF(Table[[#This Row],[Type]]="O","Under "&amp;Table[[#This Row],[Line]],IF(Table[[#This Row],[Type]]="RD",Table[[#This Row],[Home]]&amp;" -"&amp;Table[[#This Row],[Line]],IF(Table[[#This Row],[Type]]="RF",Table[[#This Row],[Home]]&amp;" +"&amp;-1*Table[[#This Row],[Line]],IF(Table[[#This Row],[Type]]="HD",Table[[#This Row],[Away]]&amp;" -"&amp;Table[[#This Row],[Line]],IF(Table[[#This Row],[Type]]="HF",Table[[#This Row],[Away]]&amp;" +"&amp;-1*Table[[#This Row],[Line]],""))))))</f>
        <v>#VALUE!</v>
      </c>
      <c r="T38" s="111" t="e">
        <f>_xlfn.NUMBERVALUE(IF(Table[[#This Row],[Type]]="O",MID(Table[[#This Row],[Bet]],6,LEN(Table[[#This Row],[Bet]])),IF(Table[[#This Row],[Type]]="U",MID(Table[[#This Row],[Bet]],7,LEN(Table[[#This Row],[Bet]])),IF(ISNUMBER(SEARCH("+",Table[[#This Row],[Bet]])),RIGHT(Table[[#This Row],[Bet]],LEN(Table[[#This Row],[Bet]])-SEARCH("+",Table[[#This Row],[Bet]])),IF(ISNUMBER(SEARCH(" -",Table[[#This Row],[Bet]])),RIGHT(Table[[#This Row],[Bet]],LEN(Table[[#This Row],[Bet]])-SEARCH(" -",Table[[#This Row],[Bet]])+1),"Hold")))))</f>
        <v>#VALUE!</v>
      </c>
      <c r="U38" s="111" t="str">
        <f>IFERROR(MID(Table[[#This Row],[Game]],SEARCH("@",Table[[#This Row],[Game]])+2,LEN(Table[[#This Row],[Game]])),"")</f>
        <v/>
      </c>
      <c r="V38" s="111" t="str">
        <f>IFERROR(LEFT(Table[[#This Row],[Game]],SEARCH("@",Table[[#This Row],[Game]])-2),"")</f>
        <v/>
      </c>
      <c r="W38" s="111" t="e">
        <f>IF(OR(Table[[#This Row],[Type]]="O",Table[[#This Row],[Type]]="U"),"--",IF(ISNUMBER(SEARCH(Table[[#This Row],[Home]],Table[[#This Row],[Bet]])),Table[[#This Row],[Home]],Table[[#This Row],[Away]]))</f>
        <v>#VALUE!</v>
      </c>
      <c r="X38" s="112" t="str">
        <f>IF(ISNUMBER(SEARCH(CHAR(10),Table[[#This Row],[Bet]])),"P",IF(ISNUMBER(FIND("Under",Table[[#This Row],[Bet]])),"U",IF(ISNUMBER(SEARCH("Over",Table[[#This Row],[Bet]])),"O",IF(ISNUMBER(SEARCH("+",Table[[#This Row],[Bet]])),IF(ISNUMBER(SEARCH(Table[[#This Row],[Away]],Table[[#This Row],[Bet]])),"RD","HD"),IF(ISNUMBER(SEARCH("-",Table[[#This Row],[Bet]])),IF(ISNUMBER(SEARCH(Table[[#This Row],[Away]],Table[[#This Row],[Bet]])),"RF","HF"),IF(ISNUMBER(SEARCH("Moneyline",Table[[#This Row],[Bet]])),IF(Table[[#This Row],[Odds]]&lt;0,"MF","MD"),""))))))</f>
        <v/>
      </c>
      <c r="Y38" s="111" t="e">
        <f>Table[[#This Row],[Money %]]-Table[[#This Row],[Bet %]]</f>
        <v>#VALUE!</v>
      </c>
      <c r="AA38" s="88" t="str">
        <f>Tracker!AG16</f>
        <v>65-70%</v>
      </c>
      <c r="AB38" s="101" t="str">
        <f>Tracker!AJ16</f>
        <v/>
      </c>
      <c r="AC38" s="102" t="str">
        <f>Tracker!AK16</f>
        <v/>
      </c>
      <c r="AD38" s="101" t="str">
        <f>Tracker!AL16</f>
        <v/>
      </c>
      <c r="AE38" s="102" t="str">
        <f>Tracker!AM16</f>
        <v>X</v>
      </c>
      <c r="AF38" s="101" t="str">
        <f>Tracker!AN16</f>
        <v>X</v>
      </c>
      <c r="AG38" s="102" t="str">
        <f>Tracker!AO16</f>
        <v/>
      </c>
      <c r="AH38" s="101" t="str">
        <f>Tracker!AP16</f>
        <v/>
      </c>
      <c r="AI38" s="103" t="str">
        <f>Tracker!AQ16</f>
        <v/>
      </c>
      <c r="AK38" s="116" t="s">
        <v>41</v>
      </c>
      <c r="AL38" s="116" t="s">
        <v>1280</v>
      </c>
      <c r="AM38" s="116" t="s">
        <v>175</v>
      </c>
      <c r="AN38" s="118">
        <f>INDEX(HomeOU[],MATCH(Analysis[[#This Row],[City]],HomeOU[Team],0),4)</f>
        <v>0.32300000000000001</v>
      </c>
      <c r="AO38" s="118">
        <f>INDEX(HomeOU[],MATCH(Analysis[[#This Row],[City]],HomeOU[Team],0),3)</f>
        <v>0.67700000000000005</v>
      </c>
      <c r="AP38" s="118">
        <f>INDEX(RoadOU[],MATCH(Analysis[[#This Row],[City]],RoadOU[Team],0),4)</f>
        <v>0.46899999999999997</v>
      </c>
      <c r="AQ38" s="118">
        <f>INDEX(RoadOU[],MATCH(Analysis[[#This Row],[City]],RoadOU[Team],0),3)</f>
        <v>0.53100000000000003</v>
      </c>
      <c r="AR38" s="118">
        <f>INDEX(HFATS[],MATCH(Analysis[[#This Row],[City]],HFATS[Team],0),3)</f>
        <v>0.65400000000000003</v>
      </c>
      <c r="AS38" s="118">
        <f>INDEX(HDATS[],MATCH(Analysis[[#This Row],[City]],HDATS[Team],0),3)</f>
        <v>0.75</v>
      </c>
      <c r="AT38" s="118">
        <f>INDEX(RFATS[],MATCH(Analysis[[#This Row],[City]],RFATS[Team],0),3)</f>
        <v>0.438</v>
      </c>
      <c r="AU38" s="118">
        <f>INDEX(RDATS[],MATCH(Analysis[[#This Row],[City]],RDATS[Team],0),3)</f>
        <v>0.375</v>
      </c>
    </row>
    <row r="39" spans="2:47" x14ac:dyDescent="0.25">
      <c r="B39" s="81"/>
      <c r="C39" s="82"/>
      <c r="D39" s="114"/>
      <c r="E39" s="160"/>
      <c r="F39" s="97"/>
      <c r="G39" s="97"/>
      <c r="H39" s="160"/>
      <c r="I39" s="161"/>
      <c r="J39" s="161"/>
      <c r="K39" s="97"/>
      <c r="L39" s="146"/>
      <c r="M39" s="95"/>
      <c r="N39" s="111" t="str">
        <f>IF(ISBLANK(Table[[#This Row],[Confidence]]),"",IFERROR(ROUNDDOWN(Table[[#This Row],[Confidence]]*20,0)*5&amp;"-"&amp;ROUNDDOWN(Table[[#This Row],[Confidence]]*20,0)*5+Tracker!$AB$23*100&amp;"%","n/a"))</f>
        <v>n/a</v>
      </c>
      <c r="O39" s="111" t="str">
        <f>IF(ISBLANK(Table[[#This Row],[Trend Based Cover %]]),"",IFERROR(ROUNDDOWN(Table[[#This Row],[Trend Based Cover %]]*20,0)*5&amp;"-"&amp;ROUNDDOWN(Table[[#This Row],[Trend Based Cover %]]*20,0)*5+Tracker!$AB$23*100&amp;"%","n/a"))</f>
        <v>n/a</v>
      </c>
      <c r="P39" s="111" t="e">
        <f>IF(Table[[#This Row],[Combo Bet]]="--","--",IF(Table[[#This Row],[Combo Bet]]=Table[[#This Row],[Bet]],Table[[#This Row],[Result]],IF(Table[[#This Row],[Result]]="W","L","W")))</f>
        <v>#VALUE!</v>
      </c>
      <c r="Q39" s="111" t="e">
        <f>IF(Table[[#This Row],[Confidence Bet]]="--","--",IF(Table[[#This Row],[Confidence Bet]]=Table[[#This Row],[Bet]],Table[[#This Row],[Result]],IF(Table[[#This Row],[Result]]="W","L","W")))</f>
        <v>#VALUE!</v>
      </c>
      <c r="R39" s="111" t="e">
        <f>IF(Table[[#This Row],[Trend Bet]]="--","--",IF(Table[[#This Row],[Trend Bet]]=Table[[#This Row],[Bet]],Table[[#This Row],[Result]],IF(Table[[#This Row],[Result]]="W","L","W")))</f>
        <v>#VALUE!</v>
      </c>
      <c r="S39" s="111" t="e">
        <f>IF(Table[[#This Row],[Type]]="U","Over "&amp;Table[[#This Row],[Line]],IF(Table[[#This Row],[Type]]="O","Under "&amp;Table[[#This Row],[Line]],IF(Table[[#This Row],[Type]]="RD",Table[[#This Row],[Home]]&amp;" -"&amp;Table[[#This Row],[Line]],IF(Table[[#This Row],[Type]]="RF",Table[[#This Row],[Home]]&amp;" +"&amp;-1*Table[[#This Row],[Line]],IF(Table[[#This Row],[Type]]="HD",Table[[#This Row],[Away]]&amp;" -"&amp;Table[[#This Row],[Line]],IF(Table[[#This Row],[Type]]="HF",Table[[#This Row],[Away]]&amp;" +"&amp;-1*Table[[#This Row],[Line]],""))))))</f>
        <v>#VALUE!</v>
      </c>
      <c r="T39" s="111" t="e">
        <f>_xlfn.NUMBERVALUE(IF(Table[[#This Row],[Type]]="O",MID(Table[[#This Row],[Bet]],6,LEN(Table[[#This Row],[Bet]])),IF(Table[[#This Row],[Type]]="U",MID(Table[[#This Row],[Bet]],7,LEN(Table[[#This Row],[Bet]])),IF(ISNUMBER(SEARCH("+",Table[[#This Row],[Bet]])),RIGHT(Table[[#This Row],[Bet]],LEN(Table[[#This Row],[Bet]])-SEARCH("+",Table[[#This Row],[Bet]])),IF(ISNUMBER(SEARCH(" -",Table[[#This Row],[Bet]])),RIGHT(Table[[#This Row],[Bet]],LEN(Table[[#This Row],[Bet]])-SEARCH(" -",Table[[#This Row],[Bet]])+1),"Hold")))))</f>
        <v>#VALUE!</v>
      </c>
      <c r="U39" s="111" t="str">
        <f>IFERROR(MID(Table[[#This Row],[Game]],SEARCH("@",Table[[#This Row],[Game]])+2,LEN(Table[[#This Row],[Game]])),"")</f>
        <v/>
      </c>
      <c r="V39" s="111" t="str">
        <f>IFERROR(LEFT(Table[[#This Row],[Game]],SEARCH("@",Table[[#This Row],[Game]])-2),"")</f>
        <v/>
      </c>
      <c r="W39" s="111" t="e">
        <f>IF(OR(Table[[#This Row],[Type]]="O",Table[[#This Row],[Type]]="U"),"--",IF(ISNUMBER(SEARCH(Table[[#This Row],[Home]],Table[[#This Row],[Bet]])),Table[[#This Row],[Home]],Table[[#This Row],[Away]]))</f>
        <v>#VALUE!</v>
      </c>
      <c r="X39" s="112" t="str">
        <f>IF(ISNUMBER(SEARCH(CHAR(10),Table[[#This Row],[Bet]])),"P",IF(ISNUMBER(FIND("Under",Table[[#This Row],[Bet]])),"U",IF(ISNUMBER(SEARCH("Over",Table[[#This Row],[Bet]])),"O",IF(ISNUMBER(SEARCH("+",Table[[#This Row],[Bet]])),IF(ISNUMBER(SEARCH(Table[[#This Row],[Away]],Table[[#This Row],[Bet]])),"RD","HD"),IF(ISNUMBER(SEARCH("-",Table[[#This Row],[Bet]])),IF(ISNUMBER(SEARCH(Table[[#This Row],[Away]],Table[[#This Row],[Bet]])),"RF","HF"),IF(ISNUMBER(SEARCH("Moneyline",Table[[#This Row],[Bet]])),IF(Table[[#This Row],[Odds]]&lt;0,"MF","MD"),""))))))</f>
        <v/>
      </c>
      <c r="Y39" s="111" t="e">
        <f>Table[[#This Row],[Money %]]-Table[[#This Row],[Bet %]]</f>
        <v>#VALUE!</v>
      </c>
      <c r="AA39" s="88" t="str">
        <f>Tracker!AG17</f>
        <v>70-75%</v>
      </c>
      <c r="AB39" s="101" t="str">
        <f>Tracker!AJ17</f>
        <v/>
      </c>
      <c r="AC39" s="102" t="str">
        <f>Tracker!AK17</f>
        <v/>
      </c>
      <c r="AD39" s="101" t="str">
        <f>Tracker!AL17</f>
        <v>O</v>
      </c>
      <c r="AE39" s="102" t="str">
        <f>Tracker!AM17</f>
        <v>X</v>
      </c>
      <c r="AF39" s="101" t="str">
        <f>Tracker!AN17</f>
        <v/>
      </c>
      <c r="AG39" s="102" t="str">
        <f>Tracker!AO17</f>
        <v>X</v>
      </c>
      <c r="AH39" s="101" t="str">
        <f>Tracker!AP17</f>
        <v>O</v>
      </c>
      <c r="AI39" s="103" t="str">
        <f>Tracker!AQ17</f>
        <v/>
      </c>
      <c r="AK39" s="117" t="s">
        <v>30</v>
      </c>
      <c r="AL39" s="117" t="s">
        <v>1278</v>
      </c>
      <c r="AM39" s="117" t="s">
        <v>167</v>
      </c>
      <c r="AN39" s="119">
        <f>INDEX(HomeOU[],MATCH(Analysis[[#This Row],[City]],HomeOU[Team],0),4)</f>
        <v>0.312</v>
      </c>
      <c r="AO39" s="118">
        <f>INDEX(HomeOU[],MATCH(Analysis[[#This Row],[City]],HomeOU[Team],0),3)</f>
        <v>0.68799999999999994</v>
      </c>
      <c r="AP39" s="119">
        <f>INDEX(RoadOU[],MATCH(Analysis[[#This Row],[City]],RoadOU[Team],0),4)</f>
        <v>0.51600000000000001</v>
      </c>
      <c r="AQ39" s="118">
        <f>INDEX(RoadOU[],MATCH(Analysis[[#This Row],[City]],RoadOU[Team],0),3)</f>
        <v>0.48399999999999999</v>
      </c>
      <c r="AR39" s="119">
        <f>INDEX(HFATS[],MATCH(Analysis[[#This Row],[City]],HFATS[Team],0),3)</f>
        <v>0.35699999999999998</v>
      </c>
      <c r="AS39" s="119">
        <f>INDEX(HDATS[],MATCH(Analysis[[#This Row],[City]],HDATS[Team],0),3)</f>
        <v>0.44400000000000001</v>
      </c>
      <c r="AT39" s="119">
        <f>INDEX(RFATS[],MATCH(Analysis[[#This Row],[City]],RFATS[Team],0),3)</f>
        <v>0.5</v>
      </c>
      <c r="AU39" s="119">
        <f>INDEX(RDATS[],MATCH(Analysis[[#This Row],[City]],RDATS[Team],0),3)</f>
        <v>0.4</v>
      </c>
    </row>
    <row r="40" spans="2:47" x14ac:dyDescent="0.25">
      <c r="B40" s="81"/>
      <c r="C40" s="82"/>
      <c r="D40" s="114"/>
      <c r="E40" s="160"/>
      <c r="F40" s="97"/>
      <c r="G40" s="97"/>
      <c r="H40" s="160"/>
      <c r="I40" s="161"/>
      <c r="J40" s="161"/>
      <c r="K40" s="97"/>
      <c r="L40" s="146"/>
      <c r="M40" s="95"/>
      <c r="N40" s="111" t="str">
        <f>IF(ISBLANK(Table[[#This Row],[Confidence]]),"",IFERROR(ROUNDDOWN(Table[[#This Row],[Confidence]]*20,0)*5&amp;"-"&amp;ROUNDDOWN(Table[[#This Row],[Confidence]]*20,0)*5+Tracker!$AB$23*100&amp;"%","n/a"))</f>
        <v>n/a</v>
      </c>
      <c r="O40" s="111" t="str">
        <f>IF(ISBLANK(Table[[#This Row],[Trend Based Cover %]]),"",IFERROR(ROUNDDOWN(Table[[#This Row],[Trend Based Cover %]]*20,0)*5&amp;"-"&amp;ROUNDDOWN(Table[[#This Row],[Trend Based Cover %]]*20,0)*5+Tracker!$AB$23*100&amp;"%","n/a"))</f>
        <v>n/a</v>
      </c>
      <c r="P40" s="111" t="e">
        <f>IF(Table[[#This Row],[Combo Bet]]="--","--",IF(Table[[#This Row],[Combo Bet]]=Table[[#This Row],[Bet]],Table[[#This Row],[Result]],IF(Table[[#This Row],[Result]]="W","L","W")))</f>
        <v>#VALUE!</v>
      </c>
      <c r="Q40" s="111" t="e">
        <f>IF(Table[[#This Row],[Confidence Bet]]="--","--",IF(Table[[#This Row],[Confidence Bet]]=Table[[#This Row],[Bet]],Table[[#This Row],[Result]],IF(Table[[#This Row],[Result]]="W","L","W")))</f>
        <v>#VALUE!</v>
      </c>
      <c r="R40" s="111" t="e">
        <f>IF(Table[[#This Row],[Trend Bet]]="--","--",IF(Table[[#This Row],[Trend Bet]]=Table[[#This Row],[Bet]],Table[[#This Row],[Result]],IF(Table[[#This Row],[Result]]="W","L","W")))</f>
        <v>#VALUE!</v>
      </c>
      <c r="S40" s="111" t="e">
        <f>IF(Table[[#This Row],[Type]]="U","Over "&amp;Table[[#This Row],[Line]],IF(Table[[#This Row],[Type]]="O","Under "&amp;Table[[#This Row],[Line]],IF(Table[[#This Row],[Type]]="RD",Table[[#This Row],[Home]]&amp;" -"&amp;Table[[#This Row],[Line]],IF(Table[[#This Row],[Type]]="RF",Table[[#This Row],[Home]]&amp;" +"&amp;-1*Table[[#This Row],[Line]],IF(Table[[#This Row],[Type]]="HD",Table[[#This Row],[Away]]&amp;" -"&amp;Table[[#This Row],[Line]],IF(Table[[#This Row],[Type]]="HF",Table[[#This Row],[Away]]&amp;" +"&amp;-1*Table[[#This Row],[Line]],""))))))</f>
        <v>#VALUE!</v>
      </c>
      <c r="T40" s="111" t="e">
        <f>_xlfn.NUMBERVALUE(IF(Table[[#This Row],[Type]]="O",MID(Table[[#This Row],[Bet]],6,LEN(Table[[#This Row],[Bet]])),IF(Table[[#This Row],[Type]]="U",MID(Table[[#This Row],[Bet]],7,LEN(Table[[#This Row],[Bet]])),IF(ISNUMBER(SEARCH("+",Table[[#This Row],[Bet]])),RIGHT(Table[[#This Row],[Bet]],LEN(Table[[#This Row],[Bet]])-SEARCH("+",Table[[#This Row],[Bet]])),IF(ISNUMBER(SEARCH(" -",Table[[#This Row],[Bet]])),RIGHT(Table[[#This Row],[Bet]],LEN(Table[[#This Row],[Bet]])-SEARCH(" -",Table[[#This Row],[Bet]])+1),"Hold")))))</f>
        <v>#VALUE!</v>
      </c>
      <c r="U40" s="111" t="str">
        <f>IFERROR(MID(Table[[#This Row],[Game]],SEARCH("@",Table[[#This Row],[Game]])+2,LEN(Table[[#This Row],[Game]])),"")</f>
        <v/>
      </c>
      <c r="V40" s="111" t="str">
        <f>IFERROR(LEFT(Table[[#This Row],[Game]],SEARCH("@",Table[[#This Row],[Game]])-2),"")</f>
        <v/>
      </c>
      <c r="W40" s="111" t="e">
        <f>IF(OR(Table[[#This Row],[Type]]="O",Table[[#This Row],[Type]]="U"),"--",IF(ISNUMBER(SEARCH(Table[[#This Row],[Home]],Table[[#This Row],[Bet]])),Table[[#This Row],[Home]],Table[[#This Row],[Away]]))</f>
        <v>#VALUE!</v>
      </c>
      <c r="X40" s="112" t="str">
        <f>IF(ISNUMBER(SEARCH(CHAR(10),Table[[#This Row],[Bet]])),"P",IF(ISNUMBER(FIND("Under",Table[[#This Row],[Bet]])),"U",IF(ISNUMBER(SEARCH("Over",Table[[#This Row],[Bet]])),"O",IF(ISNUMBER(SEARCH("+",Table[[#This Row],[Bet]])),IF(ISNUMBER(SEARCH(Table[[#This Row],[Away]],Table[[#This Row],[Bet]])),"RD","HD"),IF(ISNUMBER(SEARCH("-",Table[[#This Row],[Bet]])),IF(ISNUMBER(SEARCH(Table[[#This Row],[Away]],Table[[#This Row],[Bet]])),"RF","HF"),IF(ISNUMBER(SEARCH("Moneyline",Table[[#This Row],[Bet]])),IF(Table[[#This Row],[Odds]]&lt;0,"MF","MD"),""))))))</f>
        <v/>
      </c>
      <c r="Y40" s="111" t="e">
        <f>Table[[#This Row],[Money %]]-Table[[#This Row],[Bet %]]</f>
        <v>#VALUE!</v>
      </c>
      <c r="AA40" s="88" t="str">
        <f>Tracker!AG18</f>
        <v>75-80%</v>
      </c>
      <c r="AB40" s="101" t="str">
        <f>Tracker!AJ18</f>
        <v/>
      </c>
      <c r="AC40" s="102" t="str">
        <f>Tracker!AK18</f>
        <v/>
      </c>
      <c r="AD40" s="101" t="str">
        <f>Tracker!AL18</f>
        <v>X</v>
      </c>
      <c r="AE40" s="102" t="str">
        <f>Tracker!AM18</f>
        <v/>
      </c>
      <c r="AF40" s="101" t="str">
        <f>Tracker!AN18</f>
        <v/>
      </c>
      <c r="AG40" s="102" t="str">
        <f>Tracker!AO18</f>
        <v/>
      </c>
      <c r="AH40" s="101" t="str">
        <f>Tracker!AP18</f>
        <v>X</v>
      </c>
      <c r="AI40" s="103" t="str">
        <f>Tracker!AQ18</f>
        <v/>
      </c>
    </row>
    <row r="41" spans="2:47" x14ac:dyDescent="0.25">
      <c r="B41" s="81"/>
      <c r="C41" s="82"/>
      <c r="D41" s="114"/>
      <c r="E41" s="160"/>
      <c r="F41" s="97"/>
      <c r="G41" s="97"/>
      <c r="H41" s="160"/>
      <c r="I41" s="161"/>
      <c r="J41" s="161"/>
      <c r="K41" s="97"/>
      <c r="L41" s="146"/>
      <c r="M41" s="95"/>
      <c r="N41" s="111" t="str">
        <f>IF(ISBLANK(Table[[#This Row],[Confidence]]),"",IFERROR(ROUNDDOWN(Table[[#This Row],[Confidence]]*20,0)*5&amp;"-"&amp;ROUNDDOWN(Table[[#This Row],[Confidence]]*20,0)*5+Tracker!$AB$23*100&amp;"%","n/a"))</f>
        <v>n/a</v>
      </c>
      <c r="O41" s="111" t="str">
        <f>IF(ISBLANK(Table[[#This Row],[Trend Based Cover %]]),"",IFERROR(ROUNDDOWN(Table[[#This Row],[Trend Based Cover %]]*20,0)*5&amp;"-"&amp;ROUNDDOWN(Table[[#This Row],[Trend Based Cover %]]*20,0)*5+Tracker!$AB$23*100&amp;"%","n/a"))</f>
        <v>n/a</v>
      </c>
      <c r="P41" s="111" t="e">
        <f>IF(Table[[#This Row],[Combo Bet]]="--","--",IF(Table[[#This Row],[Combo Bet]]=Table[[#This Row],[Bet]],Table[[#This Row],[Result]],IF(Table[[#This Row],[Result]]="W","L","W")))</f>
        <v>#VALUE!</v>
      </c>
      <c r="Q41" s="111" t="e">
        <f>IF(Table[[#This Row],[Confidence Bet]]="--","--",IF(Table[[#This Row],[Confidence Bet]]=Table[[#This Row],[Bet]],Table[[#This Row],[Result]],IF(Table[[#This Row],[Result]]="W","L","W")))</f>
        <v>#VALUE!</v>
      </c>
      <c r="R41" s="111" t="e">
        <f>IF(Table[[#This Row],[Trend Bet]]="--","--",IF(Table[[#This Row],[Trend Bet]]=Table[[#This Row],[Bet]],Table[[#This Row],[Result]],IF(Table[[#This Row],[Result]]="W","L","W")))</f>
        <v>#VALUE!</v>
      </c>
      <c r="S41" s="111" t="e">
        <f>IF(Table[[#This Row],[Type]]="U","Over "&amp;Table[[#This Row],[Line]],IF(Table[[#This Row],[Type]]="O","Under "&amp;Table[[#This Row],[Line]],IF(Table[[#This Row],[Type]]="RD",Table[[#This Row],[Home]]&amp;" -"&amp;Table[[#This Row],[Line]],IF(Table[[#This Row],[Type]]="RF",Table[[#This Row],[Home]]&amp;" +"&amp;-1*Table[[#This Row],[Line]],IF(Table[[#This Row],[Type]]="HD",Table[[#This Row],[Away]]&amp;" -"&amp;Table[[#This Row],[Line]],IF(Table[[#This Row],[Type]]="HF",Table[[#This Row],[Away]]&amp;" +"&amp;-1*Table[[#This Row],[Line]],""))))))</f>
        <v>#VALUE!</v>
      </c>
      <c r="T41" s="111" t="e">
        <f>_xlfn.NUMBERVALUE(IF(Table[[#This Row],[Type]]="O",MID(Table[[#This Row],[Bet]],6,LEN(Table[[#This Row],[Bet]])),IF(Table[[#This Row],[Type]]="U",MID(Table[[#This Row],[Bet]],7,LEN(Table[[#This Row],[Bet]])),IF(ISNUMBER(SEARCH("+",Table[[#This Row],[Bet]])),RIGHT(Table[[#This Row],[Bet]],LEN(Table[[#This Row],[Bet]])-SEARCH("+",Table[[#This Row],[Bet]])),IF(ISNUMBER(SEARCH(" -",Table[[#This Row],[Bet]])),RIGHT(Table[[#This Row],[Bet]],LEN(Table[[#This Row],[Bet]])-SEARCH(" -",Table[[#This Row],[Bet]])+1),"Hold")))))</f>
        <v>#VALUE!</v>
      </c>
      <c r="U41" s="111" t="str">
        <f>IFERROR(MID(Table[[#This Row],[Game]],SEARCH("@",Table[[#This Row],[Game]])+2,LEN(Table[[#This Row],[Game]])),"")</f>
        <v/>
      </c>
      <c r="V41" s="111" t="str">
        <f>IFERROR(LEFT(Table[[#This Row],[Game]],SEARCH("@",Table[[#This Row],[Game]])-2),"")</f>
        <v/>
      </c>
      <c r="W41" s="111" t="e">
        <f>IF(OR(Table[[#This Row],[Type]]="O",Table[[#This Row],[Type]]="U"),"--",IF(ISNUMBER(SEARCH(Table[[#This Row],[Home]],Table[[#This Row],[Bet]])),Table[[#This Row],[Home]],Table[[#This Row],[Away]]))</f>
        <v>#VALUE!</v>
      </c>
      <c r="X41" s="112" t="str">
        <f>IF(ISNUMBER(SEARCH(CHAR(10),Table[[#This Row],[Bet]])),"P",IF(ISNUMBER(FIND("Under",Table[[#This Row],[Bet]])),"U",IF(ISNUMBER(SEARCH("Over",Table[[#This Row],[Bet]])),"O",IF(ISNUMBER(SEARCH("+",Table[[#This Row],[Bet]])),IF(ISNUMBER(SEARCH(Table[[#This Row],[Away]],Table[[#This Row],[Bet]])),"RD","HD"),IF(ISNUMBER(SEARCH("-",Table[[#This Row],[Bet]])),IF(ISNUMBER(SEARCH(Table[[#This Row],[Away]],Table[[#This Row],[Bet]])),"RF","HF"),IF(ISNUMBER(SEARCH("Moneyline",Table[[#This Row],[Bet]])),IF(Table[[#This Row],[Odds]]&lt;0,"MF","MD"),""))))))</f>
        <v/>
      </c>
      <c r="Y41" s="111" t="e">
        <f>Table[[#This Row],[Money %]]-Table[[#This Row],[Bet %]]</f>
        <v>#VALUE!</v>
      </c>
      <c r="AA41" s="88" t="str">
        <f>Tracker!AG19</f>
        <v>80-85%</v>
      </c>
      <c r="AB41" s="101" t="str">
        <f>Tracker!AJ19</f>
        <v/>
      </c>
      <c r="AC41" s="102" t="str">
        <f>Tracker!AK19</f>
        <v/>
      </c>
      <c r="AD41" s="101" t="str">
        <f>Tracker!AL19</f>
        <v>O</v>
      </c>
      <c r="AE41" s="102" t="str">
        <f>Tracker!AM19</f>
        <v/>
      </c>
      <c r="AF41" s="101" t="str">
        <f>Tracker!AN19</f>
        <v/>
      </c>
      <c r="AG41" s="102" t="str">
        <f>Tracker!AO19</f>
        <v/>
      </c>
      <c r="AH41" s="101" t="str">
        <f>Tracker!AP19</f>
        <v>O</v>
      </c>
      <c r="AI41" s="103" t="str">
        <f>Tracker!AQ19</f>
        <v/>
      </c>
    </row>
    <row r="42" spans="2:47" x14ac:dyDescent="0.25">
      <c r="B42" s="81"/>
      <c r="C42" s="82"/>
      <c r="D42" s="114"/>
      <c r="E42" s="145"/>
      <c r="F42" s="97"/>
      <c r="G42" s="97"/>
      <c r="H42" s="145"/>
      <c r="I42" s="97"/>
      <c r="J42" s="97"/>
      <c r="K42" s="97"/>
      <c r="L42" s="146"/>
      <c r="M42" s="95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2"/>
      <c r="Y42" s="111"/>
      <c r="AA42" s="88" t="str">
        <f>Tracker!AG20</f>
        <v>85-90%</v>
      </c>
      <c r="AB42" s="101" t="str">
        <f>Tracker!AJ20</f>
        <v/>
      </c>
      <c r="AC42" s="102" t="str">
        <f>Tracker!AK20</f>
        <v/>
      </c>
      <c r="AD42" s="101" t="str">
        <f>Tracker!AL20</f>
        <v/>
      </c>
      <c r="AE42" s="102" t="str">
        <f>Tracker!AM20</f>
        <v/>
      </c>
      <c r="AF42" s="101" t="str">
        <f>Tracker!AN20</f>
        <v/>
      </c>
      <c r="AG42" s="102" t="str">
        <f>Tracker!AO20</f>
        <v/>
      </c>
      <c r="AH42" s="101" t="str">
        <f>Tracker!AP20</f>
        <v/>
      </c>
      <c r="AI42" s="103" t="str">
        <f>Tracker!AQ20</f>
        <v/>
      </c>
    </row>
    <row r="43" spans="2:47" x14ac:dyDescent="0.25">
      <c r="B43" s="81"/>
      <c r="C43" s="82"/>
      <c r="D43" s="114"/>
      <c r="E43" s="145"/>
      <c r="F43" s="97"/>
      <c r="G43" s="97"/>
      <c r="H43" s="145"/>
      <c r="I43" s="97"/>
      <c r="J43" s="97"/>
      <c r="K43" s="97"/>
      <c r="L43" s="146"/>
      <c r="M43" s="95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2"/>
      <c r="Y43" s="111"/>
      <c r="AA43" s="88" t="str">
        <f>Tracker!AG21</f>
        <v>90-95%</v>
      </c>
      <c r="AB43" s="101" t="str">
        <f>Tracker!AJ21</f>
        <v/>
      </c>
      <c r="AC43" s="102" t="str">
        <f>Tracker!AK21</f>
        <v/>
      </c>
      <c r="AD43" s="101" t="str">
        <f>Tracker!AL21</f>
        <v/>
      </c>
      <c r="AE43" s="102" t="str">
        <f>Tracker!AM21</f>
        <v/>
      </c>
      <c r="AF43" s="101" t="str">
        <f>Tracker!AN21</f>
        <v/>
      </c>
      <c r="AG43" s="102" t="str">
        <f>Tracker!AO21</f>
        <v/>
      </c>
      <c r="AH43" s="101" t="str">
        <f>Tracker!AP21</f>
        <v/>
      </c>
      <c r="AI43" s="103" t="str">
        <f>Tracker!AQ21</f>
        <v/>
      </c>
    </row>
    <row r="44" spans="2:47" x14ac:dyDescent="0.25">
      <c r="B44" s="81"/>
      <c r="C44" s="82"/>
      <c r="D44" s="114"/>
      <c r="E44" s="145"/>
      <c r="F44" s="97"/>
      <c r="G44" s="97"/>
      <c r="H44" s="145"/>
      <c r="I44" s="97"/>
      <c r="J44" s="97"/>
      <c r="K44" s="97"/>
      <c r="L44" s="146"/>
      <c r="M44" s="95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2"/>
      <c r="Y44" s="111"/>
      <c r="AA44" s="88" t="str">
        <f>Tracker!AG22</f>
        <v>95-100%</v>
      </c>
      <c r="AB44" s="101" t="str">
        <f>Tracker!AJ22</f>
        <v/>
      </c>
      <c r="AC44" s="102" t="str">
        <f>Tracker!AK22</f>
        <v/>
      </c>
      <c r="AD44" s="101" t="str">
        <f>Tracker!AL22</f>
        <v/>
      </c>
      <c r="AE44" s="102" t="str">
        <f>Tracker!AM22</f>
        <v/>
      </c>
      <c r="AF44" s="101" t="str">
        <f>Tracker!AN22</f>
        <v/>
      </c>
      <c r="AG44" s="102" t="str">
        <f>Tracker!AO22</f>
        <v/>
      </c>
      <c r="AH44" s="101" t="str">
        <f>Tracker!AP22</f>
        <v/>
      </c>
      <c r="AI44" s="103" t="str">
        <f>Tracker!AQ22</f>
        <v/>
      </c>
    </row>
    <row r="45" spans="2:47" x14ac:dyDescent="0.25">
      <c r="B45" s="81"/>
      <c r="C45" s="82"/>
      <c r="D45" s="114"/>
      <c r="E45" s="145"/>
      <c r="F45" s="97"/>
      <c r="G45" s="97"/>
      <c r="H45" s="145"/>
      <c r="I45" s="97"/>
      <c r="J45" s="97"/>
      <c r="K45" s="97"/>
      <c r="L45" s="146"/>
      <c r="M45" s="95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2"/>
      <c r="Y45" s="111"/>
    </row>
    <row r="46" spans="2:47" x14ac:dyDescent="0.25">
      <c r="B46" s="81"/>
      <c r="C46" s="82"/>
      <c r="D46" s="114"/>
      <c r="E46" s="145"/>
      <c r="F46" s="97"/>
      <c r="G46" s="97"/>
      <c r="H46" s="145"/>
      <c r="I46" s="97"/>
      <c r="J46" s="97"/>
      <c r="K46" s="97"/>
      <c r="L46" s="146"/>
      <c r="M46" s="95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2"/>
      <c r="Y46" s="111"/>
    </row>
    <row r="47" spans="2:47" x14ac:dyDescent="0.25">
      <c r="B47" s="81"/>
      <c r="C47" s="82"/>
      <c r="D47" s="114"/>
      <c r="E47" s="145"/>
      <c r="F47" s="97"/>
      <c r="G47" s="97"/>
      <c r="H47" s="145"/>
      <c r="I47" s="97"/>
      <c r="J47" s="97"/>
      <c r="K47" s="97"/>
      <c r="L47" s="146"/>
      <c r="M47" s="95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2"/>
      <c r="Y47" s="111"/>
    </row>
    <row r="48" spans="2:47" x14ac:dyDescent="0.25">
      <c r="B48" s="81"/>
      <c r="C48" s="82"/>
      <c r="D48" s="114"/>
      <c r="E48" s="145"/>
      <c r="F48" s="97"/>
      <c r="G48" s="97"/>
      <c r="H48" s="145"/>
      <c r="I48" s="156"/>
      <c r="J48" s="156"/>
      <c r="K48" s="156"/>
      <c r="L48" s="146"/>
      <c r="M48" s="95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2"/>
      <c r="Y48" s="111"/>
    </row>
    <row r="49" spans="2:25" x14ac:dyDescent="0.25">
      <c r="B49" s="81"/>
      <c r="C49" s="82"/>
      <c r="D49" s="114"/>
      <c r="E49" s="145"/>
      <c r="F49" s="97"/>
      <c r="G49" s="97"/>
      <c r="H49" s="145"/>
      <c r="I49" s="156"/>
      <c r="J49" s="156"/>
      <c r="K49" s="156"/>
      <c r="L49" s="146"/>
      <c r="M49" s="95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2"/>
      <c r="Y49" s="111"/>
    </row>
    <row r="50" spans="2:25" x14ac:dyDescent="0.25">
      <c r="B50" s="81"/>
      <c r="C50" s="82"/>
      <c r="D50" s="114"/>
      <c r="E50" s="145"/>
      <c r="F50" s="97"/>
      <c r="G50" s="97"/>
      <c r="H50" s="145"/>
      <c r="I50" s="156"/>
      <c r="J50" s="156"/>
      <c r="K50" s="156"/>
      <c r="L50" s="146"/>
      <c r="M50" s="95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2"/>
      <c r="Y50" s="111"/>
    </row>
    <row r="51" spans="2:25" x14ac:dyDescent="0.25">
      <c r="B51" s="81"/>
      <c r="C51" s="82"/>
      <c r="D51" s="114"/>
      <c r="E51" s="145"/>
      <c r="F51" s="97"/>
      <c r="G51" s="97"/>
      <c r="H51" s="145"/>
      <c r="I51" s="156"/>
      <c r="J51" s="156"/>
      <c r="K51" s="156"/>
      <c r="L51" s="146"/>
      <c r="M51" s="95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2"/>
      <c r="Y51" s="111"/>
    </row>
    <row r="52" spans="2:25" x14ac:dyDescent="0.25">
      <c r="F52"/>
      <c r="G52"/>
    </row>
    <row r="53" spans="2:25" x14ac:dyDescent="0.25">
      <c r="F53"/>
      <c r="G53"/>
    </row>
    <row r="54" spans="2:25" x14ac:dyDescent="0.25">
      <c r="F54"/>
      <c r="G54"/>
    </row>
    <row r="55" spans="2:25" x14ac:dyDescent="0.25">
      <c r="F55"/>
      <c r="G55"/>
    </row>
    <row r="56" spans="2:25" x14ac:dyDescent="0.25">
      <c r="F56"/>
      <c r="G56"/>
    </row>
    <row r="57" spans="2:25" x14ac:dyDescent="0.25">
      <c r="F57"/>
      <c r="G57"/>
    </row>
    <row r="58" spans="2:25" x14ac:dyDescent="0.25">
      <c r="F58"/>
      <c r="G58"/>
    </row>
    <row r="59" spans="2:25" x14ac:dyDescent="0.25">
      <c r="F59"/>
      <c r="G59"/>
    </row>
    <row r="60" spans="2:25" x14ac:dyDescent="0.25">
      <c r="F60"/>
      <c r="G60"/>
    </row>
    <row r="61" spans="2:25" x14ac:dyDescent="0.25">
      <c r="F61"/>
      <c r="G61"/>
    </row>
    <row r="62" spans="2:25" x14ac:dyDescent="0.25">
      <c r="B62" s="81"/>
      <c r="C62" s="82"/>
      <c r="D62" s="114"/>
      <c r="E62" s="145"/>
      <c r="F62" s="97"/>
      <c r="G62" s="97"/>
      <c r="H62" s="145"/>
      <c r="I62" s="145"/>
      <c r="J62" s="145"/>
      <c r="K62" s="145"/>
      <c r="L62" s="146"/>
      <c r="M62" s="95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2"/>
      <c r="Y62" s="112"/>
    </row>
    <row r="63" spans="2:25" x14ac:dyDescent="0.25">
      <c r="B63" s="81"/>
      <c r="C63" s="82"/>
      <c r="D63" s="114"/>
      <c r="E63" s="145"/>
      <c r="F63" s="97"/>
      <c r="G63" s="97"/>
      <c r="H63" s="145"/>
      <c r="I63" s="145"/>
      <c r="J63" s="145"/>
      <c r="K63" s="145"/>
      <c r="L63" s="146"/>
      <c r="M63" s="95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2"/>
      <c r="Y63" s="112"/>
    </row>
    <row r="64" spans="2:25" x14ac:dyDescent="0.25">
      <c r="B64" s="81"/>
      <c r="C64" s="82"/>
      <c r="D64" s="114"/>
      <c r="E64" s="145"/>
      <c r="F64" s="97"/>
      <c r="G64" s="97"/>
      <c r="H64" s="145"/>
      <c r="I64" s="145"/>
      <c r="J64" s="145"/>
      <c r="K64" s="145"/>
      <c r="L64" s="146"/>
      <c r="M64" s="95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2"/>
      <c r="Y64" s="112"/>
    </row>
    <row r="65" spans="2:25" x14ac:dyDescent="0.25">
      <c r="B65" s="81"/>
      <c r="C65" s="82"/>
      <c r="D65" s="114"/>
      <c r="E65" s="145"/>
      <c r="F65" s="97"/>
      <c r="G65" s="97"/>
      <c r="H65" s="145"/>
      <c r="I65" s="145"/>
      <c r="J65" s="145"/>
      <c r="K65" s="145"/>
      <c r="L65" s="146"/>
      <c r="M65" s="95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2"/>
      <c r="Y65" s="112"/>
    </row>
    <row r="66" spans="2:25" x14ac:dyDescent="0.25">
      <c r="B66" s="81"/>
      <c r="C66" s="82"/>
      <c r="D66" s="114"/>
      <c r="E66" s="145"/>
      <c r="F66" s="97"/>
      <c r="G66" s="97"/>
      <c r="H66" s="145"/>
      <c r="I66" s="145"/>
      <c r="J66" s="145"/>
      <c r="K66" s="145"/>
      <c r="L66" s="146"/>
      <c r="M66" s="95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2"/>
      <c r="Y66" s="112"/>
    </row>
    <row r="67" spans="2:25" x14ac:dyDescent="0.25">
      <c r="B67" s="81"/>
      <c r="C67" s="82"/>
      <c r="D67" s="114"/>
      <c r="E67" s="145"/>
      <c r="F67" s="97"/>
      <c r="G67" s="97"/>
      <c r="H67" s="145"/>
      <c r="I67" s="145"/>
      <c r="J67" s="145"/>
      <c r="K67" s="145"/>
      <c r="L67" s="146"/>
      <c r="M67" s="95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2"/>
      <c r="Y67" s="112"/>
    </row>
    <row r="68" spans="2:25" x14ac:dyDescent="0.25">
      <c r="B68" s="81"/>
      <c r="C68" s="82"/>
      <c r="D68" s="114"/>
      <c r="E68" s="145"/>
      <c r="F68" s="97"/>
      <c r="G68" s="97"/>
      <c r="H68" s="145"/>
      <c r="I68" s="145"/>
      <c r="J68" s="145"/>
      <c r="K68" s="145"/>
      <c r="L68" s="146"/>
      <c r="M68" s="95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2"/>
      <c r="Y68" s="112"/>
    </row>
    <row r="69" spans="2:25" x14ac:dyDescent="0.25">
      <c r="B69" s="81"/>
      <c r="C69" s="82"/>
      <c r="D69" s="114"/>
      <c r="E69" s="145"/>
      <c r="F69" s="97"/>
      <c r="G69" s="97"/>
      <c r="H69" s="145"/>
      <c r="I69" s="145"/>
      <c r="J69" s="145"/>
      <c r="K69" s="145"/>
      <c r="L69" s="146"/>
      <c r="M69" s="95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2"/>
      <c r="Y69" s="112"/>
    </row>
    <row r="70" spans="2:25" x14ac:dyDescent="0.25">
      <c r="B70" s="81"/>
      <c r="C70" s="82"/>
      <c r="D70" s="114"/>
      <c r="E70" s="145" t="str">
        <f>IFERROR(IF(Table[[#This Row],[Trend Bet]]=Table[[#This Row],[Confidence Bet]],Table[[#This Row],[Confidence Bet]],"--"),"")</f>
        <v/>
      </c>
      <c r="F70" s="97" t="str">
        <f>IFERROR(IF(INDEX($AA$10:$AI$20,MATCH(Table[[#This Row],[Range]],$AA$10:$AA$20,0),MATCH(Table[[#This Row],[Type]],$AA$10:$AI$10,0))="X",Table[[#This Row],[Bet]],IF(INDEX($AA$10:$AI$20,MATCH(Table[[#This Row],[Range]],$AA$10:$AA$20,0),MATCH(Table[[#This Row],[Type]],$AA$10:$AI$10,0))="O",Table[[#This Row],[Counterbet]],"--")),"")</f>
        <v/>
      </c>
      <c r="G70" s="97" t="str">
        <f>IFERROR(IF(INDEX($AA$24:$AI$44,MATCH(Table[[#This Row],[Trend Range]],$AA$24:$AA$44,0),MATCH(Table[[#This Row],[Type]],$AA$24:$AI$24,0))="X",Table[[#This Row],[Bet]],IF(INDEX($AA$24:$AI$44,MATCH(Table[[#This Row],[Trend Range]],$AA$24:$AA$44,0),MATCH(Table[[#This Row],[Type]],$AA$24:$AI$24,0))="O",Table[[#This Row],[Counterbet]],"--")),"")</f>
        <v/>
      </c>
      <c r="H70" s="145" t="str">
        <f>IFERROR(IF(OR(Table[[#This Row],[Type]]="O",Table[[#This Row],[Type]]="U"),AVERAGE(INDEX(Analysis[],MATCH(Table[[#This Row],[Home]],Analysis[Nickname],0),MATCH("H"&amp;Table[Type],Analysis[#Headers],0)),INDEX(Analysis[],MATCH(Table[[#This Row],[Away]],Analysis[Nickname],0),MATCH("R"&amp;Table[Type],Analysis[#Headers],0))),AVERAGE(INDEX(Analysis[],MATCH(Table[[#This Row],[Bet Team]],Analysis[Nickname],0),MATCH(Table[[#This Row],[Type]],Analysis[#Headers],0)),1-INDEX(Analysis[],MATCH(IF(Table[[#This Row],[Bet Team]]=Table[[#This Row],[Home]],Table[[#This Row],[Away]],Table[[#This Row],[Home]]),Analysis[Nickname],0),MATCH(IF(Table[[#This Row],[Type]]="RD","HF",IF(Table[[#This Row],[Type]]="RF","HD",IF(Table[[#This Row],[Type]]="HD","RF","RD"))),Analysis[#Headers],0)))),"")</f>
        <v/>
      </c>
      <c r="I70" s="145"/>
      <c r="J70" s="145"/>
      <c r="K70" s="145"/>
      <c r="L70" s="146"/>
      <c r="M70" s="95"/>
      <c r="N70" s="111" t="str">
        <f>IF(ISBLANK(Table[[#This Row],[Confidence]]),"",IFERROR(ROUNDDOWN(Table[[#This Row],[Confidence]]*20,0)*5&amp;"-"&amp;ROUNDDOWN(Table[[#This Row],[Confidence]]*20,0)*5+Tracker!$AB$23*100&amp;"%","n/a"))</f>
        <v>n/a</v>
      </c>
      <c r="O70" s="111" t="str">
        <f>IF(ISBLANK(Table[[#This Row],[Trend Based Cover %]]),"",IFERROR(ROUNDDOWN(Table[[#This Row],[Trend Based Cover %]]*20,0)*5&amp;"-"&amp;ROUNDDOWN(Table[[#This Row],[Trend Based Cover %]]*20,0)*5+Tracker!$AB$23*100&amp;"%","n/a"))</f>
        <v>n/a</v>
      </c>
      <c r="P70" s="111"/>
      <c r="Q70" s="111"/>
      <c r="R70" s="111"/>
      <c r="S70" s="111" t="e">
        <f>IF(Table[[#This Row],[Type]]="U","Over "&amp;Table[[#This Row],[Line]],IF(Table[[#This Row],[Type]]="O","Under "&amp;Table[[#This Row],[Line]],IF(Table[[#This Row],[Type]]="RD",Table[[#This Row],[Home]]&amp;" -"&amp;Table[[#This Row],[Line]],IF(Table[[#This Row],[Type]]="RF",Table[[#This Row],[Home]]&amp;" +"&amp;-1*Table[[#This Row],[Line]],IF(Table[[#This Row],[Type]]="HD",Table[[#This Row],[Away]]&amp;" -"&amp;Table[[#This Row],[Line]],IF(Table[[#This Row],[Type]]="HF",Table[[#This Row],[Away]]&amp;" +"&amp;-1*Table[[#This Row],[Line]],""))))))</f>
        <v>#VALUE!</v>
      </c>
      <c r="T70" s="111" t="e">
        <f>_xlfn.NUMBERVALUE(IF(Table[[#This Row],[Type]]="O",MID(Table[[#This Row],[Bet]],6,LEN(Table[[#This Row],[Bet]])),IF(Table[[#This Row],[Type]]="U",MID(Table[[#This Row],[Bet]],7,LEN(Table[[#This Row],[Bet]])),IF(ISNUMBER(SEARCH("+",Table[[#This Row],[Bet]])),RIGHT(Table[[#This Row],[Bet]],LEN(Table[[#This Row],[Bet]])-SEARCH("+",Table[[#This Row],[Bet]])),IF(ISNUMBER(SEARCH(" -",Table[[#This Row],[Bet]])),RIGHT(Table[[#This Row],[Bet]],LEN(Table[[#This Row],[Bet]])-SEARCH(" -",Table[[#This Row],[Bet]])+1),"Hold")))))</f>
        <v>#VALUE!</v>
      </c>
      <c r="U70" s="111" t="str">
        <f>IFERROR(MID(Table[[#This Row],[Game]],SEARCH("@",Table[[#This Row],[Game]])+2,LEN(Table[[#This Row],[Game]])),"")</f>
        <v/>
      </c>
      <c r="V70" s="111" t="str">
        <f>IFERROR(LEFT(Table[[#This Row],[Game]],SEARCH("@",Table[[#This Row],[Game]])-2),"")</f>
        <v/>
      </c>
      <c r="W70" s="111" t="e">
        <f>IF(OR(Table[[#This Row],[Type]]="O",Table[[#This Row],[Type]]="U"),"--",IF(ISNUMBER(SEARCH(Table[[#This Row],[Home]],Table[[#This Row],[Bet]])),Table[[#This Row],[Home]],Table[[#This Row],[Away]]))</f>
        <v>#VALUE!</v>
      </c>
      <c r="X70" s="112" t="str">
        <f>IF(ISNUMBER(SEARCH(CHAR(10),Table[[#This Row],[Bet]])),"P",IF(ISNUMBER(FIND("Under",Table[[#This Row],[Bet]])),"U",IF(ISNUMBER(SEARCH("Over",Table[[#This Row],[Bet]])),"O",IF(ISNUMBER(SEARCH("+",Table[[#This Row],[Bet]])),IF(ISNUMBER(SEARCH(Table[[#This Row],[Away]],Table[[#This Row],[Bet]])),"RD","HD"),IF(ISNUMBER(SEARCH("-",Table[[#This Row],[Bet]])),IF(ISNUMBER(SEARCH(Table[[#This Row],[Away]],Table[[#This Row],[Bet]])),"RF","HF"),IF(ISNUMBER(SEARCH("Moneyline",Table[[#This Row],[Bet]])),IF(Table[[#This Row],[Odds]]&lt;0,"MF","MD"),""))))))</f>
        <v/>
      </c>
      <c r="Y70" s="112"/>
    </row>
    <row r="71" spans="2:25" x14ac:dyDescent="0.25">
      <c r="B71" s="81"/>
      <c r="C71" s="82"/>
      <c r="D71" s="114"/>
      <c r="E71" s="145" t="str">
        <f>IFERROR(IF(Table[[#This Row],[Trend Bet]]=Table[[#This Row],[Confidence Bet]],Table[[#This Row],[Confidence Bet]],"--"),"")</f>
        <v/>
      </c>
      <c r="F71" s="97" t="str">
        <f>IFERROR(IF(INDEX($AA$10:$AI$20,MATCH(Table[[#This Row],[Range]],$AA$10:$AA$20,0),MATCH(Table[[#This Row],[Type]],$AA$10:$AI$10,0))="X",Table[[#This Row],[Bet]],IF(INDEX($AA$10:$AI$20,MATCH(Table[[#This Row],[Range]],$AA$10:$AA$20,0),MATCH(Table[[#This Row],[Type]],$AA$10:$AI$10,0))="O",Table[[#This Row],[Counterbet]],"--")),"")</f>
        <v/>
      </c>
      <c r="G71" s="97" t="str">
        <f>IFERROR(IF(INDEX($AA$24:$AI$44,MATCH(Table[[#This Row],[Trend Range]],$AA$24:$AA$44,0),MATCH(Table[[#This Row],[Type]],$AA$24:$AI$24,0))="X",Table[[#This Row],[Bet]],IF(INDEX($AA$24:$AI$44,MATCH(Table[[#This Row],[Trend Range]],$AA$24:$AA$44,0),MATCH(Table[[#This Row],[Type]],$AA$24:$AI$24,0))="O",Table[[#This Row],[Counterbet]],"--")),"")</f>
        <v/>
      </c>
      <c r="H71" s="145" t="str">
        <f>IFERROR(IF(OR(Table[[#This Row],[Type]]="O",Table[[#This Row],[Type]]="U"),AVERAGE(INDEX(Analysis[],MATCH(Table[[#This Row],[Home]],Analysis[Nickname],0),MATCH("H"&amp;Table[Type],Analysis[#Headers],0)),INDEX(Analysis[],MATCH(Table[[#This Row],[Away]],Analysis[Nickname],0),MATCH("R"&amp;Table[Type],Analysis[#Headers],0))),AVERAGE(INDEX(Analysis[],MATCH(Table[[#This Row],[Bet Team]],Analysis[Nickname],0),MATCH(Table[[#This Row],[Type]],Analysis[#Headers],0)),1-INDEX(Analysis[],MATCH(IF(Table[[#This Row],[Bet Team]]=Table[[#This Row],[Home]],Table[[#This Row],[Away]],Table[[#This Row],[Home]]),Analysis[Nickname],0),MATCH(IF(Table[[#This Row],[Type]]="RD","HF",IF(Table[[#This Row],[Type]]="RF","HD",IF(Table[[#This Row],[Type]]="HD","RF","RD"))),Analysis[#Headers],0)))),"")</f>
        <v/>
      </c>
      <c r="I71" s="145"/>
      <c r="J71" s="145"/>
      <c r="K71" s="145"/>
      <c r="L71" s="146"/>
      <c r="M71" s="95"/>
      <c r="N71" s="111" t="str">
        <f>IF(ISBLANK(Table[[#This Row],[Confidence]]),"",IFERROR(ROUNDDOWN(Table[[#This Row],[Confidence]]*20,0)*5&amp;"-"&amp;ROUNDDOWN(Table[[#This Row],[Confidence]]*20,0)*5+Tracker!$AB$23*100&amp;"%","n/a"))</f>
        <v>n/a</v>
      </c>
      <c r="O71" s="111" t="str">
        <f>IF(ISBLANK(Table[[#This Row],[Trend Based Cover %]]),"",IFERROR(ROUNDDOWN(Table[[#This Row],[Trend Based Cover %]]*20,0)*5&amp;"-"&amp;ROUNDDOWN(Table[[#This Row],[Trend Based Cover %]]*20,0)*5+Tracker!$AB$23*100&amp;"%","n/a"))</f>
        <v>n/a</v>
      </c>
      <c r="P71" s="111"/>
      <c r="Q71" s="111"/>
      <c r="R71" s="111"/>
      <c r="S71" s="111" t="e">
        <f>IF(Table[[#This Row],[Type]]="U","Over "&amp;Table[[#This Row],[Line]],IF(Table[[#This Row],[Type]]="O","Under "&amp;Table[[#This Row],[Line]],IF(Table[[#This Row],[Type]]="RD",Table[[#This Row],[Home]]&amp;" -"&amp;Table[[#This Row],[Line]],IF(Table[[#This Row],[Type]]="RF",Table[[#This Row],[Home]]&amp;" +"&amp;-1*Table[[#This Row],[Line]],IF(Table[[#This Row],[Type]]="HD",Table[[#This Row],[Away]]&amp;" -"&amp;Table[[#This Row],[Line]],IF(Table[[#This Row],[Type]]="HF",Table[[#This Row],[Away]]&amp;" +"&amp;-1*Table[[#This Row],[Line]],""))))))</f>
        <v>#VALUE!</v>
      </c>
      <c r="T71" s="111" t="e">
        <f>_xlfn.NUMBERVALUE(IF(Table[[#This Row],[Type]]="O",MID(Table[[#This Row],[Bet]],6,LEN(Table[[#This Row],[Bet]])),IF(Table[[#This Row],[Type]]="U",MID(Table[[#This Row],[Bet]],7,LEN(Table[[#This Row],[Bet]])),IF(ISNUMBER(SEARCH("+",Table[[#This Row],[Bet]])),RIGHT(Table[[#This Row],[Bet]],LEN(Table[[#This Row],[Bet]])-SEARCH("+",Table[[#This Row],[Bet]])),IF(ISNUMBER(SEARCH(" -",Table[[#This Row],[Bet]])),RIGHT(Table[[#This Row],[Bet]],LEN(Table[[#This Row],[Bet]])-SEARCH(" -",Table[[#This Row],[Bet]])+1),"Hold")))))</f>
        <v>#VALUE!</v>
      </c>
      <c r="U71" s="111" t="str">
        <f>IFERROR(MID(Table[[#This Row],[Game]],SEARCH("@",Table[[#This Row],[Game]])+2,LEN(Table[[#This Row],[Game]])),"")</f>
        <v/>
      </c>
      <c r="V71" s="111" t="str">
        <f>IFERROR(LEFT(Table[[#This Row],[Game]],SEARCH("@",Table[[#This Row],[Game]])-2),"")</f>
        <v/>
      </c>
      <c r="W71" s="111" t="e">
        <f>IF(OR(Table[[#This Row],[Type]]="O",Table[[#This Row],[Type]]="U"),"--",IF(ISNUMBER(SEARCH(Table[[#This Row],[Home]],Table[[#This Row],[Bet]])),Table[[#This Row],[Home]],Table[[#This Row],[Away]]))</f>
        <v>#VALUE!</v>
      </c>
      <c r="X71" s="112" t="str">
        <f>IF(ISNUMBER(SEARCH(CHAR(10),Table[[#This Row],[Bet]])),"P",IF(ISNUMBER(FIND("Under",Table[[#This Row],[Bet]])),"U",IF(ISNUMBER(SEARCH("Over",Table[[#This Row],[Bet]])),"O",IF(ISNUMBER(SEARCH("+",Table[[#This Row],[Bet]])),IF(ISNUMBER(SEARCH(Table[[#This Row],[Away]],Table[[#This Row],[Bet]])),"RD","HD"),IF(ISNUMBER(SEARCH("-",Table[[#This Row],[Bet]])),IF(ISNUMBER(SEARCH(Table[[#This Row],[Away]],Table[[#This Row],[Bet]])),"RF","HF"),IF(ISNUMBER(SEARCH("Moneyline",Table[[#This Row],[Bet]])),IF(Table[[#This Row],[Odds]]&lt;0,"MF","MD"),""))))))</f>
        <v/>
      </c>
      <c r="Y71" s="112"/>
    </row>
    <row r="72" spans="2:25" x14ac:dyDescent="0.25">
      <c r="B72" s="81"/>
      <c r="C72" s="82"/>
      <c r="D72" s="83"/>
      <c r="E72" s="83"/>
      <c r="F72" s="97"/>
      <c r="G72" s="97"/>
      <c r="H72" s="114"/>
      <c r="I72" s="114"/>
      <c r="J72" s="114"/>
      <c r="K72" s="114"/>
      <c r="L72" s="125"/>
      <c r="M72" s="95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2"/>
      <c r="Y72" s="112"/>
    </row>
    <row r="73" spans="2:25" x14ac:dyDescent="0.25">
      <c r="B73" s="95"/>
      <c r="C73" s="95"/>
      <c r="D73" s="114"/>
      <c r="E73" s="114"/>
      <c r="F73" s="97"/>
      <c r="G73" s="97"/>
      <c r="H73" s="114"/>
      <c r="I73" s="114"/>
      <c r="J73" s="114"/>
      <c r="K73" s="114"/>
      <c r="L73" s="125"/>
      <c r="M73" s="95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2"/>
      <c r="Y73" s="112"/>
    </row>
    <row r="74" spans="2:25" x14ac:dyDescent="0.25">
      <c r="B74" s="81"/>
      <c r="C74" s="82"/>
      <c r="D74" s="113"/>
      <c r="E74" s="113"/>
      <c r="F74" s="97"/>
      <c r="G74" s="97"/>
      <c r="H74" s="114"/>
      <c r="I74" s="114"/>
      <c r="J74" s="114"/>
      <c r="K74" s="114"/>
      <c r="L74" s="125"/>
      <c r="M74" s="95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2"/>
      <c r="Y74" s="112"/>
    </row>
    <row r="75" spans="2:25" x14ac:dyDescent="0.25">
      <c r="B75" s="81"/>
      <c r="C75" s="82"/>
      <c r="D75" s="113"/>
      <c r="E75" s="113"/>
      <c r="F75" s="97"/>
      <c r="G75" s="97"/>
      <c r="H75" s="114"/>
      <c r="I75" s="114"/>
      <c r="J75" s="114"/>
      <c r="K75" s="114"/>
      <c r="L75" s="125"/>
      <c r="M75" s="95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2"/>
      <c r="Y75" s="112"/>
    </row>
    <row r="76" spans="2:25" x14ac:dyDescent="0.25">
      <c r="B76" s="81"/>
      <c r="C76" s="82"/>
      <c r="D76" s="83"/>
      <c r="E76" s="83"/>
      <c r="F76" s="128"/>
      <c r="G76" s="128"/>
      <c r="H76" s="114"/>
      <c r="I76" s="114"/>
      <c r="J76" s="114"/>
      <c r="K76" s="114"/>
      <c r="L76" s="130"/>
      <c r="M76" s="95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2"/>
      <c r="Y76" s="112"/>
    </row>
    <row r="77" spans="2:25" x14ac:dyDescent="0.25">
      <c r="B77" s="81"/>
      <c r="C77" s="82"/>
      <c r="D77" s="113"/>
      <c r="E77" s="113"/>
      <c r="F77" s="97"/>
      <c r="G77" s="97"/>
      <c r="H77" s="114"/>
      <c r="I77" s="114"/>
      <c r="J77" s="114"/>
      <c r="K77" s="114"/>
      <c r="L77" s="125"/>
      <c r="M77" s="95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2"/>
      <c r="Y77" s="112"/>
    </row>
    <row r="78" spans="2:25" x14ac:dyDescent="0.25">
      <c r="B78" s="81"/>
      <c r="C78" s="82"/>
      <c r="D78" s="83"/>
      <c r="E78" s="83"/>
      <c r="F78" s="128"/>
      <c r="G78" s="128"/>
      <c r="H78" s="114"/>
      <c r="I78" s="114"/>
      <c r="J78" s="114"/>
      <c r="K78" s="114"/>
      <c r="L78" s="130"/>
      <c r="M78" s="95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2"/>
      <c r="Y78" s="112"/>
    </row>
    <row r="79" spans="2:25" x14ac:dyDescent="0.25">
      <c r="B79" s="81"/>
      <c r="C79" s="82"/>
      <c r="D79" s="83"/>
      <c r="E79" s="83"/>
      <c r="F79" s="97"/>
      <c r="G79" s="97"/>
      <c r="H79" s="114"/>
      <c r="I79" s="114"/>
      <c r="J79" s="114"/>
      <c r="K79" s="114"/>
      <c r="L79" s="125"/>
      <c r="M79" s="95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2"/>
      <c r="Y79" s="112"/>
    </row>
    <row r="80" spans="2:25" x14ac:dyDescent="0.25">
      <c r="B80" s="81"/>
      <c r="C80" s="82"/>
      <c r="D80" s="113"/>
      <c r="E80" s="113"/>
      <c r="F80" s="97"/>
      <c r="G80" s="97"/>
      <c r="H80" s="114"/>
      <c r="I80" s="114"/>
      <c r="J80" s="114"/>
      <c r="K80" s="114"/>
      <c r="L80" s="125"/>
      <c r="M80" s="95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2"/>
      <c r="Y80" s="112"/>
    </row>
    <row r="81" spans="2:25" x14ac:dyDescent="0.25">
      <c r="B81" s="95"/>
      <c r="C81" s="95"/>
      <c r="D81" s="114"/>
      <c r="E81" s="114"/>
      <c r="F81" s="97"/>
      <c r="G81" s="97"/>
      <c r="H81" s="114"/>
      <c r="I81" s="114"/>
      <c r="J81" s="114"/>
      <c r="K81" s="114"/>
      <c r="L81" s="125"/>
      <c r="M81" s="95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2"/>
      <c r="Y81" s="112"/>
    </row>
    <row r="82" spans="2:25" x14ac:dyDescent="0.25">
      <c r="B82" s="95"/>
      <c r="C82" s="95"/>
      <c r="D82" s="114"/>
      <c r="E82" s="114"/>
      <c r="F82" s="97"/>
      <c r="G82" s="97"/>
      <c r="H82" s="114"/>
      <c r="I82" s="114"/>
      <c r="J82" s="114"/>
      <c r="K82" s="114"/>
      <c r="L82" s="95"/>
      <c r="M82" s="95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2"/>
      <c r="Y82" s="112"/>
    </row>
    <row r="83" spans="2:25" x14ac:dyDescent="0.25">
      <c r="B83" s="95"/>
      <c r="C83" s="95"/>
      <c r="D83" s="114"/>
      <c r="E83" s="114"/>
      <c r="F83" s="97"/>
      <c r="G83" s="97"/>
      <c r="H83" s="114"/>
      <c r="I83" s="114"/>
      <c r="J83" s="114"/>
      <c r="K83" s="114"/>
      <c r="L83" s="95"/>
      <c r="M83" s="95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2"/>
      <c r="Y83" s="112"/>
    </row>
    <row r="84" spans="2:25" x14ac:dyDescent="0.25">
      <c r="B84" s="95"/>
      <c r="C84" s="95"/>
      <c r="D84" s="114"/>
      <c r="E84" s="114"/>
      <c r="F84" s="97"/>
      <c r="G84" s="97"/>
      <c r="H84" s="114"/>
      <c r="I84" s="114"/>
      <c r="J84" s="114"/>
      <c r="K84" s="114"/>
      <c r="L84" s="95"/>
      <c r="M84" s="95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2"/>
      <c r="Y84" s="112"/>
    </row>
    <row r="85" spans="2:25" x14ac:dyDescent="0.25">
      <c r="B85" s="95"/>
      <c r="C85" s="95"/>
      <c r="D85" s="114"/>
      <c r="E85" s="114"/>
      <c r="F85" s="97"/>
      <c r="G85" s="97"/>
      <c r="H85" s="114"/>
      <c r="I85" s="114"/>
      <c r="J85" s="114"/>
      <c r="K85" s="114"/>
      <c r="L85" s="95"/>
      <c r="M85" s="95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2"/>
      <c r="Y85" s="112"/>
    </row>
    <row r="86" spans="2:25" x14ac:dyDescent="0.25">
      <c r="B86" s="95"/>
      <c r="C86" s="95"/>
      <c r="D86" s="114"/>
      <c r="E86" s="114"/>
      <c r="F86" s="97"/>
      <c r="G86" s="97"/>
      <c r="H86" s="114"/>
      <c r="I86" s="114"/>
      <c r="J86" s="114"/>
      <c r="K86" s="114"/>
      <c r="L86" s="95"/>
      <c r="M86" s="95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2"/>
      <c r="Y86" s="112"/>
    </row>
    <row r="87" spans="2:25" x14ac:dyDescent="0.25">
      <c r="B87" s="95"/>
      <c r="C87" s="95"/>
      <c r="D87" s="114"/>
      <c r="E87" s="114"/>
      <c r="F87" s="97"/>
      <c r="G87" s="97"/>
      <c r="H87" s="114"/>
      <c r="I87" s="114"/>
      <c r="J87" s="114"/>
      <c r="K87" s="114"/>
      <c r="L87" s="95"/>
      <c r="M87" s="95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2"/>
      <c r="Y87" s="112"/>
    </row>
    <row r="88" spans="2:25" x14ac:dyDescent="0.25">
      <c r="B88" s="95"/>
      <c r="C88" s="95"/>
      <c r="D88" s="114"/>
      <c r="E88" s="114"/>
      <c r="F88" s="97"/>
      <c r="G88" s="97"/>
      <c r="H88" s="114"/>
      <c r="I88" s="114"/>
      <c r="J88" s="114"/>
      <c r="K88" s="114"/>
      <c r="L88" s="95"/>
      <c r="M88" s="95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2"/>
      <c r="Y88" s="112"/>
    </row>
    <row r="89" spans="2:25" x14ac:dyDescent="0.25">
      <c r="B89" s="95"/>
      <c r="C89" s="95"/>
      <c r="D89" s="114"/>
      <c r="E89" s="114"/>
      <c r="F89" s="97"/>
      <c r="G89" s="97"/>
      <c r="H89" s="114"/>
      <c r="I89" s="114"/>
      <c r="J89" s="114"/>
      <c r="K89" s="114"/>
      <c r="L89" s="95"/>
      <c r="M89" s="95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2"/>
      <c r="Y89" s="112"/>
    </row>
    <row r="90" spans="2:25" x14ac:dyDescent="0.25">
      <c r="B90" s="95"/>
      <c r="C90" s="95"/>
      <c r="D90" s="114"/>
      <c r="E90" s="114"/>
      <c r="F90" s="97"/>
      <c r="G90" s="97"/>
      <c r="H90" s="114"/>
      <c r="I90" s="114"/>
      <c r="J90" s="114"/>
      <c r="K90" s="114"/>
      <c r="L90" s="95"/>
      <c r="M90" s="95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2"/>
      <c r="Y90" s="112"/>
    </row>
    <row r="91" spans="2:25" x14ac:dyDescent="0.25">
      <c r="B91" s="95"/>
      <c r="C91" s="95"/>
      <c r="D91" s="114"/>
      <c r="E91" s="114"/>
      <c r="F91" s="97"/>
      <c r="G91" s="97"/>
      <c r="H91" s="114"/>
      <c r="I91" s="114"/>
      <c r="J91" s="114"/>
      <c r="K91" s="114"/>
      <c r="L91" s="95"/>
      <c r="M91" s="95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2"/>
      <c r="Y91" s="112"/>
    </row>
    <row r="92" spans="2:25" x14ac:dyDescent="0.25">
      <c r="B92" s="95"/>
      <c r="C92" s="95"/>
      <c r="D92" s="114"/>
      <c r="E92" s="114"/>
      <c r="F92" s="97"/>
      <c r="G92" s="97"/>
      <c r="H92" s="114"/>
      <c r="I92" s="114"/>
      <c r="J92" s="114"/>
      <c r="K92" s="114"/>
      <c r="L92" s="95"/>
      <c r="M92" s="95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2"/>
      <c r="Y92" s="112"/>
    </row>
    <row r="93" spans="2:25" x14ac:dyDescent="0.25">
      <c r="B93" s="95"/>
      <c r="C93" s="95"/>
      <c r="D93" s="114"/>
      <c r="E93" s="114"/>
      <c r="F93" s="97"/>
      <c r="G93" s="97"/>
      <c r="H93" s="114"/>
      <c r="I93" s="114"/>
      <c r="J93" s="114"/>
      <c r="K93" s="114"/>
      <c r="L93" s="95"/>
      <c r="M93" s="95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2"/>
      <c r="Y93" s="112"/>
    </row>
    <row r="94" spans="2:25" x14ac:dyDescent="0.25">
      <c r="B94" s="95"/>
      <c r="C94" s="95"/>
      <c r="D94" s="114"/>
      <c r="E94" s="114"/>
      <c r="F94" s="97"/>
      <c r="G94" s="97"/>
      <c r="H94" s="114"/>
      <c r="I94" s="114"/>
      <c r="J94" s="114"/>
      <c r="K94" s="114"/>
      <c r="L94" s="95"/>
      <c r="M94" s="95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2"/>
      <c r="Y94" s="112"/>
    </row>
    <row r="95" spans="2:25" x14ac:dyDescent="0.25">
      <c r="B95" s="95"/>
      <c r="C95" s="95"/>
      <c r="D95" s="114"/>
      <c r="E95" s="114"/>
      <c r="F95" s="97"/>
      <c r="G95" s="97"/>
      <c r="H95" s="114"/>
      <c r="I95" s="114"/>
      <c r="J95" s="114"/>
      <c r="K95" s="114"/>
      <c r="L95" s="95"/>
      <c r="M95" s="95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2"/>
      <c r="Y95" s="112"/>
    </row>
    <row r="96" spans="2:25" x14ac:dyDescent="0.25">
      <c r="B96" s="95"/>
      <c r="C96" s="95"/>
      <c r="D96" s="114"/>
      <c r="E96" s="114"/>
      <c r="F96" s="97"/>
      <c r="G96" s="97"/>
      <c r="H96" s="114"/>
      <c r="I96" s="114"/>
      <c r="J96" s="114"/>
      <c r="K96" s="114"/>
      <c r="L96" s="95"/>
      <c r="M96" s="95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2"/>
      <c r="Y96" s="112"/>
    </row>
    <row r="97" spans="2:25" x14ac:dyDescent="0.25">
      <c r="B97" s="95"/>
      <c r="C97" s="95"/>
      <c r="D97" s="114"/>
      <c r="E97" s="114"/>
      <c r="F97" s="97"/>
      <c r="G97" s="97"/>
      <c r="H97" s="114"/>
      <c r="I97" s="114"/>
      <c r="J97" s="114"/>
      <c r="K97" s="114"/>
      <c r="L97" s="95"/>
      <c r="M97" s="95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2"/>
      <c r="Y97" s="112"/>
    </row>
    <row r="98" spans="2:25" x14ac:dyDescent="0.25">
      <c r="B98" s="95"/>
      <c r="C98" s="95"/>
      <c r="D98" s="114"/>
      <c r="E98" s="114"/>
      <c r="F98" s="97"/>
      <c r="G98" s="97"/>
      <c r="H98" s="114"/>
      <c r="I98" s="114"/>
      <c r="J98" s="114"/>
      <c r="K98" s="114"/>
      <c r="L98" s="95"/>
      <c r="M98" s="95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2"/>
      <c r="Y98" s="112"/>
    </row>
    <row r="99" spans="2:25" x14ac:dyDescent="0.25">
      <c r="B99" s="95"/>
      <c r="C99" s="95"/>
      <c r="D99" s="114"/>
      <c r="E99" s="114"/>
      <c r="F99" s="97"/>
      <c r="G99" s="97"/>
      <c r="H99" s="114"/>
      <c r="I99" s="114"/>
      <c r="J99" s="114"/>
      <c r="K99" s="114"/>
      <c r="L99" s="95"/>
      <c r="M99" s="95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2"/>
      <c r="Y99" s="112"/>
    </row>
    <row r="100" spans="2:25" x14ac:dyDescent="0.25">
      <c r="B100" s="95"/>
      <c r="C100" s="95"/>
      <c r="D100" s="114"/>
      <c r="E100" s="114"/>
      <c r="F100" s="97"/>
      <c r="G100" s="97"/>
      <c r="H100" s="114"/>
      <c r="I100" s="114"/>
      <c r="J100" s="114"/>
      <c r="K100" s="114"/>
      <c r="L100" s="95"/>
      <c r="M100" s="95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2"/>
      <c r="Y100" s="112"/>
    </row>
    <row r="101" spans="2:25" x14ac:dyDescent="0.25">
      <c r="B101" s="95"/>
      <c r="C101" s="95"/>
      <c r="D101" s="114"/>
      <c r="E101" s="114"/>
      <c r="F101" s="97"/>
      <c r="G101" s="97"/>
      <c r="H101" s="114"/>
      <c r="I101" s="114"/>
      <c r="J101" s="114"/>
      <c r="K101" s="114"/>
      <c r="L101" s="95"/>
      <c r="M101" s="95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2"/>
      <c r="Y101" s="112"/>
    </row>
    <row r="102" spans="2:25" x14ac:dyDescent="0.25">
      <c r="B102" s="95"/>
      <c r="C102" s="95"/>
      <c r="D102" s="114"/>
      <c r="E102" s="114"/>
      <c r="F102" s="97"/>
      <c r="G102" s="97"/>
      <c r="H102" s="114"/>
      <c r="I102" s="114"/>
      <c r="J102" s="114"/>
      <c r="K102" s="114"/>
      <c r="L102" s="95"/>
      <c r="M102" s="95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2"/>
      <c r="Y102" s="112"/>
    </row>
    <row r="103" spans="2:25" x14ac:dyDescent="0.25">
      <c r="B103" s="95"/>
      <c r="C103" s="95"/>
      <c r="D103" s="114"/>
      <c r="E103" s="114"/>
      <c r="F103" s="97"/>
      <c r="G103" s="97"/>
      <c r="H103" s="114"/>
      <c r="I103" s="114"/>
      <c r="J103" s="114"/>
      <c r="K103" s="114"/>
      <c r="L103" s="95"/>
      <c r="M103" s="95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2"/>
      <c r="Y103" s="112"/>
    </row>
    <row r="104" spans="2:25" x14ac:dyDescent="0.25">
      <c r="B104" s="95"/>
      <c r="C104" s="95"/>
      <c r="D104" s="114"/>
      <c r="E104" s="114"/>
      <c r="F104" s="97"/>
      <c r="G104" s="97"/>
      <c r="H104" s="114"/>
      <c r="I104" s="114"/>
      <c r="J104" s="114"/>
      <c r="K104" s="114"/>
      <c r="L104" s="95"/>
      <c r="M104" s="95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2"/>
      <c r="Y104" s="112"/>
    </row>
    <row r="105" spans="2:25" x14ac:dyDescent="0.25">
      <c r="B105" s="95"/>
      <c r="C105" s="95"/>
      <c r="D105" s="114"/>
      <c r="E105" s="114"/>
      <c r="F105" s="97"/>
      <c r="G105" s="97"/>
      <c r="H105" s="114"/>
      <c r="I105" s="114"/>
      <c r="J105" s="114"/>
      <c r="K105" s="114"/>
      <c r="L105" s="95"/>
      <c r="M105" s="95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2"/>
      <c r="Y105" s="112"/>
    </row>
    <row r="106" spans="2:25" x14ac:dyDescent="0.25">
      <c r="B106" s="95"/>
      <c r="C106" s="95"/>
      <c r="D106" s="114"/>
      <c r="E106" s="114"/>
      <c r="F106" s="97"/>
      <c r="G106" s="97"/>
      <c r="H106" s="114"/>
      <c r="I106" s="114"/>
      <c r="J106" s="114"/>
      <c r="K106" s="114"/>
      <c r="L106" s="95"/>
      <c r="M106" s="95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2"/>
      <c r="Y106" s="112"/>
    </row>
    <row r="107" spans="2:25" x14ac:dyDescent="0.25">
      <c r="B107" s="95"/>
      <c r="C107" s="95"/>
      <c r="D107" s="114"/>
      <c r="E107" s="114"/>
      <c r="F107" s="97"/>
      <c r="G107" s="97"/>
      <c r="H107" s="114"/>
      <c r="I107" s="114"/>
      <c r="J107" s="114"/>
      <c r="K107" s="114"/>
      <c r="L107" s="95"/>
      <c r="M107" s="95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2"/>
      <c r="Y107" s="112"/>
    </row>
    <row r="108" spans="2:25" x14ac:dyDescent="0.25">
      <c r="B108" s="95"/>
      <c r="C108" s="95"/>
      <c r="D108" s="114"/>
      <c r="E108" s="114"/>
      <c r="F108" s="97"/>
      <c r="G108" s="97"/>
      <c r="H108" s="114"/>
      <c r="I108" s="114"/>
      <c r="J108" s="114"/>
      <c r="K108" s="114"/>
      <c r="L108" s="95"/>
      <c r="M108" s="95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2"/>
      <c r="Y108" s="112"/>
    </row>
    <row r="109" spans="2:25" x14ac:dyDescent="0.25">
      <c r="B109" s="95"/>
      <c r="C109" s="95"/>
      <c r="D109" s="114"/>
      <c r="E109" s="114"/>
      <c r="F109" s="97"/>
      <c r="G109" s="97"/>
      <c r="H109" s="114"/>
      <c r="I109" s="114"/>
      <c r="J109" s="114"/>
      <c r="K109" s="114"/>
      <c r="L109" s="95"/>
      <c r="M109" s="95"/>
      <c r="N109" s="111"/>
      <c r="O109" s="111"/>
      <c r="P109" s="111"/>
      <c r="Q109" s="111"/>
      <c r="R109" s="111"/>
      <c r="S109" s="111"/>
      <c r="T109" s="111"/>
      <c r="U109" s="111"/>
      <c r="V109" s="111"/>
      <c r="W109" s="111"/>
      <c r="X109" s="112"/>
      <c r="Y109" s="112"/>
    </row>
    <row r="110" spans="2:25" x14ac:dyDescent="0.25">
      <c r="B110" s="95"/>
      <c r="C110" s="95"/>
      <c r="D110" s="114"/>
      <c r="E110" s="114"/>
      <c r="F110" s="97"/>
      <c r="G110" s="97"/>
      <c r="H110" s="114"/>
      <c r="I110" s="114"/>
      <c r="J110" s="114"/>
      <c r="K110" s="114"/>
      <c r="L110" s="95"/>
      <c r="M110" s="95"/>
      <c r="N110" s="111"/>
      <c r="O110" s="111"/>
      <c r="P110" s="111"/>
      <c r="Q110" s="111"/>
      <c r="R110" s="111"/>
      <c r="S110" s="111"/>
      <c r="T110" s="111"/>
      <c r="U110" s="111"/>
      <c r="V110" s="111"/>
      <c r="W110" s="111"/>
      <c r="X110" s="112"/>
      <c r="Y110" s="112"/>
    </row>
    <row r="111" spans="2:25" x14ac:dyDescent="0.25">
      <c r="B111" s="95"/>
      <c r="C111" s="95"/>
      <c r="D111" s="114"/>
      <c r="E111" s="114"/>
      <c r="F111" s="97"/>
      <c r="G111" s="97"/>
      <c r="H111" s="114"/>
      <c r="I111" s="114"/>
      <c r="J111" s="114"/>
      <c r="K111" s="114"/>
      <c r="L111" s="95"/>
      <c r="M111" s="95"/>
      <c r="N111" s="111"/>
      <c r="O111" s="111"/>
      <c r="P111" s="111"/>
      <c r="Q111" s="111"/>
      <c r="R111" s="111"/>
      <c r="S111" s="111"/>
      <c r="T111" s="111"/>
      <c r="U111" s="111"/>
      <c r="V111" s="111"/>
      <c r="W111" s="111"/>
      <c r="X111" s="112"/>
      <c r="Y111" s="112"/>
    </row>
    <row r="112" spans="2:25" x14ac:dyDescent="0.25">
      <c r="B112" s="95"/>
      <c r="C112" s="95"/>
      <c r="D112" s="114"/>
      <c r="E112" s="114"/>
      <c r="F112" s="97"/>
      <c r="G112" s="97"/>
      <c r="H112" s="114"/>
      <c r="I112" s="114"/>
      <c r="J112" s="114"/>
      <c r="K112" s="114"/>
      <c r="L112" s="95"/>
      <c r="M112" s="95"/>
      <c r="N112" s="111"/>
      <c r="O112" s="111"/>
      <c r="P112" s="111"/>
      <c r="Q112" s="111"/>
      <c r="R112" s="111"/>
      <c r="S112" s="111"/>
      <c r="T112" s="111"/>
      <c r="U112" s="111"/>
      <c r="V112" s="111"/>
      <c r="W112" s="111"/>
      <c r="X112" s="112"/>
      <c r="Y112" s="112"/>
    </row>
    <row r="113" spans="2:25" x14ac:dyDescent="0.25">
      <c r="B113" s="95"/>
      <c r="C113" s="95"/>
      <c r="D113" s="114"/>
      <c r="E113" s="114"/>
      <c r="F113" s="97"/>
      <c r="G113" s="97"/>
      <c r="H113" s="114"/>
      <c r="I113" s="114"/>
      <c r="J113" s="114"/>
      <c r="K113" s="114"/>
      <c r="L113" s="95"/>
      <c r="M113" s="95"/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2"/>
      <c r="Y113" s="112"/>
    </row>
    <row r="114" spans="2:25" x14ac:dyDescent="0.25">
      <c r="B114" s="95"/>
      <c r="C114" s="95"/>
      <c r="D114" s="114"/>
      <c r="E114" s="114"/>
      <c r="F114" s="97"/>
      <c r="G114" s="97"/>
      <c r="H114" s="114"/>
      <c r="I114" s="114"/>
      <c r="J114" s="114"/>
      <c r="K114" s="114"/>
      <c r="L114" s="95"/>
      <c r="M114" s="95"/>
      <c r="N114" s="111"/>
      <c r="O114" s="111"/>
      <c r="P114" s="111"/>
      <c r="Q114" s="111"/>
      <c r="R114" s="111"/>
      <c r="S114" s="111"/>
      <c r="T114" s="111"/>
      <c r="U114" s="111"/>
      <c r="V114" s="111"/>
      <c r="W114" s="111"/>
      <c r="X114" s="112"/>
      <c r="Y114" s="112"/>
    </row>
    <row r="115" spans="2:25" x14ac:dyDescent="0.25">
      <c r="B115" s="95"/>
      <c r="C115" s="95"/>
      <c r="D115" s="114"/>
      <c r="E115" s="114"/>
      <c r="F115" s="97"/>
      <c r="G115" s="97"/>
      <c r="H115" s="114"/>
      <c r="I115" s="114"/>
      <c r="J115" s="114"/>
      <c r="K115" s="114"/>
      <c r="L115" s="95"/>
      <c r="M115" s="95"/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2"/>
      <c r="Y115" s="112"/>
    </row>
    <row r="116" spans="2:25" x14ac:dyDescent="0.25">
      <c r="B116" s="95"/>
      <c r="C116" s="95"/>
      <c r="D116" s="114"/>
      <c r="E116" s="114"/>
      <c r="F116" s="97"/>
      <c r="G116" s="97"/>
      <c r="H116" s="114"/>
      <c r="I116" s="114"/>
      <c r="J116" s="114"/>
      <c r="K116" s="114"/>
      <c r="L116" s="95"/>
      <c r="M116" s="95"/>
      <c r="N116" s="111"/>
      <c r="O116" s="111"/>
      <c r="P116" s="111"/>
      <c r="Q116" s="111"/>
      <c r="R116" s="111"/>
      <c r="S116" s="111"/>
      <c r="T116" s="111"/>
      <c r="U116" s="111"/>
      <c r="V116" s="111"/>
      <c r="W116" s="111"/>
      <c r="X116" s="112"/>
      <c r="Y116" s="112"/>
    </row>
    <row r="117" spans="2:25" x14ac:dyDescent="0.25">
      <c r="B117" s="95"/>
      <c r="C117" s="95"/>
      <c r="D117" s="114"/>
      <c r="E117" s="114"/>
      <c r="F117" s="97"/>
      <c r="G117" s="97"/>
      <c r="H117" s="114"/>
      <c r="I117" s="114"/>
      <c r="J117" s="114"/>
      <c r="K117" s="114"/>
      <c r="L117" s="95"/>
      <c r="M117" s="95"/>
      <c r="N117" s="111"/>
      <c r="O117" s="111"/>
      <c r="P117" s="111"/>
      <c r="Q117" s="111"/>
      <c r="R117" s="111"/>
      <c r="S117" s="111"/>
      <c r="T117" s="111"/>
      <c r="U117" s="111"/>
      <c r="V117" s="111"/>
      <c r="W117" s="111"/>
      <c r="X117" s="112"/>
      <c r="Y117" s="112"/>
    </row>
    <row r="118" spans="2:25" x14ac:dyDescent="0.25">
      <c r="B118" s="95"/>
      <c r="C118" s="95"/>
      <c r="D118" s="114"/>
      <c r="E118" s="114"/>
      <c r="F118" s="97"/>
      <c r="G118" s="97"/>
      <c r="H118" s="114"/>
      <c r="I118" s="114"/>
      <c r="J118" s="114"/>
      <c r="K118" s="114"/>
      <c r="L118" s="95"/>
      <c r="M118" s="95"/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2"/>
      <c r="Y118" s="112"/>
    </row>
    <row r="119" spans="2:25" x14ac:dyDescent="0.25">
      <c r="B119" s="95"/>
      <c r="C119" s="95"/>
      <c r="D119" s="114"/>
      <c r="E119" s="114"/>
      <c r="F119" s="97"/>
      <c r="G119" s="97"/>
      <c r="H119" s="114"/>
      <c r="I119" s="114"/>
      <c r="J119" s="114"/>
      <c r="K119" s="114"/>
      <c r="L119" s="95"/>
      <c r="M119" s="95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2"/>
      <c r="Y119" s="112"/>
    </row>
    <row r="120" spans="2:25" x14ac:dyDescent="0.25">
      <c r="B120" s="95"/>
      <c r="C120" s="95"/>
      <c r="D120" s="114"/>
      <c r="E120" s="114"/>
      <c r="F120" s="97"/>
      <c r="G120" s="97"/>
      <c r="H120" s="114"/>
      <c r="I120" s="114"/>
      <c r="J120" s="114"/>
      <c r="K120" s="114"/>
      <c r="L120" s="95"/>
      <c r="M120" s="95"/>
      <c r="N120" s="111"/>
      <c r="O120" s="111"/>
      <c r="P120" s="111"/>
      <c r="Q120" s="111"/>
      <c r="R120" s="111"/>
      <c r="S120" s="111"/>
      <c r="T120" s="111"/>
      <c r="U120" s="111"/>
      <c r="V120" s="111"/>
      <c r="W120" s="111"/>
      <c r="X120" s="112"/>
      <c r="Y120" s="112"/>
    </row>
    <row r="121" spans="2:25" x14ac:dyDescent="0.25">
      <c r="B121" s="95"/>
      <c r="C121" s="95"/>
      <c r="D121" s="114"/>
      <c r="E121" s="114"/>
      <c r="F121" s="97"/>
      <c r="G121" s="97"/>
      <c r="H121" s="114"/>
      <c r="I121" s="114"/>
      <c r="J121" s="114"/>
      <c r="K121" s="114"/>
      <c r="L121" s="95"/>
      <c r="M121" s="95"/>
      <c r="N121" s="111"/>
      <c r="O121" s="111"/>
      <c r="P121" s="111"/>
      <c r="Q121" s="111"/>
      <c r="R121" s="111"/>
      <c r="S121" s="111"/>
      <c r="T121" s="111"/>
      <c r="U121" s="111"/>
      <c r="V121" s="111"/>
      <c r="W121" s="111"/>
      <c r="X121" s="112"/>
      <c r="Y121" s="112"/>
    </row>
    <row r="122" spans="2:25" x14ac:dyDescent="0.25">
      <c r="B122" s="95"/>
      <c r="C122" s="95"/>
      <c r="D122" s="114"/>
      <c r="E122" s="114"/>
      <c r="F122" s="97"/>
      <c r="G122" s="97"/>
      <c r="H122" s="114"/>
      <c r="I122" s="114"/>
      <c r="J122" s="114"/>
      <c r="K122" s="114"/>
      <c r="L122" s="95"/>
      <c r="M122" s="95"/>
      <c r="N122" s="111"/>
      <c r="O122" s="111"/>
      <c r="P122" s="111"/>
      <c r="Q122" s="111"/>
      <c r="R122" s="111"/>
      <c r="S122" s="111"/>
      <c r="T122" s="111"/>
      <c r="U122" s="111"/>
      <c r="V122" s="111"/>
      <c r="W122" s="111"/>
      <c r="X122" s="112"/>
      <c r="Y122" s="112"/>
    </row>
    <row r="123" spans="2:25" x14ac:dyDescent="0.25">
      <c r="B123" s="95"/>
      <c r="C123" s="95"/>
      <c r="D123" s="114"/>
      <c r="E123" s="114"/>
      <c r="F123" s="97"/>
      <c r="G123" s="97"/>
      <c r="H123" s="114"/>
      <c r="I123" s="114"/>
      <c r="J123" s="114"/>
      <c r="K123" s="114"/>
      <c r="L123" s="95"/>
      <c r="M123" s="95"/>
      <c r="N123" s="111"/>
      <c r="O123" s="111"/>
      <c r="P123" s="111"/>
      <c r="Q123" s="111"/>
      <c r="R123" s="111"/>
      <c r="S123" s="111"/>
      <c r="T123" s="111"/>
      <c r="U123" s="111"/>
      <c r="V123" s="111"/>
      <c r="W123" s="111"/>
      <c r="X123" s="112"/>
      <c r="Y123" s="112"/>
    </row>
    <row r="124" spans="2:25" x14ac:dyDescent="0.25">
      <c r="B124" s="95"/>
      <c r="C124" s="95"/>
      <c r="D124" s="114"/>
      <c r="E124" s="114"/>
      <c r="F124" s="97"/>
      <c r="G124" s="97"/>
      <c r="H124" s="114"/>
      <c r="I124" s="114"/>
      <c r="J124" s="114"/>
      <c r="K124" s="114"/>
      <c r="L124" s="95"/>
      <c r="M124" s="95"/>
      <c r="N124" s="111"/>
      <c r="O124" s="111"/>
      <c r="P124" s="111"/>
      <c r="Q124" s="111"/>
      <c r="R124" s="111"/>
      <c r="S124" s="111"/>
      <c r="T124" s="111"/>
      <c r="U124" s="111"/>
      <c r="V124" s="111"/>
      <c r="W124" s="111"/>
      <c r="X124" s="112"/>
      <c r="Y124" s="112"/>
    </row>
    <row r="125" spans="2:25" x14ac:dyDescent="0.25">
      <c r="B125" s="95"/>
      <c r="C125" s="95"/>
      <c r="D125" s="114"/>
      <c r="E125" s="114"/>
      <c r="F125" s="97"/>
      <c r="G125" s="97"/>
      <c r="H125" s="114"/>
      <c r="I125" s="114"/>
      <c r="J125" s="114"/>
      <c r="K125" s="114"/>
      <c r="L125" s="95"/>
      <c r="M125" s="95"/>
      <c r="N125" s="111"/>
      <c r="O125" s="111"/>
      <c r="P125" s="111"/>
      <c r="Q125" s="111"/>
      <c r="R125" s="111"/>
      <c r="S125" s="111"/>
      <c r="T125" s="111"/>
      <c r="U125" s="111"/>
      <c r="V125" s="111"/>
      <c r="W125" s="111"/>
      <c r="X125" s="112"/>
      <c r="Y125" s="112"/>
    </row>
    <row r="126" spans="2:25" x14ac:dyDescent="0.25">
      <c r="B126" s="95"/>
      <c r="C126" s="95"/>
      <c r="D126" s="114"/>
      <c r="E126" s="114"/>
      <c r="F126" s="97"/>
      <c r="G126" s="97"/>
      <c r="H126" s="114"/>
      <c r="I126" s="114"/>
      <c r="J126" s="114"/>
      <c r="K126" s="114"/>
      <c r="L126" s="95"/>
      <c r="M126" s="95"/>
      <c r="N126" s="111"/>
      <c r="O126" s="111"/>
      <c r="P126" s="111"/>
      <c r="Q126" s="111"/>
      <c r="R126" s="111"/>
      <c r="S126" s="111"/>
      <c r="T126" s="111"/>
      <c r="U126" s="111"/>
      <c r="V126" s="111"/>
      <c r="W126" s="111"/>
      <c r="X126" s="112"/>
      <c r="Y126" s="112"/>
    </row>
    <row r="127" spans="2:25" x14ac:dyDescent="0.25">
      <c r="B127" s="95"/>
      <c r="C127" s="95"/>
      <c r="D127" s="114"/>
      <c r="E127" s="114"/>
      <c r="F127" s="97"/>
      <c r="G127" s="97"/>
      <c r="H127" s="114"/>
      <c r="I127" s="114"/>
      <c r="J127" s="114"/>
      <c r="K127" s="114"/>
      <c r="L127" s="95"/>
      <c r="M127" s="95"/>
      <c r="N127" s="111"/>
      <c r="O127" s="111"/>
      <c r="P127" s="111"/>
      <c r="Q127" s="111"/>
      <c r="R127" s="111"/>
      <c r="S127" s="111"/>
      <c r="T127" s="111"/>
      <c r="U127" s="111"/>
      <c r="V127" s="111"/>
      <c r="W127" s="111"/>
      <c r="X127" s="112"/>
      <c r="Y127" s="112"/>
    </row>
    <row r="128" spans="2:25" x14ac:dyDescent="0.25">
      <c r="B128" s="95"/>
      <c r="C128" s="95"/>
      <c r="D128" s="114"/>
      <c r="E128" s="114"/>
      <c r="F128" s="97"/>
      <c r="G128" s="97"/>
      <c r="H128" s="114"/>
      <c r="I128" s="114"/>
      <c r="J128" s="114"/>
      <c r="K128" s="114"/>
      <c r="L128" s="95"/>
      <c r="M128" s="95"/>
      <c r="N128" s="111"/>
      <c r="O128" s="111"/>
      <c r="P128" s="111"/>
      <c r="Q128" s="111"/>
      <c r="R128" s="111"/>
      <c r="S128" s="111"/>
      <c r="T128" s="111"/>
      <c r="U128" s="111"/>
      <c r="V128" s="111"/>
      <c r="W128" s="111"/>
      <c r="X128" s="112"/>
      <c r="Y128" s="112"/>
    </row>
    <row r="129" spans="2:25" x14ac:dyDescent="0.25">
      <c r="B129" s="95"/>
      <c r="C129" s="95"/>
      <c r="D129" s="114"/>
      <c r="E129" s="114"/>
      <c r="F129" s="97"/>
      <c r="G129" s="97"/>
      <c r="H129" s="114"/>
      <c r="I129" s="114"/>
      <c r="J129" s="114"/>
      <c r="K129" s="114"/>
      <c r="L129" s="95"/>
      <c r="M129" s="95"/>
      <c r="N129" s="111"/>
      <c r="O129" s="111"/>
      <c r="P129" s="111"/>
      <c r="Q129" s="111"/>
      <c r="R129" s="111"/>
      <c r="S129" s="111"/>
      <c r="T129" s="111"/>
      <c r="U129" s="111"/>
      <c r="V129" s="111"/>
      <c r="W129" s="111"/>
      <c r="X129" s="112"/>
      <c r="Y129" s="112"/>
    </row>
    <row r="130" spans="2:25" x14ac:dyDescent="0.25">
      <c r="B130" s="95"/>
      <c r="C130" s="95"/>
      <c r="D130" s="114"/>
      <c r="E130" s="114"/>
      <c r="F130" s="97"/>
      <c r="G130" s="97"/>
      <c r="H130" s="114"/>
      <c r="I130" s="114"/>
      <c r="J130" s="114"/>
      <c r="K130" s="114"/>
      <c r="L130" s="95"/>
      <c r="M130" s="95"/>
      <c r="N130" s="111"/>
      <c r="O130" s="111"/>
      <c r="P130" s="111"/>
      <c r="Q130" s="111"/>
      <c r="R130" s="111"/>
      <c r="S130" s="111"/>
      <c r="T130" s="111"/>
      <c r="U130" s="111"/>
      <c r="V130" s="111"/>
      <c r="W130" s="111"/>
      <c r="X130" s="112"/>
      <c r="Y130" s="112"/>
    </row>
    <row r="131" spans="2:25" x14ac:dyDescent="0.25">
      <c r="B131" s="95"/>
      <c r="C131" s="95"/>
      <c r="D131" s="114"/>
      <c r="E131" s="114"/>
      <c r="F131" s="97"/>
      <c r="G131" s="97"/>
      <c r="H131" s="114"/>
      <c r="I131" s="114"/>
      <c r="J131" s="114"/>
      <c r="K131" s="114"/>
      <c r="L131" s="95"/>
      <c r="M131" s="95"/>
      <c r="N131" s="111"/>
      <c r="O131" s="111"/>
      <c r="P131" s="111"/>
      <c r="Q131" s="111"/>
      <c r="R131" s="111"/>
      <c r="S131" s="111"/>
      <c r="T131" s="111"/>
      <c r="U131" s="111"/>
      <c r="V131" s="111"/>
      <c r="W131" s="111"/>
      <c r="X131" s="112"/>
      <c r="Y131" s="112"/>
    </row>
    <row r="132" spans="2:25" x14ac:dyDescent="0.25">
      <c r="B132" s="95"/>
      <c r="C132" s="95"/>
      <c r="D132" s="114"/>
      <c r="E132" s="114"/>
      <c r="F132" s="97"/>
      <c r="G132" s="97"/>
      <c r="H132" s="114"/>
      <c r="I132" s="114"/>
      <c r="J132" s="114"/>
      <c r="K132" s="114"/>
      <c r="L132" s="95"/>
      <c r="M132" s="95"/>
      <c r="N132" s="111"/>
      <c r="O132" s="111"/>
      <c r="P132" s="111"/>
      <c r="Q132" s="111"/>
      <c r="R132" s="111"/>
      <c r="S132" s="111"/>
      <c r="T132" s="111"/>
      <c r="U132" s="111"/>
      <c r="V132" s="111"/>
      <c r="W132" s="111"/>
      <c r="X132" s="112"/>
      <c r="Y132" s="112"/>
    </row>
    <row r="133" spans="2:25" x14ac:dyDescent="0.25">
      <c r="B133" s="95"/>
      <c r="C133" s="95"/>
      <c r="D133" s="114"/>
      <c r="E133" s="114"/>
      <c r="F133" s="97"/>
      <c r="G133" s="97"/>
      <c r="H133" s="114"/>
      <c r="I133" s="114"/>
      <c r="J133" s="114"/>
      <c r="K133" s="114"/>
      <c r="L133" s="95"/>
      <c r="M133" s="95"/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2"/>
      <c r="Y133" s="112"/>
    </row>
    <row r="134" spans="2:25" x14ac:dyDescent="0.25">
      <c r="B134" s="95"/>
      <c r="C134" s="95"/>
      <c r="D134" s="114"/>
      <c r="E134" s="114"/>
      <c r="F134" s="97"/>
      <c r="G134" s="97"/>
      <c r="H134" s="114"/>
      <c r="I134" s="114"/>
      <c r="J134" s="114"/>
      <c r="K134" s="114"/>
      <c r="L134" s="95"/>
      <c r="M134" s="95"/>
      <c r="N134" s="111"/>
      <c r="O134" s="111"/>
      <c r="P134" s="111"/>
      <c r="Q134" s="111"/>
      <c r="R134" s="111"/>
      <c r="S134" s="111"/>
      <c r="T134" s="111"/>
      <c r="U134" s="111"/>
      <c r="V134" s="111"/>
      <c r="W134" s="111"/>
      <c r="X134" s="112"/>
      <c r="Y134" s="112"/>
    </row>
    <row r="135" spans="2:25" x14ac:dyDescent="0.25">
      <c r="B135" s="95"/>
      <c r="C135" s="95"/>
      <c r="D135" s="114"/>
      <c r="E135" s="114"/>
      <c r="F135" s="97"/>
      <c r="G135" s="97"/>
      <c r="H135" s="114"/>
      <c r="I135" s="114"/>
      <c r="J135" s="114"/>
      <c r="K135" s="114"/>
      <c r="L135" s="95"/>
      <c r="M135" s="95"/>
      <c r="N135" s="111"/>
      <c r="O135" s="111"/>
      <c r="P135" s="111"/>
      <c r="Q135" s="111"/>
      <c r="R135" s="111"/>
      <c r="S135" s="111"/>
      <c r="T135" s="111"/>
      <c r="U135" s="111"/>
      <c r="V135" s="111"/>
      <c r="W135" s="111"/>
      <c r="X135" s="112"/>
      <c r="Y135" s="112"/>
    </row>
    <row r="136" spans="2:25" x14ac:dyDescent="0.25">
      <c r="B136" s="95"/>
      <c r="C136" s="95"/>
      <c r="D136" s="114"/>
      <c r="E136" s="114"/>
      <c r="F136" s="97"/>
      <c r="G136" s="97"/>
      <c r="H136" s="114"/>
      <c r="I136" s="114"/>
      <c r="J136" s="114"/>
      <c r="K136" s="114"/>
      <c r="L136" s="95"/>
      <c r="M136" s="95"/>
      <c r="N136" s="111"/>
      <c r="O136" s="111"/>
      <c r="P136" s="111"/>
      <c r="Q136" s="111"/>
      <c r="R136" s="111"/>
      <c r="S136" s="111"/>
      <c r="T136" s="111"/>
      <c r="U136" s="111"/>
      <c r="V136" s="111"/>
      <c r="W136" s="111"/>
      <c r="X136" s="112"/>
      <c r="Y136" s="112"/>
    </row>
    <row r="137" spans="2:25" x14ac:dyDescent="0.25">
      <c r="B137" s="95"/>
      <c r="C137" s="95"/>
      <c r="D137" s="114"/>
      <c r="E137" s="114"/>
      <c r="F137" s="97"/>
      <c r="G137" s="97"/>
      <c r="H137" s="114"/>
      <c r="I137" s="114"/>
      <c r="J137" s="114"/>
      <c r="K137" s="114"/>
      <c r="L137" s="95"/>
      <c r="M137" s="95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2"/>
      <c r="Y137" s="112"/>
    </row>
    <row r="138" spans="2:25" x14ac:dyDescent="0.25">
      <c r="B138" s="95"/>
      <c r="C138" s="95"/>
      <c r="D138" s="114"/>
      <c r="E138" s="114"/>
      <c r="F138" s="97"/>
      <c r="G138" s="97"/>
      <c r="H138" s="114"/>
      <c r="I138" s="114"/>
      <c r="J138" s="114"/>
      <c r="K138" s="114"/>
      <c r="L138" s="95"/>
      <c r="M138" s="95"/>
      <c r="N138" s="111"/>
      <c r="O138" s="111"/>
      <c r="P138" s="111"/>
      <c r="Q138" s="111"/>
      <c r="R138" s="111"/>
      <c r="S138" s="111"/>
      <c r="T138" s="111"/>
      <c r="U138" s="111"/>
      <c r="V138" s="111"/>
      <c r="W138" s="111"/>
      <c r="X138" s="112"/>
      <c r="Y138" s="112"/>
    </row>
    <row r="139" spans="2:25" x14ac:dyDescent="0.25">
      <c r="B139" s="95"/>
      <c r="C139" s="95"/>
      <c r="D139" s="114"/>
      <c r="E139" s="114"/>
      <c r="F139" s="97"/>
      <c r="G139" s="97"/>
      <c r="H139" s="114"/>
      <c r="I139" s="114"/>
      <c r="J139" s="114"/>
      <c r="K139" s="114"/>
      <c r="L139" s="95"/>
      <c r="M139" s="95"/>
      <c r="N139" s="111"/>
      <c r="O139" s="111"/>
      <c r="P139" s="111"/>
      <c r="Q139" s="111"/>
      <c r="R139" s="111"/>
      <c r="S139" s="111"/>
      <c r="T139" s="111"/>
      <c r="U139" s="111"/>
      <c r="V139" s="111"/>
      <c r="W139" s="111"/>
      <c r="X139" s="112"/>
      <c r="Y139" s="112"/>
    </row>
    <row r="140" spans="2:25" x14ac:dyDescent="0.25">
      <c r="B140" s="95"/>
      <c r="C140" s="95"/>
      <c r="D140" s="114"/>
      <c r="E140" s="114"/>
      <c r="F140" s="97"/>
      <c r="G140" s="97"/>
      <c r="H140" s="114"/>
      <c r="I140" s="114"/>
      <c r="J140" s="114"/>
      <c r="K140" s="114"/>
      <c r="L140" s="95"/>
      <c r="M140" s="95"/>
      <c r="N140" s="111"/>
      <c r="O140" s="111"/>
      <c r="P140" s="111"/>
      <c r="Q140" s="111"/>
      <c r="R140" s="111"/>
      <c r="S140" s="111"/>
      <c r="T140" s="111"/>
      <c r="U140" s="111"/>
      <c r="V140" s="111"/>
      <c r="W140" s="111"/>
      <c r="X140" s="112"/>
      <c r="Y140" s="112"/>
    </row>
    <row r="141" spans="2:25" x14ac:dyDescent="0.25">
      <c r="B141" s="95"/>
      <c r="C141" s="95"/>
      <c r="D141" s="114"/>
      <c r="E141" s="114"/>
      <c r="F141" s="97"/>
      <c r="G141" s="97"/>
      <c r="H141" s="114"/>
      <c r="I141" s="114"/>
      <c r="J141" s="114"/>
      <c r="K141" s="114"/>
      <c r="L141" s="95"/>
      <c r="M141" s="95"/>
      <c r="N141" s="111"/>
      <c r="O141" s="111"/>
      <c r="P141" s="111"/>
      <c r="Q141" s="111"/>
      <c r="R141" s="111"/>
      <c r="S141" s="111"/>
      <c r="T141" s="111"/>
      <c r="U141" s="111"/>
      <c r="V141" s="111"/>
      <c r="W141" s="111"/>
      <c r="X141" s="112"/>
      <c r="Y141" s="112"/>
    </row>
    <row r="142" spans="2:25" x14ac:dyDescent="0.25">
      <c r="B142" s="95"/>
      <c r="C142" s="95"/>
      <c r="D142" s="114"/>
      <c r="E142" s="114"/>
      <c r="F142" s="97"/>
      <c r="G142" s="97"/>
      <c r="H142" s="114"/>
      <c r="I142" s="114"/>
      <c r="J142" s="114"/>
      <c r="K142" s="114"/>
      <c r="L142" s="95"/>
      <c r="M142" s="95"/>
      <c r="N142" s="111"/>
      <c r="O142" s="111"/>
      <c r="P142" s="111"/>
      <c r="Q142" s="111"/>
      <c r="R142" s="111"/>
      <c r="S142" s="111"/>
      <c r="T142" s="111"/>
      <c r="U142" s="111"/>
      <c r="V142" s="111"/>
      <c r="W142" s="111"/>
      <c r="X142" s="112"/>
      <c r="Y142" s="112"/>
    </row>
    <row r="143" spans="2:25" x14ac:dyDescent="0.25">
      <c r="B143" s="95"/>
      <c r="C143" s="95"/>
      <c r="D143" s="114"/>
      <c r="E143" s="114"/>
      <c r="F143" s="97"/>
      <c r="G143" s="97"/>
      <c r="H143" s="114"/>
      <c r="I143" s="114"/>
      <c r="J143" s="114"/>
      <c r="K143" s="114"/>
      <c r="L143" s="95"/>
      <c r="M143" s="95"/>
      <c r="N143" s="111"/>
      <c r="O143" s="111"/>
      <c r="P143" s="111"/>
      <c r="Q143" s="111"/>
      <c r="R143" s="111"/>
      <c r="S143" s="111"/>
      <c r="T143" s="111"/>
      <c r="U143" s="111"/>
      <c r="V143" s="111"/>
      <c r="W143" s="111"/>
      <c r="X143" s="112"/>
      <c r="Y143" s="112"/>
    </row>
    <row r="144" spans="2:25" x14ac:dyDescent="0.25">
      <c r="B144" s="95"/>
      <c r="C144" s="95"/>
      <c r="D144" s="114"/>
      <c r="E144" s="114"/>
      <c r="F144" s="97"/>
      <c r="G144" s="97"/>
      <c r="H144" s="114"/>
      <c r="I144" s="114"/>
      <c r="J144" s="114"/>
      <c r="K144" s="114"/>
      <c r="L144" s="95"/>
      <c r="M144" s="95"/>
      <c r="N144" s="111"/>
      <c r="O144" s="111"/>
      <c r="P144" s="111"/>
      <c r="Q144" s="111"/>
      <c r="R144" s="111"/>
      <c r="S144" s="111"/>
      <c r="T144" s="111"/>
      <c r="U144" s="111"/>
      <c r="V144" s="111"/>
      <c r="W144" s="111"/>
      <c r="X144" s="112"/>
      <c r="Y144" s="112"/>
    </row>
    <row r="145" spans="2:25" x14ac:dyDescent="0.25">
      <c r="B145" s="95"/>
      <c r="C145" s="95"/>
      <c r="D145" s="114"/>
      <c r="E145" s="114"/>
      <c r="F145" s="97"/>
      <c r="G145" s="97"/>
      <c r="H145" s="114"/>
      <c r="I145" s="114"/>
      <c r="J145" s="114"/>
      <c r="K145" s="114"/>
      <c r="L145" s="95"/>
      <c r="M145" s="95"/>
      <c r="N145" s="111"/>
      <c r="O145" s="111"/>
      <c r="P145" s="111"/>
      <c r="Q145" s="111"/>
      <c r="R145" s="111"/>
      <c r="S145" s="111"/>
      <c r="T145" s="111"/>
      <c r="U145" s="111"/>
      <c r="V145" s="111"/>
      <c r="W145" s="111"/>
      <c r="X145" s="112"/>
      <c r="Y145" s="112"/>
    </row>
    <row r="146" spans="2:25" x14ac:dyDescent="0.25">
      <c r="B146" s="95"/>
      <c r="C146" s="95"/>
      <c r="D146" s="114"/>
      <c r="E146" s="114"/>
      <c r="F146" s="97"/>
      <c r="G146" s="97"/>
      <c r="H146" s="114"/>
      <c r="I146" s="114"/>
      <c r="J146" s="114"/>
      <c r="K146" s="114"/>
      <c r="L146" s="95"/>
      <c r="M146" s="95"/>
      <c r="N146" s="111"/>
      <c r="O146" s="111"/>
      <c r="P146" s="111"/>
      <c r="Q146" s="111"/>
      <c r="R146" s="111"/>
      <c r="S146" s="111"/>
      <c r="T146" s="111"/>
      <c r="U146" s="111"/>
      <c r="V146" s="111"/>
      <c r="W146" s="111"/>
      <c r="X146" s="112"/>
      <c r="Y146" s="112"/>
    </row>
    <row r="147" spans="2:25" x14ac:dyDescent="0.25">
      <c r="B147" s="95"/>
      <c r="C147" s="95"/>
      <c r="D147" s="114"/>
      <c r="E147" s="114"/>
      <c r="F147" s="97"/>
      <c r="G147" s="97"/>
      <c r="H147" s="114"/>
      <c r="I147" s="114"/>
      <c r="J147" s="114"/>
      <c r="K147" s="114"/>
      <c r="L147" s="95"/>
      <c r="M147" s="95"/>
      <c r="N147" s="111"/>
      <c r="O147" s="111"/>
      <c r="P147" s="111"/>
      <c r="Q147" s="111"/>
      <c r="R147" s="111"/>
      <c r="S147" s="111"/>
      <c r="T147" s="111"/>
      <c r="U147" s="111"/>
      <c r="V147" s="111"/>
      <c r="W147" s="111"/>
      <c r="X147" s="112"/>
      <c r="Y147" s="112"/>
    </row>
    <row r="148" spans="2:25" x14ac:dyDescent="0.25">
      <c r="B148" s="95"/>
      <c r="C148" s="95"/>
      <c r="D148" s="114"/>
      <c r="E148" s="114"/>
      <c r="F148" s="97"/>
      <c r="G148" s="97"/>
      <c r="H148" s="114"/>
      <c r="I148" s="114"/>
      <c r="J148" s="114"/>
      <c r="K148" s="114"/>
      <c r="L148" s="95"/>
      <c r="M148" s="95"/>
      <c r="N148" s="111"/>
      <c r="O148" s="111"/>
      <c r="P148" s="111"/>
      <c r="Q148" s="111"/>
      <c r="R148" s="111"/>
      <c r="S148" s="111"/>
      <c r="T148" s="111"/>
      <c r="U148" s="111"/>
      <c r="V148" s="111"/>
      <c r="W148" s="111"/>
      <c r="X148" s="112"/>
      <c r="Y148" s="112"/>
    </row>
    <row r="149" spans="2:25" x14ac:dyDescent="0.25">
      <c r="B149" s="95"/>
      <c r="C149" s="95"/>
      <c r="D149" s="114"/>
      <c r="E149" s="114"/>
      <c r="F149" s="97"/>
      <c r="G149" s="97"/>
      <c r="H149" s="114"/>
      <c r="I149" s="114"/>
      <c r="J149" s="114"/>
      <c r="K149" s="114"/>
      <c r="L149" s="95"/>
      <c r="M149" s="95"/>
      <c r="N149" s="111"/>
      <c r="O149" s="111"/>
      <c r="P149" s="111"/>
      <c r="Q149" s="111"/>
      <c r="R149" s="111"/>
      <c r="S149" s="111"/>
      <c r="T149" s="111"/>
      <c r="U149" s="111"/>
      <c r="V149" s="111"/>
      <c r="W149" s="111"/>
      <c r="X149" s="112"/>
      <c r="Y149" s="112"/>
    </row>
    <row r="150" spans="2:25" x14ac:dyDescent="0.25">
      <c r="B150" s="95"/>
      <c r="C150" s="95"/>
      <c r="D150" s="114"/>
      <c r="E150" s="114"/>
      <c r="F150" s="97"/>
      <c r="G150" s="97"/>
      <c r="H150" s="114"/>
      <c r="I150" s="114"/>
      <c r="J150" s="114"/>
      <c r="K150" s="114"/>
      <c r="L150" s="95"/>
      <c r="M150" s="95"/>
      <c r="N150" s="111"/>
      <c r="O150" s="111"/>
      <c r="P150" s="111"/>
      <c r="Q150" s="111"/>
      <c r="R150" s="111"/>
      <c r="S150" s="111"/>
      <c r="T150" s="111"/>
      <c r="U150" s="111"/>
      <c r="V150" s="111"/>
      <c r="W150" s="111"/>
      <c r="X150" s="112"/>
      <c r="Y150" s="112"/>
    </row>
    <row r="151" spans="2:25" x14ac:dyDescent="0.25">
      <c r="B151" s="95"/>
      <c r="C151" s="95"/>
      <c r="D151" s="114"/>
      <c r="E151" s="114"/>
      <c r="F151" s="97"/>
      <c r="G151" s="97"/>
      <c r="H151" s="114"/>
      <c r="I151" s="114"/>
      <c r="J151" s="114"/>
      <c r="K151" s="114"/>
      <c r="L151" s="95"/>
      <c r="M151" s="95"/>
      <c r="N151" s="111"/>
      <c r="O151" s="111"/>
      <c r="P151" s="111"/>
      <c r="Q151" s="111"/>
      <c r="R151" s="111"/>
      <c r="S151" s="111"/>
      <c r="T151" s="111"/>
      <c r="U151" s="111"/>
      <c r="V151" s="111"/>
      <c r="W151" s="111"/>
      <c r="X151" s="112"/>
      <c r="Y151" s="112"/>
    </row>
    <row r="152" spans="2:25" x14ac:dyDescent="0.25">
      <c r="B152" s="95"/>
      <c r="C152" s="95"/>
      <c r="D152" s="114"/>
      <c r="E152" s="114"/>
      <c r="F152" s="97"/>
      <c r="G152" s="97"/>
      <c r="H152" s="114"/>
      <c r="I152" s="114"/>
      <c r="J152" s="114"/>
      <c r="K152" s="114"/>
      <c r="L152" s="95"/>
      <c r="M152" s="95"/>
      <c r="N152" s="111"/>
      <c r="O152" s="111"/>
      <c r="P152" s="111"/>
      <c r="Q152" s="111"/>
      <c r="R152" s="111"/>
      <c r="S152" s="111"/>
      <c r="T152" s="111"/>
      <c r="U152" s="111"/>
      <c r="V152" s="111"/>
      <c r="W152" s="111"/>
      <c r="X152" s="112"/>
      <c r="Y152" s="112"/>
    </row>
    <row r="153" spans="2:25" x14ac:dyDescent="0.25">
      <c r="B153" s="95"/>
      <c r="C153" s="95"/>
      <c r="D153" s="114"/>
      <c r="E153" s="114"/>
      <c r="F153" s="97"/>
      <c r="G153" s="97"/>
      <c r="H153" s="114"/>
      <c r="I153" s="114"/>
      <c r="J153" s="114"/>
      <c r="K153" s="114"/>
      <c r="L153" s="95"/>
      <c r="M153" s="95"/>
      <c r="N153" s="111"/>
      <c r="O153" s="111"/>
      <c r="P153" s="111"/>
      <c r="Q153" s="111"/>
      <c r="R153" s="111"/>
      <c r="S153" s="111"/>
      <c r="T153" s="111"/>
      <c r="U153" s="111"/>
      <c r="V153" s="111"/>
      <c r="W153" s="111"/>
      <c r="X153" s="112"/>
      <c r="Y153" s="112"/>
    </row>
    <row r="154" spans="2:25" x14ac:dyDescent="0.25">
      <c r="B154" s="95"/>
      <c r="C154" s="95"/>
      <c r="D154" s="114"/>
      <c r="E154" s="114"/>
      <c r="F154" s="97"/>
      <c r="G154" s="97"/>
      <c r="H154" s="114"/>
      <c r="I154" s="114"/>
      <c r="J154" s="114"/>
      <c r="K154" s="114"/>
      <c r="L154" s="95"/>
      <c r="M154" s="95"/>
      <c r="N154" s="111"/>
      <c r="O154" s="111"/>
      <c r="P154" s="111"/>
      <c r="Q154" s="111"/>
      <c r="R154" s="111"/>
      <c r="S154" s="111"/>
      <c r="T154" s="111"/>
      <c r="U154" s="111"/>
      <c r="V154" s="111"/>
      <c r="W154" s="111"/>
      <c r="X154" s="112"/>
      <c r="Y154" s="112"/>
    </row>
    <row r="155" spans="2:25" x14ac:dyDescent="0.25">
      <c r="B155" s="95"/>
      <c r="C155" s="95"/>
      <c r="D155" s="114"/>
      <c r="E155" s="114"/>
      <c r="F155" s="97"/>
      <c r="G155" s="97"/>
      <c r="H155" s="114"/>
      <c r="I155" s="114"/>
      <c r="J155" s="114"/>
      <c r="K155" s="114"/>
      <c r="L155" s="95"/>
      <c r="M155" s="95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2"/>
      <c r="Y155" s="112"/>
    </row>
    <row r="156" spans="2:25" x14ac:dyDescent="0.25">
      <c r="B156" s="95"/>
      <c r="C156" s="95"/>
      <c r="D156" s="114"/>
      <c r="E156" s="114"/>
      <c r="F156" s="97"/>
      <c r="G156" s="97"/>
      <c r="H156" s="114"/>
      <c r="I156" s="114"/>
      <c r="J156" s="114"/>
      <c r="K156" s="114"/>
      <c r="L156" s="95"/>
      <c r="M156" s="95"/>
      <c r="N156" s="111"/>
      <c r="O156" s="111"/>
      <c r="P156" s="111"/>
      <c r="Q156" s="111"/>
      <c r="R156" s="111"/>
      <c r="S156" s="111"/>
      <c r="T156" s="111"/>
      <c r="U156" s="111"/>
      <c r="V156" s="111"/>
      <c r="W156" s="111"/>
      <c r="X156" s="112"/>
      <c r="Y156" s="112"/>
    </row>
    <row r="157" spans="2:25" x14ac:dyDescent="0.25">
      <c r="B157" s="95"/>
      <c r="C157" s="95"/>
      <c r="D157" s="114"/>
      <c r="E157" s="114"/>
      <c r="F157" s="97"/>
      <c r="G157" s="97"/>
      <c r="H157" s="114"/>
      <c r="I157" s="114"/>
      <c r="J157" s="114"/>
      <c r="K157" s="114"/>
      <c r="L157" s="95"/>
      <c r="M157" s="95"/>
      <c r="N157" s="111"/>
      <c r="O157" s="111"/>
      <c r="P157" s="111"/>
      <c r="Q157" s="111"/>
      <c r="R157" s="111"/>
      <c r="S157" s="111"/>
      <c r="T157" s="111"/>
      <c r="U157" s="111"/>
      <c r="V157" s="111"/>
      <c r="W157" s="111"/>
      <c r="X157" s="112"/>
      <c r="Y157" s="112"/>
    </row>
    <row r="158" spans="2:25" x14ac:dyDescent="0.25">
      <c r="B158" s="95"/>
      <c r="C158" s="95"/>
      <c r="D158" s="114"/>
      <c r="E158" s="114"/>
      <c r="F158" s="97"/>
      <c r="G158" s="97"/>
      <c r="H158" s="114"/>
      <c r="I158" s="114"/>
      <c r="J158" s="114"/>
      <c r="K158" s="114"/>
      <c r="L158" s="95"/>
      <c r="M158" s="95"/>
      <c r="N158" s="111"/>
      <c r="O158" s="111"/>
      <c r="P158" s="111"/>
      <c r="Q158" s="111"/>
      <c r="R158" s="111"/>
      <c r="S158" s="111"/>
      <c r="T158" s="111"/>
      <c r="U158" s="111"/>
      <c r="V158" s="111"/>
      <c r="W158" s="111"/>
      <c r="X158" s="112"/>
      <c r="Y158" s="112"/>
    </row>
    <row r="159" spans="2:25" x14ac:dyDescent="0.25">
      <c r="B159" s="95"/>
      <c r="C159" s="95"/>
      <c r="D159" s="114"/>
      <c r="E159" s="114"/>
      <c r="F159" s="97"/>
      <c r="G159" s="97"/>
      <c r="H159" s="114"/>
      <c r="I159" s="114"/>
      <c r="J159" s="114"/>
      <c r="K159" s="114"/>
      <c r="L159" s="95"/>
      <c r="M159" s="95"/>
      <c r="N159" s="111"/>
      <c r="O159" s="111"/>
      <c r="P159" s="111"/>
      <c r="Q159" s="111"/>
      <c r="R159" s="111"/>
      <c r="S159" s="111"/>
      <c r="T159" s="111"/>
      <c r="U159" s="111"/>
      <c r="V159" s="111"/>
      <c r="W159" s="111"/>
      <c r="X159" s="112"/>
      <c r="Y159" s="112"/>
    </row>
    <row r="160" spans="2:25" x14ac:dyDescent="0.25">
      <c r="B160" s="95"/>
      <c r="C160" s="95"/>
      <c r="D160" s="114"/>
      <c r="E160" s="114"/>
      <c r="F160" s="97"/>
      <c r="G160" s="97"/>
      <c r="H160" s="114"/>
      <c r="I160" s="114"/>
      <c r="J160" s="114"/>
      <c r="K160" s="114"/>
      <c r="L160" s="95"/>
      <c r="M160" s="95"/>
      <c r="N160" s="111"/>
      <c r="O160" s="111"/>
      <c r="P160" s="111"/>
      <c r="Q160" s="111"/>
      <c r="R160" s="111"/>
      <c r="S160" s="111"/>
      <c r="T160" s="111"/>
      <c r="U160" s="111"/>
      <c r="V160" s="111"/>
      <c r="W160" s="111"/>
      <c r="X160" s="112"/>
      <c r="Y160" s="112"/>
    </row>
    <row r="161" spans="2:25" x14ac:dyDescent="0.25">
      <c r="B161" s="95"/>
      <c r="C161" s="95"/>
      <c r="D161" s="114"/>
      <c r="E161" s="114"/>
      <c r="F161" s="97"/>
      <c r="G161" s="97"/>
      <c r="H161" s="114"/>
      <c r="I161" s="114"/>
      <c r="J161" s="114"/>
      <c r="K161" s="114"/>
      <c r="L161" s="95"/>
      <c r="M161" s="95"/>
      <c r="N161" s="111"/>
      <c r="O161" s="111"/>
      <c r="P161" s="111"/>
      <c r="Q161" s="111"/>
      <c r="R161" s="111"/>
      <c r="S161" s="111"/>
      <c r="T161" s="111"/>
      <c r="U161" s="111"/>
      <c r="V161" s="111"/>
      <c r="W161" s="111"/>
      <c r="X161" s="112"/>
      <c r="Y161" s="112"/>
    </row>
    <row r="162" spans="2:25" x14ac:dyDescent="0.25">
      <c r="B162" s="95"/>
      <c r="C162" s="95"/>
      <c r="D162" s="114"/>
      <c r="E162" s="114"/>
      <c r="F162" s="97"/>
      <c r="G162" s="97"/>
      <c r="H162" s="114"/>
      <c r="I162" s="114"/>
      <c r="J162" s="114"/>
      <c r="K162" s="114"/>
      <c r="L162" s="95"/>
      <c r="M162" s="95"/>
      <c r="N162" s="111"/>
      <c r="O162" s="111"/>
      <c r="P162" s="111"/>
      <c r="Q162" s="111"/>
      <c r="R162" s="111"/>
      <c r="S162" s="111"/>
      <c r="T162" s="111"/>
      <c r="U162" s="111"/>
      <c r="V162" s="111"/>
      <c r="W162" s="111"/>
      <c r="X162" s="112"/>
      <c r="Y162" s="112"/>
    </row>
    <row r="163" spans="2:25" x14ac:dyDescent="0.25">
      <c r="B163" s="95"/>
      <c r="C163" s="95"/>
      <c r="D163" s="114"/>
      <c r="E163" s="114"/>
      <c r="F163" s="97"/>
      <c r="G163" s="97"/>
      <c r="H163" s="114"/>
      <c r="I163" s="114"/>
      <c r="J163" s="114"/>
      <c r="K163" s="114"/>
      <c r="L163" s="95"/>
      <c r="M163" s="95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2"/>
      <c r="Y163" s="112"/>
    </row>
    <row r="164" spans="2:25" x14ac:dyDescent="0.25">
      <c r="B164" s="95"/>
      <c r="C164" s="95"/>
      <c r="D164" s="114"/>
      <c r="E164" s="114"/>
      <c r="F164" s="97"/>
      <c r="G164" s="97"/>
      <c r="H164" s="114"/>
      <c r="I164" s="114"/>
      <c r="J164" s="114"/>
      <c r="K164" s="114"/>
      <c r="L164" s="95"/>
      <c r="M164" s="95"/>
      <c r="N164" s="111"/>
      <c r="O164" s="111"/>
      <c r="P164" s="111"/>
      <c r="Q164" s="111"/>
      <c r="R164" s="111"/>
      <c r="S164" s="111"/>
      <c r="T164" s="111"/>
      <c r="U164" s="111"/>
      <c r="V164" s="111"/>
      <c r="W164" s="111"/>
      <c r="X164" s="112"/>
      <c r="Y164" s="112"/>
    </row>
    <row r="165" spans="2:25" x14ac:dyDescent="0.25">
      <c r="B165" s="95"/>
      <c r="C165" s="95"/>
      <c r="D165" s="114"/>
      <c r="E165" s="114"/>
      <c r="F165" s="97"/>
      <c r="G165" s="97"/>
      <c r="H165" s="114"/>
      <c r="I165" s="114"/>
      <c r="J165" s="114"/>
      <c r="K165" s="114"/>
      <c r="L165" s="95"/>
      <c r="M165" s="95"/>
      <c r="N165" s="111"/>
      <c r="O165" s="111"/>
      <c r="P165" s="111"/>
      <c r="Q165" s="111"/>
      <c r="R165" s="111"/>
      <c r="S165" s="111"/>
      <c r="T165" s="111"/>
      <c r="U165" s="111"/>
      <c r="V165" s="111"/>
      <c r="W165" s="111"/>
      <c r="X165" s="112"/>
      <c r="Y165" s="112"/>
    </row>
    <row r="166" spans="2:25" x14ac:dyDescent="0.25">
      <c r="B166" s="95"/>
      <c r="C166" s="95"/>
      <c r="D166" s="114"/>
      <c r="E166" s="114"/>
      <c r="F166" s="97"/>
      <c r="G166" s="97"/>
      <c r="H166" s="114"/>
      <c r="I166" s="114"/>
      <c r="J166" s="114"/>
      <c r="K166" s="114"/>
      <c r="L166" s="95"/>
      <c r="M166" s="95"/>
      <c r="N166" s="111"/>
      <c r="O166" s="111"/>
      <c r="P166" s="111"/>
      <c r="Q166" s="111"/>
      <c r="R166" s="111"/>
      <c r="S166" s="111"/>
      <c r="T166" s="111"/>
      <c r="U166" s="111"/>
      <c r="V166" s="111"/>
      <c r="W166" s="111"/>
      <c r="X166" s="112"/>
      <c r="Y166" s="112"/>
    </row>
    <row r="167" spans="2:25" x14ac:dyDescent="0.25">
      <c r="B167" s="95"/>
      <c r="C167" s="95"/>
      <c r="D167" s="114"/>
      <c r="E167" s="114"/>
      <c r="F167" s="97"/>
      <c r="G167" s="97"/>
      <c r="H167" s="114"/>
      <c r="I167" s="114"/>
      <c r="J167" s="114"/>
      <c r="K167" s="114"/>
      <c r="L167" s="95"/>
      <c r="M167" s="95"/>
      <c r="N167" s="111"/>
      <c r="O167" s="111"/>
      <c r="P167" s="111"/>
      <c r="Q167" s="111"/>
      <c r="R167" s="111"/>
      <c r="S167" s="111"/>
      <c r="T167" s="111"/>
      <c r="U167" s="111"/>
      <c r="V167" s="111"/>
      <c r="W167" s="111"/>
      <c r="X167" s="112"/>
      <c r="Y167" s="112"/>
    </row>
    <row r="168" spans="2:25" x14ac:dyDescent="0.25">
      <c r="B168" s="95"/>
      <c r="C168" s="95"/>
      <c r="D168" s="114"/>
      <c r="E168" s="114"/>
      <c r="F168" s="97"/>
      <c r="G168" s="97"/>
      <c r="H168" s="114"/>
      <c r="I168" s="114"/>
      <c r="J168" s="114"/>
      <c r="K168" s="114"/>
      <c r="L168" s="95"/>
      <c r="M168" s="95"/>
      <c r="N168" s="111"/>
      <c r="O168" s="111"/>
      <c r="P168" s="111"/>
      <c r="Q168" s="111"/>
      <c r="R168" s="111"/>
      <c r="S168" s="111"/>
      <c r="T168" s="111"/>
      <c r="U168" s="111"/>
      <c r="V168" s="111"/>
      <c r="W168" s="111"/>
      <c r="X168" s="112"/>
      <c r="Y168" s="112"/>
    </row>
    <row r="169" spans="2:25" x14ac:dyDescent="0.25">
      <c r="B169" s="95"/>
      <c r="C169" s="95"/>
      <c r="D169" s="114"/>
      <c r="E169" s="114"/>
      <c r="F169" s="97"/>
      <c r="G169" s="97"/>
      <c r="H169" s="114"/>
      <c r="I169" s="114"/>
      <c r="J169" s="114"/>
      <c r="K169" s="114"/>
      <c r="L169" s="95"/>
      <c r="M169" s="95"/>
      <c r="N169" s="111"/>
      <c r="O169" s="111"/>
      <c r="P169" s="111"/>
      <c r="Q169" s="111"/>
      <c r="R169" s="111"/>
      <c r="S169" s="111"/>
      <c r="T169" s="111"/>
      <c r="U169" s="111"/>
      <c r="V169" s="111"/>
      <c r="W169" s="111"/>
      <c r="X169" s="112"/>
      <c r="Y169" s="112"/>
    </row>
    <row r="170" spans="2:25" x14ac:dyDescent="0.25">
      <c r="B170" s="95"/>
      <c r="C170" s="95"/>
      <c r="D170" s="114"/>
      <c r="E170" s="114"/>
      <c r="F170" s="97"/>
      <c r="G170" s="97"/>
      <c r="H170" s="114"/>
      <c r="I170" s="114"/>
      <c r="J170" s="114"/>
      <c r="K170" s="114"/>
      <c r="L170" s="95"/>
      <c r="M170" s="95"/>
      <c r="N170" s="111"/>
      <c r="O170" s="111"/>
      <c r="P170" s="111"/>
      <c r="Q170" s="111"/>
      <c r="R170" s="111"/>
      <c r="S170" s="111"/>
      <c r="T170" s="111"/>
      <c r="U170" s="111"/>
      <c r="V170" s="111"/>
      <c r="W170" s="111"/>
      <c r="X170" s="112"/>
      <c r="Y170" s="112"/>
    </row>
    <row r="171" spans="2:25" x14ac:dyDescent="0.25">
      <c r="B171" s="95"/>
      <c r="C171" s="95"/>
      <c r="D171" s="114"/>
      <c r="E171" s="114"/>
      <c r="F171" s="97"/>
      <c r="G171" s="97"/>
      <c r="H171" s="114"/>
      <c r="I171" s="114"/>
      <c r="J171" s="114"/>
      <c r="K171" s="114"/>
      <c r="L171" s="95"/>
      <c r="M171" s="95"/>
      <c r="N171" s="111"/>
      <c r="O171" s="111"/>
      <c r="P171" s="111"/>
      <c r="Q171" s="111"/>
      <c r="R171" s="111"/>
      <c r="S171" s="111"/>
      <c r="T171" s="111"/>
      <c r="U171" s="111"/>
      <c r="V171" s="111"/>
      <c r="W171" s="111"/>
      <c r="X171" s="112"/>
      <c r="Y171" s="112"/>
    </row>
    <row r="172" spans="2:25" x14ac:dyDescent="0.25">
      <c r="B172" s="95"/>
      <c r="C172" s="95"/>
      <c r="D172" s="114"/>
      <c r="E172" s="114"/>
      <c r="F172" s="97"/>
      <c r="G172" s="97"/>
      <c r="H172" s="114"/>
      <c r="I172" s="114"/>
      <c r="J172" s="114"/>
      <c r="K172" s="114"/>
      <c r="L172" s="95"/>
      <c r="M172" s="95"/>
      <c r="N172" s="111"/>
      <c r="O172" s="111"/>
      <c r="P172" s="111"/>
      <c r="Q172" s="111"/>
      <c r="R172" s="111"/>
      <c r="S172" s="111"/>
      <c r="T172" s="111"/>
      <c r="U172" s="111"/>
      <c r="V172" s="111"/>
      <c r="W172" s="111"/>
      <c r="X172" s="112"/>
      <c r="Y172" s="112"/>
    </row>
    <row r="173" spans="2:25" x14ac:dyDescent="0.25">
      <c r="B173" s="95"/>
      <c r="C173" s="95"/>
      <c r="D173" s="114"/>
      <c r="E173" s="114"/>
      <c r="F173" s="97"/>
      <c r="G173" s="97"/>
      <c r="H173" s="114"/>
      <c r="I173" s="114"/>
      <c r="J173" s="114"/>
      <c r="K173" s="114"/>
      <c r="L173" s="95"/>
      <c r="M173" s="95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2"/>
      <c r="Y173" s="112"/>
    </row>
    <row r="174" spans="2:25" x14ac:dyDescent="0.25">
      <c r="B174" s="95"/>
      <c r="C174" s="95"/>
      <c r="D174" s="114"/>
      <c r="E174" s="114"/>
      <c r="F174" s="97"/>
      <c r="G174" s="97"/>
      <c r="H174" s="114"/>
      <c r="I174" s="114"/>
      <c r="J174" s="114"/>
      <c r="K174" s="114"/>
      <c r="L174" s="95"/>
      <c r="M174" s="95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2"/>
      <c r="Y174" s="112"/>
    </row>
    <row r="175" spans="2:25" x14ac:dyDescent="0.25">
      <c r="B175" s="95"/>
      <c r="C175" s="95"/>
      <c r="D175" s="114"/>
      <c r="E175" s="114"/>
      <c r="F175" s="97"/>
      <c r="G175" s="97"/>
      <c r="H175" s="114"/>
      <c r="I175" s="114"/>
      <c r="J175" s="114"/>
      <c r="K175" s="114"/>
      <c r="L175" s="95"/>
      <c r="M175" s="95"/>
      <c r="N175" s="111"/>
      <c r="O175" s="111"/>
      <c r="P175" s="111"/>
      <c r="Q175" s="111"/>
      <c r="R175" s="111"/>
      <c r="S175" s="111"/>
      <c r="T175" s="111"/>
      <c r="U175" s="111"/>
      <c r="V175" s="111"/>
      <c r="W175" s="111"/>
      <c r="X175" s="112"/>
      <c r="Y175" s="112"/>
    </row>
    <row r="176" spans="2:25" x14ac:dyDescent="0.25">
      <c r="B176" s="95"/>
      <c r="C176" s="95"/>
      <c r="D176" s="114"/>
      <c r="E176" s="114"/>
      <c r="F176" s="97"/>
      <c r="G176" s="97"/>
      <c r="H176" s="114"/>
      <c r="I176" s="114"/>
      <c r="J176" s="114"/>
      <c r="K176" s="114"/>
      <c r="L176" s="95"/>
      <c r="M176" s="95"/>
      <c r="N176" s="111"/>
      <c r="O176" s="111"/>
      <c r="P176" s="111"/>
      <c r="Q176" s="111"/>
      <c r="R176" s="111"/>
      <c r="S176" s="111"/>
      <c r="T176" s="111"/>
      <c r="U176" s="111"/>
      <c r="V176" s="111"/>
      <c r="W176" s="111"/>
      <c r="X176" s="112"/>
      <c r="Y176" s="112"/>
    </row>
    <row r="177" spans="2:25" x14ac:dyDescent="0.25">
      <c r="B177" s="95"/>
      <c r="C177" s="95"/>
      <c r="D177" s="114"/>
      <c r="E177" s="114"/>
      <c r="F177" s="97"/>
      <c r="G177" s="97"/>
      <c r="H177" s="114"/>
      <c r="I177" s="114"/>
      <c r="J177" s="114"/>
      <c r="K177" s="114"/>
      <c r="L177" s="95"/>
      <c r="M177" s="95"/>
      <c r="N177" s="111"/>
      <c r="O177" s="111"/>
      <c r="P177" s="111"/>
      <c r="Q177" s="111"/>
      <c r="R177" s="111"/>
      <c r="S177" s="111"/>
      <c r="T177" s="111"/>
      <c r="U177" s="111"/>
      <c r="V177" s="111"/>
      <c r="W177" s="111"/>
      <c r="X177" s="112"/>
      <c r="Y177" s="112"/>
    </row>
    <row r="178" spans="2:25" x14ac:dyDescent="0.25">
      <c r="B178" s="95"/>
      <c r="C178" s="95"/>
      <c r="D178" s="114"/>
      <c r="E178" s="114"/>
      <c r="F178" s="97"/>
      <c r="G178" s="97"/>
      <c r="H178" s="114"/>
      <c r="I178" s="114"/>
      <c r="J178" s="114"/>
      <c r="K178" s="114"/>
      <c r="L178" s="95"/>
      <c r="M178" s="95"/>
      <c r="N178" s="111"/>
      <c r="O178" s="111"/>
      <c r="P178" s="111"/>
      <c r="Q178" s="111"/>
      <c r="R178" s="111"/>
      <c r="S178" s="111"/>
      <c r="T178" s="111"/>
      <c r="U178" s="111"/>
      <c r="V178" s="111"/>
      <c r="W178" s="111"/>
      <c r="X178" s="112"/>
      <c r="Y178" s="112"/>
    </row>
    <row r="179" spans="2:25" x14ac:dyDescent="0.25">
      <c r="B179" s="95"/>
      <c r="C179" s="95"/>
      <c r="D179" s="114"/>
      <c r="E179" s="114"/>
      <c r="F179" s="97"/>
      <c r="G179" s="97"/>
      <c r="H179" s="114"/>
      <c r="I179" s="114"/>
      <c r="J179" s="114"/>
      <c r="K179" s="114"/>
      <c r="L179" s="95"/>
      <c r="M179" s="95"/>
      <c r="N179" s="111"/>
      <c r="O179" s="111"/>
      <c r="P179" s="111"/>
      <c r="Q179" s="111"/>
      <c r="R179" s="111"/>
      <c r="S179" s="111"/>
      <c r="T179" s="111"/>
      <c r="U179" s="111"/>
      <c r="V179" s="111"/>
      <c r="W179" s="111"/>
      <c r="X179" s="112"/>
      <c r="Y179" s="112"/>
    </row>
    <row r="180" spans="2:25" x14ac:dyDescent="0.25">
      <c r="B180" s="95"/>
      <c r="C180" s="95"/>
      <c r="D180" s="114"/>
      <c r="E180" s="114"/>
      <c r="F180" s="97"/>
      <c r="G180" s="97"/>
      <c r="H180" s="114"/>
      <c r="I180" s="114"/>
      <c r="J180" s="114"/>
      <c r="K180" s="114"/>
      <c r="L180" s="95"/>
      <c r="M180" s="95"/>
      <c r="N180" s="111"/>
      <c r="O180" s="111"/>
      <c r="P180" s="111"/>
      <c r="Q180" s="111"/>
      <c r="R180" s="111"/>
      <c r="S180" s="111"/>
      <c r="T180" s="111"/>
      <c r="U180" s="111"/>
      <c r="V180" s="111"/>
      <c r="W180" s="111"/>
      <c r="X180" s="112"/>
      <c r="Y180" s="112"/>
    </row>
    <row r="181" spans="2:25" x14ac:dyDescent="0.25">
      <c r="B181" s="95"/>
      <c r="C181" s="95"/>
      <c r="D181" s="114"/>
      <c r="E181" s="114"/>
      <c r="F181" s="97"/>
      <c r="G181" s="97"/>
      <c r="H181" s="114"/>
      <c r="I181" s="114"/>
      <c r="J181" s="114"/>
      <c r="K181" s="114"/>
      <c r="L181" s="95"/>
      <c r="M181" s="95"/>
      <c r="N181" s="111"/>
      <c r="O181" s="111"/>
      <c r="P181" s="111"/>
      <c r="Q181" s="111"/>
      <c r="R181" s="111"/>
      <c r="S181" s="111"/>
      <c r="T181" s="111"/>
      <c r="U181" s="111"/>
      <c r="V181" s="111"/>
      <c r="W181" s="111"/>
      <c r="X181" s="112"/>
      <c r="Y181" s="112"/>
    </row>
    <row r="182" spans="2:25" x14ac:dyDescent="0.25">
      <c r="B182" s="95"/>
      <c r="C182" s="95"/>
      <c r="D182" s="114"/>
      <c r="E182" s="114"/>
      <c r="F182" s="97"/>
      <c r="G182" s="97"/>
      <c r="H182" s="114"/>
      <c r="I182" s="114"/>
      <c r="J182" s="114"/>
      <c r="K182" s="114"/>
      <c r="L182" s="95"/>
      <c r="M182" s="95"/>
      <c r="N182" s="111"/>
      <c r="O182" s="111"/>
      <c r="P182" s="111"/>
      <c r="Q182" s="111"/>
      <c r="R182" s="111"/>
      <c r="S182" s="111"/>
      <c r="T182" s="111"/>
      <c r="U182" s="111"/>
      <c r="V182" s="111"/>
      <c r="W182" s="111"/>
      <c r="X182" s="112"/>
      <c r="Y182" s="112"/>
    </row>
    <row r="183" spans="2:25" x14ac:dyDescent="0.25">
      <c r="B183" s="95"/>
      <c r="C183" s="95"/>
      <c r="D183" s="114"/>
      <c r="E183" s="114"/>
      <c r="F183" s="97"/>
      <c r="G183" s="97"/>
      <c r="H183" s="114"/>
      <c r="I183" s="114"/>
      <c r="J183" s="114"/>
      <c r="K183" s="114"/>
      <c r="L183" s="95"/>
      <c r="M183" s="95"/>
      <c r="N183" s="111"/>
      <c r="O183" s="111"/>
      <c r="P183" s="111"/>
      <c r="Q183" s="111"/>
      <c r="R183" s="111"/>
      <c r="S183" s="111"/>
      <c r="T183" s="111"/>
      <c r="U183" s="111"/>
      <c r="V183" s="111"/>
      <c r="W183" s="111"/>
      <c r="X183" s="112"/>
      <c r="Y183" s="112"/>
    </row>
    <row r="184" spans="2:25" x14ac:dyDescent="0.25">
      <c r="B184" s="95"/>
      <c r="C184" s="95"/>
      <c r="D184" s="114"/>
      <c r="E184" s="114"/>
      <c r="F184" s="97"/>
      <c r="G184" s="97"/>
      <c r="H184" s="114"/>
      <c r="I184" s="114"/>
      <c r="J184" s="114"/>
      <c r="K184" s="114"/>
      <c r="L184" s="95"/>
      <c r="M184" s="95"/>
      <c r="N184" s="111"/>
      <c r="O184" s="111"/>
      <c r="P184" s="111"/>
      <c r="Q184" s="111"/>
      <c r="R184" s="111"/>
      <c r="S184" s="111"/>
      <c r="T184" s="111"/>
      <c r="U184" s="111"/>
      <c r="V184" s="111"/>
      <c r="W184" s="111"/>
      <c r="X184" s="112"/>
      <c r="Y184" s="112"/>
    </row>
    <row r="185" spans="2:25" x14ac:dyDescent="0.25">
      <c r="B185" s="95"/>
      <c r="C185" s="95"/>
      <c r="D185" s="114"/>
      <c r="E185" s="114"/>
      <c r="F185" s="97"/>
      <c r="G185" s="97"/>
      <c r="H185" s="114"/>
      <c r="I185" s="114"/>
      <c r="J185" s="114"/>
      <c r="K185" s="114"/>
      <c r="L185" s="95"/>
      <c r="M185" s="95"/>
      <c r="N185" s="111"/>
      <c r="O185" s="111"/>
      <c r="P185" s="111"/>
      <c r="Q185" s="111"/>
      <c r="R185" s="111"/>
      <c r="S185" s="111"/>
      <c r="T185" s="111"/>
      <c r="U185" s="111"/>
      <c r="V185" s="111"/>
      <c r="W185" s="111"/>
      <c r="X185" s="112"/>
      <c r="Y185" s="112"/>
    </row>
    <row r="186" spans="2:25" x14ac:dyDescent="0.25">
      <c r="B186" s="95"/>
      <c r="C186" s="95"/>
      <c r="D186" s="114"/>
      <c r="E186" s="114"/>
      <c r="F186" s="97"/>
      <c r="G186" s="97"/>
      <c r="H186" s="114"/>
      <c r="I186" s="114"/>
      <c r="J186" s="114"/>
      <c r="K186" s="114"/>
      <c r="L186" s="95"/>
      <c r="M186" s="95"/>
      <c r="N186" s="111"/>
      <c r="O186" s="111"/>
      <c r="P186" s="111"/>
      <c r="Q186" s="111"/>
      <c r="R186" s="111"/>
      <c r="S186" s="111"/>
      <c r="T186" s="111"/>
      <c r="U186" s="111"/>
      <c r="V186" s="111"/>
      <c r="W186" s="111"/>
      <c r="X186" s="112"/>
      <c r="Y186" s="112"/>
    </row>
    <row r="187" spans="2:25" x14ac:dyDescent="0.25">
      <c r="B187" s="95"/>
      <c r="C187" s="95"/>
      <c r="D187" s="114"/>
      <c r="E187" s="114"/>
      <c r="F187" s="97"/>
      <c r="G187" s="97"/>
      <c r="H187" s="114"/>
      <c r="I187" s="114"/>
      <c r="J187" s="114"/>
      <c r="K187" s="114"/>
      <c r="L187" s="95"/>
      <c r="M187" s="95"/>
      <c r="N187" s="111"/>
      <c r="O187" s="111"/>
      <c r="P187" s="111"/>
      <c r="Q187" s="111"/>
      <c r="R187" s="111"/>
      <c r="S187" s="111"/>
      <c r="T187" s="111"/>
      <c r="U187" s="111"/>
      <c r="V187" s="111"/>
      <c r="W187" s="111"/>
      <c r="X187" s="112"/>
      <c r="Y187" s="112"/>
    </row>
    <row r="188" spans="2:25" x14ac:dyDescent="0.25">
      <c r="B188" s="95"/>
      <c r="C188" s="95"/>
      <c r="D188" s="114"/>
      <c r="E188" s="114"/>
      <c r="F188" s="97"/>
      <c r="G188" s="97"/>
      <c r="H188" s="114"/>
      <c r="I188" s="114"/>
      <c r="J188" s="114"/>
      <c r="K188" s="114"/>
      <c r="L188" s="95"/>
      <c r="M188" s="95"/>
      <c r="N188" s="111"/>
      <c r="O188" s="111"/>
      <c r="P188" s="111"/>
      <c r="Q188" s="111"/>
      <c r="R188" s="111"/>
      <c r="S188" s="111"/>
      <c r="T188" s="111"/>
      <c r="U188" s="111"/>
      <c r="V188" s="111"/>
      <c r="W188" s="111"/>
      <c r="X188" s="112"/>
      <c r="Y188" s="112"/>
    </row>
    <row r="189" spans="2:25" x14ac:dyDescent="0.25">
      <c r="B189" s="95"/>
      <c r="C189" s="95"/>
      <c r="D189" s="114"/>
      <c r="E189" s="114"/>
      <c r="F189" s="97"/>
      <c r="G189" s="97"/>
      <c r="H189" s="114"/>
      <c r="I189" s="114"/>
      <c r="J189" s="114"/>
      <c r="K189" s="114"/>
      <c r="L189" s="95"/>
      <c r="M189" s="95"/>
      <c r="N189" s="111"/>
      <c r="O189" s="111"/>
      <c r="P189" s="111"/>
      <c r="Q189" s="111"/>
      <c r="R189" s="111"/>
      <c r="S189" s="111"/>
      <c r="T189" s="111"/>
      <c r="U189" s="111"/>
      <c r="V189" s="111"/>
      <c r="W189" s="111"/>
      <c r="X189" s="112"/>
      <c r="Y189" s="112"/>
    </row>
    <row r="190" spans="2:25" x14ac:dyDescent="0.25">
      <c r="B190" s="95"/>
      <c r="C190" s="95"/>
      <c r="D190" s="114"/>
      <c r="E190" s="114"/>
      <c r="F190" s="97"/>
      <c r="G190" s="97"/>
      <c r="H190" s="114"/>
      <c r="I190" s="114"/>
      <c r="J190" s="114"/>
      <c r="K190" s="114"/>
      <c r="L190" s="95"/>
      <c r="M190" s="95"/>
      <c r="N190" s="111"/>
      <c r="O190" s="111"/>
      <c r="P190" s="111"/>
      <c r="Q190" s="111"/>
      <c r="R190" s="111"/>
      <c r="S190" s="111"/>
      <c r="T190" s="111"/>
      <c r="U190" s="111"/>
      <c r="V190" s="111"/>
      <c r="W190" s="111"/>
      <c r="X190" s="112"/>
      <c r="Y190" s="112"/>
    </row>
    <row r="191" spans="2:25" x14ac:dyDescent="0.25">
      <c r="B191" s="95"/>
      <c r="C191" s="95"/>
      <c r="D191" s="114"/>
      <c r="E191" s="114"/>
      <c r="F191" s="97"/>
      <c r="G191" s="97"/>
      <c r="H191" s="114"/>
      <c r="I191" s="114"/>
      <c r="J191" s="114"/>
      <c r="K191" s="114"/>
      <c r="L191" s="95"/>
      <c r="M191" s="95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2"/>
      <c r="Y191" s="112"/>
    </row>
    <row r="192" spans="2:25" x14ac:dyDescent="0.25">
      <c r="B192" s="95"/>
      <c r="C192" s="95"/>
      <c r="D192" s="114"/>
      <c r="E192" s="114"/>
      <c r="F192" s="97"/>
      <c r="G192" s="97"/>
      <c r="H192" s="114"/>
      <c r="I192" s="114"/>
      <c r="J192" s="114"/>
      <c r="K192" s="114"/>
      <c r="L192" s="95"/>
      <c r="M192" s="95"/>
      <c r="N192" s="111"/>
      <c r="O192" s="111"/>
      <c r="P192" s="111"/>
      <c r="Q192" s="111"/>
      <c r="R192" s="111"/>
      <c r="S192" s="111"/>
      <c r="T192" s="111"/>
      <c r="U192" s="111"/>
      <c r="V192" s="111"/>
      <c r="W192" s="111"/>
      <c r="X192" s="112"/>
      <c r="Y192" s="112"/>
    </row>
    <row r="193" spans="2:25" x14ac:dyDescent="0.25">
      <c r="B193" s="95"/>
      <c r="C193" s="95"/>
      <c r="D193" s="114"/>
      <c r="E193" s="114"/>
      <c r="F193" s="97"/>
      <c r="G193" s="97"/>
      <c r="H193" s="114"/>
      <c r="I193" s="114"/>
      <c r="J193" s="114"/>
      <c r="K193" s="114"/>
      <c r="L193" s="95"/>
      <c r="M193" s="95"/>
      <c r="N193" s="111"/>
      <c r="O193" s="111"/>
      <c r="P193" s="111"/>
      <c r="Q193" s="111"/>
      <c r="R193" s="111"/>
      <c r="S193" s="111"/>
      <c r="T193" s="111"/>
      <c r="U193" s="111"/>
      <c r="V193" s="111"/>
      <c r="W193" s="111"/>
      <c r="X193" s="112"/>
      <c r="Y193" s="112"/>
    </row>
    <row r="194" spans="2:25" x14ac:dyDescent="0.25">
      <c r="B194" s="95"/>
      <c r="C194" s="95"/>
      <c r="D194" s="114"/>
      <c r="E194" s="114"/>
      <c r="F194" s="97"/>
      <c r="G194" s="97"/>
      <c r="H194" s="114"/>
      <c r="I194" s="114"/>
      <c r="J194" s="114"/>
      <c r="K194" s="114"/>
      <c r="L194" s="95"/>
      <c r="M194" s="95"/>
      <c r="N194" s="111"/>
      <c r="O194" s="111"/>
      <c r="P194" s="111"/>
      <c r="Q194" s="111"/>
      <c r="R194" s="111"/>
      <c r="S194" s="111"/>
      <c r="T194" s="111"/>
      <c r="U194" s="111"/>
      <c r="V194" s="111"/>
      <c r="W194" s="111"/>
      <c r="X194" s="112"/>
      <c r="Y194" s="112"/>
    </row>
    <row r="195" spans="2:25" x14ac:dyDescent="0.25">
      <c r="B195" s="95"/>
      <c r="C195" s="95"/>
      <c r="D195" s="114"/>
      <c r="E195" s="114"/>
      <c r="F195" s="97"/>
      <c r="G195" s="97"/>
      <c r="H195" s="114"/>
      <c r="I195" s="114"/>
      <c r="J195" s="114"/>
      <c r="K195" s="114"/>
      <c r="L195" s="95"/>
      <c r="M195" s="95"/>
      <c r="N195" s="111"/>
      <c r="O195" s="111"/>
      <c r="P195" s="111"/>
      <c r="Q195" s="111"/>
      <c r="R195" s="111"/>
      <c r="S195" s="111"/>
      <c r="T195" s="111"/>
      <c r="U195" s="111"/>
      <c r="V195" s="111"/>
      <c r="W195" s="111"/>
      <c r="X195" s="112"/>
      <c r="Y195" s="112"/>
    </row>
    <row r="196" spans="2:25" x14ac:dyDescent="0.25">
      <c r="B196" s="95"/>
      <c r="C196" s="95"/>
      <c r="D196" s="114"/>
      <c r="E196" s="114"/>
      <c r="F196" s="97"/>
      <c r="G196" s="97"/>
      <c r="H196" s="114"/>
      <c r="I196" s="114"/>
      <c r="J196" s="114"/>
      <c r="K196" s="114"/>
      <c r="L196" s="95"/>
      <c r="M196" s="95"/>
      <c r="N196" s="111"/>
      <c r="O196" s="111"/>
      <c r="P196" s="111"/>
      <c r="Q196" s="111"/>
      <c r="R196" s="111"/>
      <c r="S196" s="111"/>
      <c r="T196" s="111"/>
      <c r="U196" s="111"/>
      <c r="V196" s="111"/>
      <c r="W196" s="111"/>
      <c r="X196" s="112"/>
      <c r="Y196" s="112"/>
    </row>
    <row r="197" spans="2:25" x14ac:dyDescent="0.25">
      <c r="B197" s="95"/>
      <c r="C197" s="95"/>
      <c r="D197" s="114"/>
      <c r="E197" s="114"/>
      <c r="F197" s="97"/>
      <c r="G197" s="97"/>
      <c r="H197" s="114"/>
      <c r="I197" s="114"/>
      <c r="J197" s="114"/>
      <c r="K197" s="114"/>
      <c r="L197" s="95"/>
      <c r="M197" s="95"/>
      <c r="N197" s="111"/>
      <c r="O197" s="111"/>
      <c r="P197" s="111"/>
      <c r="Q197" s="111"/>
      <c r="R197" s="111"/>
      <c r="S197" s="111"/>
      <c r="T197" s="111"/>
      <c r="U197" s="111"/>
      <c r="V197" s="111"/>
      <c r="W197" s="111"/>
      <c r="X197" s="112"/>
      <c r="Y197" s="112"/>
    </row>
    <row r="198" spans="2:25" x14ac:dyDescent="0.25">
      <c r="B198" s="95"/>
      <c r="C198" s="95"/>
      <c r="D198" s="114"/>
      <c r="E198" s="114"/>
      <c r="F198" s="97"/>
      <c r="G198" s="97"/>
      <c r="H198" s="114"/>
      <c r="I198" s="114"/>
      <c r="J198" s="114"/>
      <c r="K198" s="114"/>
      <c r="L198" s="95"/>
      <c r="M198" s="95"/>
      <c r="N198" s="111"/>
      <c r="O198" s="111"/>
      <c r="P198" s="111"/>
      <c r="Q198" s="111"/>
      <c r="R198" s="111"/>
      <c r="S198" s="111"/>
      <c r="T198" s="111"/>
      <c r="U198" s="111"/>
      <c r="V198" s="111"/>
      <c r="W198" s="111"/>
      <c r="X198" s="112"/>
      <c r="Y198" s="112"/>
    </row>
    <row r="199" spans="2:25" x14ac:dyDescent="0.25">
      <c r="B199" s="95"/>
      <c r="C199" s="95"/>
      <c r="D199" s="114"/>
      <c r="E199" s="114"/>
      <c r="F199" s="97"/>
      <c r="G199" s="97"/>
      <c r="H199" s="114"/>
      <c r="I199" s="114"/>
      <c r="J199" s="114"/>
      <c r="K199" s="114"/>
      <c r="L199" s="95"/>
      <c r="M199" s="95"/>
      <c r="N199" s="111"/>
      <c r="O199" s="111"/>
      <c r="P199" s="111"/>
      <c r="Q199" s="111"/>
      <c r="R199" s="111"/>
      <c r="S199" s="111"/>
      <c r="T199" s="111"/>
      <c r="U199" s="111"/>
      <c r="V199" s="111"/>
      <c r="W199" s="111"/>
      <c r="X199" s="112"/>
      <c r="Y199" s="112"/>
    </row>
    <row r="200" spans="2:25" x14ac:dyDescent="0.25">
      <c r="B200" s="95"/>
      <c r="C200" s="95"/>
      <c r="D200" s="114"/>
      <c r="E200" s="114"/>
      <c r="F200" s="97"/>
      <c r="G200" s="97"/>
      <c r="H200" s="114"/>
      <c r="I200" s="114"/>
      <c r="J200" s="114"/>
      <c r="K200" s="114"/>
      <c r="L200" s="95"/>
      <c r="M200" s="95"/>
      <c r="N200" s="111"/>
      <c r="O200" s="111"/>
      <c r="P200" s="111"/>
      <c r="Q200" s="111"/>
      <c r="R200" s="111"/>
      <c r="S200" s="111"/>
      <c r="T200" s="111"/>
      <c r="U200" s="111"/>
      <c r="V200" s="111"/>
      <c r="W200" s="111"/>
      <c r="X200" s="112"/>
      <c r="Y200" s="112"/>
    </row>
    <row r="201" spans="2:25" x14ac:dyDescent="0.25">
      <c r="B201" s="95"/>
      <c r="C201" s="95"/>
      <c r="D201" s="114"/>
      <c r="E201" s="114"/>
      <c r="F201" s="97"/>
      <c r="G201" s="97"/>
      <c r="H201" s="114"/>
      <c r="I201" s="114"/>
      <c r="J201" s="114"/>
      <c r="K201" s="114"/>
      <c r="L201" s="95"/>
      <c r="M201" s="95"/>
      <c r="N201" s="111"/>
      <c r="O201" s="111"/>
      <c r="P201" s="111"/>
      <c r="Q201" s="111"/>
      <c r="R201" s="111"/>
      <c r="S201" s="111"/>
      <c r="T201" s="111"/>
      <c r="U201" s="111"/>
      <c r="V201" s="111"/>
      <c r="W201" s="111"/>
      <c r="X201" s="112"/>
      <c r="Y201" s="112"/>
    </row>
    <row r="202" spans="2:25" x14ac:dyDescent="0.25">
      <c r="B202" s="95"/>
      <c r="C202" s="95"/>
      <c r="D202" s="114"/>
      <c r="E202" s="114"/>
      <c r="F202" s="97"/>
      <c r="G202" s="97"/>
      <c r="H202" s="114"/>
      <c r="I202" s="114"/>
      <c r="J202" s="114"/>
      <c r="K202" s="114"/>
      <c r="L202" s="95"/>
      <c r="M202" s="95"/>
      <c r="N202" s="111"/>
      <c r="O202" s="111"/>
      <c r="P202" s="111"/>
      <c r="Q202" s="111"/>
      <c r="R202" s="111"/>
      <c r="S202" s="111"/>
      <c r="T202" s="111"/>
      <c r="U202" s="111"/>
      <c r="V202" s="111"/>
      <c r="W202" s="111"/>
      <c r="X202" s="112"/>
      <c r="Y202" s="112"/>
    </row>
    <row r="203" spans="2:25" x14ac:dyDescent="0.25">
      <c r="B203" s="95"/>
      <c r="C203" s="95"/>
      <c r="D203" s="114"/>
      <c r="E203" s="114"/>
      <c r="F203" s="97"/>
      <c r="G203" s="97"/>
      <c r="H203" s="114"/>
      <c r="I203" s="114"/>
      <c r="J203" s="114"/>
      <c r="K203" s="114"/>
      <c r="L203" s="95"/>
      <c r="M203" s="95"/>
      <c r="N203" s="111"/>
      <c r="O203" s="111"/>
      <c r="P203" s="111"/>
      <c r="Q203" s="111"/>
      <c r="R203" s="111"/>
      <c r="S203" s="111"/>
      <c r="T203" s="111"/>
      <c r="U203" s="111"/>
      <c r="V203" s="111"/>
      <c r="W203" s="111"/>
      <c r="X203" s="112"/>
      <c r="Y203" s="112"/>
    </row>
    <row r="204" spans="2:25" x14ac:dyDescent="0.25">
      <c r="B204" s="95"/>
      <c r="C204" s="95"/>
      <c r="D204" s="114"/>
      <c r="E204" s="114"/>
      <c r="F204" s="97"/>
      <c r="G204" s="97"/>
      <c r="H204" s="114"/>
      <c r="I204" s="114"/>
      <c r="J204" s="114"/>
      <c r="K204" s="114"/>
      <c r="L204" s="95"/>
      <c r="M204" s="95"/>
      <c r="N204" s="111"/>
      <c r="O204" s="111"/>
      <c r="P204" s="111"/>
      <c r="Q204" s="111"/>
      <c r="R204" s="111"/>
      <c r="S204" s="111"/>
      <c r="T204" s="111"/>
      <c r="U204" s="111"/>
      <c r="V204" s="111"/>
      <c r="W204" s="111"/>
      <c r="X204" s="112"/>
      <c r="Y204" s="112"/>
    </row>
    <row r="205" spans="2:25" x14ac:dyDescent="0.25">
      <c r="B205" s="95"/>
      <c r="C205" s="95"/>
      <c r="D205" s="114"/>
      <c r="E205" s="114"/>
      <c r="F205" s="97"/>
      <c r="G205" s="97"/>
      <c r="H205" s="114"/>
      <c r="I205" s="114"/>
      <c r="J205" s="114"/>
      <c r="K205" s="114"/>
      <c r="L205" s="95"/>
      <c r="M205" s="95"/>
      <c r="N205" s="111"/>
      <c r="O205" s="111"/>
      <c r="P205" s="111"/>
      <c r="Q205" s="111"/>
      <c r="R205" s="111"/>
      <c r="S205" s="111"/>
      <c r="T205" s="111"/>
      <c r="U205" s="111"/>
      <c r="V205" s="111"/>
      <c r="W205" s="111"/>
      <c r="X205" s="112"/>
      <c r="Y205" s="112"/>
    </row>
    <row r="206" spans="2:25" x14ac:dyDescent="0.25">
      <c r="B206" s="95"/>
      <c r="C206" s="95"/>
      <c r="D206" s="114"/>
      <c r="E206" s="114"/>
      <c r="F206" s="97"/>
      <c r="G206" s="97"/>
      <c r="H206" s="114"/>
      <c r="I206" s="114"/>
      <c r="J206" s="114"/>
      <c r="K206" s="114"/>
      <c r="L206" s="95"/>
      <c r="M206" s="95"/>
      <c r="N206" s="111"/>
      <c r="O206" s="111"/>
      <c r="P206" s="111"/>
      <c r="Q206" s="111"/>
      <c r="R206" s="111"/>
      <c r="S206" s="111"/>
      <c r="T206" s="111"/>
      <c r="U206" s="111"/>
      <c r="V206" s="111"/>
      <c r="W206" s="111"/>
      <c r="X206" s="112"/>
      <c r="Y206" s="112"/>
    </row>
    <row r="207" spans="2:25" x14ac:dyDescent="0.25">
      <c r="B207" s="95"/>
      <c r="C207" s="95"/>
      <c r="D207" s="114"/>
      <c r="E207" s="114"/>
      <c r="F207" s="97"/>
      <c r="G207" s="97"/>
      <c r="H207" s="114"/>
      <c r="I207" s="114"/>
      <c r="J207" s="114"/>
      <c r="K207" s="114"/>
      <c r="L207" s="95"/>
      <c r="M207" s="95"/>
      <c r="N207" s="111"/>
      <c r="O207" s="111"/>
      <c r="P207" s="111"/>
      <c r="Q207" s="111"/>
      <c r="R207" s="111"/>
      <c r="S207" s="111"/>
      <c r="T207" s="111"/>
      <c r="U207" s="111"/>
      <c r="V207" s="111"/>
      <c r="W207" s="111"/>
      <c r="X207" s="112"/>
      <c r="Y207" s="112"/>
    </row>
    <row r="208" spans="2:25" x14ac:dyDescent="0.25">
      <c r="B208" s="95"/>
      <c r="C208" s="95"/>
      <c r="D208" s="114"/>
      <c r="E208" s="114"/>
      <c r="F208" s="97"/>
      <c r="G208" s="97"/>
      <c r="H208" s="114"/>
      <c r="I208" s="114"/>
      <c r="J208" s="114"/>
      <c r="K208" s="114"/>
      <c r="L208" s="95"/>
      <c r="M208" s="95"/>
      <c r="N208" s="111"/>
      <c r="O208" s="111"/>
      <c r="P208" s="111"/>
      <c r="Q208" s="111"/>
      <c r="R208" s="111"/>
      <c r="S208" s="111"/>
      <c r="T208" s="111"/>
      <c r="U208" s="111"/>
      <c r="V208" s="111"/>
      <c r="W208" s="111"/>
      <c r="X208" s="112"/>
      <c r="Y208" s="112"/>
    </row>
    <row r="209" spans="2:25" x14ac:dyDescent="0.25">
      <c r="B209" s="95"/>
      <c r="C209" s="95"/>
      <c r="D209" s="114"/>
      <c r="E209" s="114"/>
      <c r="F209" s="97"/>
      <c r="G209" s="97"/>
      <c r="H209" s="114"/>
      <c r="I209" s="114"/>
      <c r="J209" s="114"/>
      <c r="K209" s="114"/>
      <c r="L209" s="95"/>
      <c r="M209" s="95"/>
      <c r="N209" s="111"/>
      <c r="O209" s="111"/>
      <c r="P209" s="111"/>
      <c r="Q209" s="111"/>
      <c r="R209" s="111"/>
      <c r="S209" s="111"/>
      <c r="T209" s="111"/>
      <c r="U209" s="111"/>
      <c r="V209" s="111"/>
      <c r="W209" s="111"/>
      <c r="X209" s="112"/>
      <c r="Y209" s="112"/>
    </row>
    <row r="210" spans="2:25" x14ac:dyDescent="0.25">
      <c r="B210" s="95"/>
      <c r="C210" s="95"/>
      <c r="D210" s="114"/>
      <c r="E210" s="114"/>
      <c r="F210" s="97"/>
      <c r="G210" s="97"/>
      <c r="H210" s="114"/>
      <c r="I210" s="114"/>
      <c r="J210" s="114"/>
      <c r="K210" s="114"/>
      <c r="L210" s="95"/>
      <c r="M210" s="95"/>
      <c r="N210" s="111"/>
      <c r="O210" s="111"/>
      <c r="P210" s="111"/>
      <c r="Q210" s="111"/>
      <c r="R210" s="111"/>
      <c r="S210" s="111"/>
      <c r="T210" s="111"/>
      <c r="U210" s="111"/>
      <c r="V210" s="111"/>
      <c r="W210" s="111"/>
      <c r="X210" s="112"/>
      <c r="Y210" s="112"/>
    </row>
    <row r="211" spans="2:25" x14ac:dyDescent="0.25">
      <c r="B211" s="95"/>
      <c r="C211" s="95"/>
      <c r="D211" s="114"/>
      <c r="E211" s="114"/>
      <c r="F211" s="97"/>
      <c r="G211" s="97"/>
      <c r="H211" s="114"/>
      <c r="I211" s="114"/>
      <c r="J211" s="114"/>
      <c r="K211" s="114"/>
      <c r="L211" s="95"/>
      <c r="M211" s="95"/>
      <c r="N211" s="111"/>
      <c r="O211" s="111"/>
      <c r="P211" s="111"/>
      <c r="Q211" s="111"/>
      <c r="R211" s="111"/>
      <c r="S211" s="111"/>
      <c r="T211" s="111"/>
      <c r="U211" s="111"/>
      <c r="V211" s="111"/>
      <c r="W211" s="111"/>
      <c r="X211" s="112"/>
      <c r="Y211" s="112"/>
    </row>
    <row r="212" spans="2:25" x14ac:dyDescent="0.25">
      <c r="B212" s="95"/>
      <c r="C212" s="95"/>
      <c r="D212" s="114"/>
      <c r="E212" s="114"/>
      <c r="F212" s="97"/>
      <c r="G212" s="97"/>
      <c r="H212" s="114"/>
      <c r="I212" s="114"/>
      <c r="J212" s="114"/>
      <c r="K212" s="114"/>
      <c r="L212" s="95"/>
      <c r="M212" s="95"/>
      <c r="N212" s="111"/>
      <c r="O212" s="111"/>
      <c r="P212" s="111"/>
      <c r="Q212" s="111"/>
      <c r="R212" s="111"/>
      <c r="S212" s="111"/>
      <c r="T212" s="111"/>
      <c r="U212" s="111"/>
      <c r="V212" s="111"/>
      <c r="W212" s="111"/>
      <c r="X212" s="112"/>
      <c r="Y212" s="112"/>
    </row>
    <row r="213" spans="2:25" x14ac:dyDescent="0.25">
      <c r="B213" s="95"/>
      <c r="C213" s="95"/>
      <c r="D213" s="114"/>
      <c r="E213" s="114"/>
      <c r="F213" s="97"/>
      <c r="G213" s="97"/>
      <c r="H213" s="114"/>
      <c r="I213" s="114"/>
      <c r="J213" s="114"/>
      <c r="K213" s="114"/>
      <c r="L213" s="95"/>
      <c r="M213" s="95"/>
      <c r="N213" s="111"/>
      <c r="O213" s="111"/>
      <c r="P213" s="111"/>
      <c r="Q213" s="111"/>
      <c r="R213" s="111"/>
      <c r="S213" s="111"/>
      <c r="T213" s="111"/>
      <c r="U213" s="111"/>
      <c r="V213" s="111"/>
      <c r="W213" s="111"/>
      <c r="X213" s="112"/>
      <c r="Y213" s="112"/>
    </row>
    <row r="214" spans="2:25" x14ac:dyDescent="0.25">
      <c r="B214" s="95"/>
      <c r="C214" s="95"/>
      <c r="D214" s="114"/>
      <c r="E214" s="114"/>
      <c r="F214" s="97"/>
      <c r="G214" s="97"/>
      <c r="H214" s="114"/>
      <c r="I214" s="114"/>
      <c r="J214" s="114"/>
      <c r="K214" s="114"/>
      <c r="L214" s="95"/>
      <c r="M214" s="95"/>
      <c r="N214" s="111"/>
      <c r="O214" s="111"/>
      <c r="P214" s="111"/>
      <c r="Q214" s="111"/>
      <c r="R214" s="111"/>
      <c r="S214" s="111"/>
      <c r="T214" s="111"/>
      <c r="U214" s="111"/>
      <c r="V214" s="111"/>
      <c r="W214" s="111"/>
      <c r="X214" s="112"/>
      <c r="Y214" s="112"/>
    </row>
    <row r="215" spans="2:25" x14ac:dyDescent="0.25">
      <c r="B215" s="95"/>
      <c r="C215" s="95"/>
      <c r="D215" s="114"/>
      <c r="E215" s="114"/>
      <c r="F215" s="97"/>
      <c r="G215" s="97"/>
      <c r="H215" s="114"/>
      <c r="I215" s="114"/>
      <c r="J215" s="114"/>
      <c r="K215" s="114"/>
      <c r="L215" s="95"/>
      <c r="M215" s="95"/>
      <c r="N215" s="111"/>
      <c r="O215" s="111"/>
      <c r="P215" s="111"/>
      <c r="Q215" s="111"/>
      <c r="R215" s="111"/>
      <c r="S215" s="111"/>
      <c r="T215" s="111"/>
      <c r="U215" s="111"/>
      <c r="V215" s="111"/>
      <c r="W215" s="111"/>
      <c r="X215" s="112"/>
      <c r="Y215" s="112"/>
    </row>
    <row r="216" spans="2:25" x14ac:dyDescent="0.25">
      <c r="B216" s="95"/>
      <c r="C216" s="95"/>
      <c r="D216" s="114"/>
      <c r="E216" s="114"/>
      <c r="F216" s="97"/>
      <c r="G216" s="97"/>
      <c r="H216" s="114"/>
      <c r="I216" s="114"/>
      <c r="J216" s="114"/>
      <c r="K216" s="114"/>
      <c r="L216" s="95"/>
      <c r="M216" s="95"/>
      <c r="N216" s="111"/>
      <c r="O216" s="111"/>
      <c r="P216" s="111"/>
      <c r="Q216" s="111"/>
      <c r="R216" s="111"/>
      <c r="S216" s="111"/>
      <c r="T216" s="111"/>
      <c r="U216" s="111"/>
      <c r="V216" s="111"/>
      <c r="W216" s="111"/>
      <c r="X216" s="112"/>
      <c r="Y216" s="112"/>
    </row>
    <row r="217" spans="2:25" x14ac:dyDescent="0.25">
      <c r="B217" s="95"/>
      <c r="C217" s="95"/>
      <c r="D217" s="114"/>
      <c r="E217" s="114"/>
      <c r="F217" s="97"/>
      <c r="G217" s="97"/>
      <c r="H217" s="114"/>
      <c r="I217" s="114"/>
      <c r="J217" s="114"/>
      <c r="K217" s="114"/>
      <c r="L217" s="95"/>
      <c r="M217" s="95"/>
      <c r="N217" s="111"/>
      <c r="O217" s="111"/>
      <c r="P217" s="111"/>
      <c r="Q217" s="111"/>
      <c r="R217" s="111"/>
      <c r="S217" s="111"/>
      <c r="T217" s="111"/>
      <c r="U217" s="111"/>
      <c r="V217" s="111"/>
      <c r="W217" s="111"/>
      <c r="X217" s="112"/>
      <c r="Y217" s="112"/>
    </row>
    <row r="218" spans="2:25" x14ac:dyDescent="0.25">
      <c r="B218" s="95"/>
      <c r="C218" s="95"/>
      <c r="D218" s="114"/>
      <c r="E218" s="114"/>
      <c r="F218" s="97"/>
      <c r="G218" s="97"/>
      <c r="H218" s="114"/>
      <c r="I218" s="114"/>
      <c r="J218" s="114"/>
      <c r="K218" s="114"/>
      <c r="L218" s="95"/>
      <c r="M218" s="95"/>
      <c r="N218" s="111"/>
      <c r="O218" s="111"/>
      <c r="P218" s="111"/>
      <c r="Q218" s="111"/>
      <c r="R218" s="111"/>
      <c r="S218" s="111"/>
      <c r="T218" s="111"/>
      <c r="U218" s="111"/>
      <c r="V218" s="111"/>
      <c r="W218" s="111"/>
      <c r="X218" s="112"/>
      <c r="Y218" s="112"/>
    </row>
    <row r="219" spans="2:25" x14ac:dyDescent="0.25">
      <c r="B219" s="95"/>
      <c r="C219" s="95"/>
      <c r="D219" s="114"/>
      <c r="E219" s="114"/>
      <c r="F219" s="97"/>
      <c r="G219" s="97"/>
      <c r="H219" s="114"/>
      <c r="I219" s="114"/>
      <c r="J219" s="114"/>
      <c r="K219" s="114"/>
      <c r="L219" s="95"/>
      <c r="M219" s="95"/>
      <c r="N219" s="111"/>
      <c r="O219" s="111"/>
      <c r="P219" s="111"/>
      <c r="Q219" s="111"/>
      <c r="R219" s="111"/>
      <c r="S219" s="111"/>
      <c r="T219" s="111"/>
      <c r="U219" s="111"/>
      <c r="V219" s="111"/>
      <c r="W219" s="111"/>
      <c r="X219" s="112"/>
      <c r="Y219" s="112"/>
    </row>
    <row r="220" spans="2:25" x14ac:dyDescent="0.25">
      <c r="B220" s="95"/>
      <c r="C220" s="95"/>
      <c r="D220" s="114"/>
      <c r="E220" s="114"/>
      <c r="F220" s="97"/>
      <c r="G220" s="97"/>
      <c r="H220" s="114"/>
      <c r="I220" s="114"/>
      <c r="J220" s="114"/>
      <c r="K220" s="114"/>
      <c r="L220" s="95"/>
      <c r="M220" s="95"/>
      <c r="N220" s="111"/>
      <c r="O220" s="111"/>
      <c r="P220" s="111"/>
      <c r="Q220" s="111"/>
      <c r="R220" s="111"/>
      <c r="S220" s="111"/>
      <c r="T220" s="111"/>
      <c r="U220" s="111"/>
      <c r="V220" s="111"/>
      <c r="W220" s="111"/>
      <c r="X220" s="112"/>
      <c r="Y220" s="112"/>
    </row>
    <row r="221" spans="2:25" x14ac:dyDescent="0.25">
      <c r="B221" s="95"/>
      <c r="C221" s="95"/>
      <c r="D221" s="114"/>
      <c r="E221" s="114"/>
      <c r="F221" s="97"/>
      <c r="G221" s="97"/>
      <c r="H221" s="114"/>
      <c r="I221" s="114"/>
      <c r="J221" s="114"/>
      <c r="K221" s="114"/>
      <c r="L221" s="95"/>
      <c r="M221" s="95"/>
      <c r="N221" s="111"/>
      <c r="O221" s="111"/>
      <c r="P221" s="111"/>
      <c r="Q221" s="111"/>
      <c r="R221" s="111"/>
      <c r="S221" s="111"/>
      <c r="T221" s="111"/>
      <c r="U221" s="111"/>
      <c r="V221" s="111"/>
      <c r="W221" s="111"/>
      <c r="X221" s="112"/>
      <c r="Y221" s="112"/>
    </row>
    <row r="222" spans="2:25" x14ac:dyDescent="0.25">
      <c r="B222" s="95"/>
      <c r="C222" s="95"/>
      <c r="D222" s="114"/>
      <c r="E222" s="114"/>
      <c r="F222" s="97"/>
      <c r="G222" s="97"/>
      <c r="H222" s="114"/>
      <c r="I222" s="114"/>
      <c r="J222" s="114"/>
      <c r="K222" s="114"/>
      <c r="L222" s="95"/>
      <c r="M222" s="95"/>
      <c r="N222" s="111"/>
      <c r="O222" s="111"/>
      <c r="P222" s="111"/>
      <c r="Q222" s="111"/>
      <c r="R222" s="111"/>
      <c r="S222" s="111"/>
      <c r="T222" s="111"/>
      <c r="U222" s="111"/>
      <c r="V222" s="111"/>
      <c r="W222" s="111"/>
      <c r="X222" s="112"/>
      <c r="Y222" s="112"/>
    </row>
    <row r="223" spans="2:25" x14ac:dyDescent="0.25">
      <c r="B223" s="95"/>
      <c r="C223" s="95"/>
      <c r="D223" s="114"/>
      <c r="E223" s="114"/>
      <c r="F223" s="97"/>
      <c r="G223" s="97"/>
      <c r="H223" s="114"/>
      <c r="I223" s="114"/>
      <c r="J223" s="114"/>
      <c r="K223" s="114"/>
      <c r="L223" s="95"/>
      <c r="M223" s="95"/>
      <c r="N223" s="111"/>
      <c r="O223" s="111"/>
      <c r="P223" s="111"/>
      <c r="Q223" s="111"/>
      <c r="R223" s="111"/>
      <c r="S223" s="111"/>
      <c r="T223" s="111"/>
      <c r="U223" s="111"/>
      <c r="V223" s="111"/>
      <c r="W223" s="111"/>
      <c r="X223" s="112"/>
      <c r="Y223" s="112"/>
    </row>
    <row r="224" spans="2:25" x14ac:dyDescent="0.25">
      <c r="B224" s="95"/>
      <c r="C224" s="95"/>
      <c r="D224" s="114"/>
      <c r="E224" s="114"/>
      <c r="F224" s="97"/>
      <c r="G224" s="97"/>
      <c r="H224" s="114"/>
      <c r="I224" s="114"/>
      <c r="J224" s="114"/>
      <c r="K224" s="114"/>
      <c r="L224" s="95"/>
      <c r="M224" s="95"/>
      <c r="N224" s="111"/>
      <c r="O224" s="111"/>
      <c r="P224" s="111"/>
      <c r="Q224" s="111"/>
      <c r="R224" s="111"/>
      <c r="S224" s="111"/>
      <c r="T224" s="111"/>
      <c r="U224" s="111"/>
      <c r="V224" s="111"/>
      <c r="W224" s="111"/>
      <c r="X224" s="112"/>
      <c r="Y224" s="112"/>
    </row>
    <row r="225" spans="2:25" x14ac:dyDescent="0.25">
      <c r="B225" s="95"/>
      <c r="C225" s="95"/>
      <c r="D225" s="114"/>
      <c r="E225" s="114"/>
      <c r="F225" s="97"/>
      <c r="G225" s="97"/>
      <c r="H225" s="114"/>
      <c r="I225" s="114"/>
      <c r="J225" s="114"/>
      <c r="K225" s="114"/>
      <c r="L225" s="95"/>
      <c r="M225" s="95"/>
      <c r="N225" s="111"/>
      <c r="O225" s="111"/>
      <c r="P225" s="111"/>
      <c r="Q225" s="111"/>
      <c r="R225" s="111"/>
      <c r="S225" s="111"/>
      <c r="T225" s="111"/>
      <c r="U225" s="111"/>
      <c r="V225" s="111"/>
      <c r="W225" s="111"/>
      <c r="X225" s="112"/>
      <c r="Y225" s="112"/>
    </row>
    <row r="226" spans="2:25" x14ac:dyDescent="0.25">
      <c r="B226" s="95"/>
      <c r="C226" s="95"/>
      <c r="D226" s="114"/>
      <c r="E226" s="114"/>
      <c r="F226" s="97"/>
      <c r="G226" s="97"/>
      <c r="H226" s="114"/>
      <c r="I226" s="114"/>
      <c r="J226" s="114"/>
      <c r="K226" s="114"/>
      <c r="L226" s="95"/>
      <c r="M226" s="95"/>
      <c r="N226" s="111"/>
      <c r="O226" s="111"/>
      <c r="P226" s="111"/>
      <c r="Q226" s="111"/>
      <c r="R226" s="111"/>
      <c r="S226" s="111"/>
      <c r="T226" s="111"/>
      <c r="U226" s="111"/>
      <c r="V226" s="111"/>
      <c r="W226" s="111"/>
      <c r="X226" s="112"/>
      <c r="Y226" s="112"/>
    </row>
    <row r="227" spans="2:25" x14ac:dyDescent="0.25">
      <c r="B227" s="95"/>
      <c r="C227" s="95"/>
      <c r="D227" s="114"/>
      <c r="E227" s="114"/>
      <c r="F227" s="97"/>
      <c r="G227" s="97"/>
      <c r="H227" s="114"/>
      <c r="I227" s="114"/>
      <c r="J227" s="114"/>
      <c r="K227" s="114"/>
      <c r="L227" s="95"/>
      <c r="M227" s="95"/>
      <c r="N227" s="111"/>
      <c r="O227" s="111"/>
      <c r="P227" s="111"/>
      <c r="Q227" s="111"/>
      <c r="R227" s="111"/>
      <c r="S227" s="111"/>
      <c r="T227" s="111"/>
      <c r="U227" s="111"/>
      <c r="V227" s="111"/>
      <c r="W227" s="111"/>
      <c r="X227" s="112"/>
      <c r="Y227" s="112"/>
    </row>
    <row r="228" spans="2:25" x14ac:dyDescent="0.25">
      <c r="B228" s="95"/>
      <c r="C228" s="95"/>
      <c r="D228" s="114"/>
      <c r="E228" s="114"/>
      <c r="F228" s="97"/>
      <c r="G228" s="97"/>
      <c r="H228" s="114"/>
      <c r="I228" s="114"/>
      <c r="J228" s="114"/>
      <c r="K228" s="114"/>
      <c r="L228" s="95"/>
      <c r="M228" s="95"/>
      <c r="N228" s="111"/>
      <c r="O228" s="111"/>
      <c r="P228" s="111"/>
      <c r="Q228" s="111"/>
      <c r="R228" s="111"/>
      <c r="S228" s="111"/>
      <c r="T228" s="111"/>
      <c r="U228" s="111"/>
      <c r="V228" s="111"/>
      <c r="W228" s="111"/>
      <c r="X228" s="112"/>
      <c r="Y228" s="112"/>
    </row>
    <row r="229" spans="2:25" x14ac:dyDescent="0.25">
      <c r="B229" s="95"/>
      <c r="C229" s="95"/>
      <c r="D229" s="114"/>
      <c r="E229" s="114"/>
      <c r="F229" s="97"/>
      <c r="G229" s="97"/>
      <c r="H229" s="114"/>
      <c r="I229" s="114"/>
      <c r="J229" s="114"/>
      <c r="K229" s="114"/>
      <c r="L229" s="95"/>
      <c r="M229" s="95"/>
      <c r="N229" s="111"/>
      <c r="O229" s="111"/>
      <c r="P229" s="111"/>
      <c r="Q229" s="111"/>
      <c r="R229" s="111"/>
      <c r="S229" s="111"/>
      <c r="T229" s="111"/>
      <c r="U229" s="111"/>
      <c r="V229" s="111"/>
      <c r="W229" s="111"/>
      <c r="X229" s="112"/>
      <c r="Y229" s="112"/>
    </row>
    <row r="230" spans="2:25" x14ac:dyDescent="0.25">
      <c r="B230" s="95"/>
      <c r="C230" s="95"/>
      <c r="D230" s="114"/>
      <c r="E230" s="114"/>
      <c r="F230" s="97"/>
      <c r="G230" s="97"/>
      <c r="H230" s="114"/>
      <c r="I230" s="114"/>
      <c r="J230" s="114"/>
      <c r="K230" s="114"/>
      <c r="L230" s="95"/>
      <c r="M230" s="95"/>
      <c r="N230" s="111"/>
      <c r="O230" s="111"/>
      <c r="P230" s="111"/>
      <c r="Q230" s="111"/>
      <c r="R230" s="111"/>
      <c r="S230" s="111"/>
      <c r="T230" s="111"/>
      <c r="U230" s="111"/>
      <c r="V230" s="111"/>
      <c r="W230" s="111"/>
      <c r="X230" s="112"/>
      <c r="Y230" s="112"/>
    </row>
    <row r="231" spans="2:25" x14ac:dyDescent="0.25">
      <c r="B231" s="95"/>
      <c r="C231" s="95"/>
      <c r="D231" s="114"/>
      <c r="E231" s="114"/>
      <c r="F231" s="97"/>
      <c r="G231" s="97"/>
      <c r="H231" s="114"/>
      <c r="I231" s="114"/>
      <c r="J231" s="114"/>
      <c r="K231" s="114"/>
      <c r="L231" s="95"/>
      <c r="M231" s="95"/>
      <c r="N231" s="111"/>
      <c r="O231" s="111"/>
      <c r="P231" s="111"/>
      <c r="Q231" s="111"/>
      <c r="R231" s="111"/>
      <c r="S231" s="111"/>
      <c r="T231" s="111"/>
      <c r="U231" s="111"/>
      <c r="V231" s="111"/>
      <c r="W231" s="111"/>
      <c r="X231" s="112"/>
      <c r="Y231" s="112"/>
    </row>
    <row r="232" spans="2:25" x14ac:dyDescent="0.25">
      <c r="B232" s="95"/>
      <c r="C232" s="95"/>
      <c r="D232" s="114"/>
      <c r="E232" s="114"/>
      <c r="F232" s="97"/>
      <c r="G232" s="97"/>
      <c r="H232" s="114"/>
      <c r="I232" s="114"/>
      <c r="J232" s="114"/>
      <c r="K232" s="114"/>
      <c r="L232" s="95"/>
      <c r="M232" s="95"/>
      <c r="N232" s="111"/>
      <c r="O232" s="111"/>
      <c r="P232" s="111"/>
      <c r="Q232" s="111"/>
      <c r="R232" s="111"/>
      <c r="S232" s="111"/>
      <c r="T232" s="111"/>
      <c r="U232" s="111"/>
      <c r="V232" s="111"/>
      <c r="W232" s="111"/>
      <c r="X232" s="112"/>
      <c r="Y232" s="112"/>
    </row>
    <row r="233" spans="2:25" x14ac:dyDescent="0.25">
      <c r="B233" s="95"/>
      <c r="C233" s="95"/>
      <c r="D233" s="114"/>
      <c r="E233" s="114"/>
      <c r="F233" s="97"/>
      <c r="G233" s="97"/>
      <c r="H233" s="114"/>
      <c r="I233" s="114"/>
      <c r="J233" s="114"/>
      <c r="K233" s="114"/>
      <c r="L233" s="95"/>
      <c r="M233" s="95"/>
      <c r="N233" s="111"/>
      <c r="O233" s="111"/>
      <c r="P233" s="111"/>
      <c r="Q233" s="111"/>
      <c r="R233" s="111"/>
      <c r="S233" s="111"/>
      <c r="T233" s="111"/>
      <c r="U233" s="111"/>
      <c r="V233" s="111"/>
      <c r="W233" s="111"/>
      <c r="X233" s="112"/>
      <c r="Y233" s="112"/>
    </row>
    <row r="234" spans="2:25" x14ac:dyDescent="0.25">
      <c r="B234" s="95"/>
      <c r="C234" s="95"/>
      <c r="D234" s="114"/>
      <c r="E234" s="114"/>
      <c r="F234" s="97"/>
      <c r="G234" s="97"/>
      <c r="H234" s="114"/>
      <c r="I234" s="114"/>
      <c r="J234" s="114"/>
      <c r="K234" s="114"/>
      <c r="L234" s="95"/>
      <c r="M234" s="95"/>
      <c r="N234" s="111"/>
      <c r="O234" s="111"/>
      <c r="P234" s="111"/>
      <c r="Q234" s="111"/>
      <c r="R234" s="111"/>
      <c r="S234" s="111"/>
      <c r="T234" s="111"/>
      <c r="U234" s="111"/>
      <c r="V234" s="111"/>
      <c r="W234" s="111"/>
      <c r="X234" s="112"/>
      <c r="Y234" s="112"/>
    </row>
    <row r="235" spans="2:25" x14ac:dyDescent="0.25">
      <c r="B235" s="95"/>
      <c r="C235" s="95"/>
      <c r="D235" s="114"/>
      <c r="E235" s="114"/>
      <c r="F235" s="97"/>
      <c r="G235" s="97"/>
      <c r="H235" s="114"/>
      <c r="I235" s="114"/>
      <c r="J235" s="114"/>
      <c r="K235" s="114"/>
      <c r="L235" s="95"/>
      <c r="M235" s="95"/>
      <c r="N235" s="111"/>
      <c r="O235" s="111"/>
      <c r="P235" s="111"/>
      <c r="Q235" s="111"/>
      <c r="R235" s="111"/>
      <c r="S235" s="111"/>
      <c r="T235" s="111"/>
      <c r="U235" s="111"/>
      <c r="V235" s="111"/>
      <c r="W235" s="111"/>
      <c r="X235" s="112"/>
      <c r="Y235" s="112"/>
    </row>
    <row r="236" spans="2:25" x14ac:dyDescent="0.25">
      <c r="B236" s="95"/>
      <c r="C236" s="95"/>
      <c r="D236" s="114"/>
      <c r="E236" s="114"/>
      <c r="F236" s="97"/>
      <c r="G236" s="97"/>
      <c r="H236" s="114"/>
      <c r="I236" s="114"/>
      <c r="J236" s="114"/>
      <c r="K236" s="114"/>
      <c r="L236" s="95"/>
      <c r="M236" s="95"/>
      <c r="N236" s="111"/>
      <c r="O236" s="111"/>
      <c r="P236" s="111"/>
      <c r="Q236" s="111"/>
      <c r="R236" s="111"/>
      <c r="S236" s="111"/>
      <c r="T236" s="111"/>
      <c r="U236" s="111"/>
      <c r="V236" s="111"/>
      <c r="W236" s="111"/>
      <c r="X236" s="112"/>
      <c r="Y236" s="112"/>
    </row>
    <row r="237" spans="2:25" x14ac:dyDescent="0.25">
      <c r="B237" s="95"/>
      <c r="C237" s="95"/>
      <c r="D237" s="114"/>
      <c r="E237" s="114"/>
      <c r="F237" s="97"/>
      <c r="G237" s="97"/>
      <c r="H237" s="114"/>
      <c r="I237" s="114"/>
      <c r="J237" s="114"/>
      <c r="K237" s="114"/>
      <c r="L237" s="95"/>
      <c r="M237" s="95"/>
      <c r="N237" s="111"/>
      <c r="O237" s="111"/>
      <c r="P237" s="111"/>
      <c r="Q237" s="111"/>
      <c r="R237" s="111"/>
      <c r="S237" s="111"/>
      <c r="T237" s="111"/>
      <c r="U237" s="111"/>
      <c r="V237" s="111"/>
      <c r="W237" s="111"/>
      <c r="X237" s="112"/>
      <c r="Y237" s="112"/>
    </row>
    <row r="238" spans="2:25" x14ac:dyDescent="0.25">
      <c r="B238" s="95"/>
      <c r="C238" s="95"/>
      <c r="D238" s="114"/>
      <c r="E238" s="114"/>
      <c r="F238" s="97"/>
      <c r="G238" s="97"/>
      <c r="H238" s="114"/>
      <c r="I238" s="114"/>
      <c r="J238" s="114"/>
      <c r="K238" s="114"/>
      <c r="L238" s="95"/>
      <c r="M238" s="95"/>
      <c r="N238" s="111"/>
      <c r="O238" s="111"/>
      <c r="P238" s="111"/>
      <c r="Q238" s="111"/>
      <c r="R238" s="111"/>
      <c r="S238" s="111"/>
      <c r="T238" s="111"/>
      <c r="U238" s="111"/>
      <c r="V238" s="111"/>
      <c r="W238" s="111"/>
      <c r="X238" s="112"/>
      <c r="Y238" s="112"/>
    </row>
    <row r="239" spans="2:25" x14ac:dyDescent="0.25">
      <c r="B239" s="95"/>
      <c r="C239" s="95"/>
      <c r="D239" s="114"/>
      <c r="E239" s="114"/>
      <c r="F239" s="97"/>
      <c r="G239" s="97"/>
      <c r="H239" s="114"/>
      <c r="I239" s="114"/>
      <c r="J239" s="114"/>
      <c r="K239" s="114"/>
      <c r="L239" s="95"/>
      <c r="M239" s="95"/>
      <c r="N239" s="111"/>
      <c r="O239" s="111"/>
      <c r="P239" s="111"/>
      <c r="Q239" s="111"/>
      <c r="R239" s="111"/>
      <c r="S239" s="111"/>
      <c r="T239" s="111"/>
      <c r="U239" s="111"/>
      <c r="V239" s="111"/>
      <c r="W239" s="111"/>
      <c r="X239" s="112"/>
      <c r="Y239" s="112"/>
    </row>
    <row r="240" spans="2:25" x14ac:dyDescent="0.25">
      <c r="B240" s="95"/>
      <c r="C240" s="95"/>
      <c r="D240" s="114"/>
      <c r="E240" s="114"/>
      <c r="F240" s="97"/>
      <c r="G240" s="97"/>
      <c r="H240" s="114"/>
      <c r="I240" s="114"/>
      <c r="J240" s="114"/>
      <c r="K240" s="114"/>
      <c r="L240" s="95"/>
      <c r="M240" s="95"/>
      <c r="N240" s="111"/>
      <c r="O240" s="111"/>
      <c r="P240" s="111"/>
      <c r="Q240" s="111"/>
      <c r="R240" s="111"/>
      <c r="S240" s="111"/>
      <c r="T240" s="111"/>
      <c r="U240" s="111"/>
      <c r="V240" s="111"/>
      <c r="W240" s="111"/>
      <c r="X240" s="112"/>
      <c r="Y240" s="112"/>
    </row>
    <row r="241" spans="2:25" x14ac:dyDescent="0.25">
      <c r="B241" s="95"/>
      <c r="C241" s="95"/>
      <c r="D241" s="114"/>
      <c r="E241" s="114"/>
      <c r="F241" s="97"/>
      <c r="G241" s="97"/>
      <c r="H241" s="114"/>
      <c r="I241" s="114"/>
      <c r="J241" s="114"/>
      <c r="K241" s="114"/>
      <c r="L241" s="95"/>
      <c r="M241" s="95"/>
      <c r="N241" s="111"/>
      <c r="O241" s="111"/>
      <c r="P241" s="111"/>
      <c r="Q241" s="111"/>
      <c r="R241" s="111"/>
      <c r="S241" s="111"/>
      <c r="T241" s="111"/>
      <c r="U241" s="111"/>
      <c r="V241" s="111"/>
      <c r="W241" s="111"/>
      <c r="X241" s="112"/>
      <c r="Y241" s="112"/>
    </row>
    <row r="242" spans="2:25" x14ac:dyDescent="0.25">
      <c r="B242" s="95"/>
      <c r="C242" s="95"/>
      <c r="D242" s="114"/>
      <c r="E242" s="114"/>
      <c r="F242" s="97"/>
      <c r="G242" s="97"/>
      <c r="H242" s="114"/>
      <c r="I242" s="114"/>
      <c r="J242" s="114"/>
      <c r="K242" s="114"/>
      <c r="L242" s="95"/>
      <c r="M242" s="95"/>
      <c r="N242" s="111"/>
      <c r="O242" s="111"/>
      <c r="P242" s="111"/>
      <c r="Q242" s="111"/>
      <c r="R242" s="111"/>
      <c r="S242" s="111"/>
      <c r="T242" s="111"/>
      <c r="U242" s="111"/>
      <c r="V242" s="111"/>
      <c r="W242" s="111"/>
      <c r="X242" s="112"/>
      <c r="Y242" s="112"/>
    </row>
    <row r="243" spans="2:25" x14ac:dyDescent="0.25">
      <c r="B243" s="95"/>
      <c r="C243" s="95"/>
      <c r="D243" s="114"/>
      <c r="E243" s="114"/>
      <c r="F243" s="97"/>
      <c r="G243" s="97"/>
      <c r="H243" s="114"/>
      <c r="I243" s="114"/>
      <c r="J243" s="114"/>
      <c r="K243" s="114"/>
      <c r="L243" s="95"/>
      <c r="M243" s="95"/>
      <c r="N243" s="111"/>
      <c r="O243" s="111"/>
      <c r="P243" s="111"/>
      <c r="Q243" s="111"/>
      <c r="R243" s="111"/>
      <c r="S243" s="111"/>
      <c r="T243" s="111"/>
      <c r="U243" s="111"/>
      <c r="V243" s="111"/>
      <c r="W243" s="111"/>
      <c r="X243" s="112"/>
      <c r="Y243" s="112"/>
    </row>
    <row r="244" spans="2:25" x14ac:dyDescent="0.25">
      <c r="B244" s="95"/>
      <c r="C244" s="95"/>
      <c r="D244" s="114"/>
      <c r="E244" s="114"/>
      <c r="F244" s="97"/>
      <c r="G244" s="97"/>
      <c r="H244" s="114"/>
      <c r="I244" s="114"/>
      <c r="J244" s="114"/>
      <c r="K244" s="114"/>
      <c r="L244" s="95"/>
      <c r="M244" s="95"/>
      <c r="N244" s="111"/>
      <c r="O244" s="111"/>
      <c r="P244" s="111"/>
      <c r="Q244" s="111"/>
      <c r="R244" s="111"/>
      <c r="S244" s="111"/>
      <c r="T244" s="111"/>
      <c r="U244" s="111"/>
      <c r="V244" s="111"/>
      <c r="W244" s="111"/>
      <c r="X244" s="112"/>
      <c r="Y244" s="112"/>
    </row>
    <row r="245" spans="2:25" x14ac:dyDescent="0.25">
      <c r="B245" s="95"/>
      <c r="C245" s="95"/>
      <c r="D245" s="114"/>
      <c r="E245" s="114"/>
      <c r="F245" s="97"/>
      <c r="G245" s="97"/>
      <c r="H245" s="114"/>
      <c r="I245" s="114"/>
      <c r="J245" s="114"/>
      <c r="K245" s="114"/>
      <c r="L245" s="95"/>
      <c r="M245" s="95"/>
      <c r="N245" s="111"/>
      <c r="O245" s="111"/>
      <c r="P245" s="111"/>
      <c r="Q245" s="111"/>
      <c r="R245" s="111"/>
      <c r="S245" s="111"/>
      <c r="T245" s="111"/>
      <c r="U245" s="111"/>
      <c r="V245" s="111"/>
      <c r="W245" s="111"/>
      <c r="X245" s="112"/>
      <c r="Y245" s="112"/>
    </row>
    <row r="246" spans="2:25" x14ac:dyDescent="0.25">
      <c r="B246" s="95"/>
      <c r="C246" s="95"/>
      <c r="D246" s="114"/>
      <c r="E246" s="114"/>
      <c r="F246" s="97"/>
      <c r="G246" s="97"/>
      <c r="H246" s="114"/>
      <c r="I246" s="114"/>
      <c r="J246" s="114"/>
      <c r="K246" s="114"/>
      <c r="L246" s="95"/>
      <c r="M246" s="95"/>
      <c r="N246" s="111"/>
      <c r="O246" s="111"/>
      <c r="P246" s="111"/>
      <c r="Q246" s="111"/>
      <c r="R246" s="111"/>
      <c r="S246" s="111"/>
      <c r="T246" s="111"/>
      <c r="U246" s="111"/>
      <c r="V246" s="111"/>
      <c r="W246" s="111"/>
      <c r="X246" s="112"/>
      <c r="Y246" s="112"/>
    </row>
    <row r="247" spans="2:25" x14ac:dyDescent="0.25">
      <c r="B247" s="95"/>
      <c r="C247" s="95"/>
      <c r="D247" s="114"/>
      <c r="E247" s="114"/>
      <c r="F247" s="97"/>
      <c r="G247" s="97"/>
      <c r="H247" s="114"/>
      <c r="I247" s="114"/>
      <c r="J247" s="114"/>
      <c r="K247" s="114"/>
      <c r="L247" s="95"/>
      <c r="M247" s="95"/>
      <c r="N247" s="111"/>
      <c r="O247" s="111"/>
      <c r="P247" s="111"/>
      <c r="Q247" s="111"/>
      <c r="R247" s="111"/>
      <c r="S247" s="111"/>
      <c r="T247" s="111"/>
      <c r="U247" s="111"/>
      <c r="V247" s="111"/>
      <c r="W247" s="111"/>
      <c r="X247" s="112"/>
      <c r="Y247" s="112"/>
    </row>
    <row r="248" spans="2:25" x14ac:dyDescent="0.25">
      <c r="B248" s="95"/>
      <c r="C248" s="95"/>
      <c r="D248" s="114"/>
      <c r="E248" s="114"/>
      <c r="F248" s="97"/>
      <c r="G248" s="97"/>
      <c r="H248" s="114"/>
      <c r="I248" s="114"/>
      <c r="J248" s="114"/>
      <c r="K248" s="114"/>
      <c r="L248" s="95"/>
      <c r="M248" s="95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2"/>
      <c r="Y248" s="112"/>
    </row>
    <row r="249" spans="2:25" x14ac:dyDescent="0.25">
      <c r="B249" s="95"/>
      <c r="C249" s="95"/>
      <c r="D249" s="114"/>
      <c r="E249" s="114"/>
      <c r="F249" s="97"/>
      <c r="G249" s="97"/>
      <c r="H249" s="114"/>
      <c r="I249" s="114"/>
      <c r="J249" s="114"/>
      <c r="K249" s="114"/>
      <c r="L249" s="95"/>
      <c r="M249" s="95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2"/>
      <c r="Y249" s="112"/>
    </row>
    <row r="250" spans="2:25" x14ac:dyDescent="0.25">
      <c r="B250" s="95"/>
      <c r="C250" s="95"/>
      <c r="D250" s="114"/>
      <c r="E250" s="114"/>
      <c r="F250" s="97"/>
      <c r="G250" s="97"/>
      <c r="H250" s="114"/>
      <c r="I250" s="114"/>
      <c r="J250" s="114"/>
      <c r="K250" s="114"/>
      <c r="L250" s="95"/>
      <c r="M250" s="95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2"/>
      <c r="Y250" s="112"/>
    </row>
    <row r="251" spans="2:25" x14ac:dyDescent="0.25">
      <c r="B251" s="95"/>
      <c r="C251" s="95"/>
      <c r="D251" s="114"/>
      <c r="E251" s="114"/>
      <c r="F251" s="97"/>
      <c r="G251" s="97"/>
      <c r="H251" s="114"/>
      <c r="I251" s="114"/>
      <c r="J251" s="114"/>
      <c r="K251" s="114"/>
      <c r="L251" s="95"/>
      <c r="M251" s="95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2"/>
      <c r="Y251" s="112"/>
    </row>
    <row r="252" spans="2:25" x14ac:dyDescent="0.25">
      <c r="B252" s="95"/>
      <c r="C252" s="95"/>
      <c r="D252" s="114"/>
      <c r="E252" s="114"/>
      <c r="F252" s="97"/>
      <c r="G252" s="97"/>
      <c r="H252" s="114"/>
      <c r="I252" s="114"/>
      <c r="J252" s="114"/>
      <c r="K252" s="114"/>
      <c r="L252" s="95"/>
      <c r="M252" s="95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2"/>
      <c r="Y252" s="112"/>
    </row>
    <row r="253" spans="2:25" x14ac:dyDescent="0.25">
      <c r="B253" s="95"/>
      <c r="C253" s="95"/>
      <c r="D253" s="114"/>
      <c r="E253" s="114"/>
      <c r="F253" s="97"/>
      <c r="G253" s="97"/>
      <c r="H253" s="114"/>
      <c r="I253" s="114"/>
      <c r="J253" s="114"/>
      <c r="K253" s="114"/>
      <c r="L253" s="95"/>
      <c r="M253" s="95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2"/>
      <c r="Y253" s="112"/>
    </row>
    <row r="254" spans="2:25" x14ac:dyDescent="0.25">
      <c r="B254" s="95"/>
      <c r="C254" s="95"/>
      <c r="D254" s="114"/>
      <c r="E254" s="114"/>
      <c r="F254" s="97"/>
      <c r="G254" s="97"/>
      <c r="H254" s="114"/>
      <c r="I254" s="114"/>
      <c r="J254" s="114"/>
      <c r="K254" s="114"/>
      <c r="L254" s="95"/>
      <c r="M254" s="95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2"/>
      <c r="Y254" s="112"/>
    </row>
    <row r="255" spans="2:25" x14ac:dyDescent="0.25">
      <c r="B255" s="95"/>
      <c r="C255" s="95"/>
      <c r="D255" s="114"/>
      <c r="E255" s="114"/>
      <c r="F255" s="97"/>
      <c r="G255" s="97"/>
      <c r="H255" s="114"/>
      <c r="I255" s="114"/>
      <c r="J255" s="114"/>
      <c r="K255" s="114"/>
      <c r="L255" s="95"/>
      <c r="M255" s="95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2"/>
      <c r="Y255" s="112"/>
    </row>
    <row r="256" spans="2:25" x14ac:dyDescent="0.25">
      <c r="B256" s="95"/>
      <c r="C256" s="95"/>
      <c r="D256" s="114"/>
      <c r="E256" s="114"/>
      <c r="F256" s="97"/>
      <c r="G256" s="97"/>
      <c r="H256" s="114"/>
      <c r="I256" s="114"/>
      <c r="J256" s="114"/>
      <c r="K256" s="114"/>
      <c r="L256" s="95"/>
      <c r="M256" s="95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2"/>
      <c r="Y256" s="112"/>
    </row>
    <row r="257" spans="2:25" x14ac:dyDescent="0.25">
      <c r="B257" s="95"/>
      <c r="C257" s="95"/>
      <c r="D257" s="114"/>
      <c r="E257" s="114"/>
      <c r="F257" s="97"/>
      <c r="G257" s="97"/>
      <c r="H257" s="114"/>
      <c r="I257" s="114"/>
      <c r="J257" s="114"/>
      <c r="K257" s="114"/>
      <c r="L257" s="95"/>
      <c r="M257" s="95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2"/>
      <c r="Y257" s="112"/>
    </row>
    <row r="258" spans="2:25" x14ac:dyDescent="0.25">
      <c r="B258" s="95"/>
      <c r="C258" s="95"/>
      <c r="D258" s="114"/>
      <c r="E258" s="114"/>
      <c r="F258" s="97"/>
      <c r="G258" s="97"/>
      <c r="H258" s="114"/>
      <c r="I258" s="114"/>
      <c r="J258" s="114"/>
      <c r="K258" s="114"/>
      <c r="L258" s="95"/>
      <c r="M258" s="95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2"/>
      <c r="Y258" s="112"/>
    </row>
    <row r="259" spans="2:25" x14ac:dyDescent="0.25">
      <c r="B259" s="95"/>
      <c r="C259" s="95"/>
      <c r="D259" s="114"/>
      <c r="E259" s="114"/>
      <c r="F259" s="97"/>
      <c r="G259" s="97"/>
      <c r="H259" s="114"/>
      <c r="I259" s="114"/>
      <c r="J259" s="114"/>
      <c r="K259" s="114"/>
      <c r="L259" s="95"/>
      <c r="M259" s="95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2"/>
      <c r="Y259" s="112"/>
    </row>
    <row r="260" spans="2:25" x14ac:dyDescent="0.25">
      <c r="B260" s="95"/>
      <c r="C260" s="95"/>
      <c r="D260" s="114"/>
      <c r="E260" s="114"/>
      <c r="F260" s="97"/>
      <c r="G260" s="97"/>
      <c r="H260" s="114"/>
      <c r="I260" s="114"/>
      <c r="J260" s="114"/>
      <c r="K260" s="114"/>
      <c r="L260" s="95"/>
      <c r="M260" s="95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2"/>
      <c r="Y260" s="112"/>
    </row>
    <row r="261" spans="2:25" x14ac:dyDescent="0.25">
      <c r="B261" s="95"/>
      <c r="C261" s="95"/>
      <c r="D261" s="114"/>
      <c r="E261" s="114"/>
      <c r="F261" s="97"/>
      <c r="G261" s="97"/>
      <c r="H261" s="114"/>
      <c r="I261" s="114"/>
      <c r="J261" s="114"/>
      <c r="K261" s="114"/>
      <c r="L261" s="95"/>
      <c r="M261" s="95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2"/>
      <c r="Y261" s="112"/>
    </row>
    <row r="262" spans="2:25" x14ac:dyDescent="0.25">
      <c r="B262" s="95"/>
      <c r="C262" s="95"/>
      <c r="D262" s="114"/>
      <c r="E262" s="114"/>
      <c r="F262" s="97"/>
      <c r="G262" s="97"/>
      <c r="H262" s="114"/>
      <c r="I262" s="114"/>
      <c r="J262" s="114"/>
      <c r="K262" s="114"/>
      <c r="L262" s="95"/>
      <c r="M262" s="95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2"/>
      <c r="Y262" s="112"/>
    </row>
    <row r="263" spans="2:25" x14ac:dyDescent="0.25">
      <c r="B263" s="95"/>
      <c r="C263" s="95"/>
      <c r="D263" s="114"/>
      <c r="E263" s="114"/>
      <c r="F263" s="97"/>
      <c r="G263" s="97"/>
      <c r="H263" s="114"/>
      <c r="I263" s="114"/>
      <c r="J263" s="114"/>
      <c r="K263" s="114"/>
      <c r="L263" s="95"/>
      <c r="M263" s="95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2"/>
      <c r="Y263" s="112"/>
    </row>
    <row r="264" spans="2:25" x14ac:dyDescent="0.25">
      <c r="B264" s="95"/>
      <c r="C264" s="95"/>
      <c r="D264" s="114"/>
      <c r="E264" s="114"/>
      <c r="F264" s="97"/>
      <c r="G264" s="97"/>
      <c r="H264" s="114"/>
      <c r="I264" s="114"/>
      <c r="J264" s="114"/>
      <c r="K264" s="114"/>
      <c r="L264" s="95"/>
      <c r="M264" s="95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2"/>
      <c r="Y264" s="112"/>
    </row>
    <row r="265" spans="2:25" x14ac:dyDescent="0.25">
      <c r="B265" s="95"/>
      <c r="C265" s="95"/>
      <c r="D265" s="114"/>
      <c r="E265" s="114"/>
      <c r="F265" s="97"/>
      <c r="G265" s="97"/>
      <c r="H265" s="114"/>
      <c r="I265" s="114"/>
      <c r="J265" s="114"/>
      <c r="K265" s="114"/>
      <c r="L265" s="95"/>
      <c r="M265" s="95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2"/>
      <c r="Y265" s="112"/>
    </row>
    <row r="266" spans="2:25" x14ac:dyDescent="0.25">
      <c r="B266" s="95"/>
      <c r="C266" s="95"/>
      <c r="D266" s="114"/>
      <c r="E266" s="114"/>
      <c r="F266" s="97"/>
      <c r="G266" s="97"/>
      <c r="H266" s="114"/>
      <c r="I266" s="114"/>
      <c r="J266" s="114"/>
      <c r="K266" s="114"/>
      <c r="L266" s="95"/>
      <c r="M266" s="95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2"/>
      <c r="Y266" s="112"/>
    </row>
    <row r="267" spans="2:25" x14ac:dyDescent="0.25">
      <c r="B267" s="95"/>
      <c r="C267" s="95"/>
      <c r="D267" s="114"/>
      <c r="E267" s="114"/>
      <c r="F267" s="97"/>
      <c r="G267" s="97"/>
      <c r="H267" s="114"/>
      <c r="I267" s="114"/>
      <c r="J267" s="114"/>
      <c r="K267" s="114"/>
      <c r="L267" s="95"/>
      <c r="M267" s="95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2"/>
      <c r="Y267" s="112"/>
    </row>
    <row r="268" spans="2:25" x14ac:dyDescent="0.25">
      <c r="B268" s="95"/>
      <c r="C268" s="95"/>
      <c r="D268" s="114"/>
      <c r="E268" s="114"/>
      <c r="F268" s="97"/>
      <c r="G268" s="97"/>
      <c r="H268" s="114"/>
      <c r="I268" s="114"/>
      <c r="J268" s="114"/>
      <c r="K268" s="114"/>
      <c r="L268" s="95"/>
      <c r="M268" s="95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2"/>
      <c r="Y268" s="112"/>
    </row>
    <row r="269" spans="2:25" x14ac:dyDescent="0.25">
      <c r="B269" s="95"/>
      <c r="C269" s="95"/>
      <c r="D269" s="114"/>
      <c r="E269" s="114"/>
      <c r="F269" s="97"/>
      <c r="G269" s="97"/>
      <c r="H269" s="114"/>
      <c r="I269" s="114"/>
      <c r="J269" s="114"/>
      <c r="K269" s="114"/>
      <c r="L269" s="95"/>
      <c r="M269" s="95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2"/>
      <c r="Y269" s="112"/>
    </row>
    <row r="270" spans="2:25" x14ac:dyDescent="0.25">
      <c r="B270" s="95"/>
      <c r="C270" s="95"/>
      <c r="D270" s="114"/>
      <c r="E270" s="114"/>
      <c r="F270" s="97"/>
      <c r="G270" s="97"/>
      <c r="H270" s="114"/>
      <c r="I270" s="114"/>
      <c r="J270" s="114"/>
      <c r="K270" s="114"/>
      <c r="L270" s="95"/>
      <c r="M270" s="95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2"/>
      <c r="Y270" s="112"/>
    </row>
    <row r="271" spans="2:25" x14ac:dyDescent="0.25">
      <c r="B271" s="95"/>
      <c r="C271" s="95"/>
      <c r="D271" s="114"/>
      <c r="E271" s="114"/>
      <c r="F271" s="97"/>
      <c r="G271" s="97"/>
      <c r="H271" s="114"/>
      <c r="I271" s="114"/>
      <c r="J271" s="114"/>
      <c r="K271" s="114"/>
      <c r="L271" s="95"/>
      <c r="M271" s="95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2"/>
      <c r="Y271" s="112"/>
    </row>
    <row r="272" spans="2:25" x14ac:dyDescent="0.25">
      <c r="B272" s="95"/>
      <c r="C272" s="95"/>
      <c r="D272" s="114"/>
      <c r="E272" s="114"/>
      <c r="F272" s="97"/>
      <c r="G272" s="97"/>
      <c r="H272" s="114"/>
      <c r="I272" s="114"/>
      <c r="J272" s="114"/>
      <c r="K272" s="114"/>
      <c r="L272" s="95"/>
      <c r="M272" s="95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2"/>
      <c r="Y272" s="112"/>
    </row>
    <row r="273" spans="2:25" x14ac:dyDescent="0.25">
      <c r="B273" s="95"/>
      <c r="C273" s="95"/>
      <c r="D273" s="114"/>
      <c r="E273" s="114"/>
      <c r="F273" s="97"/>
      <c r="G273" s="97"/>
      <c r="H273" s="114"/>
      <c r="I273" s="114"/>
      <c r="J273" s="114"/>
      <c r="K273" s="114"/>
      <c r="L273" s="95"/>
      <c r="M273" s="95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2"/>
      <c r="Y273" s="112"/>
    </row>
    <row r="274" spans="2:25" x14ac:dyDescent="0.25">
      <c r="B274" s="95"/>
      <c r="C274" s="95"/>
      <c r="D274" s="114"/>
      <c r="E274" s="114"/>
      <c r="F274" s="97"/>
      <c r="G274" s="97"/>
      <c r="H274" s="114"/>
      <c r="I274" s="114"/>
      <c r="J274" s="114"/>
      <c r="K274" s="114"/>
      <c r="L274" s="95"/>
      <c r="M274" s="95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2"/>
      <c r="Y274" s="112"/>
    </row>
    <row r="275" spans="2:25" x14ac:dyDescent="0.25">
      <c r="B275" s="95"/>
      <c r="C275" s="95"/>
      <c r="D275" s="114"/>
      <c r="E275" s="114"/>
      <c r="F275" s="97"/>
      <c r="G275" s="97"/>
      <c r="H275" s="114"/>
      <c r="I275" s="114"/>
      <c r="J275" s="114"/>
      <c r="K275" s="114"/>
      <c r="L275" s="95"/>
      <c r="M275" s="95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2"/>
      <c r="Y275" s="112"/>
    </row>
    <row r="276" spans="2:25" x14ac:dyDescent="0.25">
      <c r="B276" s="95"/>
      <c r="C276" s="95"/>
      <c r="D276" s="114"/>
      <c r="E276" s="114"/>
      <c r="F276" s="97"/>
      <c r="G276" s="97"/>
      <c r="H276" s="114"/>
      <c r="I276" s="114"/>
      <c r="J276" s="114"/>
      <c r="K276" s="114"/>
      <c r="L276" s="95"/>
      <c r="M276" s="95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2"/>
      <c r="Y276" s="112"/>
    </row>
    <row r="277" spans="2:25" x14ac:dyDescent="0.25">
      <c r="B277" s="95"/>
      <c r="C277" s="95"/>
      <c r="D277" s="114"/>
      <c r="E277" s="114"/>
      <c r="F277" s="97"/>
      <c r="G277" s="97"/>
      <c r="H277" s="114"/>
      <c r="I277" s="114"/>
      <c r="J277" s="114"/>
      <c r="K277" s="114"/>
      <c r="L277" s="95"/>
      <c r="M277" s="95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2"/>
      <c r="Y277" s="112"/>
    </row>
    <row r="278" spans="2:25" x14ac:dyDescent="0.25">
      <c r="B278" s="95"/>
      <c r="C278" s="95"/>
      <c r="D278" s="114"/>
      <c r="E278" s="114"/>
      <c r="F278" s="97"/>
      <c r="G278" s="97"/>
      <c r="H278" s="114"/>
      <c r="I278" s="114"/>
      <c r="J278" s="114"/>
      <c r="K278" s="114"/>
      <c r="L278" s="95"/>
      <c r="M278" s="95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2"/>
      <c r="Y278" s="112"/>
    </row>
    <row r="279" spans="2:25" x14ac:dyDescent="0.25">
      <c r="B279" s="95"/>
      <c r="C279" s="95"/>
      <c r="D279" s="114"/>
      <c r="E279" s="114"/>
      <c r="F279" s="97"/>
      <c r="G279" s="97"/>
      <c r="H279" s="114"/>
      <c r="I279" s="114"/>
      <c r="J279" s="114"/>
      <c r="K279" s="114"/>
      <c r="L279" s="95"/>
      <c r="M279" s="95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2"/>
      <c r="Y279" s="112"/>
    </row>
    <row r="280" spans="2:25" x14ac:dyDescent="0.25">
      <c r="B280" s="95"/>
      <c r="C280" s="95"/>
      <c r="D280" s="114"/>
      <c r="E280" s="114"/>
      <c r="F280" s="97"/>
      <c r="G280" s="97"/>
      <c r="H280" s="114"/>
      <c r="I280" s="114"/>
      <c r="J280" s="114"/>
      <c r="K280" s="114"/>
      <c r="L280" s="95"/>
      <c r="M280" s="95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2"/>
      <c r="Y280" s="112"/>
    </row>
    <row r="281" spans="2:25" x14ac:dyDescent="0.25">
      <c r="B281" s="95"/>
      <c r="C281" s="95"/>
      <c r="D281" s="114"/>
      <c r="E281" s="114"/>
      <c r="F281" s="97"/>
      <c r="G281" s="97"/>
      <c r="H281" s="114"/>
      <c r="I281" s="114"/>
      <c r="J281" s="114"/>
      <c r="K281" s="114"/>
      <c r="L281" s="95"/>
      <c r="M281" s="95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2"/>
      <c r="Y281" s="112"/>
    </row>
    <row r="282" spans="2:25" x14ac:dyDescent="0.25">
      <c r="B282" s="95"/>
      <c r="C282" s="95"/>
      <c r="D282" s="114"/>
      <c r="E282" s="114"/>
      <c r="F282" s="97"/>
      <c r="G282" s="97"/>
      <c r="H282" s="114"/>
      <c r="I282" s="114"/>
      <c r="J282" s="114"/>
      <c r="K282" s="114"/>
      <c r="L282" s="95"/>
      <c r="M282" s="95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2"/>
      <c r="Y282" s="112"/>
    </row>
    <row r="283" spans="2:25" x14ac:dyDescent="0.25">
      <c r="B283" s="95"/>
      <c r="C283" s="95"/>
      <c r="D283" s="114"/>
      <c r="E283" s="114"/>
      <c r="F283" s="97"/>
      <c r="G283" s="97"/>
      <c r="H283" s="114"/>
      <c r="I283" s="114"/>
      <c r="J283" s="114"/>
      <c r="K283" s="114"/>
      <c r="L283" s="95"/>
      <c r="M283" s="95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2"/>
      <c r="Y283" s="112"/>
    </row>
    <row r="284" spans="2:25" x14ac:dyDescent="0.25">
      <c r="B284" s="95"/>
      <c r="C284" s="95"/>
      <c r="D284" s="114"/>
      <c r="E284" s="114"/>
      <c r="F284" s="97"/>
      <c r="G284" s="97"/>
      <c r="H284" s="114"/>
      <c r="I284" s="114"/>
      <c r="J284" s="114"/>
      <c r="K284" s="114"/>
      <c r="L284" s="95"/>
      <c r="M284" s="95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2"/>
      <c r="Y284" s="112"/>
    </row>
    <row r="285" spans="2:25" x14ac:dyDescent="0.25">
      <c r="B285" s="95"/>
      <c r="C285" s="95"/>
      <c r="D285" s="114"/>
      <c r="E285" s="114"/>
      <c r="F285" s="97"/>
      <c r="G285" s="97"/>
      <c r="H285" s="114"/>
      <c r="I285" s="114"/>
      <c r="J285" s="114"/>
      <c r="K285" s="114"/>
      <c r="L285" s="95"/>
      <c r="M285" s="95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2"/>
      <c r="Y285" s="112"/>
    </row>
    <row r="286" spans="2:25" x14ac:dyDescent="0.25">
      <c r="B286" s="95"/>
      <c r="C286" s="95"/>
      <c r="D286" s="114"/>
      <c r="E286" s="114"/>
      <c r="F286" s="97"/>
      <c r="G286" s="97"/>
      <c r="H286" s="114"/>
      <c r="I286" s="114"/>
      <c r="J286" s="114"/>
      <c r="K286" s="114"/>
      <c r="L286" s="95"/>
      <c r="M286" s="95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2"/>
      <c r="Y286" s="112"/>
    </row>
    <row r="287" spans="2:25" x14ac:dyDescent="0.25">
      <c r="B287" s="95"/>
      <c r="C287" s="95"/>
      <c r="D287" s="114"/>
      <c r="E287" s="114"/>
      <c r="F287" s="97"/>
      <c r="G287" s="97"/>
      <c r="H287" s="114"/>
      <c r="I287" s="114"/>
      <c r="J287" s="114"/>
      <c r="K287" s="114"/>
      <c r="L287" s="95"/>
      <c r="M287" s="95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2"/>
      <c r="Y287" s="112"/>
    </row>
    <row r="288" spans="2:25" x14ac:dyDescent="0.25">
      <c r="B288" s="95"/>
      <c r="C288" s="95"/>
      <c r="D288" s="114"/>
      <c r="E288" s="114"/>
      <c r="F288" s="97"/>
      <c r="G288" s="97"/>
      <c r="H288" s="114"/>
      <c r="I288" s="114"/>
      <c r="J288" s="114"/>
      <c r="K288" s="114"/>
      <c r="L288" s="95"/>
      <c r="M288" s="95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2"/>
      <c r="Y288" s="112"/>
    </row>
    <row r="289" spans="2:25" x14ac:dyDescent="0.25">
      <c r="B289" s="95"/>
      <c r="C289" s="95"/>
      <c r="D289" s="114"/>
      <c r="E289" s="114"/>
      <c r="F289" s="97"/>
      <c r="G289" s="97"/>
      <c r="H289" s="114"/>
      <c r="I289" s="114"/>
      <c r="J289" s="114"/>
      <c r="K289" s="114"/>
      <c r="L289" s="95"/>
      <c r="M289" s="95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2"/>
      <c r="Y289" s="112"/>
    </row>
    <row r="290" spans="2:25" x14ac:dyDescent="0.25">
      <c r="B290" s="95"/>
      <c r="C290" s="95"/>
      <c r="D290" s="114"/>
      <c r="E290" s="114"/>
      <c r="F290" s="97"/>
      <c r="G290" s="97"/>
      <c r="H290" s="114"/>
      <c r="I290" s="114"/>
      <c r="J290" s="114"/>
      <c r="K290" s="114"/>
      <c r="L290" s="95"/>
      <c r="M290" s="95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2"/>
      <c r="Y290" s="112"/>
    </row>
    <row r="291" spans="2:25" x14ac:dyDescent="0.25">
      <c r="B291" s="95"/>
      <c r="C291" s="95"/>
      <c r="D291" s="114"/>
      <c r="E291" s="114"/>
      <c r="F291" s="97"/>
      <c r="G291" s="97"/>
      <c r="H291" s="114"/>
      <c r="I291" s="114"/>
      <c r="J291" s="114"/>
      <c r="K291" s="114"/>
      <c r="L291" s="95"/>
      <c r="M291" s="95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2"/>
      <c r="Y291" s="112"/>
    </row>
    <row r="292" spans="2:25" x14ac:dyDescent="0.25">
      <c r="B292" s="95"/>
      <c r="C292" s="95"/>
      <c r="D292" s="114"/>
      <c r="E292" s="114"/>
      <c r="F292" s="97"/>
      <c r="G292" s="97"/>
      <c r="H292" s="114"/>
      <c r="I292" s="114"/>
      <c r="J292" s="114"/>
      <c r="K292" s="114"/>
      <c r="L292" s="95"/>
      <c r="M292" s="95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2"/>
      <c r="Y292" s="112"/>
    </row>
    <row r="293" spans="2:25" x14ac:dyDescent="0.25">
      <c r="B293" s="95"/>
      <c r="C293" s="95"/>
      <c r="D293" s="114"/>
      <c r="E293" s="114"/>
      <c r="F293" s="97"/>
      <c r="G293" s="97"/>
      <c r="H293" s="114"/>
      <c r="I293" s="114"/>
      <c r="J293" s="114"/>
      <c r="K293" s="114"/>
      <c r="L293" s="95"/>
      <c r="M293" s="95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2"/>
      <c r="Y293" s="112"/>
    </row>
    <row r="294" spans="2:25" x14ac:dyDescent="0.25">
      <c r="B294" s="95"/>
      <c r="C294" s="95"/>
      <c r="D294" s="114"/>
      <c r="E294" s="114"/>
      <c r="F294" s="97"/>
      <c r="G294" s="97"/>
      <c r="H294" s="114"/>
      <c r="I294" s="114"/>
      <c r="J294" s="114"/>
      <c r="K294" s="114"/>
      <c r="L294" s="95"/>
      <c r="M294" s="95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2"/>
      <c r="Y294" s="112"/>
    </row>
    <row r="295" spans="2:25" x14ac:dyDescent="0.25">
      <c r="B295" s="95"/>
      <c r="C295" s="95"/>
      <c r="D295" s="114"/>
      <c r="E295" s="114"/>
      <c r="F295" s="97"/>
      <c r="G295" s="97"/>
      <c r="H295" s="114"/>
      <c r="I295" s="114"/>
      <c r="J295" s="114"/>
      <c r="K295" s="114"/>
      <c r="L295" s="95"/>
      <c r="M295" s="95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2"/>
      <c r="Y295" s="112"/>
    </row>
    <row r="296" spans="2:25" x14ac:dyDescent="0.25">
      <c r="B296" s="95"/>
      <c r="C296" s="95"/>
      <c r="D296" s="114"/>
      <c r="E296" s="114"/>
      <c r="F296" s="97"/>
      <c r="G296" s="97"/>
      <c r="H296" s="114"/>
      <c r="I296" s="114"/>
      <c r="J296" s="114"/>
      <c r="K296" s="114"/>
      <c r="L296" s="95"/>
      <c r="M296" s="95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2"/>
      <c r="Y296" s="112"/>
    </row>
    <row r="297" spans="2:25" x14ac:dyDescent="0.25">
      <c r="B297" s="95"/>
      <c r="C297" s="95"/>
      <c r="D297" s="114"/>
      <c r="E297" s="114"/>
      <c r="F297" s="97"/>
      <c r="G297" s="97"/>
      <c r="H297" s="114"/>
      <c r="I297" s="114"/>
      <c r="J297" s="114"/>
      <c r="K297" s="114"/>
      <c r="L297" s="95"/>
      <c r="M297" s="95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2"/>
      <c r="Y297" s="112"/>
    </row>
    <row r="298" spans="2:25" x14ac:dyDescent="0.25">
      <c r="B298" s="95"/>
      <c r="C298" s="95"/>
      <c r="D298" s="114"/>
      <c r="E298" s="114"/>
      <c r="F298" s="97"/>
      <c r="G298" s="97"/>
      <c r="H298" s="114"/>
      <c r="I298" s="114"/>
      <c r="J298" s="114"/>
      <c r="K298" s="114"/>
      <c r="L298" s="95"/>
      <c r="M298" s="95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2"/>
      <c r="Y298" s="112"/>
    </row>
    <row r="299" spans="2:25" x14ac:dyDescent="0.25">
      <c r="B299" s="95"/>
      <c r="C299" s="95"/>
      <c r="D299" s="114"/>
      <c r="E299" s="114"/>
      <c r="F299" s="97"/>
      <c r="G299" s="97"/>
      <c r="H299" s="114"/>
      <c r="I299" s="114"/>
      <c r="J299" s="114"/>
      <c r="K299" s="114"/>
      <c r="L299" s="95"/>
      <c r="M299" s="95"/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2"/>
      <c r="Y299" s="112"/>
    </row>
    <row r="300" spans="2:25" x14ac:dyDescent="0.25">
      <c r="B300" s="95"/>
      <c r="C300" s="95"/>
      <c r="D300" s="114"/>
      <c r="E300" s="114"/>
      <c r="F300" s="97"/>
      <c r="G300" s="97"/>
      <c r="H300" s="114"/>
      <c r="I300" s="114"/>
      <c r="J300" s="114"/>
      <c r="K300" s="114"/>
      <c r="L300" s="95"/>
      <c r="M300" s="95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2"/>
      <c r="Y300" s="112"/>
    </row>
    <row r="301" spans="2:25" x14ac:dyDescent="0.25">
      <c r="B301" s="95"/>
      <c r="C301" s="95"/>
      <c r="D301" s="114"/>
      <c r="E301" s="114"/>
      <c r="F301" s="97"/>
      <c r="G301" s="97"/>
      <c r="H301" s="114"/>
      <c r="I301" s="114"/>
      <c r="J301" s="114"/>
      <c r="K301" s="114"/>
      <c r="L301" s="95"/>
      <c r="M301" s="95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2"/>
      <c r="Y301" s="112"/>
    </row>
    <row r="302" spans="2:25" x14ac:dyDescent="0.25">
      <c r="B302" s="95"/>
      <c r="C302" s="95"/>
      <c r="D302" s="114"/>
      <c r="E302" s="114"/>
      <c r="F302" s="97"/>
      <c r="G302" s="97"/>
      <c r="H302" s="114"/>
      <c r="I302" s="114"/>
      <c r="J302" s="114"/>
      <c r="K302" s="114"/>
      <c r="L302" s="95"/>
      <c r="M302" s="95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2"/>
      <c r="Y302" s="112"/>
    </row>
    <row r="303" spans="2:25" x14ac:dyDescent="0.25">
      <c r="B303" s="95"/>
      <c r="C303" s="95"/>
      <c r="D303" s="114"/>
      <c r="E303" s="114"/>
      <c r="F303" s="97"/>
      <c r="G303" s="97"/>
      <c r="H303" s="114"/>
      <c r="I303" s="114"/>
      <c r="J303" s="114"/>
      <c r="K303" s="114"/>
      <c r="L303" s="95"/>
      <c r="M303" s="95"/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2"/>
      <c r="Y303" s="112"/>
    </row>
    <row r="304" spans="2:25" x14ac:dyDescent="0.25">
      <c r="B304" s="95"/>
      <c r="C304" s="95"/>
      <c r="D304" s="114"/>
      <c r="E304" s="114"/>
      <c r="F304" s="97"/>
      <c r="G304" s="97"/>
      <c r="H304" s="114"/>
      <c r="I304" s="114"/>
      <c r="J304" s="114"/>
      <c r="K304" s="114"/>
      <c r="L304" s="95"/>
      <c r="M304" s="95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2"/>
      <c r="Y304" s="112"/>
    </row>
    <row r="305" spans="2:25" x14ac:dyDescent="0.25">
      <c r="B305" s="95"/>
      <c r="C305" s="95"/>
      <c r="D305" s="114"/>
      <c r="E305" s="114"/>
      <c r="F305" s="97"/>
      <c r="G305" s="97"/>
      <c r="H305" s="114"/>
      <c r="I305" s="114"/>
      <c r="J305" s="114"/>
      <c r="K305" s="114"/>
      <c r="L305" s="95"/>
      <c r="M305" s="95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2"/>
      <c r="Y305" s="112"/>
    </row>
    <row r="306" spans="2:25" x14ac:dyDescent="0.25">
      <c r="B306" s="95"/>
      <c r="C306" s="95"/>
      <c r="D306" s="114"/>
      <c r="E306" s="114"/>
      <c r="F306" s="97"/>
      <c r="G306" s="97"/>
      <c r="H306" s="114"/>
      <c r="I306" s="114"/>
      <c r="J306" s="114"/>
      <c r="K306" s="114"/>
      <c r="L306" s="95"/>
      <c r="M306" s="95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2"/>
      <c r="Y306" s="112"/>
    </row>
    <row r="307" spans="2:25" x14ac:dyDescent="0.25">
      <c r="B307" s="95"/>
      <c r="C307" s="95"/>
      <c r="D307" s="114"/>
      <c r="E307" s="114"/>
      <c r="F307" s="97"/>
      <c r="G307" s="97"/>
      <c r="H307" s="114"/>
      <c r="I307" s="114"/>
      <c r="J307" s="114"/>
      <c r="K307" s="114"/>
      <c r="L307" s="95"/>
      <c r="M307" s="95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2"/>
      <c r="Y307" s="112"/>
    </row>
    <row r="308" spans="2:25" x14ac:dyDescent="0.25">
      <c r="B308" s="95"/>
      <c r="C308" s="95"/>
      <c r="D308" s="114"/>
      <c r="E308" s="114"/>
      <c r="F308" s="97"/>
      <c r="G308" s="97"/>
      <c r="H308" s="114"/>
      <c r="I308" s="114"/>
      <c r="J308" s="114"/>
      <c r="K308" s="114"/>
      <c r="L308" s="95"/>
      <c r="M308" s="95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2"/>
      <c r="Y308" s="112"/>
    </row>
    <row r="309" spans="2:25" x14ac:dyDescent="0.25">
      <c r="B309" s="95"/>
      <c r="C309" s="95"/>
      <c r="D309" s="114"/>
      <c r="E309" s="114"/>
      <c r="F309" s="97"/>
      <c r="G309" s="97"/>
      <c r="H309" s="114"/>
      <c r="I309" s="114"/>
      <c r="J309" s="114"/>
      <c r="K309" s="114"/>
      <c r="L309" s="95"/>
      <c r="M309" s="95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2"/>
      <c r="Y309" s="112"/>
    </row>
    <row r="310" spans="2:25" x14ac:dyDescent="0.25">
      <c r="B310" s="95"/>
      <c r="C310" s="95"/>
      <c r="D310" s="114"/>
      <c r="E310" s="114"/>
      <c r="F310" s="97"/>
      <c r="G310" s="97"/>
      <c r="H310" s="114"/>
      <c r="I310" s="114"/>
      <c r="J310" s="114"/>
      <c r="K310" s="114"/>
      <c r="L310" s="95"/>
      <c r="M310" s="95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2"/>
      <c r="Y310" s="112"/>
    </row>
    <row r="311" spans="2:25" x14ac:dyDescent="0.25">
      <c r="B311" s="95"/>
      <c r="C311" s="95"/>
      <c r="D311" s="114"/>
      <c r="E311" s="114"/>
      <c r="F311" s="97"/>
      <c r="G311" s="97"/>
      <c r="H311" s="114"/>
      <c r="I311" s="114"/>
      <c r="J311" s="114"/>
      <c r="K311" s="114"/>
      <c r="L311" s="95"/>
      <c r="M311" s="95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2"/>
      <c r="Y311" s="112"/>
    </row>
    <row r="312" spans="2:25" x14ac:dyDescent="0.25">
      <c r="B312" s="95"/>
      <c r="C312" s="95"/>
      <c r="D312" s="114"/>
      <c r="E312" s="114"/>
      <c r="F312" s="97"/>
      <c r="G312" s="97"/>
      <c r="H312" s="114"/>
      <c r="I312" s="114"/>
      <c r="J312" s="114"/>
      <c r="K312" s="114"/>
      <c r="L312" s="95"/>
      <c r="M312" s="95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2"/>
      <c r="Y312" s="112"/>
    </row>
    <row r="313" spans="2:25" x14ac:dyDescent="0.25">
      <c r="B313" s="95"/>
      <c r="C313" s="95"/>
      <c r="D313" s="114"/>
      <c r="E313" s="114"/>
      <c r="F313" s="97"/>
      <c r="G313" s="97"/>
      <c r="H313" s="114"/>
      <c r="I313" s="114"/>
      <c r="J313" s="114"/>
      <c r="K313" s="114"/>
      <c r="L313" s="95"/>
      <c r="M313" s="95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2"/>
      <c r="Y313" s="112"/>
    </row>
    <row r="314" spans="2:25" x14ac:dyDescent="0.25">
      <c r="B314" s="95"/>
      <c r="C314" s="95"/>
      <c r="D314" s="114"/>
      <c r="E314" s="114"/>
      <c r="F314" s="97"/>
      <c r="G314" s="97"/>
      <c r="H314" s="114"/>
      <c r="I314" s="114"/>
      <c r="J314" s="114"/>
      <c r="K314" s="114"/>
      <c r="L314" s="95"/>
      <c r="M314" s="95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2"/>
      <c r="Y314" s="112"/>
    </row>
    <row r="315" spans="2:25" x14ac:dyDescent="0.25">
      <c r="B315" s="95"/>
      <c r="C315" s="95"/>
      <c r="D315" s="114"/>
      <c r="E315" s="114"/>
      <c r="F315" s="97"/>
      <c r="G315" s="97"/>
      <c r="H315" s="114"/>
      <c r="I315" s="114"/>
      <c r="J315" s="114"/>
      <c r="K315" s="114"/>
      <c r="L315" s="95"/>
      <c r="M315" s="95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2"/>
      <c r="Y315" s="112"/>
    </row>
    <row r="316" spans="2:25" x14ac:dyDescent="0.25">
      <c r="B316" s="95"/>
      <c r="C316" s="95"/>
      <c r="D316" s="114"/>
      <c r="E316" s="114"/>
      <c r="F316" s="97"/>
      <c r="G316" s="97"/>
      <c r="H316" s="114"/>
      <c r="I316" s="114"/>
      <c r="J316" s="114"/>
      <c r="K316" s="114"/>
      <c r="L316" s="95"/>
      <c r="M316" s="95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2"/>
      <c r="Y316" s="112"/>
    </row>
    <row r="317" spans="2:25" x14ac:dyDescent="0.25">
      <c r="B317" s="95"/>
      <c r="C317" s="95"/>
      <c r="D317" s="114"/>
      <c r="E317" s="114"/>
      <c r="F317" s="97"/>
      <c r="G317" s="97"/>
      <c r="H317" s="114"/>
      <c r="I317" s="114"/>
      <c r="J317" s="114"/>
      <c r="K317" s="114"/>
      <c r="L317" s="95"/>
      <c r="M317" s="95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2"/>
      <c r="Y317" s="112"/>
    </row>
    <row r="318" spans="2:25" x14ac:dyDescent="0.25">
      <c r="B318" s="95"/>
      <c r="C318" s="95"/>
      <c r="D318" s="114"/>
      <c r="E318" s="114"/>
      <c r="F318" s="97"/>
      <c r="G318" s="97"/>
      <c r="H318" s="114"/>
      <c r="I318" s="114"/>
      <c r="J318" s="114"/>
      <c r="K318" s="114"/>
      <c r="L318" s="95"/>
      <c r="M318" s="95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2"/>
      <c r="Y318" s="112"/>
    </row>
    <row r="319" spans="2:25" x14ac:dyDescent="0.25">
      <c r="B319" s="95"/>
      <c r="C319" s="95"/>
      <c r="D319" s="114"/>
      <c r="E319" s="114"/>
      <c r="F319" s="97"/>
      <c r="G319" s="97"/>
      <c r="H319" s="114"/>
      <c r="I319" s="114"/>
      <c r="J319" s="114"/>
      <c r="K319" s="114"/>
      <c r="L319" s="95"/>
      <c r="M319" s="95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2"/>
      <c r="Y319" s="112"/>
    </row>
    <row r="320" spans="2:25" x14ac:dyDescent="0.25">
      <c r="B320" s="95"/>
      <c r="C320" s="95"/>
      <c r="D320" s="114"/>
      <c r="E320" s="114"/>
      <c r="F320" s="97"/>
      <c r="G320" s="97"/>
      <c r="H320" s="114"/>
      <c r="I320" s="114"/>
      <c r="J320" s="114"/>
      <c r="K320" s="114"/>
      <c r="L320" s="95"/>
      <c r="M320" s="95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2"/>
      <c r="Y320" s="112"/>
    </row>
    <row r="321" spans="2:25" x14ac:dyDescent="0.25">
      <c r="B321" s="95"/>
      <c r="C321" s="95"/>
      <c r="D321" s="114"/>
      <c r="E321" s="114"/>
      <c r="F321" s="97"/>
      <c r="G321" s="97"/>
      <c r="H321" s="114"/>
      <c r="I321" s="114"/>
      <c r="J321" s="114"/>
      <c r="K321" s="114"/>
      <c r="L321" s="95"/>
      <c r="M321" s="95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2"/>
      <c r="Y321" s="112"/>
    </row>
    <row r="322" spans="2:25" x14ac:dyDescent="0.25">
      <c r="B322" s="95"/>
      <c r="C322" s="95"/>
      <c r="D322" s="114"/>
      <c r="E322" s="114"/>
      <c r="F322" s="97"/>
      <c r="G322" s="97"/>
      <c r="H322" s="114"/>
      <c r="I322" s="114"/>
      <c r="J322" s="114"/>
      <c r="K322" s="114"/>
      <c r="L322" s="95"/>
      <c r="M322" s="95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2"/>
      <c r="Y322" s="112"/>
    </row>
    <row r="323" spans="2:25" x14ac:dyDescent="0.25">
      <c r="B323" s="95"/>
      <c r="C323" s="95"/>
      <c r="D323" s="114"/>
      <c r="E323" s="114"/>
      <c r="F323" s="97"/>
      <c r="G323" s="97"/>
      <c r="H323" s="114"/>
      <c r="I323" s="114"/>
      <c r="J323" s="114"/>
      <c r="K323" s="114"/>
      <c r="L323" s="95"/>
      <c r="M323" s="95"/>
      <c r="N323" s="111"/>
      <c r="O323" s="111"/>
      <c r="P323" s="111"/>
      <c r="Q323" s="111"/>
      <c r="R323" s="111"/>
      <c r="S323" s="111"/>
      <c r="T323" s="111"/>
      <c r="U323" s="111"/>
      <c r="V323" s="111"/>
      <c r="W323" s="111"/>
      <c r="X323" s="112"/>
      <c r="Y323" s="112"/>
    </row>
    <row r="324" spans="2:25" x14ac:dyDescent="0.25">
      <c r="B324" s="95"/>
      <c r="C324" s="95"/>
      <c r="D324" s="114"/>
      <c r="E324" s="114"/>
      <c r="F324" s="97"/>
      <c r="G324" s="97"/>
      <c r="H324" s="114"/>
      <c r="I324" s="114"/>
      <c r="J324" s="114"/>
      <c r="K324" s="114"/>
      <c r="L324" s="95"/>
      <c r="M324" s="95"/>
      <c r="N324" s="111"/>
      <c r="O324" s="111"/>
      <c r="P324" s="111"/>
      <c r="Q324" s="111"/>
      <c r="R324" s="111"/>
      <c r="S324" s="111"/>
      <c r="T324" s="111"/>
      <c r="U324" s="111"/>
      <c r="V324" s="111"/>
      <c r="W324" s="111"/>
      <c r="X324" s="112"/>
      <c r="Y324" s="112"/>
    </row>
    <row r="325" spans="2:25" x14ac:dyDescent="0.25">
      <c r="B325" s="95"/>
      <c r="C325" s="95"/>
      <c r="D325" s="114"/>
      <c r="E325" s="114"/>
      <c r="F325" s="97"/>
      <c r="G325" s="97"/>
      <c r="H325" s="114"/>
      <c r="I325" s="114"/>
      <c r="J325" s="114"/>
      <c r="K325" s="114"/>
      <c r="L325" s="95"/>
      <c r="M325" s="95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2"/>
      <c r="Y325" s="112"/>
    </row>
    <row r="326" spans="2:25" x14ac:dyDescent="0.25">
      <c r="B326" s="95"/>
      <c r="C326" s="95"/>
      <c r="D326" s="114"/>
      <c r="E326" s="114"/>
      <c r="F326" s="97"/>
      <c r="G326" s="97"/>
      <c r="H326" s="114"/>
      <c r="I326" s="114"/>
      <c r="J326" s="114"/>
      <c r="K326" s="114"/>
      <c r="L326" s="95"/>
      <c r="M326" s="95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2"/>
      <c r="Y326" s="112"/>
    </row>
    <row r="327" spans="2:25" x14ac:dyDescent="0.25">
      <c r="B327" s="95"/>
      <c r="C327" s="95"/>
      <c r="D327" s="114"/>
      <c r="E327" s="114"/>
      <c r="F327" s="97"/>
      <c r="G327" s="97"/>
      <c r="H327" s="114"/>
      <c r="I327" s="114"/>
      <c r="J327" s="114"/>
      <c r="K327" s="114"/>
      <c r="L327" s="111"/>
      <c r="M327" s="95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2"/>
      <c r="Y327" s="112"/>
    </row>
    <row r="328" spans="2:25" x14ac:dyDescent="0.25">
      <c r="B328" s="95"/>
      <c r="C328" s="95"/>
      <c r="D328" s="114"/>
      <c r="E328" s="114"/>
      <c r="F328" s="97"/>
      <c r="G328" s="97"/>
      <c r="H328" s="114"/>
      <c r="I328" s="114"/>
      <c r="J328" s="114"/>
      <c r="K328" s="114"/>
      <c r="L328" s="111"/>
      <c r="M328" s="95"/>
      <c r="N328" s="111"/>
      <c r="O328" s="111"/>
      <c r="P328" s="111"/>
      <c r="Q328" s="111"/>
      <c r="R328" s="111"/>
      <c r="S328" s="111"/>
      <c r="T328" s="111"/>
      <c r="U328" s="111"/>
      <c r="V328" s="111"/>
      <c r="W328" s="111"/>
      <c r="X328" s="112"/>
      <c r="Y328" s="112"/>
    </row>
    <row r="329" spans="2:25" x14ac:dyDescent="0.25">
      <c r="B329" s="95"/>
      <c r="C329" s="95"/>
      <c r="D329" s="114"/>
      <c r="E329" s="114"/>
      <c r="F329" s="97"/>
      <c r="G329" s="97"/>
      <c r="H329" s="114"/>
      <c r="I329" s="114"/>
      <c r="J329" s="114"/>
      <c r="K329" s="114"/>
      <c r="L329" s="111"/>
      <c r="M329" s="95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2"/>
      <c r="Y329" s="112"/>
    </row>
    <row r="330" spans="2:25" x14ac:dyDescent="0.25">
      <c r="B330" s="95"/>
      <c r="C330" s="95"/>
      <c r="D330" s="114"/>
      <c r="E330" s="114"/>
      <c r="F330" s="97"/>
      <c r="G330" s="97"/>
      <c r="H330" s="114"/>
      <c r="I330" s="114"/>
      <c r="J330" s="114"/>
      <c r="K330" s="114"/>
      <c r="L330" s="111"/>
      <c r="M330" s="95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2"/>
      <c r="Y330" s="112"/>
    </row>
    <row r="331" spans="2:25" x14ac:dyDescent="0.25">
      <c r="B331" s="95"/>
      <c r="C331" s="95"/>
      <c r="D331" s="114"/>
      <c r="E331" s="114"/>
      <c r="F331" s="97"/>
      <c r="G331" s="97"/>
      <c r="H331" s="114"/>
      <c r="I331" s="114"/>
      <c r="J331" s="114"/>
      <c r="K331" s="114"/>
      <c r="L331" s="111"/>
      <c r="M331" s="95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2"/>
      <c r="Y331" s="112"/>
    </row>
    <row r="332" spans="2:25" x14ac:dyDescent="0.25">
      <c r="B332" s="95"/>
      <c r="C332" s="95"/>
      <c r="D332" s="114"/>
      <c r="E332" s="114"/>
      <c r="F332" s="97"/>
      <c r="G332" s="97"/>
      <c r="H332" s="114"/>
      <c r="I332" s="114"/>
      <c r="J332" s="114"/>
      <c r="K332" s="114"/>
      <c r="L332" s="111"/>
      <c r="M332" s="95"/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2"/>
      <c r="Y332" s="112"/>
    </row>
    <row r="333" spans="2:25" x14ac:dyDescent="0.25">
      <c r="B333" s="95"/>
      <c r="C333" s="95"/>
      <c r="D333" s="114"/>
      <c r="E333" s="114"/>
      <c r="F333" s="97"/>
      <c r="G333" s="97"/>
      <c r="H333" s="114"/>
      <c r="I333" s="114"/>
      <c r="J333" s="114"/>
      <c r="K333" s="114"/>
      <c r="L333" s="111"/>
      <c r="M333" s="95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2"/>
      <c r="Y333" s="112"/>
    </row>
    <row r="334" spans="2:25" x14ac:dyDescent="0.25">
      <c r="B334" s="95"/>
      <c r="C334" s="95"/>
      <c r="D334" s="114"/>
      <c r="E334" s="114"/>
      <c r="F334" s="97"/>
      <c r="G334" s="97"/>
      <c r="H334" s="114"/>
      <c r="I334" s="114"/>
      <c r="J334" s="114"/>
      <c r="K334" s="114"/>
      <c r="L334" s="111"/>
      <c r="M334" s="95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2"/>
      <c r="Y334" s="112"/>
    </row>
    <row r="335" spans="2:25" x14ac:dyDescent="0.25">
      <c r="B335" s="95"/>
      <c r="C335" s="95"/>
      <c r="D335" s="114"/>
      <c r="E335" s="114"/>
      <c r="F335" s="97"/>
      <c r="G335" s="97"/>
      <c r="H335" s="114"/>
      <c r="I335" s="114"/>
      <c r="J335" s="114"/>
      <c r="K335" s="114"/>
      <c r="L335" s="111"/>
      <c r="M335" s="95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2"/>
      <c r="Y335" s="112"/>
    </row>
    <row r="336" spans="2:25" x14ac:dyDescent="0.25">
      <c r="B336" s="95"/>
      <c r="C336" s="95"/>
      <c r="D336" s="114"/>
      <c r="E336" s="114"/>
      <c r="F336" s="97"/>
      <c r="G336" s="97"/>
      <c r="H336" s="114"/>
      <c r="I336" s="114"/>
      <c r="J336" s="114"/>
      <c r="K336" s="114"/>
      <c r="L336" s="111"/>
      <c r="M336" s="95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2"/>
      <c r="Y336" s="112"/>
    </row>
    <row r="337" spans="2:25" x14ac:dyDescent="0.25">
      <c r="B337" s="95"/>
      <c r="C337" s="95"/>
      <c r="D337" s="114"/>
      <c r="E337" s="114"/>
      <c r="F337" s="97"/>
      <c r="G337" s="97"/>
      <c r="H337" s="114"/>
      <c r="I337" s="114"/>
      <c r="J337" s="114"/>
      <c r="K337" s="114"/>
      <c r="L337" s="111"/>
      <c r="M337" s="95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2"/>
      <c r="Y337" s="112"/>
    </row>
    <row r="338" spans="2:25" x14ac:dyDescent="0.25">
      <c r="B338" s="95"/>
      <c r="C338" s="95"/>
      <c r="D338" s="114"/>
      <c r="E338" s="114"/>
      <c r="F338" s="97"/>
      <c r="G338" s="97"/>
      <c r="H338" s="114"/>
      <c r="I338" s="114"/>
      <c r="J338" s="114"/>
      <c r="K338" s="114"/>
      <c r="L338" s="111"/>
      <c r="M338" s="95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2"/>
      <c r="Y338" s="112"/>
    </row>
    <row r="339" spans="2:25" x14ac:dyDescent="0.25">
      <c r="D339" s="85"/>
      <c r="E339" s="85"/>
      <c r="F339" s="97"/>
      <c r="G339" s="97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7"/>
      <c r="W339" s="87"/>
      <c r="X339" s="87"/>
      <c r="Y339" s="87"/>
    </row>
    <row r="340" spans="2:25" x14ac:dyDescent="0.25">
      <c r="D340" s="85"/>
      <c r="E340" s="85"/>
      <c r="F340" s="97"/>
      <c r="G340" s="97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7"/>
      <c r="W340" s="87"/>
      <c r="X340" s="87"/>
      <c r="Y340" s="87"/>
    </row>
    <row r="341" spans="2:25" x14ac:dyDescent="0.25">
      <c r="D341" s="85"/>
      <c r="E341" s="85"/>
      <c r="F341" s="97"/>
      <c r="G341" s="97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7"/>
      <c r="W341" s="87"/>
      <c r="X341" s="87"/>
      <c r="Y341" s="87"/>
    </row>
    <row r="342" spans="2:25" x14ac:dyDescent="0.25">
      <c r="D342" s="85"/>
      <c r="E342" s="85"/>
      <c r="F342" s="97"/>
      <c r="G342" s="97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7"/>
      <c r="W342" s="87"/>
      <c r="X342" s="87"/>
      <c r="Y342" s="87"/>
    </row>
    <row r="343" spans="2:25" x14ac:dyDescent="0.25">
      <c r="D343" s="85"/>
      <c r="E343" s="85"/>
      <c r="F343" s="97"/>
      <c r="G343" s="97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7"/>
      <c r="W343" s="87"/>
      <c r="X343" s="87"/>
      <c r="Y343" s="87"/>
    </row>
    <row r="344" spans="2:25" x14ac:dyDescent="0.25">
      <c r="D344" s="85"/>
      <c r="E344" s="85"/>
      <c r="F344" s="97"/>
      <c r="G344" s="97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7"/>
      <c r="W344" s="87"/>
      <c r="X344" s="87"/>
      <c r="Y344" s="87"/>
    </row>
    <row r="345" spans="2:25" x14ac:dyDescent="0.25">
      <c r="D345" s="85"/>
      <c r="E345" s="85"/>
      <c r="F345" s="97"/>
      <c r="G345" s="97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7"/>
      <c r="W345" s="87"/>
      <c r="X345" s="87"/>
      <c r="Y345" s="87"/>
    </row>
    <row r="346" spans="2:25" x14ac:dyDescent="0.25">
      <c r="D346" s="85"/>
      <c r="E346" s="85"/>
      <c r="F346" s="97"/>
      <c r="G346" s="97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7"/>
      <c r="W346" s="87"/>
      <c r="X346" s="87"/>
      <c r="Y346" s="87"/>
    </row>
    <row r="347" spans="2:25" x14ac:dyDescent="0.25">
      <c r="D347" s="85"/>
      <c r="E347" s="85"/>
      <c r="F347" s="97"/>
      <c r="G347" s="97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7"/>
      <c r="W347" s="87"/>
      <c r="X347" s="87"/>
      <c r="Y347" s="87"/>
    </row>
    <row r="348" spans="2:25" x14ac:dyDescent="0.25">
      <c r="D348" s="85"/>
      <c r="E348" s="85"/>
      <c r="F348" s="97"/>
      <c r="G348" s="97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7"/>
      <c r="W348" s="87"/>
      <c r="X348" s="87"/>
      <c r="Y348" s="87"/>
    </row>
    <row r="349" spans="2:25" x14ac:dyDescent="0.25">
      <c r="D349" s="85"/>
      <c r="E349" s="85"/>
      <c r="F349" s="97"/>
      <c r="G349" s="97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7"/>
      <c r="W349" s="87"/>
      <c r="X349" s="87"/>
      <c r="Y349" s="87"/>
    </row>
    <row r="350" spans="2:25" x14ac:dyDescent="0.25">
      <c r="D350" s="85"/>
      <c r="E350" s="85"/>
      <c r="F350" s="97"/>
      <c r="G350" s="97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7"/>
      <c r="W350" s="87"/>
      <c r="X350" s="87"/>
      <c r="Y350" s="87"/>
    </row>
    <row r="351" spans="2:25" x14ac:dyDescent="0.25">
      <c r="D351" s="85"/>
      <c r="E351" s="85"/>
      <c r="F351" s="97"/>
      <c r="G351" s="97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7"/>
      <c r="W351" s="87"/>
      <c r="X351" s="87"/>
      <c r="Y351" s="87"/>
    </row>
    <row r="352" spans="2:25" x14ac:dyDescent="0.25">
      <c r="D352" s="85"/>
      <c r="E352" s="85"/>
      <c r="F352" s="97"/>
      <c r="G352" s="97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7"/>
      <c r="W352" s="87"/>
      <c r="X352" s="87"/>
      <c r="Y352" s="87"/>
    </row>
    <row r="353" spans="4:25" x14ac:dyDescent="0.25">
      <c r="D353" s="85"/>
      <c r="E353" s="85"/>
      <c r="F353" s="97"/>
      <c r="G353" s="97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7"/>
      <c r="W353" s="87"/>
      <c r="X353" s="87"/>
      <c r="Y353" s="87"/>
    </row>
    <row r="354" spans="4:25" x14ac:dyDescent="0.25">
      <c r="D354" s="85"/>
      <c r="E354" s="85"/>
      <c r="F354" s="97"/>
      <c r="G354" s="97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7"/>
      <c r="W354" s="87"/>
      <c r="X354" s="87"/>
      <c r="Y354" s="87"/>
    </row>
    <row r="355" spans="4:25" x14ac:dyDescent="0.25">
      <c r="D355" s="85"/>
      <c r="E355" s="85"/>
      <c r="F355" s="97"/>
      <c r="G355" s="97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7"/>
      <c r="W355" s="87"/>
      <c r="X355" s="87"/>
      <c r="Y355" s="87"/>
    </row>
    <row r="356" spans="4:25" x14ac:dyDescent="0.25">
      <c r="D356" s="85"/>
      <c r="E356" s="85"/>
      <c r="F356" s="97"/>
      <c r="G356" s="97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7"/>
      <c r="W356" s="87"/>
      <c r="X356" s="87"/>
      <c r="Y356" s="87"/>
    </row>
    <row r="357" spans="4:25" x14ac:dyDescent="0.25">
      <c r="D357" s="85"/>
      <c r="E357" s="85"/>
      <c r="F357" s="97"/>
      <c r="G357" s="97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7"/>
      <c r="W357" s="87"/>
      <c r="X357" s="87"/>
      <c r="Y357" s="87"/>
    </row>
    <row r="358" spans="4:25" x14ac:dyDescent="0.25">
      <c r="D358" s="85"/>
      <c r="E358" s="85"/>
      <c r="F358" s="97"/>
      <c r="G358" s="97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7"/>
      <c r="W358" s="87"/>
      <c r="X358" s="87"/>
      <c r="Y358" s="87"/>
    </row>
    <row r="359" spans="4:25" x14ac:dyDescent="0.25">
      <c r="D359" s="85"/>
      <c r="E359" s="85"/>
      <c r="F359" s="97"/>
      <c r="G359" s="97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7"/>
      <c r="W359" s="87"/>
      <c r="X359" s="87"/>
      <c r="Y359" s="87"/>
    </row>
    <row r="360" spans="4:25" x14ac:dyDescent="0.25">
      <c r="D360" s="85"/>
      <c r="E360" s="85"/>
      <c r="F360" s="97"/>
      <c r="G360" s="97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7"/>
      <c r="W360" s="87"/>
      <c r="X360" s="87"/>
      <c r="Y360" s="87"/>
    </row>
    <row r="361" spans="4:25" x14ac:dyDescent="0.25">
      <c r="D361" s="85"/>
      <c r="E361" s="85"/>
      <c r="F361" s="97"/>
      <c r="G361" s="97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7"/>
      <c r="W361" s="87"/>
      <c r="X361" s="87"/>
      <c r="Y361" s="87"/>
    </row>
    <row r="362" spans="4:25" x14ac:dyDescent="0.25">
      <c r="D362" s="85"/>
      <c r="E362" s="85"/>
      <c r="F362" s="97"/>
      <c r="G362" s="97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7"/>
      <c r="W362" s="87"/>
      <c r="X362" s="87"/>
      <c r="Y362" s="87"/>
    </row>
    <row r="363" spans="4:25" x14ac:dyDescent="0.25">
      <c r="D363" s="85"/>
      <c r="E363" s="85"/>
      <c r="F363" s="97"/>
      <c r="G363" s="97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7"/>
      <c r="W363" s="87"/>
      <c r="X363" s="87"/>
      <c r="Y363" s="87"/>
    </row>
    <row r="364" spans="4:25" x14ac:dyDescent="0.25">
      <c r="D364" s="85"/>
      <c r="E364" s="85"/>
      <c r="F364" s="97"/>
      <c r="G364" s="97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7"/>
      <c r="W364" s="87"/>
      <c r="X364" s="87"/>
      <c r="Y364" s="87"/>
    </row>
    <row r="365" spans="4:25" x14ac:dyDescent="0.25">
      <c r="D365" s="85"/>
      <c r="E365" s="85"/>
      <c r="F365" s="97"/>
      <c r="G365" s="97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7"/>
      <c r="W365" s="87"/>
      <c r="X365" s="87"/>
      <c r="Y365" s="87"/>
    </row>
    <row r="366" spans="4:25" x14ac:dyDescent="0.25">
      <c r="D366" s="85"/>
      <c r="E366" s="85"/>
      <c r="F366" s="97"/>
      <c r="G366" s="97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7"/>
      <c r="W366" s="87"/>
      <c r="X366" s="87"/>
      <c r="Y366" s="87"/>
    </row>
    <row r="367" spans="4:25" x14ac:dyDescent="0.25">
      <c r="D367" s="85"/>
      <c r="E367" s="85"/>
      <c r="F367" s="97"/>
      <c r="G367" s="97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7"/>
      <c r="W367" s="87"/>
      <c r="X367" s="87"/>
      <c r="Y367" s="87"/>
    </row>
  </sheetData>
  <mergeCells count="5">
    <mergeCell ref="AA9:AI9"/>
    <mergeCell ref="AA23:AI23"/>
    <mergeCell ref="C1:D1"/>
    <mergeCell ref="C3:D3"/>
    <mergeCell ref="C5:D5"/>
  </mergeCells>
  <conditionalFormatting sqref="L11 F11:G11">
    <cfRule type="expression" dxfId="252" priority="88">
      <formula>IF(#REF!=#REF!,0,1)</formula>
    </cfRule>
  </conditionalFormatting>
  <conditionalFormatting sqref="L10 F10:G10">
    <cfRule type="expression" dxfId="251" priority="89">
      <formula>IF(#REF!=#REF!,0,1)</formula>
    </cfRule>
  </conditionalFormatting>
  <conditionalFormatting sqref="B10:E10">
    <cfRule type="expression" dxfId="250" priority="5">
      <formula>IF($B10=$B1,0,1)</formula>
    </cfRule>
  </conditionalFormatting>
  <conditionalFormatting sqref="B73:E77 B62:E71 B43:E51 B11:E25 B32:E41">
    <cfRule type="expression" dxfId="249" priority="4">
      <formula>IF($B11=$B10,0,1)</formula>
    </cfRule>
  </conditionalFormatting>
  <conditionalFormatting sqref="H10:H21">
    <cfRule type="colorScale" priority="3">
      <colorScale>
        <cfvo type="num" val="0"/>
        <cfvo type="percentile" val="50"/>
        <cfvo type="num" val="1"/>
        <color rgb="FFF8696B"/>
        <color rgb="FFFCFCFF"/>
        <color rgb="FF63BE7B"/>
      </colorScale>
    </cfRule>
  </conditionalFormatting>
  <conditionalFormatting sqref="B72:E72 B42:E42">
    <cfRule type="expression" dxfId="248" priority="91">
      <formula>IF($B42=$B29,0,1)</formula>
    </cfRule>
  </conditionalFormatting>
  <conditionalFormatting sqref="I11:K11">
    <cfRule type="expression" dxfId="247" priority="1">
      <formula>IF(#REF!=#REF!,0,1)</formula>
    </cfRule>
  </conditionalFormatting>
  <conditionalFormatting sqref="I10:K10">
    <cfRule type="expression" dxfId="246" priority="2">
      <formula>IF(#REF!=#REF!,0,1)</formula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746"/>
  <sheetViews>
    <sheetView topLeftCell="A526" zoomScale="85" zoomScaleNormal="85" workbookViewId="0">
      <selection activeCell="H547" sqref="H547:H558"/>
    </sheetView>
  </sheetViews>
  <sheetFormatPr defaultRowHeight="15" x14ac:dyDescent="0.25"/>
  <cols>
    <col min="1" max="1" width="3" style="36" customWidth="1"/>
    <col min="2" max="2" width="11" bestFit="1" customWidth="1"/>
    <col min="3" max="3" width="10.28515625" style="23" hidden="1" customWidth="1"/>
    <col min="4" max="4" width="25.7109375" customWidth="1"/>
    <col min="5" max="5" width="28.42578125" customWidth="1"/>
    <col min="6" max="6" width="15.7109375" style="69" bestFit="1" customWidth="1"/>
    <col min="7" max="7" width="10.140625" bestFit="1" customWidth="1"/>
    <col min="8" max="8" width="11.140625" bestFit="1" customWidth="1"/>
    <col min="9" max="9" width="12" style="4" hidden="1" customWidth="1"/>
    <col min="10" max="10" width="13.28515625" style="4" hidden="1" customWidth="1"/>
    <col min="11" max="11" width="115.42578125" style="98" hidden="1" customWidth="1"/>
    <col min="12" max="12" width="15.140625" style="98" hidden="1" customWidth="1"/>
    <col min="13" max="13" width="23.28515625" style="108" hidden="1" customWidth="1"/>
    <col min="14" max="14" width="12.7109375" style="108" bestFit="1" customWidth="1"/>
    <col min="15" max="15" width="10.5703125" style="108" bestFit="1" customWidth="1"/>
    <col min="16" max="16" width="13.85546875" style="108" bestFit="1" customWidth="1"/>
    <col min="17" max="17" width="13.85546875" style="108" hidden="1" customWidth="1"/>
    <col min="18" max="18" width="23.28515625" style="108" hidden="1" customWidth="1"/>
    <col min="19" max="20" width="10.7109375" style="108" customWidth="1"/>
    <col min="21" max="21" width="10.7109375" style="4" bestFit="1" customWidth="1"/>
    <col min="22" max="23" width="8.28515625" bestFit="1" customWidth="1"/>
    <col min="25" max="25" width="12" bestFit="1" customWidth="1"/>
    <col min="26" max="26" width="17.140625" bestFit="1" customWidth="1"/>
    <col min="27" max="27" width="18" bestFit="1" customWidth="1"/>
    <col min="28" max="28" width="14.5703125" bestFit="1" customWidth="1"/>
    <col min="29" max="29" width="10.28515625" bestFit="1" customWidth="1"/>
    <col min="32" max="32" width="11" bestFit="1" customWidth="1"/>
    <col min="34" max="34" width="14.5703125" bestFit="1" customWidth="1"/>
    <col min="45" max="46" width="15.5703125" bestFit="1" customWidth="1"/>
    <col min="47" max="47" width="19.28515625" bestFit="1" customWidth="1"/>
    <col min="48" max="48" width="13.5703125" bestFit="1" customWidth="1"/>
    <col min="49" max="49" width="12.7109375" bestFit="1" customWidth="1"/>
    <col min="50" max="51" width="3" style="150" bestFit="1" customWidth="1"/>
    <col min="52" max="52" width="2.5703125" style="150" bestFit="1" customWidth="1"/>
    <col min="53" max="53" width="2.85546875" style="150" bestFit="1" customWidth="1"/>
    <col min="54" max="54" width="4" style="150" bestFit="1" customWidth="1"/>
    <col min="55" max="55" width="4.140625" style="150" bestFit="1" customWidth="1"/>
    <col min="56" max="56" width="3.7109375" style="150" bestFit="1" customWidth="1"/>
    <col min="57" max="57" width="3.85546875" style="150" bestFit="1" customWidth="1"/>
    <col min="60" max="60" width="19.28515625" bestFit="1" customWidth="1"/>
  </cols>
  <sheetData>
    <row r="1" spans="1:83" x14ac:dyDescent="0.25">
      <c r="S1" s="162"/>
      <c r="AU1" t="s">
        <v>1620</v>
      </c>
      <c r="AV1" t="s">
        <v>241</v>
      </c>
      <c r="AW1" t="s">
        <v>1621</v>
      </c>
      <c r="AX1" s="100" t="s">
        <v>246</v>
      </c>
      <c r="AY1" s="100" t="s">
        <v>244</v>
      </c>
      <c r="AZ1" s="100" t="s">
        <v>248</v>
      </c>
      <c r="BA1" s="100" t="s">
        <v>250</v>
      </c>
      <c r="BB1" s="100" t="s">
        <v>1206</v>
      </c>
      <c r="BC1" s="100" t="s">
        <v>1207</v>
      </c>
      <c r="BD1" s="100" t="s">
        <v>1208</v>
      </c>
      <c r="BE1" s="100" t="s">
        <v>1209</v>
      </c>
      <c r="BH1" t="s">
        <v>1540</v>
      </c>
      <c r="BI1" t="s">
        <v>241</v>
      </c>
      <c r="BJ1" t="s">
        <v>1621</v>
      </c>
      <c r="BK1" s="100" t="s">
        <v>246</v>
      </c>
      <c r="BL1" s="100" t="s">
        <v>244</v>
      </c>
      <c r="BM1" s="100" t="s">
        <v>248</v>
      </c>
      <c r="BN1" s="100" t="s">
        <v>250</v>
      </c>
      <c r="BO1" s="100" t="s">
        <v>1206</v>
      </c>
      <c r="BP1" s="100" t="s">
        <v>1207</v>
      </c>
      <c r="BQ1" s="100" t="s">
        <v>1208</v>
      </c>
      <c r="BR1" s="100" t="s">
        <v>1209</v>
      </c>
      <c r="BU1" t="s">
        <v>1539</v>
      </c>
      <c r="BV1" t="s">
        <v>241</v>
      </c>
      <c r="BW1" t="s">
        <v>1621</v>
      </c>
      <c r="BX1" s="100" t="s">
        <v>246</v>
      </c>
      <c r="BY1" s="100" t="s">
        <v>244</v>
      </c>
      <c r="BZ1" s="100" t="s">
        <v>248</v>
      </c>
      <c r="CA1" s="100" t="s">
        <v>250</v>
      </c>
      <c r="CB1" s="100" t="s">
        <v>1206</v>
      </c>
      <c r="CC1" s="100" t="s">
        <v>1207</v>
      </c>
      <c r="CD1" s="100" t="s">
        <v>1208</v>
      </c>
      <c r="CE1" s="100" t="s">
        <v>1209</v>
      </c>
    </row>
    <row r="2" spans="1:83" ht="18" customHeight="1" x14ac:dyDescent="0.25">
      <c r="M2" s="107"/>
      <c r="N2" s="115"/>
      <c r="O2" s="115"/>
      <c r="P2" s="115"/>
      <c r="Q2" s="115"/>
      <c r="R2" s="115"/>
      <c r="S2" s="115"/>
      <c r="T2" s="115"/>
      <c r="AA2" t="s">
        <v>1076</v>
      </c>
      <c r="AB2" s="39">
        <v>0.6</v>
      </c>
      <c r="AC2" s="39">
        <f>AB2+0.05</f>
        <v>0.65</v>
      </c>
      <c r="AG2" t="s">
        <v>1327</v>
      </c>
      <c r="AJ2" s="100" t="s">
        <v>246</v>
      </c>
      <c r="AK2" s="100" t="s">
        <v>244</v>
      </c>
      <c r="AL2" s="100" t="s">
        <v>248</v>
      </c>
      <c r="AM2" s="100" t="s">
        <v>250</v>
      </c>
      <c r="AN2" s="100" t="s">
        <v>1206</v>
      </c>
      <c r="AO2" s="100" t="s">
        <v>1207</v>
      </c>
      <c r="AP2" s="100" t="s">
        <v>1208</v>
      </c>
      <c r="AQ2" s="100" t="s">
        <v>1209</v>
      </c>
      <c r="AT2" s="153">
        <v>-1</v>
      </c>
      <c r="AU2" s="39" t="str">
        <f>ROUND(AT2*100,0)&amp;"  to  "&amp;ROUND(AT3*100,0)&amp;"%"</f>
        <v>-100  to  -95%</v>
      </c>
      <c r="AV2" t="str">
        <f>IFERROR(COUNTIFS(Tracker[Money Discrepency],"&gt;="&amp;AT2,Tracker[Money Discrepency],"&lt;"&amp;AT3,Tracker[Result],"W")&amp;"-"&amp;COUNTIFS(Tracker[Money Discrepency],"&gt;="&amp;AT2,Tracker[Money Discrepency],"&lt;"&amp;AT3,Tracker[Result],"L")&amp;"-"&amp;COUNTIFS(Tracker[Money Discrepency],"&gt;="&amp;AT2,Tracker[Money Discrepency],"&lt;"&amp;AT3,Tracker[Result],"Push")&amp;" ("&amp;ROUND(COUNTIFS(Tracker[Money Discrepency],"&gt;="&amp;AT2,Tracker[Money Discrepency],"&lt;"&amp;AT3,Tracker[Result],"W")/(COUNTIFS(Tracker[Money Discrepency],"&gt;="&amp;AT2,Tracker[Money Discrepency],"&lt;"&amp;AT3,Tracker[Result],"L")+COUNTIFS(Tracker[Money Discrepency],"&gt;="&amp;AT2,Tracker[Money Discrepency],"&lt;"&amp;AT3,Tracker[Result],"W"))*100,2)&amp;"%)","No Bets")</f>
        <v>No Bets</v>
      </c>
      <c r="AW2">
        <f>SUMIFS(Tracker[Net],Tracker[Money Discrepency],"&gt;="&amp;AT2,Tracker[Money Discrepency],"&lt;"&amp;AT3)</f>
        <v>0</v>
      </c>
      <c r="AX2" s="24" t="str">
        <f>IFERROR(IF(ROUND((SUMIFS(Tracker[Net],Tracker[Money Discrepency],"&gt;="&amp;$AT2,Tracker[Money Discrepency],"&lt;"&amp;$AT3,Tracker[Bet Type],AX$1))/COUNTIFS(Tracker[Money Discrepency],"&gt;="&amp;$AT2,Tracker[Money Discrepency],"&lt;"&amp;$AT3,Tracker[Bet Type],AX$1),2)&gt;0.05,"X",IF(ROUND((SUMIFS(Tracker[Net],Tracker[Money Discrepency],"&gt;="&amp;$AT2,Tracker[Money Discrepency],"&lt;"&amp;$AT3,Tracker[Bet Type],AX$1))/COUNTIFS(Tracker[Money Discrepency],"&gt;="&amp;$AT2,Tracker[Money Discrepency],"&lt;"&amp;$AT3,Tracker[Bet Type],AX$1),2)&lt;-0.15,"O","")),"")</f>
        <v/>
      </c>
      <c r="AY2" s="24" t="str">
        <f>IFERROR(IF(ROUND((SUMIFS(Tracker[Net],Tracker[Money Discrepency],"&gt;="&amp;$AT2,Tracker[Money Discrepency],"&lt;"&amp;$AT3,Tracker[Bet Type],AY$1))/COUNTIFS(Tracker[Money Discrepency],"&gt;="&amp;$AT2,Tracker[Money Discrepency],"&lt;"&amp;$AT3,Tracker[Bet Type],AY$1),2)&gt;0.05,"X",IF(ROUND((SUMIFS(Tracker[Net],Tracker[Money Discrepency],"&gt;="&amp;$AT2,Tracker[Money Discrepency],"&lt;"&amp;$AT3,Tracker[Bet Type],AY$1))/COUNTIFS(Tracker[Money Discrepency],"&gt;="&amp;$AT2,Tracker[Money Discrepency],"&lt;"&amp;$AT3,Tracker[Bet Type],AY$1),2)&lt;-0.15,"O","")),"")</f>
        <v/>
      </c>
      <c r="AZ2" s="24" t="str">
        <f>IFERROR(IF(ROUND((SUMIFS(Tracker[Net],Tracker[Money Discrepency],"&gt;="&amp;$AT2,Tracker[Money Discrepency],"&lt;"&amp;$AT3,Tracker[Bet Type],AZ$1))/COUNTIFS(Tracker[Money Discrepency],"&gt;="&amp;$AT2,Tracker[Money Discrepency],"&lt;"&amp;$AT3,Tracker[Bet Type],AZ$1),2)&gt;0.05,"X",IF(ROUND((SUMIFS(Tracker[Net],Tracker[Money Discrepency],"&gt;="&amp;$AT2,Tracker[Money Discrepency],"&lt;"&amp;$AT3,Tracker[Bet Type],AZ$1))/COUNTIFS(Tracker[Money Discrepency],"&gt;="&amp;$AT2,Tracker[Money Discrepency],"&lt;"&amp;$AT3,Tracker[Bet Type],AZ$1),2)&lt;-0.15,"O","")),"")</f>
        <v/>
      </c>
      <c r="BA2" s="24" t="str">
        <f>IFERROR(IF(ROUND((SUMIFS(Tracker[Net],Tracker[Money Discrepency],"&gt;="&amp;$AT2,Tracker[Money Discrepency],"&lt;"&amp;$AT3,Tracker[Bet Type],BA$1))/COUNTIFS(Tracker[Money Discrepency],"&gt;="&amp;$AT2,Tracker[Money Discrepency],"&lt;"&amp;$AT3,Tracker[Bet Type],BA$1),2)&gt;0.05,"X",IF(ROUND((SUMIFS(Tracker[Net],Tracker[Money Discrepency],"&gt;="&amp;$AT2,Tracker[Money Discrepency],"&lt;"&amp;$AT3,Tracker[Bet Type],BA$1))/COUNTIFS(Tracker[Money Discrepency],"&gt;="&amp;$AT2,Tracker[Money Discrepency],"&lt;"&amp;$AT3,Tracker[Bet Type],BA$1),2)&lt;-0.15,"O","")),"")</f>
        <v/>
      </c>
      <c r="BB2" s="24" t="str">
        <f>IFERROR(IF(ROUND((SUMIFS(Tracker[Net],Tracker[Money Discrepency],"&gt;="&amp;$AT2,Tracker[Money Discrepency],"&lt;"&amp;$AT3,Tracker[Bet Type Drill Down],BB$1))/COUNTIFS(Tracker[Money Discrepency],"&gt;="&amp;$AT2,Tracker[Money Discrepency],"&lt;"&amp;$AT3,Tracker[Bet Type Drill Down],BB$1),2)&gt;0.05,"X",IF(ROUND((SUMIFS(Tracker[Net],Tracker[Money Discrepency],"&gt;="&amp;$AT2,Tracker[Money Discrepency],"&lt;"&amp;$AT3,Tracker[Bet Type Drill Down],BB$1))/COUNTIFS(Tracker[Money Discrepency],"&gt;="&amp;$AT2,Tracker[Money Discrepency],"&lt;"&amp;$AT3,Tracker[Bet Type Drill Down],BB$1),2)&lt;-0.15,"O","")),"")</f>
        <v/>
      </c>
      <c r="BC2" s="24" t="str">
        <f>IFERROR(IF(ROUND((SUMIFS(Tracker[Net],Tracker[Money Discrepency],"&gt;="&amp;$AT2,Tracker[Money Discrepency],"&lt;"&amp;$AT3,Tracker[Bet Type Drill Down],BC$1))/COUNTIFS(Tracker[Money Discrepency],"&gt;="&amp;$AT2,Tracker[Money Discrepency],"&lt;"&amp;$AT3,Tracker[Bet Type Drill Down],BC$1),2)&gt;0.05,"X",IF(ROUND((SUMIFS(Tracker[Net],Tracker[Money Discrepency],"&gt;="&amp;$AT2,Tracker[Money Discrepency],"&lt;"&amp;$AT3,Tracker[Bet Type Drill Down],BC$1))/COUNTIFS(Tracker[Money Discrepency],"&gt;="&amp;$AT2,Tracker[Money Discrepency],"&lt;"&amp;$AT3,Tracker[Bet Type Drill Down],BC$1),2)&lt;-0.15,"O","")),"")</f>
        <v/>
      </c>
      <c r="BD2" s="24" t="str">
        <f>IFERROR(IF(ROUND((SUMIFS(Tracker[Net],Tracker[Money Discrepency],"&gt;="&amp;$AT2,Tracker[Money Discrepency],"&lt;"&amp;$AT3,Tracker[Bet Type Drill Down],BD$1))/COUNTIFS(Tracker[Money Discrepency],"&gt;="&amp;$AT2,Tracker[Money Discrepency],"&lt;"&amp;$AT3,Tracker[Bet Type Drill Down],BD$1),2)&gt;0.05,"X",IF(ROUND((SUMIFS(Tracker[Net],Tracker[Money Discrepency],"&gt;="&amp;$AT2,Tracker[Money Discrepency],"&lt;"&amp;$AT3,Tracker[Bet Type Drill Down],BD$1))/COUNTIFS(Tracker[Money Discrepency],"&gt;="&amp;$AT2,Tracker[Money Discrepency],"&lt;"&amp;$AT3,Tracker[Bet Type Drill Down],BD$1),2)&lt;-0.15,"O","")),"")</f>
        <v/>
      </c>
      <c r="BE2" s="24" t="str">
        <f>IFERROR(IF(ROUND((SUMIFS(Tracker[Net],Tracker[Money Discrepency],"&gt;="&amp;$AT2,Tracker[Money Discrepency],"&lt;"&amp;$AT3,Tracker[Bet Type Drill Down],BE$1))/COUNTIFS(Tracker[Money Discrepency],"&gt;="&amp;$AT2,Tracker[Money Discrepency],"&lt;"&amp;$AT3,Tracker[Bet Type Drill Down],BE$1),2)&gt;0.05,"X",IF(ROUND((SUMIFS(Tracker[Net],Tracker[Money Discrepency],"&gt;="&amp;$AT2,Tracker[Money Discrepency],"&lt;"&amp;$AT3,Tracker[Bet Type Drill Down],BE$1))/COUNTIFS(Tracker[Money Discrepency],"&gt;="&amp;$AT2,Tracker[Money Discrepency],"&lt;"&amp;$AT3,Tracker[Bet Type Drill Down],BE$1),2)&lt;-0.15,"O","")),"")</f>
        <v/>
      </c>
      <c r="BG2" s="153">
        <v>0</v>
      </c>
      <c r="BH2" s="154" t="str">
        <f>ROUND(BG2*100,0)&amp;"  to  "&amp;ROUND(BG3*100,0)&amp;"%"</f>
        <v>0  to  5%</v>
      </c>
      <c r="BI2" t="str">
        <f>IFERROR(COUNTIFS(Tracker[Money %],"&gt;="&amp;BG2,Tracker[Money %],"&lt;"&amp;BG3,Tracker[Result],"W")&amp;"-"&amp;COUNTIFS(Tracker[Money %],"&gt;="&amp;BG2,Tracker[Money %],"&lt;"&amp;BG3,Tracker[Result],"L")&amp;"-"&amp;COUNTIFS(Tracker[Money %],"&gt;="&amp;BG2,Tracker[Money %],"&lt;"&amp;BG3,Tracker[Result],"Push")&amp;" ("&amp;ROUND(COUNTIFS(Tracker[Money %],"&gt;="&amp;BG2,Tracker[Money %],"&lt;"&amp;BG3,Tracker[Result],"W")/(COUNTIFS(Tracker[Money %],"&gt;="&amp;BG2,Tracker[Money %],"&lt;"&amp;BG3,Tracker[Result],"L")+COUNTIFS(Tracker[Money %],"&gt;="&amp;BG2,Tracker[Money %],"&lt;"&amp;BG3,Tracker[Result],"W"))*100,2)&amp;"%)","No Bets")</f>
        <v>1-2-0 (33.33%)</v>
      </c>
      <c r="BJ2">
        <f>SUMIFS(Tracker[Net],Tracker[Money %],"&gt;="&amp;BG2,Tracker[Money %],"&lt;"&amp;BG3)</f>
        <v>-1.0909090909090908</v>
      </c>
      <c r="BK2" s="24" t="str">
        <f>IFERROR(IF(ROUND((SUMIFS(Tracker[Net],Tracker[Money %],"&gt;="&amp;$BG2,Tracker[Money %],"&lt;"&amp;$BG3,Tracker[Bet Type],BK$1))/COUNTIFS(Tracker[Money %],"&gt;="&amp;$BG2,Tracker[Money %],"&lt;"&amp;$BG3,Tracker[Bet Type],BK$1),2)&gt;0.05,"X",IF(ROUND((SUMIFS(Tracker[Net],Tracker[Money %],"&gt;="&amp;$BG2,Tracker[Money %],"&lt;"&amp;$BG3,Tracker[Bet Type],BK$1))/COUNTIFS(Tracker[Money %],"&gt;="&amp;$BG2,Tracker[Money %],"&lt;"&amp;$BG3,Tracker[Bet Type],BK$1),2)&lt;-0.15,"O","")),"")</f>
        <v/>
      </c>
      <c r="BL2" s="24" t="str">
        <f>IFERROR(IF(ROUND((SUMIFS(Tracker[Net],Tracker[Money %],"&gt;="&amp;$BG2,Tracker[Money %],"&lt;"&amp;$BG3,Tracker[Bet Type],BL$1))/COUNTIFS(Tracker[Money %],"&gt;="&amp;$BG2,Tracker[Money %],"&lt;"&amp;$BG3,Tracker[Bet Type],BL$1),2)&gt;0.05,"X",IF(ROUND((SUMIFS(Tracker[Net],Tracker[Money %],"&gt;="&amp;$BG2,Tracker[Money %],"&lt;"&amp;$BG3,Tracker[Bet Type],BL$1))/COUNTIFS(Tracker[Money %],"&gt;="&amp;$BG2,Tracker[Money %],"&lt;"&amp;$BG3,Tracker[Bet Type],BL$1),2)&lt;-0.15,"O","")),"")</f>
        <v>O</v>
      </c>
      <c r="BM2" s="24" t="str">
        <f>IFERROR(IF(ROUND((SUMIFS(Tracker[Net],Tracker[Money %],"&gt;="&amp;$BG2,Tracker[Money %],"&lt;"&amp;$BG3,Tracker[Bet Type],BM$1))/COUNTIFS(Tracker[Money %],"&gt;="&amp;$BG2,Tracker[Money %],"&lt;"&amp;$BG3,Tracker[Bet Type],BM$1),2)&gt;0.05,"X",IF(ROUND((SUMIFS(Tracker[Net],Tracker[Money %],"&gt;="&amp;$BG2,Tracker[Money %],"&lt;"&amp;$BG3,Tracker[Bet Type],BM$1))/COUNTIFS(Tracker[Money %],"&gt;="&amp;$BG2,Tracker[Money %],"&lt;"&amp;$BG3,Tracker[Bet Type],BM$1),2)&lt;-0.15,"O","")),"")</f>
        <v/>
      </c>
      <c r="BN2" s="24" t="str">
        <f>IFERROR(IF(ROUND((SUMIFS(Tracker[Net],Tracker[Money %],"&gt;="&amp;$BG2,Tracker[Money %],"&lt;"&amp;$BG3,Tracker[Bet Type],BN$1))/COUNTIFS(Tracker[Money %],"&gt;="&amp;$BG2,Tracker[Money %],"&lt;"&amp;$BG3,Tracker[Bet Type],BN$1),2)&gt;0.05,"X",IF(ROUND((SUMIFS(Tracker[Net],Tracker[Money %],"&gt;="&amp;$BG2,Tracker[Money %],"&lt;"&amp;$BG3,Tracker[Bet Type],BN$1))/COUNTIFS(Tracker[Money %],"&gt;="&amp;$BG2,Tracker[Money %],"&lt;"&amp;$BG3,Tracker[Bet Type],BN$1),2)&lt;-0.15,"O","")),"")</f>
        <v>X</v>
      </c>
      <c r="BO2" s="24" t="str">
        <f>IFERROR(IF(ROUND((SUMIFS(Tracker[Net],Tracker[Money %],"&gt;="&amp;$BG2,Tracker[Money %],"&lt;"&amp;$BG3,Tracker[Bet Type Drill Down],BO$1))/COUNTIFS(Tracker[Money %],"&gt;="&amp;$BG2,Tracker[Money %],"&lt;"&amp;$BG3,Tracker[Bet Type Drill Down],BO$1),2)&gt;0.05,"X",IF(ROUND((SUMIFS(Tracker[Net],Tracker[Money %],"&gt;="&amp;$BG2,Tracker[Money %],"&lt;"&amp;$BG3,Tracker[Bet Type Drill Down],BO$1))/COUNTIFS(Tracker[Money %],"&gt;="&amp;$BG2,Tracker[Money %],"&lt;"&amp;$BG3,Tracker[Bet Type Drill Down],BO$1),2)&lt;-0.15,"O","")),"")</f>
        <v>X</v>
      </c>
      <c r="BP2" s="24" t="str">
        <f>IFERROR(IF(ROUND((SUMIFS(Tracker[Net],Tracker[Money %],"&gt;="&amp;$BG2,Tracker[Money %],"&lt;"&amp;$BG3,Tracker[Bet Type Drill Down],BP$1))/COUNTIFS(Tracker[Money %],"&gt;="&amp;$BG2,Tracker[Money %],"&lt;"&amp;$BG3,Tracker[Bet Type Drill Down],BP$1),2)&gt;0.05,"X",IF(ROUND((SUMIFS(Tracker[Net],Tracker[Money %],"&gt;="&amp;$BG2,Tracker[Money %],"&lt;"&amp;$BG3,Tracker[Bet Type Drill Down],BP$1))/COUNTIFS(Tracker[Money %],"&gt;="&amp;$BG2,Tracker[Money %],"&lt;"&amp;$BG3,Tracker[Bet Type Drill Down],BP$1),2)&lt;-0.15,"O","")),"")</f>
        <v/>
      </c>
      <c r="BQ2" s="24" t="str">
        <f>IFERROR(IF(ROUND((SUMIFS(Tracker[Net],Tracker[Money %],"&gt;="&amp;$BG2,Tracker[Money %],"&lt;"&amp;$BG3,Tracker[Bet Type Drill Down],BQ$1))/COUNTIFS(Tracker[Money %],"&gt;="&amp;$BG2,Tracker[Money %],"&lt;"&amp;$BG3,Tracker[Bet Type Drill Down],BQ$1),2)&gt;0.05,"X",IF(ROUND((SUMIFS(Tracker[Net],Tracker[Money %],"&gt;="&amp;$BG2,Tracker[Money %],"&lt;"&amp;$BG3,Tracker[Bet Type Drill Down],BQ$1))/COUNTIFS(Tracker[Money %],"&gt;="&amp;$BG2,Tracker[Money %],"&lt;"&amp;$BG3,Tracker[Bet Type Drill Down],BQ$1),2)&lt;-0.15,"O","")),"")</f>
        <v/>
      </c>
      <c r="BR2" s="24" t="str">
        <f>IFERROR(IF(ROUND((SUMIFS(Tracker[Net],Tracker[Money %],"&gt;="&amp;$BG2,Tracker[Money %],"&lt;"&amp;$BG3,Tracker[Bet Type Drill Down],BR$1))/COUNTIFS(Tracker[Money %],"&gt;="&amp;$BG2,Tracker[Money %],"&lt;"&amp;$BG3,Tracker[Bet Type Drill Down],BR$1),2)&gt;0.05,"X",IF(ROUND((SUMIFS(Tracker[Net],Tracker[Money %],"&gt;="&amp;$BG2,Tracker[Money %],"&lt;"&amp;$BG3,Tracker[Bet Type Drill Down],BR$1))/COUNTIFS(Tracker[Money %],"&gt;="&amp;$BG2,Tracker[Money %],"&lt;"&amp;$BG3,Tracker[Bet Type Drill Down],BR$1),2)&lt;-0.15,"O","")),"")</f>
        <v/>
      </c>
      <c r="BT2" s="153">
        <v>0</v>
      </c>
      <c r="BU2" s="154" t="str">
        <f>ROUND(BT2*100,0)&amp;"  to  "&amp;ROUND(BT3*100,0)&amp;"%"</f>
        <v>0  to  5%</v>
      </c>
      <c r="BV2" t="str">
        <f>IFERROR(COUNTIFS(Tracker[Bet %],"&gt;="&amp;BT2,Tracker[Bet %],"&lt;"&amp;BT3,Tracker[Result],"W")&amp;"-"&amp;COUNTIFS(Tracker[Bet %],"&gt;="&amp;BT2,Tracker[Bet %],"&lt;"&amp;BT3,Tracker[Result],"L")&amp;"-"&amp;COUNTIFS(Tracker[Bet %],"&gt;="&amp;BT2,Tracker[Bet %],"&lt;"&amp;BT3,Tracker[Result],"Push")&amp;" ("&amp;ROUND(COUNTIFS(Tracker[Bet %],"&gt;="&amp;BT2,Tracker[Bet %],"&lt;"&amp;BT3,Tracker[Result],"W")/(COUNTIFS(Tracker[Bet %],"&gt;="&amp;BT2,Tracker[Bet %],"&lt;"&amp;BT3,Tracker[Result],"L")+COUNTIFS(Tracker[Bet %],"&gt;="&amp;BT2,Tracker[Bet %],"&lt;"&amp;BT3,Tracker[Result],"W"))*100,2)&amp;"%)","No Bets")</f>
        <v>No Bets</v>
      </c>
      <c r="BW2">
        <f>SUMIFS(Tracker[Net],Tracker[Bet %],"&gt;="&amp;BT2,Tracker[Bet %],"&lt;"&amp;BT3)</f>
        <v>0</v>
      </c>
      <c r="BX2" s="24" t="str">
        <f>IFERROR(IF(ROUND((SUMIFS(Tracker[Net],Tracker[Bet %],"&gt;="&amp;$BG2,Tracker[Bet %],"&lt;"&amp;$BG3,Tracker[Bet Type],BX$1))/COUNTIFS(Tracker[Bet %],"&gt;="&amp;$BG2,Tracker[Bet %],"&lt;"&amp;$BG3,Tracker[Bet Type],BX$1),2)&gt;0.05,"X",IF(ROUND((SUMIFS(Tracker[Net],Tracker[Bet %],"&gt;="&amp;$BG2,Tracker[Bet %],"&lt;"&amp;$BG3,Tracker[Bet Type],BX$1))/COUNTIFS(Tracker[Bet %],"&gt;="&amp;$BG2,Tracker[Bet %],"&lt;"&amp;$BG3,Tracker[Bet Type],BX$1),2)&lt;-0.15,"O","")),"")</f>
        <v/>
      </c>
      <c r="BY2" s="24" t="str">
        <f>IFERROR(IF(ROUND((SUMIFS(Tracker[Net],Tracker[Bet %],"&gt;="&amp;$BG2,Tracker[Bet %],"&lt;"&amp;$BG3,Tracker[Bet Type],BY$1))/COUNTIFS(Tracker[Bet %],"&gt;="&amp;$BG2,Tracker[Bet %],"&lt;"&amp;$BG3,Tracker[Bet Type],BY$1),2)&gt;0.05,"X",IF(ROUND((SUMIFS(Tracker[Net],Tracker[Bet %],"&gt;="&amp;$BG2,Tracker[Bet %],"&lt;"&amp;$BG3,Tracker[Bet Type],BY$1))/COUNTIFS(Tracker[Bet %],"&gt;="&amp;$BG2,Tracker[Bet %],"&lt;"&amp;$BG3,Tracker[Bet Type],BY$1),2)&lt;-0.15,"O","")),"")</f>
        <v/>
      </c>
      <c r="BZ2" s="24" t="str">
        <f>IFERROR(IF(ROUND((SUMIFS(Tracker[Net],Tracker[Bet %],"&gt;="&amp;$BG2,Tracker[Bet %],"&lt;"&amp;$BG3,Tracker[Bet Type],BZ$1))/COUNTIFS(Tracker[Bet %],"&gt;="&amp;$BG2,Tracker[Bet %],"&lt;"&amp;$BG3,Tracker[Bet Type],BZ$1),2)&gt;0.05,"X",IF(ROUND((SUMIFS(Tracker[Net],Tracker[Bet %],"&gt;="&amp;$BG2,Tracker[Bet %],"&lt;"&amp;$BG3,Tracker[Bet Type],BZ$1))/COUNTIFS(Tracker[Bet %],"&gt;="&amp;$BG2,Tracker[Bet %],"&lt;"&amp;$BG3,Tracker[Bet Type],BZ$1),2)&lt;-0.15,"O","")),"")</f>
        <v/>
      </c>
      <c r="CA2" s="24" t="str">
        <f>IFERROR(IF(ROUND((SUMIFS(Tracker[Net],Tracker[Bet %],"&gt;="&amp;$BG2,Tracker[Bet %],"&lt;"&amp;$BG3,Tracker[Bet Type],CA$1))/COUNTIFS(Tracker[Bet %],"&gt;="&amp;$BG2,Tracker[Bet %],"&lt;"&amp;$BG3,Tracker[Bet Type],CA$1),2)&gt;0.05,"X",IF(ROUND((SUMIFS(Tracker[Net],Tracker[Bet %],"&gt;="&amp;$BG2,Tracker[Bet %],"&lt;"&amp;$BG3,Tracker[Bet Type],CA$1))/COUNTIFS(Tracker[Bet %],"&gt;="&amp;$BG2,Tracker[Bet %],"&lt;"&amp;$BG3,Tracker[Bet Type],CA$1),2)&lt;-0.15,"O","")),"")</f>
        <v/>
      </c>
      <c r="CB2" s="24" t="str">
        <f>IFERROR(IF(ROUND((SUMIFS(Tracker[Net],Tracker[Bet %],"&gt;="&amp;$BG2,Tracker[Bet %],"&lt;"&amp;$BG3,Tracker[Bet Type Drill Down],CB$1))/COUNTIFS(Tracker[Bet %],"&gt;="&amp;$BG2,Tracker[Bet %],"&lt;"&amp;$BG3,Tracker[Bet Type Drill Down],CB$1),2)&gt;0.05,"X",IF(ROUND((SUMIFS(Tracker[Net],Tracker[Bet %],"&gt;="&amp;$BG2,Tracker[Bet %],"&lt;"&amp;$BG3,Tracker[Bet Type Drill Down],CB$1))/COUNTIFS(Tracker[Bet %],"&gt;="&amp;$BG2,Tracker[Bet %],"&lt;"&amp;$BG3,Tracker[Bet Type Drill Down],CB$1),2)&lt;-0.15,"O","")),"")</f>
        <v/>
      </c>
      <c r="CC2" s="24" t="str">
        <f>IFERROR(IF(ROUND((SUMIFS(Tracker[Net],Tracker[Bet %],"&gt;="&amp;$BG2,Tracker[Bet %],"&lt;"&amp;$BG3,Tracker[Bet Type Drill Down],CC$1))/COUNTIFS(Tracker[Bet %],"&gt;="&amp;$BG2,Tracker[Bet %],"&lt;"&amp;$BG3,Tracker[Bet Type Drill Down],CC$1),2)&gt;0.05,"X",IF(ROUND((SUMIFS(Tracker[Net],Tracker[Bet %],"&gt;="&amp;$BG2,Tracker[Bet %],"&lt;"&amp;$BG3,Tracker[Bet Type Drill Down],CC$1))/COUNTIFS(Tracker[Bet %],"&gt;="&amp;$BG2,Tracker[Bet %],"&lt;"&amp;$BG3,Tracker[Bet Type Drill Down],CC$1),2)&lt;-0.15,"O","")),"")</f>
        <v/>
      </c>
      <c r="CD2" s="24" t="str">
        <f>IFERROR(IF(ROUND((SUMIFS(Tracker[Net],Tracker[Bet %],"&gt;="&amp;$BG2,Tracker[Bet %],"&lt;"&amp;$BG3,Tracker[Bet Type Drill Down],CD$1))/COUNTIFS(Tracker[Bet %],"&gt;="&amp;$BG2,Tracker[Bet %],"&lt;"&amp;$BG3,Tracker[Bet Type Drill Down],CD$1),2)&gt;0.05,"X",IF(ROUND((SUMIFS(Tracker[Net],Tracker[Bet %],"&gt;="&amp;$BG2,Tracker[Bet %],"&lt;"&amp;$BG3,Tracker[Bet Type Drill Down],CD$1))/COUNTIFS(Tracker[Bet %],"&gt;="&amp;$BG2,Tracker[Bet %],"&lt;"&amp;$BG3,Tracker[Bet Type Drill Down],CD$1),2)&lt;-0.15,"O","")),"")</f>
        <v/>
      </c>
      <c r="CE2" s="24" t="str">
        <f>IFERROR(IF(ROUND((SUMIFS(Tracker[Net],Tracker[Bet %],"&gt;="&amp;$BG2,Tracker[Bet %],"&lt;"&amp;$BG3,Tracker[Bet Type Drill Down],CE$1))/COUNTIFS(Tracker[Bet %],"&gt;="&amp;$BG2,Tracker[Bet %],"&lt;"&amp;$BG3,Tracker[Bet Type Drill Down],CE$1),2)&gt;0.05,"X",IF(ROUND((SUMIFS(Tracker[Net],Tracker[Bet %],"&gt;="&amp;$BG2,Tracker[Bet %],"&lt;"&amp;$BG3,Tracker[Bet Type Drill Down],CE$1))/COUNTIFS(Tracker[Bet %],"&gt;="&amp;$BG2,Tracker[Bet %],"&lt;"&amp;$BG3,Tracker[Bet Type Drill Down],CE$1),2)&lt;-0.15,"O","")),"")</f>
        <v/>
      </c>
    </row>
    <row r="3" spans="1:83" x14ac:dyDescent="0.25">
      <c r="B3" s="4" t="s">
        <v>144</v>
      </c>
      <c r="C3" s="65" t="s">
        <v>844</v>
      </c>
      <c r="D3" s="4" t="s">
        <v>236</v>
      </c>
      <c r="E3" s="4" t="s">
        <v>237</v>
      </c>
      <c r="F3" s="69" t="s">
        <v>798</v>
      </c>
      <c r="G3" s="4" t="s">
        <v>201</v>
      </c>
      <c r="H3" s="4" t="s">
        <v>238</v>
      </c>
      <c r="I3" s="4" t="s">
        <v>239</v>
      </c>
      <c r="J3" s="4" t="s">
        <v>240</v>
      </c>
      <c r="K3" s="98" t="s">
        <v>195</v>
      </c>
      <c r="L3" s="98" t="s">
        <v>196</v>
      </c>
      <c r="M3" s="122" t="s">
        <v>1205</v>
      </c>
      <c r="N3" s="122" t="s">
        <v>1273</v>
      </c>
      <c r="O3" s="133" t="s">
        <v>1539</v>
      </c>
      <c r="P3" s="133" t="s">
        <v>1540</v>
      </c>
      <c r="Q3" s="133" t="s">
        <v>2005</v>
      </c>
      <c r="R3" s="150" t="s">
        <v>1619</v>
      </c>
      <c r="U3" s="57" t="s">
        <v>144</v>
      </c>
      <c r="V3" s="174" t="s">
        <v>241</v>
      </c>
      <c r="W3" s="174"/>
      <c r="X3" s="174" t="s">
        <v>242</v>
      </c>
      <c r="Y3" s="175"/>
      <c r="AA3" s="24" t="s">
        <v>243</v>
      </c>
      <c r="AB3" s="24" t="s">
        <v>241</v>
      </c>
      <c r="AC3" s="174" t="s">
        <v>242</v>
      </c>
      <c r="AD3" s="175"/>
      <c r="AF3" s="36">
        <v>0</v>
      </c>
      <c r="AG3" s="66" t="str">
        <f t="shared" ref="AG3:AG21" si="0">AF3*100&amp;"-"&amp;AF4*100&amp;"%"</f>
        <v>0-5%</v>
      </c>
      <c r="AH3" s="122" t="str">
        <f>IFERROR(COUNTIFS(Tracker[Cover %],"&gt;="&amp;AF3,Tracker[Cover %],"&lt;"&amp;AF4,Tracker[Result],"W")&amp;"-"&amp;COUNTIFS(Tracker[Cover %],"&gt;="&amp;AF3,Tracker[Cover %],"&lt;"&amp;AF4,Tracker[Result],"L")&amp;"-"&amp;COUNTIFS(Tracker[Cover %],"&gt;="&amp;AF3,Tracker[Cover %],"&lt;"&amp;AF4,Tracker[Result],"Push")&amp;" ("&amp;ROUND(COUNTIFS(Tracker[Cover %],"&gt;="&amp;AF3,Tracker[Cover %],"&lt;"&amp;AF4,Tracker[Result],"W")/(COUNTIFS(Tracker[Cover %],"&gt;="&amp;AF3,Tracker[Cover %],"&lt;"&amp;AF4,Tracker[Result],"L")+COUNTIFS(Tracker[Cover %],"&gt;="&amp;AF3,Tracker[Cover %],"&lt;"&amp;AF4,Tracker[Result],"W"))*100,2)&amp;"%)","No Bets")</f>
        <v>No Bets</v>
      </c>
      <c r="AI3" s="72">
        <f>SUMIFS(Tracker[Net],Tracker[Cover %],"&gt;="&amp;AF3,Tracker[Cover %],"&lt;"&amp;AF4)</f>
        <v>0</v>
      </c>
      <c r="AJ3" s="24" t="str">
        <f>IFERROR(IF(ROUND((SUMIFS(Tracker[Net],Tracker[Cover %],"&gt;="&amp;$AF3,Tracker[Cover %],"&lt;"&amp;$AF4,Tracker[Bet Type],AJ$2))/COUNTIFS(Tracker[Cover %],"&gt;="&amp;$AF3,Tracker[Cover %],"&lt;"&amp;$AF4,Tracker[Bet Type],AJ$2),2)&gt;0.05,"X",IF(ROUND((SUMIFS(Tracker[Net],Tracker[Cover %],"&gt;="&amp;$AF3,Tracker[Cover %],"&lt;"&amp;$AF4,Tracker[Bet Type],AJ$2))/COUNTIFS(Tracker[Cover %],"&gt;="&amp;$AF3,Tracker[Cover %],"&lt;"&amp;$AF4,Tracker[Bet Type],AJ$2),2)&lt;-0.15,"O","")),"")</f>
        <v/>
      </c>
      <c r="AK3" s="24" t="str">
        <f>IFERROR(IF(ROUND((SUMIFS(Tracker[Net],Tracker[Cover %],"&gt;="&amp;$AF3,Tracker[Cover %],"&lt;"&amp;$AF4,Tracker[Bet Type],AK$2))/COUNTIFS(Tracker[Cover %],"&gt;="&amp;$AF3,Tracker[Cover %],"&lt;"&amp;$AF4,Tracker[Bet Type],AK$2),2)&gt;0.05,"X",IF(ROUND((SUMIFS(Tracker[Net],Tracker[Cover %],"&gt;="&amp;$AF3,Tracker[Cover %],"&lt;"&amp;$AF4,Tracker[Bet Type],AK$2))/COUNTIFS(Tracker[Cover %],"&gt;="&amp;$AF3,Tracker[Cover %],"&lt;"&amp;$AF4,Tracker[Bet Type],AK$2),2)&lt;-0.15,"O","")),"")</f>
        <v/>
      </c>
      <c r="AL3" s="24" t="str">
        <f>IFERROR(IF(ROUND((SUMIFS(Tracker[Net],Tracker[Cover %],"&gt;="&amp;$AF3,Tracker[Cover %],"&lt;"&amp;$AF4,Tracker[Bet Type],AL$2))/COUNTIFS(Tracker[Cover %],"&gt;="&amp;$AF3,Tracker[Cover %],"&lt;"&amp;$AF4,Tracker[Bet Type],AL$2),2)&gt;0.05,"X",IF(ROUND((SUMIFS(Tracker[Net],Tracker[Cover %],"&gt;="&amp;$AF3,Tracker[Cover %],"&lt;"&amp;$AF4,Tracker[Bet Type],AL$2))/COUNTIFS(Tracker[Cover %],"&gt;="&amp;$AF3,Tracker[Cover %],"&lt;"&amp;$AF4,Tracker[Bet Type],AL$2),2)&lt;-0.15,"O","")),"")</f>
        <v/>
      </c>
      <c r="AM3" s="24" t="str">
        <f>IFERROR(IF(ROUND((SUMIFS(Tracker[Net],Tracker[Cover %],"&gt;="&amp;$AF3,Tracker[Cover %],"&lt;"&amp;$AF4,Tracker[Bet Type],AM$2))/COUNTIFS(Tracker[Cover %],"&gt;="&amp;$AF3,Tracker[Cover %],"&lt;"&amp;$AF4,Tracker[Bet Type],AM$2),2)&gt;0.05,"X",IF(ROUND((SUMIFS(Tracker[Net],Tracker[Cover %],"&gt;="&amp;$AF3,Tracker[Cover %],"&lt;"&amp;$AF4,Tracker[Bet Type],AM$2))/COUNTIFS(Tracker[Cover %],"&gt;="&amp;$AF3,Tracker[Cover %],"&lt;"&amp;$AF4,Tracker[Bet Type],AM$2),2)&lt;-0.15,"O","")),"")</f>
        <v/>
      </c>
      <c r="AN3" s="24" t="str">
        <f>IFERROR(IF(ROUND((SUMIFS(Tracker[Net],Tracker[Cover %],"&gt;="&amp;$AF3,Tracker[Cover %],"&lt;"&amp;$AF4,Tracker[Bet Type Drill Down],AN$2))/COUNTIFS(Tracker[Cover %],"&gt;="&amp;$AF3,Tracker[Cover %],"&lt;"&amp;$AF4,Tracker[Bet Type Drill Down],AN$2),2)&gt;0.05,"X",IF(ROUND((SUMIFS(Tracker[Net],Tracker[Cover %],"&gt;="&amp;$AF3,Tracker[Cover %],"&lt;"&amp;$AF4,Tracker[Bet Type Drill Down],AN$2))/COUNTIFS(Tracker[Cover %],"&gt;="&amp;$AF3,Tracker[Cover %],"&lt;"&amp;$AF4,Tracker[Bet Type Drill Down],AN$2),2)&lt;-0.15,"O","")),"")</f>
        <v/>
      </c>
      <c r="AO3" s="24" t="str">
        <f>IFERROR(IF(ROUND((SUMIFS(Tracker[Net],Tracker[Cover %],"&gt;="&amp;$AF3,Tracker[Cover %],"&lt;"&amp;$AF4,Tracker[Bet Type Drill Down],AO$2))/COUNTIFS(Tracker[Cover %],"&gt;="&amp;$AF3,Tracker[Cover %],"&lt;"&amp;$AF4,Tracker[Bet Type Drill Down],AO$2),2)&gt;0.05,"X",IF(ROUND((SUMIFS(Tracker[Net],Tracker[Cover %],"&gt;="&amp;$AF3,Tracker[Cover %],"&lt;"&amp;$AF4,Tracker[Bet Type Drill Down],AO$2))/COUNTIFS(Tracker[Cover %],"&gt;="&amp;$AF3,Tracker[Cover %],"&lt;"&amp;$AF4,Tracker[Bet Type Drill Down],AO$2),2)&lt;-0.15,"O","")),"")</f>
        <v/>
      </c>
      <c r="AP3" s="24" t="str">
        <f>IFERROR(IF(ROUND((SUMIFS(Tracker[Net],Tracker[Cover %],"&gt;="&amp;$AF3,Tracker[Cover %],"&lt;"&amp;$AF4,Tracker[Bet Type Drill Down],AP$2))/COUNTIFS(Tracker[Cover %],"&gt;="&amp;$AF3,Tracker[Cover %],"&lt;"&amp;$AF4,Tracker[Bet Type Drill Down],AP$2),2)&gt;0.05,"X",IF(ROUND((SUMIFS(Tracker[Net],Tracker[Cover %],"&gt;="&amp;$AF3,Tracker[Cover %],"&lt;"&amp;$AF4,Tracker[Bet Type Drill Down],AP$2))/COUNTIFS(Tracker[Cover %],"&gt;="&amp;$AF3,Tracker[Cover %],"&lt;"&amp;$AF4,Tracker[Bet Type Drill Down],AP$2),2)&lt;-0.15,"O","")),"")</f>
        <v/>
      </c>
      <c r="AQ3" s="24" t="str">
        <f>IFERROR(IF(ROUND((SUMIFS(Tracker[Net],Tracker[Cover %],"&gt;="&amp;$AF3,Tracker[Cover %],"&lt;"&amp;$AF4,Tracker[Bet Type Drill Down],AQ$2))/COUNTIFS(Tracker[Cover %],"&gt;="&amp;$AF3,Tracker[Cover %],"&lt;"&amp;$AF4,Tracker[Bet Type Drill Down],AQ$2),2)&gt;0.05,"X",IF(ROUND((SUMIFS(Tracker[Net],Tracker[Cover %],"&gt;="&amp;$AF3,Tracker[Cover %],"&lt;"&amp;$AF4,Tracker[Bet Type Drill Down],AQ$2))/COUNTIFS(Tracker[Cover %],"&gt;="&amp;$AF3,Tracker[Cover %],"&lt;"&amp;$AF4,Tracker[Bet Type Drill Down],AQ$2),2)&lt;-0.15,"O","")),"")</f>
        <v/>
      </c>
      <c r="AT3" s="153">
        <f t="shared" ref="AT3:AT43" si="1">AT2+$AB$23</f>
        <v>-0.95</v>
      </c>
      <c r="AU3" s="39" t="str">
        <f t="shared" ref="AU3:AU41" si="2">ROUND(AT3*100,0)&amp;"  to  "&amp;ROUND(AT4*100,0)&amp;"%"</f>
        <v>-95  to  -90%</v>
      </c>
      <c r="AV3" t="str">
        <f>IFERROR(COUNTIFS(Tracker[Money Discrepency],"&gt;="&amp;AT3,Tracker[Money Discrepency],"&lt;"&amp;AT4,Tracker[Result],"W")&amp;"-"&amp;COUNTIFS(Tracker[Money Discrepency],"&gt;="&amp;AT3,Tracker[Money Discrepency],"&lt;"&amp;AT4,Tracker[Result],"L")&amp;"-"&amp;COUNTIFS(Tracker[Money Discrepency],"&gt;="&amp;AT3,Tracker[Money Discrepency],"&lt;"&amp;AT4,Tracker[Result],"Push")&amp;" ("&amp;ROUND(COUNTIFS(Tracker[Money Discrepency],"&gt;="&amp;AT3,Tracker[Money Discrepency],"&lt;"&amp;AT4,Tracker[Result],"W")/(COUNTIFS(Tracker[Money Discrepency],"&gt;="&amp;AT3,Tracker[Money Discrepency],"&lt;"&amp;AT4,Tracker[Result],"L")+COUNTIFS(Tracker[Money Discrepency],"&gt;="&amp;AT3,Tracker[Money Discrepency],"&lt;"&amp;AT4,Tracker[Result],"W"))*100,2)&amp;"%)","No Bets")</f>
        <v>No Bets</v>
      </c>
      <c r="AW3">
        <f>SUMIFS(Tracker[Net],Tracker[Money Discrepency],"&gt;="&amp;AT3,Tracker[Money Discrepency],"&lt;"&amp;AT4)</f>
        <v>0</v>
      </c>
      <c r="AX3" s="24" t="str">
        <f>IFERROR(IF(ROUND((SUMIFS(Tracker[Net],Tracker[Money Discrepency],"&gt;="&amp;$AT3,Tracker[Money Discrepency],"&lt;"&amp;$AT4,Tracker[Bet Type],AX$1))/COUNTIFS(Tracker[Money Discrepency],"&gt;="&amp;$AT3,Tracker[Money Discrepency],"&lt;"&amp;$AT4,Tracker[Bet Type],AX$1),2)&gt;0.05,"X",IF(ROUND((SUMIFS(Tracker[Net],Tracker[Money Discrepency],"&gt;="&amp;$AT3,Tracker[Money Discrepency],"&lt;"&amp;$AT4,Tracker[Bet Type],AX$1))/COUNTIFS(Tracker[Money Discrepency],"&gt;="&amp;$AT3,Tracker[Money Discrepency],"&lt;"&amp;$AT4,Tracker[Bet Type],AX$1),2)&lt;-0.15,"O","")),"")</f>
        <v/>
      </c>
      <c r="AY3" s="24" t="str">
        <f>IFERROR(IF(ROUND((SUMIFS(Tracker[Net],Tracker[Money Discrepency],"&gt;="&amp;$AT3,Tracker[Money Discrepency],"&lt;"&amp;$AT4,Tracker[Bet Type],AY$1))/COUNTIFS(Tracker[Money Discrepency],"&gt;="&amp;$AT3,Tracker[Money Discrepency],"&lt;"&amp;$AT4,Tracker[Bet Type],AY$1),2)&gt;0.05,"X",IF(ROUND((SUMIFS(Tracker[Net],Tracker[Money Discrepency],"&gt;="&amp;$AT3,Tracker[Money Discrepency],"&lt;"&amp;$AT4,Tracker[Bet Type],AY$1))/COUNTIFS(Tracker[Money Discrepency],"&gt;="&amp;$AT3,Tracker[Money Discrepency],"&lt;"&amp;$AT4,Tracker[Bet Type],AY$1),2)&lt;-0.15,"O","")),"")</f>
        <v/>
      </c>
      <c r="AZ3" s="24" t="str">
        <f>IFERROR(IF(ROUND((SUMIFS(Tracker[Net],Tracker[Money Discrepency],"&gt;="&amp;$AT3,Tracker[Money Discrepency],"&lt;"&amp;$AT4,Tracker[Bet Type],AZ$1))/COUNTIFS(Tracker[Money Discrepency],"&gt;="&amp;$AT3,Tracker[Money Discrepency],"&lt;"&amp;$AT4,Tracker[Bet Type],AZ$1),2)&gt;0.05,"X",IF(ROUND((SUMIFS(Tracker[Net],Tracker[Money Discrepency],"&gt;="&amp;$AT3,Tracker[Money Discrepency],"&lt;"&amp;$AT4,Tracker[Bet Type],AZ$1))/COUNTIFS(Tracker[Money Discrepency],"&gt;="&amp;$AT3,Tracker[Money Discrepency],"&lt;"&amp;$AT4,Tracker[Bet Type],AZ$1),2)&lt;-0.15,"O","")),"")</f>
        <v/>
      </c>
      <c r="BA3" s="24" t="str">
        <f>IFERROR(IF(ROUND((SUMIFS(Tracker[Net],Tracker[Money Discrepency],"&gt;="&amp;$AT3,Tracker[Money Discrepency],"&lt;"&amp;$AT4,Tracker[Bet Type],BA$1))/COUNTIFS(Tracker[Money Discrepency],"&gt;="&amp;$AT3,Tracker[Money Discrepency],"&lt;"&amp;$AT4,Tracker[Bet Type],BA$1),2)&gt;0.05,"X",IF(ROUND((SUMIFS(Tracker[Net],Tracker[Money Discrepency],"&gt;="&amp;$AT3,Tracker[Money Discrepency],"&lt;"&amp;$AT4,Tracker[Bet Type],BA$1))/COUNTIFS(Tracker[Money Discrepency],"&gt;="&amp;$AT3,Tracker[Money Discrepency],"&lt;"&amp;$AT4,Tracker[Bet Type],BA$1),2)&lt;-0.15,"O","")),"")</f>
        <v/>
      </c>
      <c r="BB3" s="24" t="str">
        <f>IFERROR(IF(ROUND((SUMIFS(Tracker[Net],Tracker[Money Discrepency],"&gt;="&amp;$AT3,Tracker[Money Discrepency],"&lt;"&amp;$AT4,Tracker[Bet Type Drill Down],BB$1))/COUNTIFS(Tracker[Money Discrepency],"&gt;="&amp;$AT3,Tracker[Money Discrepency],"&lt;"&amp;$AT4,Tracker[Bet Type Drill Down],BB$1),2)&gt;0.05,"X",IF(ROUND((SUMIFS(Tracker[Net],Tracker[Money Discrepency],"&gt;="&amp;$AT3,Tracker[Money Discrepency],"&lt;"&amp;$AT4,Tracker[Bet Type Drill Down],BB$1))/COUNTIFS(Tracker[Money Discrepency],"&gt;="&amp;$AT3,Tracker[Money Discrepency],"&lt;"&amp;$AT4,Tracker[Bet Type Drill Down],BB$1),2)&lt;-0.15,"O","")),"")</f>
        <v/>
      </c>
      <c r="BC3" s="24" t="str">
        <f>IFERROR(IF(ROUND((SUMIFS(Tracker[Net],Tracker[Money Discrepency],"&gt;="&amp;$AT3,Tracker[Money Discrepency],"&lt;"&amp;$AT4,Tracker[Bet Type Drill Down],BC$1))/COUNTIFS(Tracker[Money Discrepency],"&gt;="&amp;$AT3,Tracker[Money Discrepency],"&lt;"&amp;$AT4,Tracker[Bet Type Drill Down],BC$1),2)&gt;0.05,"X",IF(ROUND((SUMIFS(Tracker[Net],Tracker[Money Discrepency],"&gt;="&amp;$AT3,Tracker[Money Discrepency],"&lt;"&amp;$AT4,Tracker[Bet Type Drill Down],BC$1))/COUNTIFS(Tracker[Money Discrepency],"&gt;="&amp;$AT3,Tracker[Money Discrepency],"&lt;"&amp;$AT4,Tracker[Bet Type Drill Down],BC$1),2)&lt;-0.15,"O","")),"")</f>
        <v/>
      </c>
      <c r="BD3" s="24" t="str">
        <f>IFERROR(IF(ROUND((SUMIFS(Tracker[Net],Tracker[Money Discrepency],"&gt;="&amp;$AT3,Tracker[Money Discrepency],"&lt;"&amp;$AT4,Tracker[Bet Type Drill Down],BD$1))/COUNTIFS(Tracker[Money Discrepency],"&gt;="&amp;$AT3,Tracker[Money Discrepency],"&lt;"&amp;$AT4,Tracker[Bet Type Drill Down],BD$1),2)&gt;0.05,"X",IF(ROUND((SUMIFS(Tracker[Net],Tracker[Money Discrepency],"&gt;="&amp;$AT3,Tracker[Money Discrepency],"&lt;"&amp;$AT4,Tracker[Bet Type Drill Down],BD$1))/COUNTIFS(Tracker[Money Discrepency],"&gt;="&amp;$AT3,Tracker[Money Discrepency],"&lt;"&amp;$AT4,Tracker[Bet Type Drill Down],BD$1),2)&lt;-0.15,"O","")),"")</f>
        <v/>
      </c>
      <c r="BE3" s="24" t="str">
        <f>IFERROR(IF(ROUND((SUMIFS(Tracker[Net],Tracker[Money Discrepency],"&gt;="&amp;$AT3,Tracker[Money Discrepency],"&lt;"&amp;$AT4,Tracker[Bet Type Drill Down],BE$1))/COUNTIFS(Tracker[Money Discrepency],"&gt;="&amp;$AT3,Tracker[Money Discrepency],"&lt;"&amp;$AT4,Tracker[Bet Type Drill Down],BE$1),2)&gt;0.05,"X",IF(ROUND((SUMIFS(Tracker[Net],Tracker[Money Discrepency],"&gt;="&amp;$AT3,Tracker[Money Discrepency],"&lt;"&amp;$AT4,Tracker[Bet Type Drill Down],BE$1))/COUNTIFS(Tracker[Money Discrepency],"&gt;="&amp;$AT3,Tracker[Money Discrepency],"&lt;"&amp;$AT4,Tracker[Bet Type Drill Down],BE$1),2)&lt;-0.15,"O","")),"")</f>
        <v/>
      </c>
      <c r="BG3" s="153">
        <f t="shared" ref="BG3:BG25" si="3">BG2+$AB$23</f>
        <v>0.05</v>
      </c>
      <c r="BH3" s="154" t="str">
        <f t="shared" ref="BH3:BH21" si="4">ROUND(BG3*100,0)&amp;"  to  "&amp;ROUND(BG4*100,0)&amp;"%"</f>
        <v>5  to  10%</v>
      </c>
      <c r="BI3" t="str">
        <f>IFERROR(COUNTIFS(Tracker[Money %],"&gt;="&amp;BG3,Tracker[Money %],"&lt;"&amp;BG4,Tracker[Result],"W")&amp;"-"&amp;COUNTIFS(Tracker[Money %],"&gt;="&amp;BG3,Tracker[Money %],"&lt;"&amp;BG4,Tracker[Result],"L")&amp;"-"&amp;COUNTIFS(Tracker[Money %],"&gt;="&amp;BG3,Tracker[Money %],"&lt;"&amp;BG4,Tracker[Result],"Push")&amp;" ("&amp;ROUND(COUNTIFS(Tracker[Money %],"&gt;="&amp;BG3,Tracker[Money %],"&lt;"&amp;BG4,Tracker[Result],"W")/(COUNTIFS(Tracker[Money %],"&gt;="&amp;BG3,Tracker[Money %],"&lt;"&amp;BG4,Tracker[Result],"L")+COUNTIFS(Tracker[Money %],"&gt;="&amp;BG3,Tracker[Money %],"&lt;"&amp;BG4,Tracker[Result],"W"))*100,2)&amp;"%)","No Bets")</f>
        <v>3-7-1 (30%)</v>
      </c>
      <c r="BJ3">
        <f>SUMIFS(Tracker[Net],Tracker[Money %],"&gt;="&amp;BG3,Tracker[Money %],"&lt;"&amp;BG4)</f>
        <v>-4.2727272727272725</v>
      </c>
      <c r="BK3" s="24" t="str">
        <f>IFERROR(IF(ROUND((SUMIFS(Tracker[Net],Tracker[Money %],"&gt;="&amp;$BG3,Tracker[Money %],"&lt;"&amp;$BG4,Tracker[Bet Type],BK$1))/COUNTIFS(Tracker[Money %],"&gt;="&amp;$BG3,Tracker[Money %],"&lt;"&amp;$BG4,Tracker[Bet Type],BK$1),2)&gt;0.05,"X",IF(ROUND((SUMIFS(Tracker[Net],Tracker[Money %],"&gt;="&amp;$BG3,Tracker[Money %],"&lt;"&amp;$BG4,Tracker[Bet Type],BK$1))/COUNTIFS(Tracker[Money %],"&gt;="&amp;$BG3,Tracker[Money %],"&lt;"&amp;$BG4,Tracker[Bet Type],BK$1),2)&lt;-0.15,"O","")),"")</f>
        <v>O</v>
      </c>
      <c r="BL3" s="24" t="str">
        <f>IFERROR(IF(ROUND((SUMIFS(Tracker[Net],Tracker[Money %],"&gt;="&amp;$BG3,Tracker[Money %],"&lt;"&amp;$BG4,Tracker[Bet Type],BL$1))/COUNTIFS(Tracker[Money %],"&gt;="&amp;$BG3,Tracker[Money %],"&lt;"&amp;$BG4,Tracker[Bet Type],BL$1),2)&gt;0.05,"X",IF(ROUND((SUMIFS(Tracker[Net],Tracker[Money %],"&gt;="&amp;$BG3,Tracker[Money %],"&lt;"&amp;$BG4,Tracker[Bet Type],BL$1))/COUNTIFS(Tracker[Money %],"&gt;="&amp;$BG3,Tracker[Money %],"&lt;"&amp;$BG4,Tracker[Bet Type],BL$1),2)&lt;-0.15,"O","")),"")</f>
        <v>O</v>
      </c>
      <c r="BM3" s="24" t="str">
        <f>IFERROR(IF(ROUND((SUMIFS(Tracker[Net],Tracker[Money %],"&gt;="&amp;$BG3,Tracker[Money %],"&lt;"&amp;$BG4,Tracker[Bet Type],BM$1))/COUNTIFS(Tracker[Money %],"&gt;="&amp;$BG3,Tracker[Money %],"&lt;"&amp;$BG4,Tracker[Bet Type],BM$1),2)&gt;0.05,"X",IF(ROUND((SUMIFS(Tracker[Net],Tracker[Money %],"&gt;="&amp;$BG3,Tracker[Money %],"&lt;"&amp;$BG4,Tracker[Bet Type],BM$1))/COUNTIFS(Tracker[Money %],"&gt;="&amp;$BG3,Tracker[Money %],"&lt;"&amp;$BG4,Tracker[Bet Type],BM$1),2)&lt;-0.15,"O","")),"")</f>
        <v>O</v>
      </c>
      <c r="BN3" s="24" t="str">
        <f>IFERROR(IF(ROUND((SUMIFS(Tracker[Net],Tracker[Money %],"&gt;="&amp;$BG3,Tracker[Money %],"&lt;"&amp;$BG4,Tracker[Bet Type],BN$1))/COUNTIFS(Tracker[Money %],"&gt;="&amp;$BG3,Tracker[Money %],"&lt;"&amp;$BG4,Tracker[Bet Type],BN$1),2)&gt;0.05,"X",IF(ROUND((SUMIFS(Tracker[Net],Tracker[Money %],"&gt;="&amp;$BG3,Tracker[Money %],"&lt;"&amp;$BG4,Tracker[Bet Type],BN$1))/COUNTIFS(Tracker[Money %],"&gt;="&amp;$BG3,Tracker[Money %],"&lt;"&amp;$BG4,Tracker[Bet Type],BN$1),2)&lt;-0.15,"O","")),"")</f>
        <v/>
      </c>
      <c r="BO3" s="24" t="str">
        <f>IFERROR(IF(ROUND((SUMIFS(Tracker[Net],Tracker[Money %],"&gt;="&amp;$BG3,Tracker[Money %],"&lt;"&amp;$BG4,Tracker[Bet Type Drill Down],BO$1))/COUNTIFS(Tracker[Money %],"&gt;="&amp;$BG3,Tracker[Money %],"&lt;"&amp;$BG4,Tracker[Bet Type Drill Down],BO$1),2)&gt;0.05,"X",IF(ROUND((SUMIFS(Tracker[Net],Tracker[Money %],"&gt;="&amp;$BG3,Tracker[Money %],"&lt;"&amp;$BG4,Tracker[Bet Type Drill Down],BO$1))/COUNTIFS(Tracker[Money %],"&gt;="&amp;$BG3,Tracker[Money %],"&lt;"&amp;$BG4,Tracker[Bet Type Drill Down],BO$1),2)&lt;-0.15,"O","")),"")</f>
        <v>O</v>
      </c>
      <c r="BP3" s="24" t="str">
        <f>IFERROR(IF(ROUND((SUMIFS(Tracker[Net],Tracker[Money %],"&gt;="&amp;$BG3,Tracker[Money %],"&lt;"&amp;$BG4,Tracker[Bet Type Drill Down],BP$1))/COUNTIFS(Tracker[Money %],"&gt;="&amp;$BG3,Tracker[Money %],"&lt;"&amp;$BG4,Tracker[Bet Type Drill Down],BP$1),2)&gt;0.05,"X",IF(ROUND((SUMIFS(Tracker[Net],Tracker[Money %],"&gt;="&amp;$BG3,Tracker[Money %],"&lt;"&amp;$BG4,Tracker[Bet Type Drill Down],BP$1))/COUNTIFS(Tracker[Money %],"&gt;="&amp;$BG3,Tracker[Money %],"&lt;"&amp;$BG4,Tracker[Bet Type Drill Down],BP$1),2)&lt;-0.15,"O","")),"")</f>
        <v>X</v>
      </c>
      <c r="BQ3" s="24" t="str">
        <f>IFERROR(IF(ROUND((SUMIFS(Tracker[Net],Tracker[Money %],"&gt;="&amp;$BG3,Tracker[Money %],"&lt;"&amp;$BG4,Tracker[Bet Type Drill Down],BQ$1))/COUNTIFS(Tracker[Money %],"&gt;="&amp;$BG3,Tracker[Money %],"&lt;"&amp;$BG4,Tracker[Bet Type Drill Down],BQ$1),2)&gt;0.05,"X",IF(ROUND((SUMIFS(Tracker[Net],Tracker[Money %],"&gt;="&amp;$BG3,Tracker[Money %],"&lt;"&amp;$BG4,Tracker[Bet Type Drill Down],BQ$1))/COUNTIFS(Tracker[Money %],"&gt;="&amp;$BG3,Tracker[Money %],"&lt;"&amp;$BG4,Tracker[Bet Type Drill Down],BQ$1),2)&lt;-0.15,"O","")),"")</f>
        <v/>
      </c>
      <c r="BR3" s="24" t="str">
        <f>IFERROR(IF(ROUND((SUMIFS(Tracker[Net],Tracker[Money %],"&gt;="&amp;$BG3,Tracker[Money %],"&lt;"&amp;$BG4,Tracker[Bet Type Drill Down],BR$1))/COUNTIFS(Tracker[Money %],"&gt;="&amp;$BG3,Tracker[Money %],"&lt;"&amp;$BG4,Tracker[Bet Type Drill Down],BR$1),2)&gt;0.05,"X",IF(ROUND((SUMIFS(Tracker[Net],Tracker[Money %],"&gt;="&amp;$BG3,Tracker[Money %],"&lt;"&amp;$BG4,Tracker[Bet Type Drill Down],BR$1))/COUNTIFS(Tracker[Money %],"&gt;="&amp;$BG3,Tracker[Money %],"&lt;"&amp;$BG4,Tracker[Bet Type Drill Down],BR$1),2)&lt;-0.15,"O","")),"")</f>
        <v>O</v>
      </c>
      <c r="BT3" s="153">
        <f t="shared" ref="BT3:BT22" si="5">BT2+$AB$23</f>
        <v>0.05</v>
      </c>
      <c r="BU3" s="154" t="str">
        <f t="shared" ref="BU3" si="6">ROUND(BT3*100,0)&amp;"  to  "&amp;ROUND(BT4*100,0)&amp;"%"</f>
        <v>5  to  10%</v>
      </c>
      <c r="BV3" t="str">
        <f>IFERROR(COUNTIFS(Tracker[Bet %],"&gt;="&amp;BT3,Tracker[Bet %],"&lt;"&amp;BT4,Tracker[Result],"W")&amp;"-"&amp;COUNTIFS(Tracker[Bet %],"&gt;="&amp;BT3,Tracker[Bet %],"&lt;"&amp;BT4,Tracker[Result],"L")&amp;"-"&amp;COUNTIFS(Tracker[Bet %],"&gt;="&amp;BT3,Tracker[Bet %],"&lt;"&amp;BT4,Tracker[Result],"Push")&amp;" ("&amp;ROUND(COUNTIFS(Tracker[Bet %],"&gt;="&amp;BT3,Tracker[Bet %],"&lt;"&amp;BT4,Tracker[Result],"W")/(COUNTIFS(Tracker[Bet %],"&gt;="&amp;BT3,Tracker[Bet %],"&lt;"&amp;BT4,Tracker[Result],"L")+COUNTIFS(Tracker[Bet %],"&gt;="&amp;BT3,Tracker[Bet %],"&lt;"&amp;BT4,Tracker[Result],"W"))*100,2)&amp;"%)","No Bets")</f>
        <v>No Bets</v>
      </c>
      <c r="BW3">
        <f>SUMIFS(Tracker[Net],Tracker[Bet %],"&gt;="&amp;BT3,Tracker[Bet %],"&lt;"&amp;BT4)</f>
        <v>0</v>
      </c>
      <c r="BX3" s="24" t="str">
        <f>IFERROR(IF(ROUND((SUMIFS(Tracker[Net],Tracker[Bet %],"&gt;="&amp;$BG3,Tracker[Bet %],"&lt;"&amp;$BG4,Tracker[Bet Type],BX$1))/COUNTIFS(Tracker[Bet %],"&gt;="&amp;$BG3,Tracker[Bet %],"&lt;"&amp;$BG4,Tracker[Bet Type],BX$1),2)&gt;0.05,"X",IF(ROUND((SUMIFS(Tracker[Net],Tracker[Bet %],"&gt;="&amp;$BG3,Tracker[Bet %],"&lt;"&amp;$BG4,Tracker[Bet Type],BX$1))/COUNTIFS(Tracker[Bet %],"&gt;="&amp;$BG3,Tracker[Bet %],"&lt;"&amp;$BG4,Tracker[Bet Type],BX$1),2)&lt;-0.15,"O","")),"")</f>
        <v/>
      </c>
      <c r="BY3" s="24" t="str">
        <f>IFERROR(IF(ROUND((SUMIFS(Tracker[Net],Tracker[Bet %],"&gt;="&amp;$BG3,Tracker[Bet %],"&lt;"&amp;$BG4,Tracker[Bet Type],BY$1))/COUNTIFS(Tracker[Bet %],"&gt;="&amp;$BG3,Tracker[Bet %],"&lt;"&amp;$BG4,Tracker[Bet Type],BY$1),2)&gt;0.05,"X",IF(ROUND((SUMIFS(Tracker[Net],Tracker[Bet %],"&gt;="&amp;$BG3,Tracker[Bet %],"&lt;"&amp;$BG4,Tracker[Bet Type],BY$1))/COUNTIFS(Tracker[Bet %],"&gt;="&amp;$BG3,Tracker[Bet %],"&lt;"&amp;$BG4,Tracker[Bet Type],BY$1),2)&lt;-0.15,"O","")),"")</f>
        <v/>
      </c>
      <c r="BZ3" s="24" t="str">
        <f>IFERROR(IF(ROUND((SUMIFS(Tracker[Net],Tracker[Bet %],"&gt;="&amp;$BG3,Tracker[Bet %],"&lt;"&amp;$BG4,Tracker[Bet Type],BZ$1))/COUNTIFS(Tracker[Bet %],"&gt;="&amp;$BG3,Tracker[Bet %],"&lt;"&amp;$BG4,Tracker[Bet Type],BZ$1),2)&gt;0.05,"X",IF(ROUND((SUMIFS(Tracker[Net],Tracker[Bet %],"&gt;="&amp;$BG3,Tracker[Bet %],"&lt;"&amp;$BG4,Tracker[Bet Type],BZ$1))/COUNTIFS(Tracker[Bet %],"&gt;="&amp;$BG3,Tracker[Bet %],"&lt;"&amp;$BG4,Tracker[Bet Type],BZ$1),2)&lt;-0.15,"O","")),"")</f>
        <v/>
      </c>
      <c r="CA3" s="24" t="str">
        <f>IFERROR(IF(ROUND((SUMIFS(Tracker[Net],Tracker[Bet %],"&gt;="&amp;$BG3,Tracker[Bet %],"&lt;"&amp;$BG4,Tracker[Bet Type],CA$1))/COUNTIFS(Tracker[Bet %],"&gt;="&amp;$BG3,Tracker[Bet %],"&lt;"&amp;$BG4,Tracker[Bet Type],CA$1),2)&gt;0.05,"X",IF(ROUND((SUMIFS(Tracker[Net],Tracker[Bet %],"&gt;="&amp;$BG3,Tracker[Bet %],"&lt;"&amp;$BG4,Tracker[Bet Type],CA$1))/COUNTIFS(Tracker[Bet %],"&gt;="&amp;$BG3,Tracker[Bet %],"&lt;"&amp;$BG4,Tracker[Bet Type],CA$1),2)&lt;-0.15,"O","")),"")</f>
        <v/>
      </c>
      <c r="CB3" s="24" t="str">
        <f>IFERROR(IF(ROUND((SUMIFS(Tracker[Net],Tracker[Bet %],"&gt;="&amp;$BG3,Tracker[Bet %],"&lt;"&amp;$BG4,Tracker[Bet Type Drill Down],CB$1))/COUNTIFS(Tracker[Bet %],"&gt;="&amp;$BG3,Tracker[Bet %],"&lt;"&amp;$BG4,Tracker[Bet Type Drill Down],CB$1),2)&gt;0.05,"X",IF(ROUND((SUMIFS(Tracker[Net],Tracker[Bet %],"&gt;="&amp;$BG3,Tracker[Bet %],"&lt;"&amp;$BG4,Tracker[Bet Type Drill Down],CB$1))/COUNTIFS(Tracker[Bet %],"&gt;="&amp;$BG3,Tracker[Bet %],"&lt;"&amp;$BG4,Tracker[Bet Type Drill Down],CB$1),2)&lt;-0.15,"O","")),"")</f>
        <v/>
      </c>
      <c r="CC3" s="24" t="str">
        <f>IFERROR(IF(ROUND((SUMIFS(Tracker[Net],Tracker[Bet %],"&gt;="&amp;$BG3,Tracker[Bet %],"&lt;"&amp;$BG4,Tracker[Bet Type Drill Down],CC$1))/COUNTIFS(Tracker[Bet %],"&gt;="&amp;$BG3,Tracker[Bet %],"&lt;"&amp;$BG4,Tracker[Bet Type Drill Down],CC$1),2)&gt;0.05,"X",IF(ROUND((SUMIFS(Tracker[Net],Tracker[Bet %],"&gt;="&amp;$BG3,Tracker[Bet %],"&lt;"&amp;$BG4,Tracker[Bet Type Drill Down],CC$1))/COUNTIFS(Tracker[Bet %],"&gt;="&amp;$BG3,Tracker[Bet %],"&lt;"&amp;$BG4,Tracker[Bet Type Drill Down],CC$1),2)&lt;-0.15,"O","")),"")</f>
        <v/>
      </c>
      <c r="CD3" s="24" t="str">
        <f>IFERROR(IF(ROUND((SUMIFS(Tracker[Net],Tracker[Bet %],"&gt;="&amp;$BG3,Tracker[Bet %],"&lt;"&amp;$BG4,Tracker[Bet Type Drill Down],CD$1))/COUNTIFS(Tracker[Bet %],"&gt;="&amp;$BG3,Tracker[Bet %],"&lt;"&amp;$BG4,Tracker[Bet Type Drill Down],CD$1),2)&gt;0.05,"X",IF(ROUND((SUMIFS(Tracker[Net],Tracker[Bet %],"&gt;="&amp;$BG3,Tracker[Bet %],"&lt;"&amp;$BG4,Tracker[Bet Type Drill Down],CD$1))/COUNTIFS(Tracker[Bet %],"&gt;="&amp;$BG3,Tracker[Bet %],"&lt;"&amp;$BG4,Tracker[Bet Type Drill Down],CD$1),2)&lt;-0.15,"O","")),"")</f>
        <v/>
      </c>
      <c r="CE3" s="24" t="str">
        <f>IFERROR(IF(ROUND((SUMIFS(Tracker[Net],Tracker[Bet %],"&gt;="&amp;$BG3,Tracker[Bet %],"&lt;"&amp;$BG4,Tracker[Bet Type Drill Down],CE$1))/COUNTIFS(Tracker[Bet %],"&gt;="&amp;$BG3,Tracker[Bet %],"&lt;"&amp;$BG4,Tracker[Bet Type Drill Down],CE$1),2)&gt;0.05,"X",IF(ROUND((SUMIFS(Tracker[Net],Tracker[Bet %],"&gt;="&amp;$BG3,Tracker[Bet %],"&lt;"&amp;$BG4,Tracker[Bet Type Drill Down],CE$1))/COUNTIFS(Tracker[Bet %],"&gt;="&amp;$BG3,Tracker[Bet %],"&lt;"&amp;$BG4,Tracker[Bet Type Drill Down],CE$1),2)&lt;-0.15,"O","")),"")</f>
        <v/>
      </c>
    </row>
    <row r="4" spans="1:83" x14ac:dyDescent="0.25">
      <c r="A4" s="36">
        <f>IF(B4=B3,A3,A3+1)</f>
        <v>1</v>
      </c>
      <c r="B4" s="25">
        <v>43796</v>
      </c>
      <c r="C4" s="25" t="str">
        <f t="shared" ref="C4:C35" si="7">"NBA"</f>
        <v>NBA</v>
      </c>
      <c r="D4" s="26" t="s">
        <v>774</v>
      </c>
      <c r="E4" s="27" t="s">
        <v>263</v>
      </c>
      <c r="F4" s="67">
        <v>0.56855929076361023</v>
      </c>
      <c r="G4" s="29">
        <v>-110</v>
      </c>
      <c r="H4" s="30" t="s">
        <v>56</v>
      </c>
      <c r="I4" s="44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4" s="32" t="str">
        <f>MID(Tracker[[#This Row],[Game]],SEARCH("@",Tracker[[#This Row],[Game]])+2,LEN(Tracker[[#This Row],[Game]]))</f>
        <v>Celtics</v>
      </c>
      <c r="L4" s="32" t="str">
        <f>LEFT(Tracker[[#This Row],[Game]],SEARCH("@",Tracker[[#This Row],[Game]])-2)</f>
        <v>Nets</v>
      </c>
      <c r="M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4" s="123"/>
      <c r="O4" s="147"/>
      <c r="P4" s="147"/>
      <c r="Q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4" s="147" t="e">
        <f>IF(AND(Tracker[[#This Row],[Money %]]&lt;&gt;"",Tracker[[#This Row],[Bet %]]&lt;&gt;""),Tracker[[#This Row],[Money %]]-Tracker[[#This Row],[Bet %]],NA())</f>
        <v>#N/A</v>
      </c>
      <c r="S4" s="109"/>
      <c r="T4" s="109"/>
      <c r="U4" s="56">
        <f>IFERROR(INDEX($A$4:$B10000,MATCH(ROW()-3,$A$4:$A$4:$A1000,0),2),0)</f>
        <v>43796</v>
      </c>
      <c r="V4" s="33" t="str">
        <f>COUNTIFS(Tracker[Date],U4,Tracker[Result],"W")&amp;"-"&amp;COUNTIFS(Tracker[Date],U4,Tracker[Result],"L")&amp;IF(COUNTIFS(Tracker[Date],U4,Tracker[Result],"Push")&gt;0,"-"&amp;COUNTIFS(Tracker[Date],U4,Tracker[Result],"Push"),"")</f>
        <v>7-9</v>
      </c>
      <c r="W4" s="34">
        <f>IFERROR(COUNTIFS(Tracker[Date],U4,Tracker[Result],"W")/(COUNTIFS(Tracker[Date],U4,Tracker[Result],"W")+COUNTIFS(Tracker[Date],U4,Tracker[Result],"L")),"")</f>
        <v>0.4375</v>
      </c>
      <c r="X4" s="61">
        <f>SUMIF(Tracker[Date],U4,Tracker[Net])</f>
        <v>-2.6363636363636362</v>
      </c>
      <c r="Y4" s="35" t="str">
        <f>IFERROR("("&amp;ROUND(SUMIF(Tracker[Date],U4,Tracker[Net])/COUNTIF(Tracker[Date],U4),2)*100&amp;"%)","")</f>
        <v>(-16%)</v>
      </c>
      <c r="Z4" s="36" t="s">
        <v>244</v>
      </c>
      <c r="AA4" s="37" t="s">
        <v>245</v>
      </c>
      <c r="AB4" s="24" t="str">
        <f>IFERROR(COUNTIFS(Tracker[Bet Type],Z4,Tracker[Result],"W",Tracker[Confidence],"&gt;="&amp;$AB$2,Tracker[Confidence],"&lt;="&amp;$AC$2)&amp;"-"&amp;COUNTIFS(Tracker[Bet Type],Z4,Tracker[Result],"L",Tracker[Confidence],"&gt;="&amp;$AB$2,Tracker[Confidence],"&lt;="&amp;$AC$2)&amp;IF(COUNTIFS(Tracker[Bet Type],Z4,Tracker[Result],"Push",Tracker[Confidence],"&gt;="&amp;$AB$2,Tracker[Confidence],"&lt;="&amp;$AC$2)&gt;0,"-"&amp;COUNTIFS(Tracker[Bet Type],Z4,Tracker[Result],"Push",Tracker[Confidence],"&gt;="&amp;$AB$2,Tracker[Confidence],"&lt;="&amp;$AC$2),"")&amp;" ("&amp;ROUND(COUNTIFS(Tracker[Bet Type],Z4,Tracker[Result],"W",Tracker[Confidence],"&gt;="&amp;$AB$2,Tracker[Confidence],"&lt;="&amp;$AC$2)/(COUNTIFS(Tracker[Bet Type],Z4,Tracker[Result],"W",Tracker[Confidence],"&gt;="&amp;$AB$2,Tracker[Confidence],"&lt;="&amp;$AC$2)+COUNTIFS(Tracker[Bet Type],Z4,Tracker[Result],"L",Tracker[Confidence],"&gt;="&amp;$AB$2,Tracker[Confidence],"&lt;="&amp;$AC$2))*100,1)&amp;"%)","No Bets")</f>
        <v>22-16 (57.9%)</v>
      </c>
      <c r="AC4" s="64">
        <f>SUMIFS(Tracker[Net],Tracker[Bet Type],Z4,Tracker[Confidence],"&gt;="&amp;$AB$2,Tracker[Confidence],"&lt;="&amp;$AC$2)</f>
        <v>4</v>
      </c>
      <c r="AD4" s="38" t="str">
        <f>IFERROR("("&amp;ROUND((SUMIFS(Tracker[Net],Tracker[Bet Type],Z4,Tracker[Confidence],"&gt;="&amp;$AB$2,Tracker[Confidence],"&lt;="&amp;$AC$2))/COUNTIFS(Tracker[Bet Type],Z4,Tracker[Confidence],"&gt;="&amp;$AB$2,Tracker[Confidence],"&lt;="&amp;$AC$2),2)*100&amp;"%)","")</f>
        <v>(11%)</v>
      </c>
      <c r="AF4" s="36">
        <f>AF3+0.05</f>
        <v>0.05</v>
      </c>
      <c r="AG4" s="66" t="str">
        <f t="shared" si="0"/>
        <v>5-10%</v>
      </c>
      <c r="AH4" s="124" t="str">
        <f>IFERROR(COUNTIFS(Tracker[Cover %],"&gt;="&amp;AF4,Tracker[Cover %],"&lt;"&amp;AF5,Tracker[Result],"W")&amp;"-"&amp;COUNTIFS(Tracker[Cover %],"&gt;="&amp;AF4,Tracker[Cover %],"&lt;"&amp;AF5,Tracker[Result],"L")&amp;"-"&amp;COUNTIFS(Tracker[Cover %],"&gt;="&amp;AF4,Tracker[Cover %],"&lt;"&amp;AF5,Tracker[Result],"Push")&amp;" ("&amp;ROUND(COUNTIFS(Tracker[Cover %],"&gt;="&amp;AF4,Tracker[Cover %],"&lt;"&amp;AF5,Tracker[Result],"W")/(COUNTIFS(Tracker[Cover %],"&gt;="&amp;AF4,Tracker[Cover %],"&lt;"&amp;AF5,Tracker[Result],"L")+COUNTIFS(Tracker[Cover %],"&gt;="&amp;AF4,Tracker[Cover %],"&lt;"&amp;AF5,Tracker[Result],"W"))*100,2)&amp;"%)","No Bets")</f>
        <v>No Bets</v>
      </c>
      <c r="AI4" s="72">
        <f>SUMIFS(Tracker[Net],Tracker[Cover %],"&gt;="&amp;AF4,Tracker[Cover %],"&lt;"&amp;AF5)</f>
        <v>0</v>
      </c>
      <c r="AJ4" s="24" t="str">
        <f>IFERROR(IF(ROUND((SUMIFS(Tracker[Net],Tracker[Cover %],"&gt;="&amp;$AF4,Tracker[Cover %],"&lt;"&amp;$AF5,Tracker[Bet Type],AJ$2))/COUNTIFS(Tracker[Cover %],"&gt;="&amp;$AF4,Tracker[Cover %],"&lt;"&amp;$AF5,Tracker[Bet Type],AJ$2),2)&gt;0.05,"X",IF(ROUND((SUMIFS(Tracker[Net],Tracker[Cover %],"&gt;="&amp;$AF4,Tracker[Cover %],"&lt;"&amp;$AF5,Tracker[Bet Type],AJ$2))/COUNTIFS(Tracker[Cover %],"&gt;="&amp;$AF4,Tracker[Cover %],"&lt;"&amp;$AF5,Tracker[Bet Type],AJ$2),2)&lt;-0.15,"O","")),"")</f>
        <v/>
      </c>
      <c r="AK4" s="24" t="str">
        <f>IFERROR(IF(ROUND((SUMIFS(Tracker[Net],Tracker[Cover %],"&gt;="&amp;$AF4,Tracker[Cover %],"&lt;"&amp;$AF5,Tracker[Bet Type],AK$2))/COUNTIFS(Tracker[Cover %],"&gt;="&amp;$AF4,Tracker[Cover %],"&lt;"&amp;$AF5,Tracker[Bet Type],AK$2),2)&gt;0.05,"X",IF(ROUND((SUMIFS(Tracker[Net],Tracker[Cover %],"&gt;="&amp;$AF4,Tracker[Cover %],"&lt;"&amp;$AF5,Tracker[Bet Type],AK$2))/COUNTIFS(Tracker[Cover %],"&gt;="&amp;$AF4,Tracker[Cover %],"&lt;"&amp;$AF5,Tracker[Bet Type],AK$2),2)&lt;-0.15,"O","")),"")</f>
        <v/>
      </c>
      <c r="AL4" s="24" t="str">
        <f>IFERROR(IF(ROUND((SUMIFS(Tracker[Net],Tracker[Cover %],"&gt;="&amp;$AF4,Tracker[Cover %],"&lt;"&amp;$AF5,Tracker[Bet Type],AL$2))/COUNTIFS(Tracker[Cover %],"&gt;="&amp;$AF4,Tracker[Cover %],"&lt;"&amp;$AF5,Tracker[Bet Type],AL$2),2)&gt;0.05,"X",IF(ROUND((SUMIFS(Tracker[Net],Tracker[Cover %],"&gt;="&amp;$AF4,Tracker[Cover %],"&lt;"&amp;$AF5,Tracker[Bet Type],AL$2))/COUNTIFS(Tracker[Cover %],"&gt;="&amp;$AF4,Tracker[Cover %],"&lt;"&amp;$AF5,Tracker[Bet Type],AL$2),2)&lt;-0.15,"O","")),"")</f>
        <v/>
      </c>
      <c r="AM4" s="24" t="str">
        <f>IFERROR(IF(ROUND((SUMIFS(Tracker[Net],Tracker[Cover %],"&gt;="&amp;$AF4,Tracker[Cover %],"&lt;"&amp;$AF5,Tracker[Bet Type],AM$2))/COUNTIFS(Tracker[Cover %],"&gt;="&amp;$AF4,Tracker[Cover %],"&lt;"&amp;$AF5,Tracker[Bet Type],AM$2),2)&gt;0.05,"X",IF(ROUND((SUMIFS(Tracker[Net],Tracker[Cover %],"&gt;="&amp;$AF4,Tracker[Cover %],"&lt;"&amp;$AF5,Tracker[Bet Type],AM$2))/COUNTIFS(Tracker[Cover %],"&gt;="&amp;$AF4,Tracker[Cover %],"&lt;"&amp;$AF5,Tracker[Bet Type],AM$2),2)&lt;-0.15,"O","")),"")</f>
        <v/>
      </c>
      <c r="AN4" s="24" t="str">
        <f>IFERROR(IF(ROUND((SUMIFS(Tracker[Net],Tracker[Cover %],"&gt;="&amp;$AF4,Tracker[Cover %],"&lt;"&amp;$AF5,Tracker[Bet Type Drill Down],AN$2))/COUNTIFS(Tracker[Cover %],"&gt;="&amp;$AF4,Tracker[Cover %],"&lt;"&amp;$AF5,Tracker[Bet Type Drill Down],AN$2),2)&gt;0.05,"X",IF(ROUND((SUMIFS(Tracker[Net],Tracker[Cover %],"&gt;="&amp;$AF4,Tracker[Cover %],"&lt;"&amp;$AF5,Tracker[Bet Type Drill Down],AN$2))/COUNTIFS(Tracker[Cover %],"&gt;="&amp;$AF4,Tracker[Cover %],"&lt;"&amp;$AF5,Tracker[Bet Type Drill Down],AN$2),2)&lt;-0.15,"O","")),"")</f>
        <v/>
      </c>
      <c r="AO4" s="24" t="str">
        <f>IFERROR(IF(ROUND((SUMIFS(Tracker[Net],Tracker[Cover %],"&gt;="&amp;$AF4,Tracker[Cover %],"&lt;"&amp;$AF5,Tracker[Bet Type Drill Down],AO$2))/COUNTIFS(Tracker[Cover %],"&gt;="&amp;$AF4,Tracker[Cover %],"&lt;"&amp;$AF5,Tracker[Bet Type Drill Down],AO$2),2)&gt;0.05,"X",IF(ROUND((SUMIFS(Tracker[Net],Tracker[Cover %],"&gt;="&amp;$AF4,Tracker[Cover %],"&lt;"&amp;$AF5,Tracker[Bet Type Drill Down],AO$2))/COUNTIFS(Tracker[Cover %],"&gt;="&amp;$AF4,Tracker[Cover %],"&lt;"&amp;$AF5,Tracker[Bet Type Drill Down],AO$2),2)&lt;-0.15,"O","")),"")</f>
        <v/>
      </c>
      <c r="AP4" s="24" t="str">
        <f>IFERROR(IF(ROUND((SUMIFS(Tracker[Net],Tracker[Cover %],"&gt;="&amp;$AF4,Tracker[Cover %],"&lt;"&amp;$AF5,Tracker[Bet Type Drill Down],AP$2))/COUNTIFS(Tracker[Cover %],"&gt;="&amp;$AF4,Tracker[Cover %],"&lt;"&amp;$AF5,Tracker[Bet Type Drill Down],AP$2),2)&gt;0.05,"X",IF(ROUND((SUMIFS(Tracker[Net],Tracker[Cover %],"&gt;="&amp;$AF4,Tracker[Cover %],"&lt;"&amp;$AF5,Tracker[Bet Type Drill Down],AP$2))/COUNTIFS(Tracker[Cover %],"&gt;="&amp;$AF4,Tracker[Cover %],"&lt;"&amp;$AF5,Tracker[Bet Type Drill Down],AP$2),2)&lt;-0.15,"O","")),"")</f>
        <v/>
      </c>
      <c r="AQ4" s="24" t="str">
        <f>IFERROR(IF(ROUND((SUMIFS(Tracker[Net],Tracker[Cover %],"&gt;="&amp;$AF4,Tracker[Cover %],"&lt;"&amp;$AF5,Tracker[Bet Type Drill Down],AQ$2))/COUNTIFS(Tracker[Cover %],"&gt;="&amp;$AF4,Tracker[Cover %],"&lt;"&amp;$AF5,Tracker[Bet Type Drill Down],AQ$2),2)&gt;0.05,"X",IF(ROUND((SUMIFS(Tracker[Net],Tracker[Cover %],"&gt;="&amp;$AF4,Tracker[Cover %],"&lt;"&amp;$AF5,Tracker[Bet Type Drill Down],AQ$2))/COUNTIFS(Tracker[Cover %],"&gt;="&amp;$AF4,Tracker[Cover %],"&lt;"&amp;$AF5,Tracker[Bet Type Drill Down],AQ$2),2)&lt;-0.15,"O","")),"")</f>
        <v/>
      </c>
      <c r="AT4" s="153">
        <f t="shared" si="1"/>
        <v>-0.89999999999999991</v>
      </c>
      <c r="AU4" s="39" t="str">
        <f t="shared" si="2"/>
        <v>-90  to  -85%</v>
      </c>
      <c r="AV4" t="str">
        <f>IFERROR(COUNTIFS(Tracker[Money Discrepency],"&gt;="&amp;AT4,Tracker[Money Discrepency],"&lt;"&amp;AT5,Tracker[Result],"W")&amp;"-"&amp;COUNTIFS(Tracker[Money Discrepency],"&gt;="&amp;AT4,Tracker[Money Discrepency],"&lt;"&amp;AT5,Tracker[Result],"L")&amp;"-"&amp;COUNTIFS(Tracker[Money Discrepency],"&gt;="&amp;AT4,Tracker[Money Discrepency],"&lt;"&amp;AT5,Tracker[Result],"Push")&amp;" ("&amp;ROUND(COUNTIFS(Tracker[Money Discrepency],"&gt;="&amp;AT4,Tracker[Money Discrepency],"&lt;"&amp;AT5,Tracker[Result],"W")/(COUNTIFS(Tracker[Money Discrepency],"&gt;="&amp;AT4,Tracker[Money Discrepency],"&lt;"&amp;AT5,Tracker[Result],"L")+COUNTIFS(Tracker[Money Discrepency],"&gt;="&amp;AT4,Tracker[Money Discrepency],"&lt;"&amp;AT5,Tracker[Result],"W"))*100,2)&amp;"%)","No Bets")</f>
        <v>No Bets</v>
      </c>
      <c r="AW4">
        <f>SUMIFS(Tracker[Net],Tracker[Money Discrepency],"&gt;="&amp;AT4,Tracker[Money Discrepency],"&lt;"&amp;AT5)</f>
        <v>0</v>
      </c>
      <c r="AX4" s="24" t="str">
        <f>IFERROR(IF(ROUND((SUMIFS(Tracker[Net],Tracker[Money Discrepency],"&gt;="&amp;$AT4,Tracker[Money Discrepency],"&lt;"&amp;$AT5,Tracker[Bet Type],AX$1))/COUNTIFS(Tracker[Money Discrepency],"&gt;="&amp;$AT4,Tracker[Money Discrepency],"&lt;"&amp;$AT5,Tracker[Bet Type],AX$1),2)&gt;0.05,"X",IF(ROUND((SUMIFS(Tracker[Net],Tracker[Money Discrepency],"&gt;="&amp;$AT4,Tracker[Money Discrepency],"&lt;"&amp;$AT5,Tracker[Bet Type],AX$1))/COUNTIFS(Tracker[Money Discrepency],"&gt;="&amp;$AT4,Tracker[Money Discrepency],"&lt;"&amp;$AT5,Tracker[Bet Type],AX$1),2)&lt;-0.15,"O","")),"")</f>
        <v/>
      </c>
      <c r="AY4" s="24" t="str">
        <f>IFERROR(IF(ROUND((SUMIFS(Tracker[Net],Tracker[Money Discrepency],"&gt;="&amp;$AT4,Tracker[Money Discrepency],"&lt;"&amp;$AT5,Tracker[Bet Type],AY$1))/COUNTIFS(Tracker[Money Discrepency],"&gt;="&amp;$AT4,Tracker[Money Discrepency],"&lt;"&amp;$AT5,Tracker[Bet Type],AY$1),2)&gt;0.05,"X",IF(ROUND((SUMIFS(Tracker[Net],Tracker[Money Discrepency],"&gt;="&amp;$AT4,Tracker[Money Discrepency],"&lt;"&amp;$AT5,Tracker[Bet Type],AY$1))/COUNTIFS(Tracker[Money Discrepency],"&gt;="&amp;$AT4,Tracker[Money Discrepency],"&lt;"&amp;$AT5,Tracker[Bet Type],AY$1),2)&lt;-0.15,"O","")),"")</f>
        <v/>
      </c>
      <c r="AZ4" s="24" t="str">
        <f>IFERROR(IF(ROUND((SUMIFS(Tracker[Net],Tracker[Money Discrepency],"&gt;="&amp;$AT4,Tracker[Money Discrepency],"&lt;"&amp;$AT5,Tracker[Bet Type],AZ$1))/COUNTIFS(Tracker[Money Discrepency],"&gt;="&amp;$AT4,Tracker[Money Discrepency],"&lt;"&amp;$AT5,Tracker[Bet Type],AZ$1),2)&gt;0.05,"X",IF(ROUND((SUMIFS(Tracker[Net],Tracker[Money Discrepency],"&gt;="&amp;$AT4,Tracker[Money Discrepency],"&lt;"&amp;$AT5,Tracker[Bet Type],AZ$1))/COUNTIFS(Tracker[Money Discrepency],"&gt;="&amp;$AT4,Tracker[Money Discrepency],"&lt;"&amp;$AT5,Tracker[Bet Type],AZ$1),2)&lt;-0.15,"O","")),"")</f>
        <v/>
      </c>
      <c r="BA4" s="24" t="str">
        <f>IFERROR(IF(ROUND((SUMIFS(Tracker[Net],Tracker[Money Discrepency],"&gt;="&amp;$AT4,Tracker[Money Discrepency],"&lt;"&amp;$AT5,Tracker[Bet Type],BA$1))/COUNTIFS(Tracker[Money Discrepency],"&gt;="&amp;$AT4,Tracker[Money Discrepency],"&lt;"&amp;$AT5,Tracker[Bet Type],BA$1),2)&gt;0.05,"X",IF(ROUND((SUMIFS(Tracker[Net],Tracker[Money Discrepency],"&gt;="&amp;$AT4,Tracker[Money Discrepency],"&lt;"&amp;$AT5,Tracker[Bet Type],BA$1))/COUNTIFS(Tracker[Money Discrepency],"&gt;="&amp;$AT4,Tracker[Money Discrepency],"&lt;"&amp;$AT5,Tracker[Bet Type],BA$1),2)&lt;-0.15,"O","")),"")</f>
        <v/>
      </c>
      <c r="BB4" s="24" t="str">
        <f>IFERROR(IF(ROUND((SUMIFS(Tracker[Net],Tracker[Money Discrepency],"&gt;="&amp;$AT4,Tracker[Money Discrepency],"&lt;"&amp;$AT5,Tracker[Bet Type Drill Down],BB$1))/COUNTIFS(Tracker[Money Discrepency],"&gt;="&amp;$AT4,Tracker[Money Discrepency],"&lt;"&amp;$AT5,Tracker[Bet Type Drill Down],BB$1),2)&gt;0.05,"X",IF(ROUND((SUMIFS(Tracker[Net],Tracker[Money Discrepency],"&gt;="&amp;$AT4,Tracker[Money Discrepency],"&lt;"&amp;$AT5,Tracker[Bet Type Drill Down],BB$1))/COUNTIFS(Tracker[Money Discrepency],"&gt;="&amp;$AT4,Tracker[Money Discrepency],"&lt;"&amp;$AT5,Tracker[Bet Type Drill Down],BB$1),2)&lt;-0.15,"O","")),"")</f>
        <v/>
      </c>
      <c r="BC4" s="24" t="str">
        <f>IFERROR(IF(ROUND((SUMIFS(Tracker[Net],Tracker[Money Discrepency],"&gt;="&amp;$AT4,Tracker[Money Discrepency],"&lt;"&amp;$AT5,Tracker[Bet Type Drill Down],BC$1))/COUNTIFS(Tracker[Money Discrepency],"&gt;="&amp;$AT4,Tracker[Money Discrepency],"&lt;"&amp;$AT5,Tracker[Bet Type Drill Down],BC$1),2)&gt;0.05,"X",IF(ROUND((SUMIFS(Tracker[Net],Tracker[Money Discrepency],"&gt;="&amp;$AT4,Tracker[Money Discrepency],"&lt;"&amp;$AT5,Tracker[Bet Type Drill Down],BC$1))/COUNTIFS(Tracker[Money Discrepency],"&gt;="&amp;$AT4,Tracker[Money Discrepency],"&lt;"&amp;$AT5,Tracker[Bet Type Drill Down],BC$1),2)&lt;-0.15,"O","")),"")</f>
        <v/>
      </c>
      <c r="BD4" s="24" t="str">
        <f>IFERROR(IF(ROUND((SUMIFS(Tracker[Net],Tracker[Money Discrepency],"&gt;="&amp;$AT4,Tracker[Money Discrepency],"&lt;"&amp;$AT5,Tracker[Bet Type Drill Down],BD$1))/COUNTIFS(Tracker[Money Discrepency],"&gt;="&amp;$AT4,Tracker[Money Discrepency],"&lt;"&amp;$AT5,Tracker[Bet Type Drill Down],BD$1),2)&gt;0.05,"X",IF(ROUND((SUMIFS(Tracker[Net],Tracker[Money Discrepency],"&gt;="&amp;$AT4,Tracker[Money Discrepency],"&lt;"&amp;$AT5,Tracker[Bet Type Drill Down],BD$1))/COUNTIFS(Tracker[Money Discrepency],"&gt;="&amp;$AT4,Tracker[Money Discrepency],"&lt;"&amp;$AT5,Tracker[Bet Type Drill Down],BD$1),2)&lt;-0.15,"O","")),"")</f>
        <v/>
      </c>
      <c r="BE4" s="24" t="str">
        <f>IFERROR(IF(ROUND((SUMIFS(Tracker[Net],Tracker[Money Discrepency],"&gt;="&amp;$AT4,Tracker[Money Discrepency],"&lt;"&amp;$AT5,Tracker[Bet Type Drill Down],BE$1))/COUNTIFS(Tracker[Money Discrepency],"&gt;="&amp;$AT4,Tracker[Money Discrepency],"&lt;"&amp;$AT5,Tracker[Bet Type Drill Down],BE$1),2)&gt;0.05,"X",IF(ROUND((SUMIFS(Tracker[Net],Tracker[Money Discrepency],"&gt;="&amp;$AT4,Tracker[Money Discrepency],"&lt;"&amp;$AT5,Tracker[Bet Type Drill Down],BE$1))/COUNTIFS(Tracker[Money Discrepency],"&gt;="&amp;$AT4,Tracker[Money Discrepency],"&lt;"&amp;$AT5,Tracker[Bet Type Drill Down],BE$1),2)&lt;-0.15,"O","")),"")</f>
        <v/>
      </c>
      <c r="BG4" s="153">
        <f t="shared" si="3"/>
        <v>0.1</v>
      </c>
      <c r="BH4" s="154" t="str">
        <f t="shared" si="4"/>
        <v>10  to  15%</v>
      </c>
      <c r="BI4" t="str">
        <f>IFERROR(COUNTIFS(Tracker[Money %],"&gt;="&amp;BG4,Tracker[Money %],"&lt;"&amp;BG5,Tracker[Result],"W")&amp;"-"&amp;COUNTIFS(Tracker[Money %],"&gt;="&amp;BG4,Tracker[Money %],"&lt;"&amp;BG5,Tracker[Result],"L")&amp;"-"&amp;COUNTIFS(Tracker[Money %],"&gt;="&amp;BG4,Tracker[Money %],"&lt;"&amp;BG5,Tracker[Result],"Push")&amp;" ("&amp;ROUND(COUNTIFS(Tracker[Money %],"&gt;="&amp;BG4,Tracker[Money %],"&lt;"&amp;BG5,Tracker[Result],"W")/(COUNTIFS(Tracker[Money %],"&gt;="&amp;BG4,Tracker[Money %],"&lt;"&amp;BG5,Tracker[Result],"L")+COUNTIFS(Tracker[Money %],"&gt;="&amp;BG4,Tracker[Money %],"&lt;"&amp;BG5,Tracker[Result],"W"))*100,2)&amp;"%)","No Bets")</f>
        <v>2-3-0 (40%)</v>
      </c>
      <c r="BJ4">
        <f>SUMIFS(Tracker[Net],Tracker[Money %],"&gt;="&amp;BG4,Tracker[Money %],"&lt;"&amp;BG5)</f>
        <v>-1.1818181818181817</v>
      </c>
      <c r="BK4" s="24" t="str">
        <f>IFERROR(IF(ROUND((SUMIFS(Tracker[Net],Tracker[Money %],"&gt;="&amp;$BG4,Tracker[Money %],"&lt;"&amp;$BG5,Tracker[Bet Type],BK$1))/COUNTIFS(Tracker[Money %],"&gt;="&amp;$BG4,Tracker[Money %],"&lt;"&amp;$BG5,Tracker[Bet Type],BK$1),2)&gt;0.05,"X",IF(ROUND((SUMIFS(Tracker[Net],Tracker[Money %],"&gt;="&amp;$BG4,Tracker[Money %],"&lt;"&amp;$BG5,Tracker[Bet Type],BK$1))/COUNTIFS(Tracker[Money %],"&gt;="&amp;$BG4,Tracker[Money %],"&lt;"&amp;$BG5,Tracker[Bet Type],BK$1),2)&lt;-0.15,"O","")),"")</f>
        <v/>
      </c>
      <c r="BL4" s="24" t="str">
        <f>IFERROR(IF(ROUND((SUMIFS(Tracker[Net],Tracker[Money %],"&gt;="&amp;$BG4,Tracker[Money %],"&lt;"&amp;$BG5,Tracker[Bet Type],BL$1))/COUNTIFS(Tracker[Money %],"&gt;="&amp;$BG4,Tracker[Money %],"&lt;"&amp;$BG5,Tracker[Bet Type],BL$1),2)&gt;0.05,"X",IF(ROUND((SUMIFS(Tracker[Net],Tracker[Money %],"&gt;="&amp;$BG4,Tracker[Money %],"&lt;"&amp;$BG5,Tracker[Bet Type],BL$1))/COUNTIFS(Tracker[Money %],"&gt;="&amp;$BG4,Tracker[Money %],"&lt;"&amp;$BG5,Tracker[Bet Type],BL$1),2)&lt;-0.15,"O","")),"")</f>
        <v>X</v>
      </c>
      <c r="BM4" s="24" t="str">
        <f>IFERROR(IF(ROUND((SUMIFS(Tracker[Net],Tracker[Money %],"&gt;="&amp;$BG4,Tracker[Money %],"&lt;"&amp;$BG5,Tracker[Bet Type],BM$1))/COUNTIFS(Tracker[Money %],"&gt;="&amp;$BG4,Tracker[Money %],"&lt;"&amp;$BG5,Tracker[Bet Type],BM$1),2)&gt;0.05,"X",IF(ROUND((SUMIFS(Tracker[Net],Tracker[Money %],"&gt;="&amp;$BG4,Tracker[Money %],"&lt;"&amp;$BG5,Tracker[Bet Type],BM$1))/COUNTIFS(Tracker[Money %],"&gt;="&amp;$BG4,Tracker[Money %],"&lt;"&amp;$BG5,Tracker[Bet Type],BM$1),2)&lt;-0.15,"O","")),"")</f>
        <v/>
      </c>
      <c r="BN4" s="24" t="str">
        <f>IFERROR(IF(ROUND((SUMIFS(Tracker[Net],Tracker[Money %],"&gt;="&amp;$BG4,Tracker[Money %],"&lt;"&amp;$BG5,Tracker[Bet Type],BN$1))/COUNTIFS(Tracker[Money %],"&gt;="&amp;$BG4,Tracker[Money %],"&lt;"&amp;$BG5,Tracker[Bet Type],BN$1),2)&gt;0.05,"X",IF(ROUND((SUMIFS(Tracker[Net],Tracker[Money %],"&gt;="&amp;$BG4,Tracker[Money %],"&lt;"&amp;$BG5,Tracker[Bet Type],BN$1))/COUNTIFS(Tracker[Money %],"&gt;="&amp;$BG4,Tracker[Money %],"&lt;"&amp;$BG5,Tracker[Bet Type],BN$1),2)&lt;-0.15,"O","")),"")</f>
        <v>O</v>
      </c>
      <c r="BO4" s="24" t="str">
        <f>IFERROR(IF(ROUND((SUMIFS(Tracker[Net],Tracker[Money %],"&gt;="&amp;$BG4,Tracker[Money %],"&lt;"&amp;$BG5,Tracker[Bet Type Drill Down],BO$1))/COUNTIFS(Tracker[Money %],"&gt;="&amp;$BG4,Tracker[Money %],"&lt;"&amp;$BG5,Tracker[Bet Type Drill Down],BO$1),2)&gt;0.05,"X",IF(ROUND((SUMIFS(Tracker[Net],Tracker[Money %],"&gt;="&amp;$BG4,Tracker[Money %],"&lt;"&amp;$BG5,Tracker[Bet Type Drill Down],BO$1))/COUNTIFS(Tracker[Money %],"&gt;="&amp;$BG4,Tracker[Money %],"&lt;"&amp;$BG5,Tracker[Bet Type Drill Down],BO$1),2)&lt;-0.15,"O","")),"")</f>
        <v/>
      </c>
      <c r="BP4" s="24" t="str">
        <f>IFERROR(IF(ROUND((SUMIFS(Tracker[Net],Tracker[Money %],"&gt;="&amp;$BG4,Tracker[Money %],"&lt;"&amp;$BG5,Tracker[Bet Type Drill Down],BP$1))/COUNTIFS(Tracker[Money %],"&gt;="&amp;$BG4,Tracker[Money %],"&lt;"&amp;$BG5,Tracker[Bet Type Drill Down],BP$1),2)&gt;0.05,"X",IF(ROUND((SUMIFS(Tracker[Net],Tracker[Money %],"&gt;="&amp;$BG4,Tracker[Money %],"&lt;"&amp;$BG5,Tracker[Bet Type Drill Down],BP$1))/COUNTIFS(Tracker[Money %],"&gt;="&amp;$BG4,Tracker[Money %],"&lt;"&amp;$BG5,Tracker[Bet Type Drill Down],BP$1),2)&lt;-0.15,"O","")),"")</f>
        <v>O</v>
      </c>
      <c r="BQ4" s="24" t="str">
        <f>IFERROR(IF(ROUND((SUMIFS(Tracker[Net],Tracker[Money %],"&gt;="&amp;$BG4,Tracker[Money %],"&lt;"&amp;$BG5,Tracker[Bet Type Drill Down],BQ$1))/COUNTIFS(Tracker[Money %],"&gt;="&amp;$BG4,Tracker[Money %],"&lt;"&amp;$BG5,Tracker[Bet Type Drill Down],BQ$1),2)&gt;0.05,"X",IF(ROUND((SUMIFS(Tracker[Net],Tracker[Money %],"&gt;="&amp;$BG4,Tracker[Money %],"&lt;"&amp;$BG5,Tracker[Bet Type Drill Down],BQ$1))/COUNTIFS(Tracker[Money %],"&gt;="&amp;$BG4,Tracker[Money %],"&lt;"&amp;$BG5,Tracker[Bet Type Drill Down],BQ$1),2)&lt;-0.15,"O","")),"")</f>
        <v/>
      </c>
      <c r="BR4" s="24" t="str">
        <f>IFERROR(IF(ROUND((SUMIFS(Tracker[Net],Tracker[Money %],"&gt;="&amp;$BG4,Tracker[Money %],"&lt;"&amp;$BG5,Tracker[Bet Type Drill Down],BR$1))/COUNTIFS(Tracker[Money %],"&gt;="&amp;$BG4,Tracker[Money %],"&lt;"&amp;$BG5,Tracker[Bet Type Drill Down],BR$1),2)&gt;0.05,"X",IF(ROUND((SUMIFS(Tracker[Net],Tracker[Money %],"&gt;="&amp;$BG4,Tracker[Money %],"&lt;"&amp;$BG5,Tracker[Bet Type Drill Down],BR$1))/COUNTIFS(Tracker[Money %],"&gt;="&amp;$BG4,Tracker[Money %],"&lt;"&amp;$BG5,Tracker[Bet Type Drill Down],BR$1),2)&lt;-0.15,"O","")),"")</f>
        <v/>
      </c>
      <c r="BT4" s="153">
        <f t="shared" si="5"/>
        <v>0.1</v>
      </c>
      <c r="BU4" s="154" t="str">
        <f t="shared" ref="BU4" si="8">ROUND(BT4*100,0)&amp;"  to  "&amp;ROUND(BT5*100,0)&amp;"%"</f>
        <v>10  to  15%</v>
      </c>
      <c r="BV4" t="str">
        <f>IFERROR(COUNTIFS(Tracker[Bet %],"&gt;="&amp;BT4,Tracker[Bet %],"&lt;"&amp;BT5,Tracker[Result],"W")&amp;"-"&amp;COUNTIFS(Tracker[Bet %],"&gt;="&amp;BT4,Tracker[Bet %],"&lt;"&amp;BT5,Tracker[Result],"L")&amp;"-"&amp;COUNTIFS(Tracker[Bet %],"&gt;="&amp;BT4,Tracker[Bet %],"&lt;"&amp;BT5,Tracker[Result],"Push")&amp;" ("&amp;ROUND(COUNTIFS(Tracker[Bet %],"&gt;="&amp;BT4,Tracker[Bet %],"&lt;"&amp;BT5,Tracker[Result],"W")/(COUNTIFS(Tracker[Bet %],"&gt;="&amp;BT4,Tracker[Bet %],"&lt;"&amp;BT5,Tracker[Result],"L")+COUNTIFS(Tracker[Bet %],"&gt;="&amp;BT4,Tracker[Bet %],"&lt;"&amp;BT5,Tracker[Result],"W"))*100,2)&amp;"%)","No Bets")</f>
        <v>1-2-0 (33.33%)</v>
      </c>
      <c r="BW4">
        <f>SUMIFS(Tracker[Net],Tracker[Bet %],"&gt;="&amp;BT4,Tracker[Bet %],"&lt;"&amp;BT5)</f>
        <v>-1.0909090909090908</v>
      </c>
      <c r="BX4" s="24" t="str">
        <f>IFERROR(IF(ROUND((SUMIFS(Tracker[Net],Tracker[Bet %],"&gt;="&amp;$BG4,Tracker[Bet %],"&lt;"&amp;$BG5,Tracker[Bet Type],BX$1))/COUNTIFS(Tracker[Bet %],"&gt;="&amp;$BG4,Tracker[Bet %],"&lt;"&amp;$BG5,Tracker[Bet Type],BX$1),2)&gt;0.05,"X",IF(ROUND((SUMIFS(Tracker[Net],Tracker[Bet %],"&gt;="&amp;$BG4,Tracker[Bet %],"&lt;"&amp;$BG5,Tracker[Bet Type],BX$1))/COUNTIFS(Tracker[Bet %],"&gt;="&amp;$BG4,Tracker[Bet %],"&lt;"&amp;$BG5,Tracker[Bet Type],BX$1),2)&lt;-0.15,"O","")),"")</f>
        <v/>
      </c>
      <c r="BY4" s="24" t="str">
        <f>IFERROR(IF(ROUND((SUMIFS(Tracker[Net],Tracker[Bet %],"&gt;="&amp;$BG4,Tracker[Bet %],"&lt;"&amp;$BG5,Tracker[Bet Type],BY$1))/COUNTIFS(Tracker[Bet %],"&gt;="&amp;$BG4,Tracker[Bet %],"&lt;"&amp;$BG5,Tracker[Bet Type],BY$1),2)&gt;0.05,"X",IF(ROUND((SUMIFS(Tracker[Net],Tracker[Bet %],"&gt;="&amp;$BG4,Tracker[Bet %],"&lt;"&amp;$BG5,Tracker[Bet Type],BY$1))/COUNTIFS(Tracker[Bet %],"&gt;="&amp;$BG4,Tracker[Bet %],"&lt;"&amp;$BG5,Tracker[Bet Type],BY$1),2)&lt;-0.15,"O","")),"")</f>
        <v>O</v>
      </c>
      <c r="BZ4" s="24" t="str">
        <f>IFERROR(IF(ROUND((SUMIFS(Tracker[Net],Tracker[Bet %],"&gt;="&amp;$BG4,Tracker[Bet %],"&lt;"&amp;$BG5,Tracker[Bet Type],BZ$1))/COUNTIFS(Tracker[Bet %],"&gt;="&amp;$BG4,Tracker[Bet %],"&lt;"&amp;$BG5,Tracker[Bet Type],BZ$1),2)&gt;0.05,"X",IF(ROUND((SUMIFS(Tracker[Net],Tracker[Bet %],"&gt;="&amp;$BG4,Tracker[Bet %],"&lt;"&amp;$BG5,Tracker[Bet Type],BZ$1))/COUNTIFS(Tracker[Bet %],"&gt;="&amp;$BG4,Tracker[Bet %],"&lt;"&amp;$BG5,Tracker[Bet Type],BZ$1),2)&lt;-0.15,"O","")),"")</f>
        <v/>
      </c>
      <c r="CA4" s="24" t="str">
        <f>IFERROR(IF(ROUND((SUMIFS(Tracker[Net],Tracker[Bet %],"&gt;="&amp;$BG4,Tracker[Bet %],"&lt;"&amp;$BG5,Tracker[Bet Type],CA$1))/COUNTIFS(Tracker[Bet %],"&gt;="&amp;$BG4,Tracker[Bet %],"&lt;"&amp;$BG5,Tracker[Bet Type],CA$1),2)&gt;0.05,"X",IF(ROUND((SUMIFS(Tracker[Net],Tracker[Bet %],"&gt;="&amp;$BG4,Tracker[Bet %],"&lt;"&amp;$BG5,Tracker[Bet Type],CA$1))/COUNTIFS(Tracker[Bet %],"&gt;="&amp;$BG4,Tracker[Bet %],"&lt;"&amp;$BG5,Tracker[Bet Type],CA$1),2)&lt;-0.15,"O","")),"")</f>
        <v/>
      </c>
      <c r="CB4" s="24" t="str">
        <f>IFERROR(IF(ROUND((SUMIFS(Tracker[Net],Tracker[Bet %],"&gt;="&amp;$BG4,Tracker[Bet %],"&lt;"&amp;$BG5,Tracker[Bet Type Drill Down],CB$1))/COUNTIFS(Tracker[Bet %],"&gt;="&amp;$BG4,Tracker[Bet %],"&lt;"&amp;$BG5,Tracker[Bet Type Drill Down],CB$1),2)&gt;0.05,"X",IF(ROUND((SUMIFS(Tracker[Net],Tracker[Bet %],"&gt;="&amp;$BG4,Tracker[Bet %],"&lt;"&amp;$BG5,Tracker[Bet Type Drill Down],CB$1))/COUNTIFS(Tracker[Bet %],"&gt;="&amp;$BG4,Tracker[Bet %],"&lt;"&amp;$BG5,Tracker[Bet Type Drill Down],CB$1),2)&lt;-0.15,"O","")),"")</f>
        <v>O</v>
      </c>
      <c r="CC4" s="24" t="str">
        <f>IFERROR(IF(ROUND((SUMIFS(Tracker[Net],Tracker[Bet %],"&gt;="&amp;$BG4,Tracker[Bet %],"&lt;"&amp;$BG5,Tracker[Bet Type Drill Down],CC$1))/COUNTIFS(Tracker[Bet %],"&gt;="&amp;$BG4,Tracker[Bet %],"&lt;"&amp;$BG5,Tracker[Bet Type Drill Down],CC$1),2)&gt;0.05,"X",IF(ROUND((SUMIFS(Tracker[Net],Tracker[Bet %],"&gt;="&amp;$BG4,Tracker[Bet %],"&lt;"&amp;$BG5,Tracker[Bet Type Drill Down],CC$1))/COUNTIFS(Tracker[Bet %],"&gt;="&amp;$BG4,Tracker[Bet %],"&lt;"&amp;$BG5,Tracker[Bet Type Drill Down],CC$1),2)&lt;-0.15,"O","")),"")</f>
        <v>X</v>
      </c>
      <c r="CD4" s="24" t="str">
        <f>IFERROR(IF(ROUND((SUMIFS(Tracker[Net],Tracker[Bet %],"&gt;="&amp;$BG4,Tracker[Bet %],"&lt;"&amp;$BG5,Tracker[Bet Type Drill Down],CD$1))/COUNTIFS(Tracker[Bet %],"&gt;="&amp;$BG4,Tracker[Bet %],"&lt;"&amp;$BG5,Tracker[Bet Type Drill Down],CD$1),2)&gt;0.05,"X",IF(ROUND((SUMIFS(Tracker[Net],Tracker[Bet %],"&gt;="&amp;$BG4,Tracker[Bet %],"&lt;"&amp;$BG5,Tracker[Bet Type Drill Down],CD$1))/COUNTIFS(Tracker[Bet %],"&gt;="&amp;$BG4,Tracker[Bet %],"&lt;"&amp;$BG5,Tracker[Bet Type Drill Down],CD$1),2)&lt;-0.15,"O","")),"")</f>
        <v/>
      </c>
      <c r="CE4" s="24" t="str">
        <f>IFERROR(IF(ROUND((SUMIFS(Tracker[Net],Tracker[Bet %],"&gt;="&amp;$BG4,Tracker[Bet %],"&lt;"&amp;$BG5,Tracker[Bet Type Drill Down],CE$1))/COUNTIFS(Tracker[Bet %],"&gt;="&amp;$BG4,Tracker[Bet %],"&lt;"&amp;$BG5,Tracker[Bet Type Drill Down],CE$1),2)&gt;0.05,"X",IF(ROUND((SUMIFS(Tracker[Net],Tracker[Bet %],"&gt;="&amp;$BG4,Tracker[Bet %],"&lt;"&amp;$BG5,Tracker[Bet Type Drill Down],CE$1))/COUNTIFS(Tracker[Bet %],"&gt;="&amp;$BG4,Tracker[Bet %],"&lt;"&amp;$BG5,Tracker[Bet Type Drill Down],CE$1),2)&lt;-0.15,"O","")),"")</f>
        <v/>
      </c>
    </row>
    <row r="5" spans="1:83" x14ac:dyDescent="0.25">
      <c r="A5" s="36">
        <f t="shared" ref="A5:A68" si="9">IF(B5=B4,A4,A4+1)</f>
        <v>1</v>
      </c>
      <c r="B5" s="25">
        <v>43796</v>
      </c>
      <c r="C5" s="25" t="str">
        <f t="shared" si="7"/>
        <v>NBA</v>
      </c>
      <c r="D5" s="26" t="s">
        <v>775</v>
      </c>
      <c r="E5" s="27" t="s">
        <v>776</v>
      </c>
      <c r="F5" s="67">
        <v>0.60042707484044944</v>
      </c>
      <c r="G5" s="29">
        <v>-110</v>
      </c>
      <c r="H5" s="30" t="s">
        <v>56</v>
      </c>
      <c r="I5" s="44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5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5" s="32" t="str">
        <f>MID(Tracker[[#This Row],[Game]],SEARCH("@",Tracker[[#This Row],[Game]])+2,LEN(Tracker[[#This Row],[Game]]))</f>
        <v>Cavaliers</v>
      </c>
      <c r="L5" s="32" t="str">
        <f>LEFT(Tracker[[#This Row],[Game]],SEARCH("@",Tracker[[#This Row],[Game]])-2)</f>
        <v>Magic</v>
      </c>
      <c r="M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5" s="123"/>
      <c r="O5" s="147"/>
      <c r="P5" s="147"/>
      <c r="Q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5" s="147" t="e">
        <f>IF(AND(Tracker[[#This Row],[Money %]]&lt;&gt;"",Tracker[[#This Row],[Bet %]]&lt;&gt;""),Tracker[[#This Row],[Money %]]-Tracker[[#This Row],[Bet %]],NA())</f>
        <v>#N/A</v>
      </c>
      <c r="S5" s="109"/>
      <c r="T5" s="109"/>
      <c r="U5" s="56">
        <f>IFERROR(INDEX($A$4:$B10001,MATCH(ROW()-3,$A$4:$A$4:$A1001,0),2),0)</f>
        <v>43804</v>
      </c>
      <c r="V5" s="33" t="str">
        <f>COUNTIFS(Tracker[Date],U5,Tracker[Result],"W")&amp;"-"&amp;COUNTIFS(Tracker[Date],U5,Tracker[Result],"L")&amp;IF(COUNTIFS(Tracker[Date],U5,Tracker[Result],"Push")&gt;0,"-"&amp;COUNTIFS(Tracker[Date],U5,Tracker[Result],"Push"),"")</f>
        <v>3-0</v>
      </c>
      <c r="W5" s="34">
        <f>IFERROR(COUNTIFS(Tracker[Date],U5,Tracker[Result],"W")/(COUNTIFS(Tracker[Date],U5,Tracker[Result],"W")+COUNTIFS(Tracker[Date],U5,Tracker[Result],"L")),"")</f>
        <v>1</v>
      </c>
      <c r="X5" s="61">
        <f>SUMIF(Tracker[Date],U5,Tracker[Net])</f>
        <v>2.7272727272727271</v>
      </c>
      <c r="Y5" s="35" t="str">
        <f>IFERROR("("&amp;ROUND(SUMIF(Tracker[Date],U5,Tracker[Net])/COUNTIF(Tracker[Date],U5),2)*100&amp;"%)","")</f>
        <v>(91%)</v>
      </c>
      <c r="Z5" s="36" t="s">
        <v>246</v>
      </c>
      <c r="AA5" s="37" t="s">
        <v>247</v>
      </c>
      <c r="AB5" s="24" t="str">
        <f>IFERROR(COUNTIFS(Tracker[Bet Type],Z5,Tracker[Result],"W",Tracker[Confidence],"&gt;="&amp;$AB$2,Tracker[Confidence],"&lt;="&amp;$AC$2)&amp;"-"&amp;COUNTIFS(Tracker[Bet Type],Z5,Tracker[Result],"L",Tracker[Confidence],"&gt;="&amp;$AB$2,Tracker[Confidence],"&lt;="&amp;$AC$2)&amp;IF(COUNTIFS(Tracker[Bet Type],Z5,Tracker[Result],"Push",Tracker[Confidence],"&gt;="&amp;$AB$2,Tracker[Confidence],"&lt;="&amp;$AC$2)&gt;0,"-"&amp;COUNTIFS(Tracker[Bet Type],Z5,Tracker[Result],"Push",Tracker[Confidence],"&gt;="&amp;$AB$2,Tracker[Confidence],"&lt;="&amp;$AC$2),"")&amp;" ("&amp;ROUND(COUNTIFS(Tracker[Bet Type],Z5,Tracker[Result],"W",Tracker[Confidence],"&gt;="&amp;$AB$2,Tracker[Confidence],"&lt;="&amp;$AC$2)/(COUNTIFS(Tracker[Bet Type],Z5,Tracker[Result],"W",Tracker[Confidence],"&gt;="&amp;$AB$2,Tracker[Confidence],"&lt;="&amp;$AC$2)+COUNTIFS(Tracker[Bet Type],Z5,Tracker[Result],"L",Tracker[Confidence],"&gt;="&amp;$AB$2,Tracker[Confidence],"&lt;="&amp;$AC$2))*100,1)&amp;"%)","No Bets")</f>
        <v>21-11-1 (65.6%)</v>
      </c>
      <c r="AC5" s="64">
        <f>SUMIFS(Tracker[Net],Tracker[Bet Type],Z5,Tracker[Confidence],"&gt;="&amp;$AB$2,Tracker[Confidence],"&lt;="&amp;$AC$2)</f>
        <v>8.0909090909090882</v>
      </c>
      <c r="AD5" s="38" t="str">
        <f>IFERROR("("&amp;ROUND((SUMIFS(Tracker[Net],Tracker[Bet Type],Z5,Tracker[Confidence],"&gt;="&amp;$AB$2,Tracker[Confidence],"&lt;="&amp;$AC$2))/COUNTIFS(Tracker[Bet Type],Z5,Tracker[Confidence],"&gt;="&amp;$AB$2,Tracker[Confidence],"&lt;="&amp;$AC$2),2)*100&amp;"%)","")</f>
        <v>(25%)</v>
      </c>
      <c r="AF5" s="36">
        <f>AF4+0.05</f>
        <v>0.1</v>
      </c>
      <c r="AG5" s="66" t="str">
        <f t="shared" si="0"/>
        <v>10-15%</v>
      </c>
      <c r="AH5" s="124" t="str">
        <f>IFERROR(COUNTIFS(Tracker[Cover %],"&gt;="&amp;AF5,Tracker[Cover %],"&lt;"&amp;AF6,Tracker[Result],"W")&amp;"-"&amp;COUNTIFS(Tracker[Cover %],"&gt;="&amp;AF5,Tracker[Cover %],"&lt;"&amp;AF6,Tracker[Result],"L")&amp;"-"&amp;COUNTIFS(Tracker[Cover %],"&gt;="&amp;AF5,Tracker[Cover %],"&lt;"&amp;AF6,Tracker[Result],"Push")&amp;" ("&amp;ROUND(COUNTIFS(Tracker[Cover %],"&gt;="&amp;AF5,Tracker[Cover %],"&lt;"&amp;AF6,Tracker[Result],"W")/(COUNTIFS(Tracker[Cover %],"&gt;="&amp;AF5,Tracker[Cover %],"&lt;"&amp;AF6,Tracker[Result],"L")+COUNTIFS(Tracker[Cover %],"&gt;="&amp;AF5,Tracker[Cover %],"&lt;"&amp;AF6,Tracker[Result],"W"))*100,2)&amp;"%)","No Bets")</f>
        <v>No Bets</v>
      </c>
      <c r="AI5" s="72">
        <f>SUMIFS(Tracker[Net],Tracker[Cover %],"&gt;="&amp;AF5,Tracker[Cover %],"&lt;"&amp;AF6)</f>
        <v>0</v>
      </c>
      <c r="AJ5" s="24" t="str">
        <f>IFERROR(IF(ROUND((SUMIFS(Tracker[Net],Tracker[Cover %],"&gt;="&amp;$AF5,Tracker[Cover %],"&lt;"&amp;$AF6,Tracker[Bet Type],AJ$2))/COUNTIFS(Tracker[Cover %],"&gt;="&amp;$AF5,Tracker[Cover %],"&lt;"&amp;$AF6,Tracker[Bet Type],AJ$2),2)&gt;0.05,"X",IF(ROUND((SUMIFS(Tracker[Net],Tracker[Cover %],"&gt;="&amp;$AF5,Tracker[Cover %],"&lt;"&amp;$AF6,Tracker[Bet Type],AJ$2))/COUNTIFS(Tracker[Cover %],"&gt;="&amp;$AF5,Tracker[Cover %],"&lt;"&amp;$AF6,Tracker[Bet Type],AJ$2),2)&lt;-0.15,"O","")),"")</f>
        <v/>
      </c>
      <c r="AK5" s="24" t="str">
        <f>IFERROR(IF(ROUND((SUMIFS(Tracker[Net],Tracker[Cover %],"&gt;="&amp;$AF5,Tracker[Cover %],"&lt;"&amp;$AF6,Tracker[Bet Type],AK$2))/COUNTIFS(Tracker[Cover %],"&gt;="&amp;$AF5,Tracker[Cover %],"&lt;"&amp;$AF6,Tracker[Bet Type],AK$2),2)&gt;0.05,"X",IF(ROUND((SUMIFS(Tracker[Net],Tracker[Cover %],"&gt;="&amp;$AF5,Tracker[Cover %],"&lt;"&amp;$AF6,Tracker[Bet Type],AK$2))/COUNTIFS(Tracker[Cover %],"&gt;="&amp;$AF5,Tracker[Cover %],"&lt;"&amp;$AF6,Tracker[Bet Type],AK$2),2)&lt;-0.15,"O","")),"")</f>
        <v/>
      </c>
      <c r="AL5" s="24" t="str">
        <f>IFERROR(IF(ROUND((SUMIFS(Tracker[Net],Tracker[Cover %],"&gt;="&amp;$AF5,Tracker[Cover %],"&lt;"&amp;$AF6,Tracker[Bet Type],AL$2))/COUNTIFS(Tracker[Cover %],"&gt;="&amp;$AF5,Tracker[Cover %],"&lt;"&amp;$AF6,Tracker[Bet Type],AL$2),2)&gt;0.05,"X",IF(ROUND((SUMIFS(Tracker[Net],Tracker[Cover %],"&gt;="&amp;$AF5,Tracker[Cover %],"&lt;"&amp;$AF6,Tracker[Bet Type],AL$2))/COUNTIFS(Tracker[Cover %],"&gt;="&amp;$AF5,Tracker[Cover %],"&lt;"&amp;$AF6,Tracker[Bet Type],AL$2),2)&lt;-0.15,"O","")),"")</f>
        <v/>
      </c>
      <c r="AM5" s="24" t="str">
        <f>IFERROR(IF(ROUND((SUMIFS(Tracker[Net],Tracker[Cover %],"&gt;="&amp;$AF5,Tracker[Cover %],"&lt;"&amp;$AF6,Tracker[Bet Type],AM$2))/COUNTIFS(Tracker[Cover %],"&gt;="&amp;$AF5,Tracker[Cover %],"&lt;"&amp;$AF6,Tracker[Bet Type],AM$2),2)&gt;0.05,"X",IF(ROUND((SUMIFS(Tracker[Net],Tracker[Cover %],"&gt;="&amp;$AF5,Tracker[Cover %],"&lt;"&amp;$AF6,Tracker[Bet Type],AM$2))/COUNTIFS(Tracker[Cover %],"&gt;="&amp;$AF5,Tracker[Cover %],"&lt;"&amp;$AF6,Tracker[Bet Type],AM$2),2)&lt;-0.15,"O","")),"")</f>
        <v/>
      </c>
      <c r="AN5" s="24" t="str">
        <f>IFERROR(IF(ROUND((SUMIFS(Tracker[Net],Tracker[Cover %],"&gt;="&amp;$AF5,Tracker[Cover %],"&lt;"&amp;$AF6,Tracker[Bet Type Drill Down],AN$2))/COUNTIFS(Tracker[Cover %],"&gt;="&amp;$AF5,Tracker[Cover %],"&lt;"&amp;$AF6,Tracker[Bet Type Drill Down],AN$2),2)&gt;0.05,"X",IF(ROUND((SUMIFS(Tracker[Net],Tracker[Cover %],"&gt;="&amp;$AF5,Tracker[Cover %],"&lt;"&amp;$AF6,Tracker[Bet Type Drill Down],AN$2))/COUNTIFS(Tracker[Cover %],"&gt;="&amp;$AF5,Tracker[Cover %],"&lt;"&amp;$AF6,Tracker[Bet Type Drill Down],AN$2),2)&lt;-0.15,"O","")),"")</f>
        <v/>
      </c>
      <c r="AO5" s="24" t="str">
        <f>IFERROR(IF(ROUND((SUMIFS(Tracker[Net],Tracker[Cover %],"&gt;="&amp;$AF5,Tracker[Cover %],"&lt;"&amp;$AF6,Tracker[Bet Type Drill Down],AO$2))/COUNTIFS(Tracker[Cover %],"&gt;="&amp;$AF5,Tracker[Cover %],"&lt;"&amp;$AF6,Tracker[Bet Type Drill Down],AO$2),2)&gt;0.05,"X",IF(ROUND((SUMIFS(Tracker[Net],Tracker[Cover %],"&gt;="&amp;$AF5,Tracker[Cover %],"&lt;"&amp;$AF6,Tracker[Bet Type Drill Down],AO$2))/COUNTIFS(Tracker[Cover %],"&gt;="&amp;$AF5,Tracker[Cover %],"&lt;"&amp;$AF6,Tracker[Bet Type Drill Down],AO$2),2)&lt;-0.15,"O","")),"")</f>
        <v/>
      </c>
      <c r="AP5" s="24" t="str">
        <f>IFERROR(IF(ROUND((SUMIFS(Tracker[Net],Tracker[Cover %],"&gt;="&amp;$AF5,Tracker[Cover %],"&lt;"&amp;$AF6,Tracker[Bet Type Drill Down],AP$2))/COUNTIFS(Tracker[Cover %],"&gt;="&amp;$AF5,Tracker[Cover %],"&lt;"&amp;$AF6,Tracker[Bet Type Drill Down],AP$2),2)&gt;0.05,"X",IF(ROUND((SUMIFS(Tracker[Net],Tracker[Cover %],"&gt;="&amp;$AF5,Tracker[Cover %],"&lt;"&amp;$AF6,Tracker[Bet Type Drill Down],AP$2))/COUNTIFS(Tracker[Cover %],"&gt;="&amp;$AF5,Tracker[Cover %],"&lt;"&amp;$AF6,Tracker[Bet Type Drill Down],AP$2),2)&lt;-0.15,"O","")),"")</f>
        <v/>
      </c>
      <c r="AQ5" s="24" t="str">
        <f>IFERROR(IF(ROUND((SUMIFS(Tracker[Net],Tracker[Cover %],"&gt;="&amp;$AF5,Tracker[Cover %],"&lt;"&amp;$AF6,Tracker[Bet Type Drill Down],AQ$2))/COUNTIFS(Tracker[Cover %],"&gt;="&amp;$AF5,Tracker[Cover %],"&lt;"&amp;$AF6,Tracker[Bet Type Drill Down],AQ$2),2)&gt;0.05,"X",IF(ROUND((SUMIFS(Tracker[Net],Tracker[Cover %],"&gt;="&amp;$AF5,Tracker[Cover %],"&lt;"&amp;$AF6,Tracker[Bet Type Drill Down],AQ$2))/COUNTIFS(Tracker[Cover %],"&gt;="&amp;$AF5,Tracker[Cover %],"&lt;"&amp;$AF6,Tracker[Bet Type Drill Down],AQ$2),2)&lt;-0.15,"O","")),"")</f>
        <v/>
      </c>
      <c r="AT5" s="153">
        <f t="shared" si="1"/>
        <v>-0.84999999999999987</v>
      </c>
      <c r="AU5" s="39" t="str">
        <f t="shared" si="2"/>
        <v>-85  to  -80%</v>
      </c>
      <c r="AV5" t="str">
        <f>IFERROR(COUNTIFS(Tracker[Money Discrepency],"&gt;="&amp;AT5,Tracker[Money Discrepency],"&lt;"&amp;AT6,Tracker[Result],"W")&amp;"-"&amp;COUNTIFS(Tracker[Money Discrepency],"&gt;="&amp;AT5,Tracker[Money Discrepency],"&lt;"&amp;AT6,Tracker[Result],"L")&amp;"-"&amp;COUNTIFS(Tracker[Money Discrepency],"&gt;="&amp;AT5,Tracker[Money Discrepency],"&lt;"&amp;AT6,Tracker[Result],"Push")&amp;" ("&amp;ROUND(COUNTIFS(Tracker[Money Discrepency],"&gt;="&amp;AT5,Tracker[Money Discrepency],"&lt;"&amp;AT6,Tracker[Result],"W")/(COUNTIFS(Tracker[Money Discrepency],"&gt;="&amp;AT5,Tracker[Money Discrepency],"&lt;"&amp;AT6,Tracker[Result],"L")+COUNTIFS(Tracker[Money Discrepency],"&gt;="&amp;AT5,Tracker[Money Discrepency],"&lt;"&amp;AT6,Tracker[Result],"W"))*100,2)&amp;"%)","No Bets")</f>
        <v>No Bets</v>
      </c>
      <c r="AW5">
        <f>SUMIFS(Tracker[Net],Tracker[Money Discrepency],"&gt;="&amp;AT5,Tracker[Money Discrepency],"&lt;"&amp;AT6)</f>
        <v>0</v>
      </c>
      <c r="AX5" s="24" t="str">
        <f>IFERROR(IF(ROUND((SUMIFS(Tracker[Net],Tracker[Money Discrepency],"&gt;="&amp;$AT5,Tracker[Money Discrepency],"&lt;"&amp;$AT6,Tracker[Bet Type],AX$1))/COUNTIFS(Tracker[Money Discrepency],"&gt;="&amp;$AT5,Tracker[Money Discrepency],"&lt;"&amp;$AT6,Tracker[Bet Type],AX$1),2)&gt;0.05,"X",IF(ROUND((SUMIFS(Tracker[Net],Tracker[Money Discrepency],"&gt;="&amp;$AT5,Tracker[Money Discrepency],"&lt;"&amp;$AT6,Tracker[Bet Type],AX$1))/COUNTIFS(Tracker[Money Discrepency],"&gt;="&amp;$AT5,Tracker[Money Discrepency],"&lt;"&amp;$AT6,Tracker[Bet Type],AX$1),2)&lt;-0.15,"O","")),"")</f>
        <v/>
      </c>
      <c r="AY5" s="24" t="str">
        <f>IFERROR(IF(ROUND((SUMIFS(Tracker[Net],Tracker[Money Discrepency],"&gt;="&amp;$AT5,Tracker[Money Discrepency],"&lt;"&amp;$AT6,Tracker[Bet Type],AY$1))/COUNTIFS(Tracker[Money Discrepency],"&gt;="&amp;$AT5,Tracker[Money Discrepency],"&lt;"&amp;$AT6,Tracker[Bet Type],AY$1),2)&gt;0.05,"X",IF(ROUND((SUMIFS(Tracker[Net],Tracker[Money Discrepency],"&gt;="&amp;$AT5,Tracker[Money Discrepency],"&lt;"&amp;$AT6,Tracker[Bet Type],AY$1))/COUNTIFS(Tracker[Money Discrepency],"&gt;="&amp;$AT5,Tracker[Money Discrepency],"&lt;"&amp;$AT6,Tracker[Bet Type],AY$1),2)&lt;-0.15,"O","")),"")</f>
        <v/>
      </c>
      <c r="AZ5" s="24" t="str">
        <f>IFERROR(IF(ROUND((SUMIFS(Tracker[Net],Tracker[Money Discrepency],"&gt;="&amp;$AT5,Tracker[Money Discrepency],"&lt;"&amp;$AT6,Tracker[Bet Type],AZ$1))/COUNTIFS(Tracker[Money Discrepency],"&gt;="&amp;$AT5,Tracker[Money Discrepency],"&lt;"&amp;$AT6,Tracker[Bet Type],AZ$1),2)&gt;0.05,"X",IF(ROUND((SUMIFS(Tracker[Net],Tracker[Money Discrepency],"&gt;="&amp;$AT5,Tracker[Money Discrepency],"&lt;"&amp;$AT6,Tracker[Bet Type],AZ$1))/COUNTIFS(Tracker[Money Discrepency],"&gt;="&amp;$AT5,Tracker[Money Discrepency],"&lt;"&amp;$AT6,Tracker[Bet Type],AZ$1),2)&lt;-0.15,"O","")),"")</f>
        <v/>
      </c>
      <c r="BA5" s="24" t="str">
        <f>IFERROR(IF(ROUND((SUMIFS(Tracker[Net],Tracker[Money Discrepency],"&gt;="&amp;$AT5,Tracker[Money Discrepency],"&lt;"&amp;$AT6,Tracker[Bet Type],BA$1))/COUNTIFS(Tracker[Money Discrepency],"&gt;="&amp;$AT5,Tracker[Money Discrepency],"&lt;"&amp;$AT6,Tracker[Bet Type],BA$1),2)&gt;0.05,"X",IF(ROUND((SUMIFS(Tracker[Net],Tracker[Money Discrepency],"&gt;="&amp;$AT5,Tracker[Money Discrepency],"&lt;"&amp;$AT6,Tracker[Bet Type],BA$1))/COUNTIFS(Tracker[Money Discrepency],"&gt;="&amp;$AT5,Tracker[Money Discrepency],"&lt;"&amp;$AT6,Tracker[Bet Type],BA$1),2)&lt;-0.15,"O","")),"")</f>
        <v/>
      </c>
      <c r="BB5" s="24" t="str">
        <f>IFERROR(IF(ROUND((SUMIFS(Tracker[Net],Tracker[Money Discrepency],"&gt;="&amp;$AT5,Tracker[Money Discrepency],"&lt;"&amp;$AT6,Tracker[Bet Type Drill Down],BB$1))/COUNTIFS(Tracker[Money Discrepency],"&gt;="&amp;$AT5,Tracker[Money Discrepency],"&lt;"&amp;$AT6,Tracker[Bet Type Drill Down],BB$1),2)&gt;0.05,"X",IF(ROUND((SUMIFS(Tracker[Net],Tracker[Money Discrepency],"&gt;="&amp;$AT5,Tracker[Money Discrepency],"&lt;"&amp;$AT6,Tracker[Bet Type Drill Down],BB$1))/COUNTIFS(Tracker[Money Discrepency],"&gt;="&amp;$AT5,Tracker[Money Discrepency],"&lt;"&amp;$AT6,Tracker[Bet Type Drill Down],BB$1),2)&lt;-0.15,"O","")),"")</f>
        <v/>
      </c>
      <c r="BC5" s="24" t="str">
        <f>IFERROR(IF(ROUND((SUMIFS(Tracker[Net],Tracker[Money Discrepency],"&gt;="&amp;$AT5,Tracker[Money Discrepency],"&lt;"&amp;$AT6,Tracker[Bet Type Drill Down],BC$1))/COUNTIFS(Tracker[Money Discrepency],"&gt;="&amp;$AT5,Tracker[Money Discrepency],"&lt;"&amp;$AT6,Tracker[Bet Type Drill Down],BC$1),2)&gt;0.05,"X",IF(ROUND((SUMIFS(Tracker[Net],Tracker[Money Discrepency],"&gt;="&amp;$AT5,Tracker[Money Discrepency],"&lt;"&amp;$AT6,Tracker[Bet Type Drill Down],BC$1))/COUNTIFS(Tracker[Money Discrepency],"&gt;="&amp;$AT5,Tracker[Money Discrepency],"&lt;"&amp;$AT6,Tracker[Bet Type Drill Down],BC$1),2)&lt;-0.15,"O","")),"")</f>
        <v/>
      </c>
      <c r="BD5" s="24" t="str">
        <f>IFERROR(IF(ROUND((SUMIFS(Tracker[Net],Tracker[Money Discrepency],"&gt;="&amp;$AT5,Tracker[Money Discrepency],"&lt;"&amp;$AT6,Tracker[Bet Type Drill Down],BD$1))/COUNTIFS(Tracker[Money Discrepency],"&gt;="&amp;$AT5,Tracker[Money Discrepency],"&lt;"&amp;$AT6,Tracker[Bet Type Drill Down],BD$1),2)&gt;0.05,"X",IF(ROUND((SUMIFS(Tracker[Net],Tracker[Money Discrepency],"&gt;="&amp;$AT5,Tracker[Money Discrepency],"&lt;"&amp;$AT6,Tracker[Bet Type Drill Down],BD$1))/COUNTIFS(Tracker[Money Discrepency],"&gt;="&amp;$AT5,Tracker[Money Discrepency],"&lt;"&amp;$AT6,Tracker[Bet Type Drill Down],BD$1),2)&lt;-0.15,"O","")),"")</f>
        <v/>
      </c>
      <c r="BE5" s="24" t="str">
        <f>IFERROR(IF(ROUND((SUMIFS(Tracker[Net],Tracker[Money Discrepency],"&gt;="&amp;$AT5,Tracker[Money Discrepency],"&lt;"&amp;$AT6,Tracker[Bet Type Drill Down],BE$1))/COUNTIFS(Tracker[Money Discrepency],"&gt;="&amp;$AT5,Tracker[Money Discrepency],"&lt;"&amp;$AT6,Tracker[Bet Type Drill Down],BE$1),2)&gt;0.05,"X",IF(ROUND((SUMIFS(Tracker[Net],Tracker[Money Discrepency],"&gt;="&amp;$AT5,Tracker[Money Discrepency],"&lt;"&amp;$AT6,Tracker[Bet Type Drill Down],BE$1))/COUNTIFS(Tracker[Money Discrepency],"&gt;="&amp;$AT5,Tracker[Money Discrepency],"&lt;"&amp;$AT6,Tracker[Bet Type Drill Down],BE$1),2)&lt;-0.15,"O","")),"")</f>
        <v/>
      </c>
      <c r="BG5" s="153">
        <f t="shared" si="3"/>
        <v>0.15000000000000002</v>
      </c>
      <c r="BH5" s="154" t="str">
        <f t="shared" si="4"/>
        <v>15  to  20%</v>
      </c>
      <c r="BI5" t="str">
        <f>IFERROR(COUNTIFS(Tracker[Money %],"&gt;="&amp;BG5,Tracker[Money %],"&lt;"&amp;BG6,Tracker[Result],"W")&amp;"-"&amp;COUNTIFS(Tracker[Money %],"&gt;="&amp;BG5,Tracker[Money %],"&lt;"&amp;BG6,Tracker[Result],"L")&amp;"-"&amp;COUNTIFS(Tracker[Money %],"&gt;="&amp;BG5,Tracker[Money %],"&lt;"&amp;BG6,Tracker[Result],"Push")&amp;" ("&amp;ROUND(COUNTIFS(Tracker[Money %],"&gt;="&amp;BG5,Tracker[Money %],"&lt;"&amp;BG6,Tracker[Result],"W")/(COUNTIFS(Tracker[Money %],"&gt;="&amp;BG5,Tracker[Money %],"&lt;"&amp;BG6,Tracker[Result],"L")+COUNTIFS(Tracker[Money %],"&gt;="&amp;BG5,Tracker[Money %],"&lt;"&amp;BG6,Tracker[Result],"W"))*100,2)&amp;"%)","No Bets")</f>
        <v>6-2-0 (75%)</v>
      </c>
      <c r="BJ5">
        <f>SUMIFS(Tracker[Net],Tracker[Money %],"&gt;="&amp;BG5,Tracker[Money %],"&lt;"&amp;BG6)</f>
        <v>3.4545454545454546</v>
      </c>
      <c r="BK5" s="24" t="str">
        <f>IFERROR(IF(ROUND((SUMIFS(Tracker[Net],Tracker[Money %],"&gt;="&amp;$BG5,Tracker[Money %],"&lt;"&amp;$BG6,Tracker[Bet Type],BK$1))/COUNTIFS(Tracker[Money %],"&gt;="&amp;$BG5,Tracker[Money %],"&lt;"&amp;$BG6,Tracker[Bet Type],BK$1),2)&gt;0.05,"X",IF(ROUND((SUMIFS(Tracker[Net],Tracker[Money %],"&gt;="&amp;$BG5,Tracker[Money %],"&lt;"&amp;$BG6,Tracker[Bet Type],BK$1))/COUNTIFS(Tracker[Money %],"&gt;="&amp;$BG5,Tracker[Money %],"&lt;"&amp;$BG6,Tracker[Bet Type],BK$1),2)&lt;-0.15,"O","")),"")</f>
        <v>X</v>
      </c>
      <c r="BL5" s="24" t="str">
        <f>IFERROR(IF(ROUND((SUMIFS(Tracker[Net],Tracker[Money %],"&gt;="&amp;$BG5,Tracker[Money %],"&lt;"&amp;$BG6,Tracker[Bet Type],BL$1))/COUNTIFS(Tracker[Money %],"&gt;="&amp;$BG5,Tracker[Money %],"&lt;"&amp;$BG6,Tracker[Bet Type],BL$1),2)&gt;0.05,"X",IF(ROUND((SUMIFS(Tracker[Net],Tracker[Money %],"&gt;="&amp;$BG5,Tracker[Money %],"&lt;"&amp;$BG6,Tracker[Bet Type],BL$1))/COUNTIFS(Tracker[Money %],"&gt;="&amp;$BG5,Tracker[Money %],"&lt;"&amp;$BG6,Tracker[Bet Type],BL$1),2)&lt;-0.15,"O","")),"")</f>
        <v>X</v>
      </c>
      <c r="BM5" s="24" t="str">
        <f>IFERROR(IF(ROUND((SUMIFS(Tracker[Net],Tracker[Money %],"&gt;="&amp;$BG5,Tracker[Money %],"&lt;"&amp;$BG6,Tracker[Bet Type],BM$1))/COUNTIFS(Tracker[Money %],"&gt;="&amp;$BG5,Tracker[Money %],"&lt;"&amp;$BG6,Tracker[Bet Type],BM$1),2)&gt;0.05,"X",IF(ROUND((SUMIFS(Tracker[Net],Tracker[Money %],"&gt;="&amp;$BG5,Tracker[Money %],"&lt;"&amp;$BG6,Tracker[Bet Type],BM$1))/COUNTIFS(Tracker[Money %],"&gt;="&amp;$BG5,Tracker[Money %],"&lt;"&amp;$BG6,Tracker[Bet Type],BM$1),2)&lt;-0.15,"O","")),"")</f>
        <v/>
      </c>
      <c r="BN5" s="24" t="str">
        <f>IFERROR(IF(ROUND((SUMIFS(Tracker[Net],Tracker[Money %],"&gt;="&amp;$BG5,Tracker[Money %],"&lt;"&amp;$BG6,Tracker[Bet Type],BN$1))/COUNTIFS(Tracker[Money %],"&gt;="&amp;$BG5,Tracker[Money %],"&lt;"&amp;$BG6,Tracker[Bet Type],BN$1),2)&gt;0.05,"X",IF(ROUND((SUMIFS(Tracker[Net],Tracker[Money %],"&gt;="&amp;$BG5,Tracker[Money %],"&lt;"&amp;$BG6,Tracker[Bet Type],BN$1))/COUNTIFS(Tracker[Money %],"&gt;="&amp;$BG5,Tracker[Money %],"&lt;"&amp;$BG6,Tracker[Bet Type],BN$1),2)&lt;-0.15,"O","")),"")</f>
        <v>X</v>
      </c>
      <c r="BO5" s="24" t="str">
        <f>IFERROR(IF(ROUND((SUMIFS(Tracker[Net],Tracker[Money %],"&gt;="&amp;$BG5,Tracker[Money %],"&lt;"&amp;$BG6,Tracker[Bet Type Drill Down],BO$1))/COUNTIFS(Tracker[Money %],"&gt;="&amp;$BG5,Tracker[Money %],"&lt;"&amp;$BG6,Tracker[Bet Type Drill Down],BO$1),2)&gt;0.05,"X",IF(ROUND((SUMIFS(Tracker[Net],Tracker[Money %],"&gt;="&amp;$BG5,Tracker[Money %],"&lt;"&amp;$BG6,Tracker[Bet Type Drill Down],BO$1))/COUNTIFS(Tracker[Money %],"&gt;="&amp;$BG5,Tracker[Money %],"&lt;"&amp;$BG6,Tracker[Bet Type Drill Down],BO$1),2)&lt;-0.15,"O","")),"")</f>
        <v>X</v>
      </c>
      <c r="BP5" s="24" t="str">
        <f>IFERROR(IF(ROUND((SUMIFS(Tracker[Net],Tracker[Money %],"&gt;="&amp;$BG5,Tracker[Money %],"&lt;"&amp;$BG6,Tracker[Bet Type Drill Down],BP$1))/COUNTIFS(Tracker[Money %],"&gt;="&amp;$BG5,Tracker[Money %],"&lt;"&amp;$BG6,Tracker[Bet Type Drill Down],BP$1),2)&gt;0.05,"X",IF(ROUND((SUMIFS(Tracker[Net],Tracker[Money %],"&gt;="&amp;$BG5,Tracker[Money %],"&lt;"&amp;$BG6,Tracker[Bet Type Drill Down],BP$1))/COUNTIFS(Tracker[Money %],"&gt;="&amp;$BG5,Tracker[Money %],"&lt;"&amp;$BG6,Tracker[Bet Type Drill Down],BP$1),2)&lt;-0.15,"O","")),"")</f>
        <v/>
      </c>
      <c r="BQ5" s="24" t="str">
        <f>IFERROR(IF(ROUND((SUMIFS(Tracker[Net],Tracker[Money %],"&gt;="&amp;$BG5,Tracker[Money %],"&lt;"&amp;$BG6,Tracker[Bet Type Drill Down],BQ$1))/COUNTIFS(Tracker[Money %],"&gt;="&amp;$BG5,Tracker[Money %],"&lt;"&amp;$BG6,Tracker[Bet Type Drill Down],BQ$1),2)&gt;0.05,"X",IF(ROUND((SUMIFS(Tracker[Net],Tracker[Money %],"&gt;="&amp;$BG5,Tracker[Money %],"&lt;"&amp;$BG6,Tracker[Bet Type Drill Down],BQ$1))/COUNTIFS(Tracker[Money %],"&gt;="&amp;$BG5,Tracker[Money %],"&lt;"&amp;$BG6,Tracker[Bet Type Drill Down],BQ$1),2)&lt;-0.15,"O","")),"")</f>
        <v/>
      </c>
      <c r="BR5" s="24" t="str">
        <f>IFERROR(IF(ROUND((SUMIFS(Tracker[Net],Tracker[Money %],"&gt;="&amp;$BG5,Tracker[Money %],"&lt;"&amp;$BG6,Tracker[Bet Type Drill Down],BR$1))/COUNTIFS(Tracker[Money %],"&gt;="&amp;$BG5,Tracker[Money %],"&lt;"&amp;$BG6,Tracker[Bet Type Drill Down],BR$1),2)&gt;0.05,"X",IF(ROUND((SUMIFS(Tracker[Net],Tracker[Money %],"&gt;="&amp;$BG5,Tracker[Money %],"&lt;"&amp;$BG6,Tracker[Bet Type Drill Down],BR$1))/COUNTIFS(Tracker[Money %],"&gt;="&amp;$BG5,Tracker[Money %],"&lt;"&amp;$BG6,Tracker[Bet Type Drill Down],BR$1),2)&lt;-0.15,"O","")),"")</f>
        <v/>
      </c>
      <c r="BT5" s="153">
        <f t="shared" si="5"/>
        <v>0.15000000000000002</v>
      </c>
      <c r="BU5" s="154" t="str">
        <f t="shared" ref="BU5" si="10">ROUND(BT5*100,0)&amp;"  to  "&amp;ROUND(BT6*100,0)&amp;"%"</f>
        <v>15  to  20%</v>
      </c>
      <c r="BV5" t="str">
        <f>IFERROR(COUNTIFS(Tracker[Bet %],"&gt;="&amp;BT5,Tracker[Bet %],"&lt;"&amp;BT6,Tracker[Result],"W")&amp;"-"&amp;COUNTIFS(Tracker[Bet %],"&gt;="&amp;BT5,Tracker[Bet %],"&lt;"&amp;BT6,Tracker[Result],"L")&amp;"-"&amp;COUNTIFS(Tracker[Bet %],"&gt;="&amp;BT5,Tracker[Bet %],"&lt;"&amp;BT6,Tracker[Result],"Push")&amp;" ("&amp;ROUND(COUNTIFS(Tracker[Bet %],"&gt;="&amp;BT5,Tracker[Bet %],"&lt;"&amp;BT6,Tracker[Result],"W")/(COUNTIFS(Tracker[Bet %],"&gt;="&amp;BT5,Tracker[Bet %],"&lt;"&amp;BT6,Tracker[Result],"L")+COUNTIFS(Tracker[Bet %],"&gt;="&amp;BT5,Tracker[Bet %],"&lt;"&amp;BT6,Tracker[Result],"W"))*100,2)&amp;"%)","No Bets")</f>
        <v>3-2-0 (60%)</v>
      </c>
      <c r="BW5">
        <f>SUMIFS(Tracker[Net],Tracker[Bet %],"&gt;="&amp;BT5,Tracker[Bet %],"&lt;"&amp;BT6)</f>
        <v>0.72727272727272718</v>
      </c>
      <c r="BX5" s="24" t="str">
        <f>IFERROR(IF(ROUND((SUMIFS(Tracker[Net],Tracker[Bet %],"&gt;="&amp;$BG5,Tracker[Bet %],"&lt;"&amp;$BG6,Tracker[Bet Type],BX$1))/COUNTIFS(Tracker[Bet %],"&gt;="&amp;$BG5,Tracker[Bet %],"&lt;"&amp;$BG6,Tracker[Bet Type],BX$1),2)&gt;0.05,"X",IF(ROUND((SUMIFS(Tracker[Net],Tracker[Bet %],"&gt;="&amp;$BG5,Tracker[Bet %],"&lt;"&amp;$BG6,Tracker[Bet Type],BX$1))/COUNTIFS(Tracker[Bet %],"&gt;="&amp;$BG5,Tracker[Bet %],"&lt;"&amp;$BG6,Tracker[Bet Type],BX$1),2)&lt;-0.15,"O","")),"")</f>
        <v/>
      </c>
      <c r="BY5" s="24" t="str">
        <f>IFERROR(IF(ROUND((SUMIFS(Tracker[Net],Tracker[Bet %],"&gt;="&amp;$BG5,Tracker[Bet %],"&lt;"&amp;$BG6,Tracker[Bet Type],BY$1))/COUNTIFS(Tracker[Bet %],"&gt;="&amp;$BG5,Tracker[Bet %],"&lt;"&amp;$BG6,Tracker[Bet Type],BY$1),2)&gt;0.05,"X",IF(ROUND((SUMIFS(Tracker[Net],Tracker[Bet %],"&gt;="&amp;$BG5,Tracker[Bet %],"&lt;"&amp;$BG6,Tracker[Bet Type],BY$1))/COUNTIFS(Tracker[Bet %],"&gt;="&amp;$BG5,Tracker[Bet %],"&lt;"&amp;$BG6,Tracker[Bet Type],BY$1),2)&lt;-0.15,"O","")),"")</f>
        <v>X</v>
      </c>
      <c r="BZ5" s="24" t="str">
        <f>IFERROR(IF(ROUND((SUMIFS(Tracker[Net],Tracker[Bet %],"&gt;="&amp;$BG5,Tracker[Bet %],"&lt;"&amp;$BG6,Tracker[Bet Type],BZ$1))/COUNTIFS(Tracker[Bet %],"&gt;="&amp;$BG5,Tracker[Bet %],"&lt;"&amp;$BG6,Tracker[Bet Type],BZ$1),2)&gt;0.05,"X",IF(ROUND((SUMIFS(Tracker[Net],Tracker[Bet %],"&gt;="&amp;$BG5,Tracker[Bet %],"&lt;"&amp;$BG6,Tracker[Bet Type],BZ$1))/COUNTIFS(Tracker[Bet %],"&gt;="&amp;$BG5,Tracker[Bet %],"&lt;"&amp;$BG6,Tracker[Bet Type],BZ$1),2)&lt;-0.15,"O","")),"")</f>
        <v/>
      </c>
      <c r="CA5" s="24" t="str">
        <f>IFERROR(IF(ROUND((SUMIFS(Tracker[Net],Tracker[Bet %],"&gt;="&amp;$BG5,Tracker[Bet %],"&lt;"&amp;$BG6,Tracker[Bet Type],CA$1))/COUNTIFS(Tracker[Bet %],"&gt;="&amp;$BG5,Tracker[Bet %],"&lt;"&amp;$BG6,Tracker[Bet Type],CA$1),2)&gt;0.05,"X",IF(ROUND((SUMIFS(Tracker[Net],Tracker[Bet %],"&gt;="&amp;$BG5,Tracker[Bet %],"&lt;"&amp;$BG6,Tracker[Bet Type],CA$1))/COUNTIFS(Tracker[Bet %],"&gt;="&amp;$BG5,Tracker[Bet %],"&lt;"&amp;$BG6,Tracker[Bet Type],CA$1),2)&lt;-0.15,"O","")),"")</f>
        <v/>
      </c>
      <c r="CB5" s="24" t="str">
        <f>IFERROR(IF(ROUND((SUMIFS(Tracker[Net],Tracker[Bet %],"&gt;="&amp;$BG5,Tracker[Bet %],"&lt;"&amp;$BG6,Tracker[Bet Type Drill Down],CB$1))/COUNTIFS(Tracker[Bet %],"&gt;="&amp;$BG5,Tracker[Bet %],"&lt;"&amp;$BG6,Tracker[Bet Type Drill Down],CB$1),2)&gt;0.05,"X",IF(ROUND((SUMIFS(Tracker[Net],Tracker[Bet %],"&gt;="&amp;$BG5,Tracker[Bet %],"&lt;"&amp;$BG6,Tracker[Bet Type Drill Down],CB$1))/COUNTIFS(Tracker[Bet %],"&gt;="&amp;$BG5,Tracker[Bet %],"&lt;"&amp;$BG6,Tracker[Bet Type Drill Down],CB$1),2)&lt;-0.15,"O","")),"")</f>
        <v>X</v>
      </c>
      <c r="CC5" s="24" t="str">
        <f>IFERROR(IF(ROUND((SUMIFS(Tracker[Net],Tracker[Bet %],"&gt;="&amp;$BG5,Tracker[Bet %],"&lt;"&amp;$BG6,Tracker[Bet Type Drill Down],CC$1))/COUNTIFS(Tracker[Bet %],"&gt;="&amp;$BG5,Tracker[Bet %],"&lt;"&amp;$BG6,Tracker[Bet Type Drill Down],CC$1),2)&gt;0.05,"X",IF(ROUND((SUMIFS(Tracker[Net],Tracker[Bet %],"&gt;="&amp;$BG5,Tracker[Bet %],"&lt;"&amp;$BG6,Tracker[Bet Type Drill Down],CC$1))/COUNTIFS(Tracker[Bet %],"&gt;="&amp;$BG5,Tracker[Bet %],"&lt;"&amp;$BG6,Tracker[Bet Type Drill Down],CC$1),2)&lt;-0.15,"O","")),"")</f>
        <v>O</v>
      </c>
      <c r="CD5" s="24" t="str">
        <f>IFERROR(IF(ROUND((SUMIFS(Tracker[Net],Tracker[Bet %],"&gt;="&amp;$BG5,Tracker[Bet %],"&lt;"&amp;$BG6,Tracker[Bet Type Drill Down],CD$1))/COUNTIFS(Tracker[Bet %],"&gt;="&amp;$BG5,Tracker[Bet %],"&lt;"&amp;$BG6,Tracker[Bet Type Drill Down],CD$1),2)&gt;0.05,"X",IF(ROUND((SUMIFS(Tracker[Net],Tracker[Bet %],"&gt;="&amp;$BG5,Tracker[Bet %],"&lt;"&amp;$BG6,Tracker[Bet Type Drill Down],CD$1))/COUNTIFS(Tracker[Bet %],"&gt;="&amp;$BG5,Tracker[Bet %],"&lt;"&amp;$BG6,Tracker[Bet Type Drill Down],CD$1),2)&lt;-0.15,"O","")),"")</f>
        <v/>
      </c>
      <c r="CE5" s="24" t="str">
        <f>IFERROR(IF(ROUND((SUMIFS(Tracker[Net],Tracker[Bet %],"&gt;="&amp;$BG5,Tracker[Bet %],"&lt;"&amp;$BG6,Tracker[Bet Type Drill Down],CE$1))/COUNTIFS(Tracker[Bet %],"&gt;="&amp;$BG5,Tracker[Bet %],"&lt;"&amp;$BG6,Tracker[Bet Type Drill Down],CE$1),2)&gt;0.05,"X",IF(ROUND((SUMIFS(Tracker[Net],Tracker[Bet %],"&gt;="&amp;$BG5,Tracker[Bet %],"&lt;"&amp;$BG6,Tracker[Bet Type Drill Down],CE$1))/COUNTIFS(Tracker[Bet %],"&gt;="&amp;$BG5,Tracker[Bet %],"&lt;"&amp;$BG6,Tracker[Bet Type Drill Down],CE$1),2)&lt;-0.15,"O","")),"")</f>
        <v/>
      </c>
    </row>
    <row r="6" spans="1:83" x14ac:dyDescent="0.25">
      <c r="A6" s="36">
        <f t="shared" si="9"/>
        <v>1</v>
      </c>
      <c r="B6" s="25">
        <v>43796</v>
      </c>
      <c r="C6" s="25" t="str">
        <f t="shared" si="7"/>
        <v>NBA</v>
      </c>
      <c r="D6" s="26" t="s">
        <v>775</v>
      </c>
      <c r="E6" s="27" t="s">
        <v>777</v>
      </c>
      <c r="F6" s="67">
        <v>0.59557880372620342</v>
      </c>
      <c r="G6" s="29">
        <v>-110</v>
      </c>
      <c r="H6" s="30" t="s">
        <v>56</v>
      </c>
      <c r="I6" s="44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6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6" s="32" t="str">
        <f>MID(Tracker[[#This Row],[Game]],SEARCH("@",Tracker[[#This Row],[Game]])+2,LEN(Tracker[[#This Row],[Game]]))</f>
        <v>Cavaliers</v>
      </c>
      <c r="L6" s="32" t="str">
        <f>LEFT(Tracker[[#This Row],[Game]],SEARCH("@",Tracker[[#This Row],[Game]])-2)</f>
        <v>Magic</v>
      </c>
      <c r="M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6" s="123"/>
      <c r="O6" s="147"/>
      <c r="P6" s="147"/>
      <c r="Q6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6" s="147" t="e">
        <f>IF(AND(Tracker[[#This Row],[Money %]]&lt;&gt;"",Tracker[[#This Row],[Bet %]]&lt;&gt;""),Tracker[[#This Row],[Money %]]-Tracker[[#This Row],[Bet %]],NA())</f>
        <v>#N/A</v>
      </c>
      <c r="S6" s="109"/>
      <c r="T6" s="109"/>
      <c r="U6" s="56">
        <f>IFERROR(INDEX($A$4:$B10002,MATCH(ROW()-3,$A$4:$A$4:$A1002,0),2),0)</f>
        <v>43808</v>
      </c>
      <c r="V6" s="33" t="str">
        <f>COUNTIFS(Tracker[Date],U6,Tracker[Result],"W")&amp;"-"&amp;COUNTIFS(Tracker[Date],U6,Tracker[Result],"L")&amp;IF(COUNTIFS(Tracker[Date],U6,Tracker[Result],"Push")&gt;0,"-"&amp;COUNTIFS(Tracker[Date],U6,Tracker[Result],"Push"),"")</f>
        <v>5-8-1</v>
      </c>
      <c r="W6" s="34">
        <f>IFERROR(COUNTIFS(Tracker[Date],U6,Tracker[Result],"W")/(COUNTIFS(Tracker[Date],U6,Tracker[Result],"W")+COUNTIFS(Tracker[Date],U6,Tracker[Result],"L")),"")</f>
        <v>0.38461538461538464</v>
      </c>
      <c r="X6" s="61">
        <f>SUMIF(Tracker[Date],U6,Tracker[Net])</f>
        <v>-3.4545454545454541</v>
      </c>
      <c r="Y6" s="35" t="str">
        <f>IFERROR("("&amp;ROUND(SUMIF(Tracker[Date],U6,Tracker[Net])/COUNTIF(Tracker[Date],U6),2)*100&amp;"%)","")</f>
        <v>(-25%)</v>
      </c>
      <c r="Z6" s="36" t="s">
        <v>248</v>
      </c>
      <c r="AA6" s="37" t="s">
        <v>249</v>
      </c>
      <c r="AB6" s="24" t="str">
        <f>IFERROR(COUNTIFS(Tracker[Bet Type],Z6,Tracker[Result],"W",Tracker[Confidence],"&gt;="&amp;$AB$2,Tracker[Confidence],"&lt;="&amp;$AC$2)&amp;"-"&amp;COUNTIFS(Tracker[Bet Type],Z6,Tracker[Result],"L",Tracker[Confidence],"&gt;="&amp;$AB$2,Tracker[Confidence],"&lt;="&amp;$AC$2)&amp;IF(COUNTIFS(Tracker[Bet Type],Z6,Tracker[Result],"Push",Tracker[Confidence],"&gt;="&amp;$AB$2,Tracker[Confidence],"&lt;="&amp;$AC$2)&gt;0,"-"&amp;COUNTIFS(Tracker[Bet Type],Z6,Tracker[Result],"Push",Tracker[Confidence],"&gt;="&amp;$AB$2,Tracker[Confidence],"&lt;="&amp;$AC$2),"")&amp;" ("&amp;ROUND(COUNTIFS(Tracker[Bet Type],Z6,Tracker[Result],"W",Tracker[Confidence],"&gt;="&amp;$AB$2,Tracker[Confidence],"&lt;="&amp;$AC$2)/(COUNTIFS(Tracker[Bet Type],Z6,Tracker[Result],"W",Tracker[Confidence],"&gt;="&amp;$AB$2,Tracker[Confidence],"&lt;="&amp;$AC$2)+COUNTIFS(Tracker[Bet Type],Z6,Tracker[Result],"L",Tracker[Confidence],"&gt;="&amp;$AB$2,Tracker[Confidence],"&lt;="&amp;$AC$2))*100,1)&amp;"%)","No Bets")</f>
        <v>18-9 (66.7%)</v>
      </c>
      <c r="AC6" s="64">
        <f>SUMIFS(Tracker[Net],Tracker[Bet Type],Z6,Tracker[Confidence],"&gt;="&amp;$AB$2,Tracker[Confidence],"&lt;="&amp;$AC$2)</f>
        <v>7.3636363636363642</v>
      </c>
      <c r="AD6" s="38" t="str">
        <f>IFERROR("("&amp;ROUND((SUMIFS(Tracker[Net],Tracker[Bet Type],Z6,Tracker[Confidence],"&gt;="&amp;$AB$2,Tracker[Confidence],"&lt;="&amp;$AC$2))/COUNTIFS(Tracker[Bet Type],Z6,Tracker[Confidence],"&gt;="&amp;$AB$2,Tracker[Confidence],"&lt;="&amp;$AC$2),2)*100&amp;"%)","")</f>
        <v>(27%)</v>
      </c>
      <c r="AF6" s="36">
        <f t="shared" ref="AF6:AF23" si="11">AF5+0.05</f>
        <v>0.15000000000000002</v>
      </c>
      <c r="AG6" s="66" t="str">
        <f t="shared" si="0"/>
        <v>15-20%</v>
      </c>
      <c r="AH6" s="124" t="str">
        <f>IFERROR(COUNTIFS(Tracker[Cover %],"&gt;="&amp;AF6,Tracker[Cover %],"&lt;"&amp;AF7,Tracker[Result],"W")&amp;"-"&amp;COUNTIFS(Tracker[Cover %],"&gt;="&amp;AF6,Tracker[Cover %],"&lt;"&amp;AF7,Tracker[Result],"L")&amp;"-"&amp;COUNTIFS(Tracker[Cover %],"&gt;="&amp;AF6,Tracker[Cover %],"&lt;"&amp;AF7,Tracker[Result],"Push")&amp;" ("&amp;ROUND(COUNTIFS(Tracker[Cover %],"&gt;="&amp;AF6,Tracker[Cover %],"&lt;"&amp;AF7,Tracker[Result],"W")/(COUNTIFS(Tracker[Cover %],"&gt;="&amp;AF6,Tracker[Cover %],"&lt;"&amp;AF7,Tracker[Result],"L")+COUNTIFS(Tracker[Cover %],"&gt;="&amp;AF6,Tracker[Cover %],"&lt;"&amp;AF7,Tracker[Result],"W"))*100,2)&amp;"%)","No Bets")</f>
        <v>No Bets</v>
      </c>
      <c r="AI6" s="72">
        <f>SUMIFS(Tracker[Net],Tracker[Cover %],"&gt;="&amp;AF6,Tracker[Cover %],"&lt;"&amp;AF7)</f>
        <v>0</v>
      </c>
      <c r="AJ6" s="24" t="str">
        <f>IFERROR(IF(ROUND((SUMIFS(Tracker[Net],Tracker[Cover %],"&gt;="&amp;$AF6,Tracker[Cover %],"&lt;"&amp;$AF7,Tracker[Bet Type],AJ$2))/COUNTIFS(Tracker[Cover %],"&gt;="&amp;$AF6,Tracker[Cover %],"&lt;"&amp;$AF7,Tracker[Bet Type],AJ$2),2)&gt;0.05,"X",IF(ROUND((SUMIFS(Tracker[Net],Tracker[Cover %],"&gt;="&amp;$AF6,Tracker[Cover %],"&lt;"&amp;$AF7,Tracker[Bet Type],AJ$2))/COUNTIFS(Tracker[Cover %],"&gt;="&amp;$AF6,Tracker[Cover %],"&lt;"&amp;$AF7,Tracker[Bet Type],AJ$2),2)&lt;-0.15,"O","")),"")</f>
        <v/>
      </c>
      <c r="AK6" s="24" t="str">
        <f>IFERROR(IF(ROUND((SUMIFS(Tracker[Net],Tracker[Cover %],"&gt;="&amp;$AF6,Tracker[Cover %],"&lt;"&amp;$AF7,Tracker[Bet Type],AK$2))/COUNTIFS(Tracker[Cover %],"&gt;="&amp;$AF6,Tracker[Cover %],"&lt;"&amp;$AF7,Tracker[Bet Type],AK$2),2)&gt;0.05,"X",IF(ROUND((SUMIFS(Tracker[Net],Tracker[Cover %],"&gt;="&amp;$AF6,Tracker[Cover %],"&lt;"&amp;$AF7,Tracker[Bet Type],AK$2))/COUNTIFS(Tracker[Cover %],"&gt;="&amp;$AF6,Tracker[Cover %],"&lt;"&amp;$AF7,Tracker[Bet Type],AK$2),2)&lt;-0.15,"O","")),"")</f>
        <v/>
      </c>
      <c r="AL6" s="24" t="str">
        <f>IFERROR(IF(ROUND((SUMIFS(Tracker[Net],Tracker[Cover %],"&gt;="&amp;$AF6,Tracker[Cover %],"&lt;"&amp;$AF7,Tracker[Bet Type],AL$2))/COUNTIFS(Tracker[Cover %],"&gt;="&amp;$AF6,Tracker[Cover %],"&lt;"&amp;$AF7,Tracker[Bet Type],AL$2),2)&gt;0.05,"X",IF(ROUND((SUMIFS(Tracker[Net],Tracker[Cover %],"&gt;="&amp;$AF6,Tracker[Cover %],"&lt;"&amp;$AF7,Tracker[Bet Type],AL$2))/COUNTIFS(Tracker[Cover %],"&gt;="&amp;$AF6,Tracker[Cover %],"&lt;"&amp;$AF7,Tracker[Bet Type],AL$2),2)&lt;-0.15,"O","")),"")</f>
        <v/>
      </c>
      <c r="AM6" s="24" t="str">
        <f>IFERROR(IF(ROUND((SUMIFS(Tracker[Net],Tracker[Cover %],"&gt;="&amp;$AF6,Tracker[Cover %],"&lt;"&amp;$AF7,Tracker[Bet Type],AM$2))/COUNTIFS(Tracker[Cover %],"&gt;="&amp;$AF6,Tracker[Cover %],"&lt;"&amp;$AF7,Tracker[Bet Type],AM$2),2)&gt;0.05,"X",IF(ROUND((SUMIFS(Tracker[Net],Tracker[Cover %],"&gt;="&amp;$AF6,Tracker[Cover %],"&lt;"&amp;$AF7,Tracker[Bet Type],AM$2))/COUNTIFS(Tracker[Cover %],"&gt;="&amp;$AF6,Tracker[Cover %],"&lt;"&amp;$AF7,Tracker[Bet Type],AM$2),2)&lt;-0.15,"O","")),"")</f>
        <v/>
      </c>
      <c r="AN6" s="24" t="str">
        <f>IFERROR(IF(ROUND((SUMIFS(Tracker[Net],Tracker[Cover %],"&gt;="&amp;$AF6,Tracker[Cover %],"&lt;"&amp;$AF7,Tracker[Bet Type Drill Down],AN$2))/COUNTIFS(Tracker[Cover %],"&gt;="&amp;$AF6,Tracker[Cover %],"&lt;"&amp;$AF7,Tracker[Bet Type Drill Down],AN$2),2)&gt;0.05,"X",IF(ROUND((SUMIFS(Tracker[Net],Tracker[Cover %],"&gt;="&amp;$AF6,Tracker[Cover %],"&lt;"&amp;$AF7,Tracker[Bet Type Drill Down],AN$2))/COUNTIFS(Tracker[Cover %],"&gt;="&amp;$AF6,Tracker[Cover %],"&lt;"&amp;$AF7,Tracker[Bet Type Drill Down],AN$2),2)&lt;-0.15,"O","")),"")</f>
        <v/>
      </c>
      <c r="AO6" s="24" t="str">
        <f>IFERROR(IF(ROUND((SUMIFS(Tracker[Net],Tracker[Cover %],"&gt;="&amp;$AF6,Tracker[Cover %],"&lt;"&amp;$AF7,Tracker[Bet Type Drill Down],AO$2))/COUNTIFS(Tracker[Cover %],"&gt;="&amp;$AF6,Tracker[Cover %],"&lt;"&amp;$AF7,Tracker[Bet Type Drill Down],AO$2),2)&gt;0.05,"X",IF(ROUND((SUMIFS(Tracker[Net],Tracker[Cover %],"&gt;="&amp;$AF6,Tracker[Cover %],"&lt;"&amp;$AF7,Tracker[Bet Type Drill Down],AO$2))/COUNTIFS(Tracker[Cover %],"&gt;="&amp;$AF6,Tracker[Cover %],"&lt;"&amp;$AF7,Tracker[Bet Type Drill Down],AO$2),2)&lt;-0.15,"O","")),"")</f>
        <v/>
      </c>
      <c r="AP6" s="24" t="str">
        <f>IFERROR(IF(ROUND((SUMIFS(Tracker[Net],Tracker[Cover %],"&gt;="&amp;$AF6,Tracker[Cover %],"&lt;"&amp;$AF7,Tracker[Bet Type Drill Down],AP$2))/COUNTIFS(Tracker[Cover %],"&gt;="&amp;$AF6,Tracker[Cover %],"&lt;"&amp;$AF7,Tracker[Bet Type Drill Down],AP$2),2)&gt;0.05,"X",IF(ROUND((SUMIFS(Tracker[Net],Tracker[Cover %],"&gt;="&amp;$AF6,Tracker[Cover %],"&lt;"&amp;$AF7,Tracker[Bet Type Drill Down],AP$2))/COUNTIFS(Tracker[Cover %],"&gt;="&amp;$AF6,Tracker[Cover %],"&lt;"&amp;$AF7,Tracker[Bet Type Drill Down],AP$2),2)&lt;-0.15,"O","")),"")</f>
        <v/>
      </c>
      <c r="AQ6" s="24" t="str">
        <f>IFERROR(IF(ROUND((SUMIFS(Tracker[Net],Tracker[Cover %],"&gt;="&amp;$AF6,Tracker[Cover %],"&lt;"&amp;$AF7,Tracker[Bet Type Drill Down],AQ$2))/COUNTIFS(Tracker[Cover %],"&gt;="&amp;$AF6,Tracker[Cover %],"&lt;"&amp;$AF7,Tracker[Bet Type Drill Down],AQ$2),2)&gt;0.05,"X",IF(ROUND((SUMIFS(Tracker[Net],Tracker[Cover %],"&gt;="&amp;$AF6,Tracker[Cover %],"&lt;"&amp;$AF7,Tracker[Bet Type Drill Down],AQ$2))/COUNTIFS(Tracker[Cover %],"&gt;="&amp;$AF6,Tracker[Cover %],"&lt;"&amp;$AF7,Tracker[Bet Type Drill Down],AQ$2),2)&lt;-0.15,"O","")),"")</f>
        <v/>
      </c>
      <c r="AT6" s="153">
        <f t="shared" si="1"/>
        <v>-0.79999999999999982</v>
      </c>
      <c r="AU6" s="39" t="str">
        <f t="shared" si="2"/>
        <v>-80  to  -75%</v>
      </c>
      <c r="AV6" t="str">
        <f>IFERROR(COUNTIFS(Tracker[Money Discrepency],"&gt;="&amp;AT6,Tracker[Money Discrepency],"&lt;"&amp;AT7,Tracker[Result],"W")&amp;"-"&amp;COUNTIFS(Tracker[Money Discrepency],"&gt;="&amp;AT6,Tracker[Money Discrepency],"&lt;"&amp;AT7,Tracker[Result],"L")&amp;"-"&amp;COUNTIFS(Tracker[Money Discrepency],"&gt;="&amp;AT6,Tracker[Money Discrepency],"&lt;"&amp;AT7,Tracker[Result],"Push")&amp;" ("&amp;ROUND(COUNTIFS(Tracker[Money Discrepency],"&gt;="&amp;AT6,Tracker[Money Discrepency],"&lt;"&amp;AT7,Tracker[Result],"W")/(COUNTIFS(Tracker[Money Discrepency],"&gt;="&amp;AT6,Tracker[Money Discrepency],"&lt;"&amp;AT7,Tracker[Result],"L")+COUNTIFS(Tracker[Money Discrepency],"&gt;="&amp;AT6,Tracker[Money Discrepency],"&lt;"&amp;AT7,Tracker[Result],"W"))*100,2)&amp;"%)","No Bets")</f>
        <v>No Bets</v>
      </c>
      <c r="AW6">
        <f>SUMIFS(Tracker[Net],Tracker[Money Discrepency],"&gt;="&amp;AT6,Tracker[Money Discrepency],"&lt;"&amp;AT7)</f>
        <v>0</v>
      </c>
      <c r="AX6" s="24" t="str">
        <f>IFERROR(IF(ROUND((SUMIFS(Tracker[Net],Tracker[Money Discrepency],"&gt;="&amp;$AT6,Tracker[Money Discrepency],"&lt;"&amp;$AT7,Tracker[Bet Type],AX$1))/COUNTIFS(Tracker[Money Discrepency],"&gt;="&amp;$AT6,Tracker[Money Discrepency],"&lt;"&amp;$AT7,Tracker[Bet Type],AX$1),2)&gt;0.05,"X",IF(ROUND((SUMIFS(Tracker[Net],Tracker[Money Discrepency],"&gt;="&amp;$AT6,Tracker[Money Discrepency],"&lt;"&amp;$AT7,Tracker[Bet Type],AX$1))/COUNTIFS(Tracker[Money Discrepency],"&gt;="&amp;$AT6,Tracker[Money Discrepency],"&lt;"&amp;$AT7,Tracker[Bet Type],AX$1),2)&lt;-0.15,"O","")),"")</f>
        <v/>
      </c>
      <c r="AY6" s="24" t="str">
        <f>IFERROR(IF(ROUND((SUMIFS(Tracker[Net],Tracker[Money Discrepency],"&gt;="&amp;$AT6,Tracker[Money Discrepency],"&lt;"&amp;$AT7,Tracker[Bet Type],AY$1))/COUNTIFS(Tracker[Money Discrepency],"&gt;="&amp;$AT6,Tracker[Money Discrepency],"&lt;"&amp;$AT7,Tracker[Bet Type],AY$1),2)&gt;0.05,"X",IF(ROUND((SUMIFS(Tracker[Net],Tracker[Money Discrepency],"&gt;="&amp;$AT6,Tracker[Money Discrepency],"&lt;"&amp;$AT7,Tracker[Bet Type],AY$1))/COUNTIFS(Tracker[Money Discrepency],"&gt;="&amp;$AT6,Tracker[Money Discrepency],"&lt;"&amp;$AT7,Tracker[Bet Type],AY$1),2)&lt;-0.15,"O","")),"")</f>
        <v/>
      </c>
      <c r="AZ6" s="24" t="str">
        <f>IFERROR(IF(ROUND((SUMIFS(Tracker[Net],Tracker[Money Discrepency],"&gt;="&amp;$AT6,Tracker[Money Discrepency],"&lt;"&amp;$AT7,Tracker[Bet Type],AZ$1))/COUNTIFS(Tracker[Money Discrepency],"&gt;="&amp;$AT6,Tracker[Money Discrepency],"&lt;"&amp;$AT7,Tracker[Bet Type],AZ$1),2)&gt;0.05,"X",IF(ROUND((SUMIFS(Tracker[Net],Tracker[Money Discrepency],"&gt;="&amp;$AT6,Tracker[Money Discrepency],"&lt;"&amp;$AT7,Tracker[Bet Type],AZ$1))/COUNTIFS(Tracker[Money Discrepency],"&gt;="&amp;$AT6,Tracker[Money Discrepency],"&lt;"&amp;$AT7,Tracker[Bet Type],AZ$1),2)&lt;-0.15,"O","")),"")</f>
        <v/>
      </c>
      <c r="BA6" s="24" t="str">
        <f>IFERROR(IF(ROUND((SUMIFS(Tracker[Net],Tracker[Money Discrepency],"&gt;="&amp;$AT6,Tracker[Money Discrepency],"&lt;"&amp;$AT7,Tracker[Bet Type],BA$1))/COUNTIFS(Tracker[Money Discrepency],"&gt;="&amp;$AT6,Tracker[Money Discrepency],"&lt;"&amp;$AT7,Tracker[Bet Type],BA$1),2)&gt;0.05,"X",IF(ROUND((SUMIFS(Tracker[Net],Tracker[Money Discrepency],"&gt;="&amp;$AT6,Tracker[Money Discrepency],"&lt;"&amp;$AT7,Tracker[Bet Type],BA$1))/COUNTIFS(Tracker[Money Discrepency],"&gt;="&amp;$AT6,Tracker[Money Discrepency],"&lt;"&amp;$AT7,Tracker[Bet Type],BA$1),2)&lt;-0.15,"O","")),"")</f>
        <v/>
      </c>
      <c r="BB6" s="24" t="str">
        <f>IFERROR(IF(ROUND((SUMIFS(Tracker[Net],Tracker[Money Discrepency],"&gt;="&amp;$AT6,Tracker[Money Discrepency],"&lt;"&amp;$AT7,Tracker[Bet Type Drill Down],BB$1))/COUNTIFS(Tracker[Money Discrepency],"&gt;="&amp;$AT6,Tracker[Money Discrepency],"&lt;"&amp;$AT7,Tracker[Bet Type Drill Down],BB$1),2)&gt;0.05,"X",IF(ROUND((SUMIFS(Tracker[Net],Tracker[Money Discrepency],"&gt;="&amp;$AT6,Tracker[Money Discrepency],"&lt;"&amp;$AT7,Tracker[Bet Type Drill Down],BB$1))/COUNTIFS(Tracker[Money Discrepency],"&gt;="&amp;$AT6,Tracker[Money Discrepency],"&lt;"&amp;$AT7,Tracker[Bet Type Drill Down],BB$1),2)&lt;-0.15,"O","")),"")</f>
        <v/>
      </c>
      <c r="BC6" s="24" t="str">
        <f>IFERROR(IF(ROUND((SUMIFS(Tracker[Net],Tracker[Money Discrepency],"&gt;="&amp;$AT6,Tracker[Money Discrepency],"&lt;"&amp;$AT7,Tracker[Bet Type Drill Down],BC$1))/COUNTIFS(Tracker[Money Discrepency],"&gt;="&amp;$AT6,Tracker[Money Discrepency],"&lt;"&amp;$AT7,Tracker[Bet Type Drill Down],BC$1),2)&gt;0.05,"X",IF(ROUND((SUMIFS(Tracker[Net],Tracker[Money Discrepency],"&gt;="&amp;$AT6,Tracker[Money Discrepency],"&lt;"&amp;$AT7,Tracker[Bet Type Drill Down],BC$1))/COUNTIFS(Tracker[Money Discrepency],"&gt;="&amp;$AT6,Tracker[Money Discrepency],"&lt;"&amp;$AT7,Tracker[Bet Type Drill Down],BC$1),2)&lt;-0.15,"O","")),"")</f>
        <v/>
      </c>
      <c r="BD6" s="24" t="str">
        <f>IFERROR(IF(ROUND((SUMIFS(Tracker[Net],Tracker[Money Discrepency],"&gt;="&amp;$AT6,Tracker[Money Discrepency],"&lt;"&amp;$AT7,Tracker[Bet Type Drill Down],BD$1))/COUNTIFS(Tracker[Money Discrepency],"&gt;="&amp;$AT6,Tracker[Money Discrepency],"&lt;"&amp;$AT7,Tracker[Bet Type Drill Down],BD$1),2)&gt;0.05,"X",IF(ROUND((SUMIFS(Tracker[Net],Tracker[Money Discrepency],"&gt;="&amp;$AT6,Tracker[Money Discrepency],"&lt;"&amp;$AT7,Tracker[Bet Type Drill Down],BD$1))/COUNTIFS(Tracker[Money Discrepency],"&gt;="&amp;$AT6,Tracker[Money Discrepency],"&lt;"&amp;$AT7,Tracker[Bet Type Drill Down],BD$1),2)&lt;-0.15,"O","")),"")</f>
        <v/>
      </c>
      <c r="BE6" s="24" t="str">
        <f>IFERROR(IF(ROUND((SUMIFS(Tracker[Net],Tracker[Money Discrepency],"&gt;="&amp;$AT6,Tracker[Money Discrepency],"&lt;"&amp;$AT7,Tracker[Bet Type Drill Down],BE$1))/COUNTIFS(Tracker[Money Discrepency],"&gt;="&amp;$AT6,Tracker[Money Discrepency],"&lt;"&amp;$AT7,Tracker[Bet Type Drill Down],BE$1),2)&gt;0.05,"X",IF(ROUND((SUMIFS(Tracker[Net],Tracker[Money Discrepency],"&gt;="&amp;$AT6,Tracker[Money Discrepency],"&lt;"&amp;$AT7,Tracker[Bet Type Drill Down],BE$1))/COUNTIFS(Tracker[Money Discrepency],"&gt;="&amp;$AT6,Tracker[Money Discrepency],"&lt;"&amp;$AT7,Tracker[Bet Type Drill Down],BE$1),2)&lt;-0.15,"O","")),"")</f>
        <v/>
      </c>
      <c r="BG6" s="153">
        <f t="shared" si="3"/>
        <v>0.2</v>
      </c>
      <c r="BH6" s="154" t="str">
        <f t="shared" si="4"/>
        <v>20  to  25%</v>
      </c>
      <c r="BI6" t="str">
        <f>IFERROR(COUNTIFS(Tracker[Money %],"&gt;="&amp;BG6,Tracker[Money %],"&lt;"&amp;BG7,Tracker[Result],"W")&amp;"-"&amp;COUNTIFS(Tracker[Money %],"&gt;="&amp;BG6,Tracker[Money %],"&lt;"&amp;BG7,Tracker[Result],"L")&amp;"-"&amp;COUNTIFS(Tracker[Money %],"&gt;="&amp;BG6,Tracker[Money %],"&lt;"&amp;BG7,Tracker[Result],"Push")&amp;" ("&amp;ROUND(COUNTIFS(Tracker[Money %],"&gt;="&amp;BG6,Tracker[Money %],"&lt;"&amp;BG7,Tracker[Result],"W")/(COUNTIFS(Tracker[Money %],"&gt;="&amp;BG6,Tracker[Money %],"&lt;"&amp;BG7,Tracker[Result],"L")+COUNTIFS(Tracker[Money %],"&gt;="&amp;BG6,Tracker[Money %],"&lt;"&amp;BG7,Tracker[Result],"W"))*100,2)&amp;"%)","No Bets")</f>
        <v>6-5-0 (54.55%)</v>
      </c>
      <c r="BJ6">
        <f>SUMIFS(Tracker[Net],Tracker[Money %],"&gt;="&amp;BG6,Tracker[Money %],"&lt;"&amp;BG7)</f>
        <v>0.45454545454545436</v>
      </c>
      <c r="BK6" s="24" t="str">
        <f>IFERROR(IF(ROUND((SUMIFS(Tracker[Net],Tracker[Money %],"&gt;="&amp;$BG6,Tracker[Money %],"&lt;"&amp;$BG7,Tracker[Bet Type],BK$1))/COUNTIFS(Tracker[Money %],"&gt;="&amp;$BG6,Tracker[Money %],"&lt;"&amp;$BG7,Tracker[Bet Type],BK$1),2)&gt;0.05,"X",IF(ROUND((SUMIFS(Tracker[Net],Tracker[Money %],"&gt;="&amp;$BG6,Tracker[Money %],"&lt;"&amp;$BG7,Tracker[Bet Type],BK$1))/COUNTIFS(Tracker[Money %],"&gt;="&amp;$BG6,Tracker[Money %],"&lt;"&amp;$BG7,Tracker[Bet Type],BK$1),2)&lt;-0.15,"O","")),"")</f>
        <v>O</v>
      </c>
      <c r="BL6" s="24" t="str">
        <f>IFERROR(IF(ROUND((SUMIFS(Tracker[Net],Tracker[Money %],"&gt;="&amp;$BG6,Tracker[Money %],"&lt;"&amp;$BG7,Tracker[Bet Type],BL$1))/COUNTIFS(Tracker[Money %],"&gt;="&amp;$BG6,Tracker[Money %],"&lt;"&amp;$BG7,Tracker[Bet Type],BL$1),2)&gt;0.05,"X",IF(ROUND((SUMIFS(Tracker[Net],Tracker[Money %],"&gt;="&amp;$BG6,Tracker[Money %],"&lt;"&amp;$BG7,Tracker[Bet Type],BL$1))/COUNTIFS(Tracker[Money %],"&gt;="&amp;$BG6,Tracker[Money %],"&lt;"&amp;$BG7,Tracker[Bet Type],BL$1),2)&lt;-0.15,"O","")),"")</f>
        <v>X</v>
      </c>
      <c r="BM6" s="24" t="str">
        <f>IFERROR(IF(ROUND((SUMIFS(Tracker[Net],Tracker[Money %],"&gt;="&amp;$BG6,Tracker[Money %],"&lt;"&amp;$BG7,Tracker[Bet Type],BM$1))/COUNTIFS(Tracker[Money %],"&gt;="&amp;$BG6,Tracker[Money %],"&lt;"&amp;$BG7,Tracker[Bet Type],BM$1),2)&gt;0.05,"X",IF(ROUND((SUMIFS(Tracker[Net],Tracker[Money %],"&gt;="&amp;$BG6,Tracker[Money %],"&lt;"&amp;$BG7,Tracker[Bet Type],BM$1))/COUNTIFS(Tracker[Money %],"&gt;="&amp;$BG6,Tracker[Money %],"&lt;"&amp;$BG7,Tracker[Bet Type],BM$1),2)&lt;-0.15,"O","")),"")</f>
        <v/>
      </c>
      <c r="BN6" s="24" t="str">
        <f>IFERROR(IF(ROUND((SUMIFS(Tracker[Net],Tracker[Money %],"&gt;="&amp;$BG6,Tracker[Money %],"&lt;"&amp;$BG7,Tracker[Bet Type],BN$1))/COUNTIFS(Tracker[Money %],"&gt;="&amp;$BG6,Tracker[Money %],"&lt;"&amp;$BG7,Tracker[Bet Type],BN$1),2)&gt;0.05,"X",IF(ROUND((SUMIFS(Tracker[Net],Tracker[Money %],"&gt;="&amp;$BG6,Tracker[Money %],"&lt;"&amp;$BG7,Tracker[Bet Type],BN$1))/COUNTIFS(Tracker[Money %],"&gt;="&amp;$BG6,Tracker[Money %],"&lt;"&amp;$BG7,Tracker[Bet Type],BN$1),2)&lt;-0.15,"O","")),"")</f>
        <v>X</v>
      </c>
      <c r="BO6" s="24" t="str">
        <f>IFERROR(IF(ROUND((SUMIFS(Tracker[Net],Tracker[Money %],"&gt;="&amp;$BG6,Tracker[Money %],"&lt;"&amp;$BG7,Tracker[Bet Type Drill Down],BO$1))/COUNTIFS(Tracker[Money %],"&gt;="&amp;$BG6,Tracker[Money %],"&lt;"&amp;$BG7,Tracker[Bet Type Drill Down],BO$1),2)&gt;0.05,"X",IF(ROUND((SUMIFS(Tracker[Net],Tracker[Money %],"&gt;="&amp;$BG6,Tracker[Money %],"&lt;"&amp;$BG7,Tracker[Bet Type Drill Down],BO$1))/COUNTIFS(Tracker[Money %],"&gt;="&amp;$BG6,Tracker[Money %],"&lt;"&amp;$BG7,Tracker[Bet Type Drill Down],BO$1),2)&lt;-0.15,"O","")),"")</f>
        <v>X</v>
      </c>
      <c r="BP6" s="24" t="str">
        <f>IFERROR(IF(ROUND((SUMIFS(Tracker[Net],Tracker[Money %],"&gt;="&amp;$BG6,Tracker[Money %],"&lt;"&amp;$BG7,Tracker[Bet Type Drill Down],BP$1))/COUNTIFS(Tracker[Money %],"&gt;="&amp;$BG6,Tracker[Money %],"&lt;"&amp;$BG7,Tracker[Bet Type Drill Down],BP$1),2)&gt;0.05,"X",IF(ROUND((SUMIFS(Tracker[Net],Tracker[Money %],"&gt;="&amp;$BG6,Tracker[Money %],"&lt;"&amp;$BG7,Tracker[Bet Type Drill Down],BP$1))/COUNTIFS(Tracker[Money %],"&gt;="&amp;$BG6,Tracker[Money %],"&lt;"&amp;$BG7,Tracker[Bet Type Drill Down],BP$1),2)&lt;-0.15,"O","")),"")</f>
        <v/>
      </c>
      <c r="BQ6" s="24" t="str">
        <f>IFERROR(IF(ROUND((SUMIFS(Tracker[Net],Tracker[Money %],"&gt;="&amp;$BG6,Tracker[Money %],"&lt;"&amp;$BG7,Tracker[Bet Type Drill Down],BQ$1))/COUNTIFS(Tracker[Money %],"&gt;="&amp;$BG6,Tracker[Money %],"&lt;"&amp;$BG7,Tracker[Bet Type Drill Down],BQ$1),2)&gt;0.05,"X",IF(ROUND((SUMIFS(Tracker[Net],Tracker[Money %],"&gt;="&amp;$BG6,Tracker[Money %],"&lt;"&amp;$BG7,Tracker[Bet Type Drill Down],BQ$1))/COUNTIFS(Tracker[Money %],"&gt;="&amp;$BG6,Tracker[Money %],"&lt;"&amp;$BG7,Tracker[Bet Type Drill Down],BQ$1),2)&lt;-0.15,"O","")),"")</f>
        <v/>
      </c>
      <c r="BR6" s="24" t="str">
        <f>IFERROR(IF(ROUND((SUMIFS(Tracker[Net],Tracker[Money %],"&gt;="&amp;$BG6,Tracker[Money %],"&lt;"&amp;$BG7,Tracker[Bet Type Drill Down],BR$1))/COUNTIFS(Tracker[Money %],"&gt;="&amp;$BG6,Tracker[Money %],"&lt;"&amp;$BG7,Tracker[Bet Type Drill Down],BR$1),2)&gt;0.05,"X",IF(ROUND((SUMIFS(Tracker[Net],Tracker[Money %],"&gt;="&amp;$BG6,Tracker[Money %],"&lt;"&amp;$BG7,Tracker[Bet Type Drill Down],BR$1))/COUNTIFS(Tracker[Money %],"&gt;="&amp;$BG6,Tracker[Money %],"&lt;"&amp;$BG7,Tracker[Bet Type Drill Down],BR$1),2)&lt;-0.15,"O","")),"")</f>
        <v/>
      </c>
      <c r="BT6" s="153">
        <f t="shared" si="5"/>
        <v>0.2</v>
      </c>
      <c r="BU6" s="154" t="str">
        <f t="shared" ref="BU6" si="12">ROUND(BT6*100,0)&amp;"  to  "&amp;ROUND(BT7*100,0)&amp;"%"</f>
        <v>20  to  25%</v>
      </c>
      <c r="BV6" t="str">
        <f>IFERROR(COUNTIFS(Tracker[Bet %],"&gt;="&amp;BT6,Tracker[Bet %],"&lt;"&amp;BT7,Tracker[Result],"W")&amp;"-"&amp;COUNTIFS(Tracker[Bet %],"&gt;="&amp;BT6,Tracker[Bet %],"&lt;"&amp;BT7,Tracker[Result],"L")&amp;"-"&amp;COUNTIFS(Tracker[Bet %],"&gt;="&amp;BT6,Tracker[Bet %],"&lt;"&amp;BT7,Tracker[Result],"Push")&amp;" ("&amp;ROUND(COUNTIFS(Tracker[Bet %],"&gt;="&amp;BT6,Tracker[Bet %],"&lt;"&amp;BT7,Tracker[Result],"W")/(COUNTIFS(Tracker[Bet %],"&gt;="&amp;BT6,Tracker[Bet %],"&lt;"&amp;BT7,Tracker[Result],"L")+COUNTIFS(Tracker[Bet %],"&gt;="&amp;BT6,Tracker[Bet %],"&lt;"&amp;BT7,Tracker[Result],"W"))*100,2)&amp;"%)","No Bets")</f>
        <v>4-5-0 (44.44%)</v>
      </c>
      <c r="BW6">
        <f>SUMIFS(Tracker[Net],Tracker[Bet %],"&gt;="&amp;BT6,Tracker[Bet %],"&lt;"&amp;BT7)</f>
        <v>-1.3636363636363638</v>
      </c>
      <c r="BX6" s="24" t="str">
        <f>IFERROR(IF(ROUND((SUMIFS(Tracker[Net],Tracker[Bet %],"&gt;="&amp;$BG6,Tracker[Bet %],"&lt;"&amp;$BG7,Tracker[Bet Type],BX$1))/COUNTIFS(Tracker[Bet %],"&gt;="&amp;$BG6,Tracker[Bet %],"&lt;"&amp;$BG7,Tracker[Bet Type],BX$1),2)&gt;0.05,"X",IF(ROUND((SUMIFS(Tracker[Net],Tracker[Bet %],"&gt;="&amp;$BG6,Tracker[Bet %],"&lt;"&amp;$BG7,Tracker[Bet Type],BX$1))/COUNTIFS(Tracker[Bet %],"&gt;="&amp;$BG6,Tracker[Bet %],"&lt;"&amp;$BG7,Tracker[Bet Type],BX$1),2)&lt;-0.15,"O","")),"")</f>
        <v/>
      </c>
      <c r="BY6" s="24" t="str">
        <f>IFERROR(IF(ROUND((SUMIFS(Tracker[Net],Tracker[Bet %],"&gt;="&amp;$BG6,Tracker[Bet %],"&lt;"&amp;$BG7,Tracker[Bet Type],BY$1))/COUNTIFS(Tracker[Bet %],"&gt;="&amp;$BG6,Tracker[Bet %],"&lt;"&amp;$BG7,Tracker[Bet Type],BY$1),2)&gt;0.05,"X",IF(ROUND((SUMIFS(Tracker[Net],Tracker[Bet %],"&gt;="&amp;$BG6,Tracker[Bet %],"&lt;"&amp;$BG7,Tracker[Bet Type],BY$1))/COUNTIFS(Tracker[Bet %],"&gt;="&amp;$BG6,Tracker[Bet %],"&lt;"&amp;$BG7,Tracker[Bet Type],BY$1),2)&lt;-0.15,"O","")),"")</f>
        <v>O</v>
      </c>
      <c r="BZ6" s="24" t="str">
        <f>IFERROR(IF(ROUND((SUMIFS(Tracker[Net],Tracker[Bet %],"&gt;="&amp;$BG6,Tracker[Bet %],"&lt;"&amp;$BG7,Tracker[Bet Type],BZ$1))/COUNTIFS(Tracker[Bet %],"&gt;="&amp;$BG6,Tracker[Bet %],"&lt;"&amp;$BG7,Tracker[Bet Type],BZ$1),2)&gt;0.05,"X",IF(ROUND((SUMIFS(Tracker[Net],Tracker[Bet %],"&gt;="&amp;$BG6,Tracker[Bet %],"&lt;"&amp;$BG7,Tracker[Bet Type],BZ$1))/COUNTIFS(Tracker[Bet %],"&gt;="&amp;$BG6,Tracker[Bet %],"&lt;"&amp;$BG7,Tracker[Bet Type],BZ$1),2)&lt;-0.15,"O","")),"")</f>
        <v/>
      </c>
      <c r="CA6" s="24" t="str">
        <f>IFERROR(IF(ROUND((SUMIFS(Tracker[Net],Tracker[Bet %],"&gt;="&amp;$BG6,Tracker[Bet %],"&lt;"&amp;$BG7,Tracker[Bet Type],CA$1))/COUNTIFS(Tracker[Bet %],"&gt;="&amp;$BG6,Tracker[Bet %],"&lt;"&amp;$BG7,Tracker[Bet Type],CA$1),2)&gt;0.05,"X",IF(ROUND((SUMIFS(Tracker[Net],Tracker[Bet %],"&gt;="&amp;$BG6,Tracker[Bet %],"&lt;"&amp;$BG7,Tracker[Bet Type],CA$1))/COUNTIFS(Tracker[Bet %],"&gt;="&amp;$BG6,Tracker[Bet %],"&lt;"&amp;$BG7,Tracker[Bet Type],CA$1),2)&lt;-0.15,"O","")),"")</f>
        <v>X</v>
      </c>
      <c r="CB6" s="24" t="str">
        <f>IFERROR(IF(ROUND((SUMIFS(Tracker[Net],Tracker[Bet %],"&gt;="&amp;$BG6,Tracker[Bet %],"&lt;"&amp;$BG7,Tracker[Bet Type Drill Down],CB$1))/COUNTIFS(Tracker[Bet %],"&gt;="&amp;$BG6,Tracker[Bet %],"&lt;"&amp;$BG7,Tracker[Bet Type Drill Down],CB$1),2)&gt;0.05,"X",IF(ROUND((SUMIFS(Tracker[Net],Tracker[Bet %],"&gt;="&amp;$BG6,Tracker[Bet %],"&lt;"&amp;$BG7,Tracker[Bet Type Drill Down],CB$1))/COUNTIFS(Tracker[Bet %],"&gt;="&amp;$BG6,Tracker[Bet %],"&lt;"&amp;$BG7,Tracker[Bet Type Drill Down],CB$1),2)&lt;-0.15,"O","")),"")</f>
        <v/>
      </c>
      <c r="CC6" s="24" t="str">
        <f>IFERROR(IF(ROUND((SUMIFS(Tracker[Net],Tracker[Bet %],"&gt;="&amp;$BG6,Tracker[Bet %],"&lt;"&amp;$BG7,Tracker[Bet Type Drill Down],CC$1))/COUNTIFS(Tracker[Bet %],"&gt;="&amp;$BG6,Tracker[Bet %],"&lt;"&amp;$BG7,Tracker[Bet Type Drill Down],CC$1),2)&gt;0.05,"X",IF(ROUND((SUMIFS(Tracker[Net],Tracker[Bet %],"&gt;="&amp;$BG6,Tracker[Bet %],"&lt;"&amp;$BG7,Tracker[Bet Type Drill Down],CC$1))/COUNTIFS(Tracker[Bet %],"&gt;="&amp;$BG6,Tracker[Bet %],"&lt;"&amp;$BG7,Tracker[Bet Type Drill Down],CC$1),2)&lt;-0.15,"O","")),"")</f>
        <v>X</v>
      </c>
      <c r="CD6" s="24" t="str">
        <f>IFERROR(IF(ROUND((SUMIFS(Tracker[Net],Tracker[Bet %],"&gt;="&amp;$BG6,Tracker[Bet %],"&lt;"&amp;$BG7,Tracker[Bet Type Drill Down],CD$1))/COUNTIFS(Tracker[Bet %],"&gt;="&amp;$BG6,Tracker[Bet %],"&lt;"&amp;$BG7,Tracker[Bet Type Drill Down],CD$1),2)&gt;0.05,"X",IF(ROUND((SUMIFS(Tracker[Net],Tracker[Bet %],"&gt;="&amp;$BG6,Tracker[Bet %],"&lt;"&amp;$BG7,Tracker[Bet Type Drill Down],CD$1))/COUNTIFS(Tracker[Bet %],"&gt;="&amp;$BG6,Tracker[Bet %],"&lt;"&amp;$BG7,Tracker[Bet Type Drill Down],CD$1),2)&lt;-0.15,"O","")),"")</f>
        <v/>
      </c>
      <c r="CE6" s="24" t="str">
        <f>IFERROR(IF(ROUND((SUMIFS(Tracker[Net],Tracker[Bet %],"&gt;="&amp;$BG6,Tracker[Bet %],"&lt;"&amp;$BG7,Tracker[Bet Type Drill Down],CE$1))/COUNTIFS(Tracker[Bet %],"&gt;="&amp;$BG6,Tracker[Bet %],"&lt;"&amp;$BG7,Tracker[Bet Type Drill Down],CE$1),2)&gt;0.05,"X",IF(ROUND((SUMIFS(Tracker[Net],Tracker[Bet %],"&gt;="&amp;$BG6,Tracker[Bet %],"&lt;"&amp;$BG7,Tracker[Bet Type Drill Down],CE$1))/COUNTIFS(Tracker[Bet %],"&gt;="&amp;$BG6,Tracker[Bet %],"&lt;"&amp;$BG7,Tracker[Bet Type Drill Down],CE$1),2)&lt;-0.15,"O","")),"")</f>
        <v/>
      </c>
    </row>
    <row r="7" spans="1:83" x14ac:dyDescent="0.25">
      <c r="A7" s="36">
        <f t="shared" si="9"/>
        <v>1</v>
      </c>
      <c r="B7" s="25">
        <v>43796</v>
      </c>
      <c r="C7" s="25" t="str">
        <f t="shared" si="7"/>
        <v>NBA</v>
      </c>
      <c r="D7" s="26" t="s">
        <v>778</v>
      </c>
      <c r="E7" s="27" t="s">
        <v>779</v>
      </c>
      <c r="F7" s="67">
        <v>0.58583903798886272</v>
      </c>
      <c r="G7" s="29">
        <v>-110</v>
      </c>
      <c r="H7" s="30" t="s">
        <v>57</v>
      </c>
      <c r="I7" s="44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7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7" s="32" t="str">
        <f>MID(Tracker[[#This Row],[Game]],SEARCH("@",Tracker[[#This Row],[Game]])+2,LEN(Tracker[[#This Row],[Game]]))</f>
        <v>Pacers</v>
      </c>
      <c r="L7" s="32" t="str">
        <f>LEFT(Tracker[[#This Row],[Game]],SEARCH("@",Tracker[[#This Row],[Game]])-2)</f>
        <v>Jazz</v>
      </c>
      <c r="M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7" s="123"/>
      <c r="O7" s="147"/>
      <c r="P7" s="147"/>
      <c r="Q7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7" s="147" t="e">
        <f>IF(AND(Tracker[[#This Row],[Money %]]&lt;&gt;"",Tracker[[#This Row],[Bet %]]&lt;&gt;""),Tracker[[#This Row],[Money %]]-Tracker[[#This Row],[Bet %]],NA())</f>
        <v>#N/A</v>
      </c>
      <c r="S7" s="109"/>
      <c r="T7" s="109"/>
      <c r="U7" s="56">
        <f>IFERROR(INDEX($A$4:$B10003,MATCH(ROW()-3,$A$4:$A$4:$A1003,0),2),0)</f>
        <v>43809</v>
      </c>
      <c r="V7" s="33" t="str">
        <f>COUNTIFS(Tracker[Date],U7,Tracker[Result],"W")&amp;"-"&amp;COUNTIFS(Tracker[Date],U7,Tracker[Result],"L")&amp;IF(COUNTIFS(Tracker[Date],U7,Tracker[Result],"Push")&gt;0,"-"&amp;COUNTIFS(Tracker[Date],U7,Tracker[Result],"Push"),"")</f>
        <v>5-1</v>
      </c>
      <c r="W7" s="34">
        <f>IFERROR(COUNTIFS(Tracker[Date],U7,Tracker[Result],"W")/(COUNTIFS(Tracker[Date],U7,Tracker[Result],"W")+COUNTIFS(Tracker[Date],U7,Tracker[Result],"L")),"")</f>
        <v>0.83333333333333337</v>
      </c>
      <c r="X7" s="61">
        <f>SUMIF(Tracker[Date],U7,Tracker[Net])</f>
        <v>3.8863636363636362</v>
      </c>
      <c r="Y7" s="35" t="str">
        <f>IFERROR("("&amp;ROUND(SUMIF(Tracker[Date],U7,Tracker[Net])/COUNTIF(Tracker[Date],U7),2)*100&amp;"%)","")</f>
        <v>(65%)</v>
      </c>
      <c r="Z7" s="36" t="s">
        <v>250</v>
      </c>
      <c r="AA7" s="37" t="s">
        <v>251</v>
      </c>
      <c r="AB7" s="24" t="str">
        <f>IFERROR(COUNTIFS(Tracker[Bet Type],Z7,Tracker[Result],"W",Tracker[Confidence],"&gt;="&amp;$AB$2,Tracker[Confidence],"&lt;="&amp;$AC$2)&amp;"-"&amp;COUNTIFS(Tracker[Bet Type],Z7,Tracker[Result],"L",Tracker[Confidence],"&gt;="&amp;$AB$2,Tracker[Confidence],"&lt;="&amp;$AC$2)&amp;IF(COUNTIFS(Tracker[Bet Type],Z7,Tracker[Result],"Push",Tracker[Confidence],"&gt;="&amp;$AB$2,Tracker[Confidence],"&lt;="&amp;$AC$2)&gt;0,"-"&amp;COUNTIFS(Tracker[Bet Type],Z7,Tracker[Result],"Push",Tracker[Confidence],"&gt;="&amp;$AB$2,Tracker[Confidence],"&lt;="&amp;$AC$2),"")&amp;" ("&amp;ROUND(COUNTIFS(Tracker[Bet Type],Z7,Tracker[Result],"W",Tracker[Confidence],"&gt;="&amp;$AB$2,Tracker[Confidence],"&lt;="&amp;$AC$2)/(COUNTIFS(Tracker[Bet Type],Z7,Tracker[Result],"W",Tracker[Confidence],"&gt;="&amp;$AB$2,Tracker[Confidence],"&lt;="&amp;$AC$2)+COUNTIFS(Tracker[Bet Type],Z7,Tracker[Result],"L",Tracker[Confidence],"&gt;="&amp;$AB$2,Tracker[Confidence],"&lt;="&amp;$AC$2))*100,1)&amp;"%)","No Bets")</f>
        <v>17-19 (47.2%)</v>
      </c>
      <c r="AC7" s="64">
        <f>SUMIFS(Tracker[Net],Tracker[Bet Type],Z7,Tracker[Confidence],"&gt;="&amp;$AB$2,Tracker[Confidence],"&lt;="&amp;$AC$2)</f>
        <v>-3.5454545454545441</v>
      </c>
      <c r="AD7" s="38" t="str">
        <f>IFERROR("("&amp;ROUND((SUMIFS(Tracker[Net],Tracker[Bet Type],Z7,Tracker[Confidence],"&gt;="&amp;$AB$2,Tracker[Confidence],"&lt;="&amp;$AC$2))/COUNTIFS(Tracker[Bet Type],Z7,Tracker[Confidence],"&gt;="&amp;$AB$2,Tracker[Confidence],"&lt;="&amp;$AC$2),2)*100&amp;"%)","")</f>
        <v>(-10%)</v>
      </c>
      <c r="AF7" s="36">
        <f t="shared" si="11"/>
        <v>0.2</v>
      </c>
      <c r="AG7" s="66" t="str">
        <f t="shared" si="0"/>
        <v>20-25%</v>
      </c>
      <c r="AH7" s="124" t="str">
        <f>IFERROR(COUNTIFS(Tracker[Cover %],"&gt;="&amp;AF7,Tracker[Cover %],"&lt;"&amp;AF8,Tracker[Result],"W")&amp;"-"&amp;COUNTIFS(Tracker[Cover %],"&gt;="&amp;AF7,Tracker[Cover %],"&lt;"&amp;AF8,Tracker[Result],"L")&amp;"-"&amp;COUNTIFS(Tracker[Cover %],"&gt;="&amp;AF7,Tracker[Cover %],"&lt;"&amp;AF8,Tracker[Result],"Push")&amp;" ("&amp;ROUND(COUNTIFS(Tracker[Cover %],"&gt;="&amp;AF7,Tracker[Cover %],"&lt;"&amp;AF8,Tracker[Result],"W")/(COUNTIFS(Tracker[Cover %],"&gt;="&amp;AF7,Tracker[Cover %],"&lt;"&amp;AF8,Tracker[Result],"L")+COUNTIFS(Tracker[Cover %],"&gt;="&amp;AF7,Tracker[Cover %],"&lt;"&amp;AF8,Tracker[Result],"W"))*100,2)&amp;"%)","No Bets")</f>
        <v>0-1-0 (0%)</v>
      </c>
      <c r="AI7" s="72">
        <f>SUMIFS(Tracker[Net],Tracker[Cover %],"&gt;="&amp;AF7,Tracker[Cover %],"&lt;"&amp;AF8)</f>
        <v>-1</v>
      </c>
      <c r="AJ7" s="24" t="str">
        <f>IFERROR(IF(ROUND((SUMIFS(Tracker[Net],Tracker[Cover %],"&gt;="&amp;$AF7,Tracker[Cover %],"&lt;"&amp;$AF8,Tracker[Bet Type],AJ$2))/COUNTIFS(Tracker[Cover %],"&gt;="&amp;$AF7,Tracker[Cover %],"&lt;"&amp;$AF8,Tracker[Bet Type],AJ$2),2)&gt;0.05,"X",IF(ROUND((SUMIFS(Tracker[Net],Tracker[Cover %],"&gt;="&amp;$AF7,Tracker[Cover %],"&lt;"&amp;$AF8,Tracker[Bet Type],AJ$2))/COUNTIFS(Tracker[Cover %],"&gt;="&amp;$AF7,Tracker[Cover %],"&lt;"&amp;$AF8,Tracker[Bet Type],AJ$2),2)&lt;-0.15,"O","")),"")</f>
        <v/>
      </c>
      <c r="AK7" s="24" t="str">
        <f>IFERROR(IF(ROUND((SUMIFS(Tracker[Net],Tracker[Cover %],"&gt;="&amp;$AF7,Tracker[Cover %],"&lt;"&amp;$AF8,Tracker[Bet Type],AK$2))/COUNTIFS(Tracker[Cover %],"&gt;="&amp;$AF7,Tracker[Cover %],"&lt;"&amp;$AF8,Tracker[Bet Type],AK$2),2)&gt;0.05,"X",IF(ROUND((SUMIFS(Tracker[Net],Tracker[Cover %],"&gt;="&amp;$AF7,Tracker[Cover %],"&lt;"&amp;$AF8,Tracker[Bet Type],AK$2))/COUNTIFS(Tracker[Cover %],"&gt;="&amp;$AF7,Tracker[Cover %],"&lt;"&amp;$AF8,Tracker[Bet Type],AK$2),2)&lt;-0.15,"O","")),"")</f>
        <v/>
      </c>
      <c r="AL7" s="24" t="str">
        <f>IFERROR(IF(ROUND((SUMIFS(Tracker[Net],Tracker[Cover %],"&gt;="&amp;$AF7,Tracker[Cover %],"&lt;"&amp;$AF8,Tracker[Bet Type],AL$2))/COUNTIFS(Tracker[Cover %],"&gt;="&amp;$AF7,Tracker[Cover %],"&lt;"&amp;$AF8,Tracker[Bet Type],AL$2),2)&gt;0.05,"X",IF(ROUND((SUMIFS(Tracker[Net],Tracker[Cover %],"&gt;="&amp;$AF7,Tracker[Cover %],"&lt;"&amp;$AF8,Tracker[Bet Type],AL$2))/COUNTIFS(Tracker[Cover %],"&gt;="&amp;$AF7,Tracker[Cover %],"&lt;"&amp;$AF8,Tracker[Bet Type],AL$2),2)&lt;-0.15,"O","")),"")</f>
        <v/>
      </c>
      <c r="AM7" s="24" t="str">
        <f>IFERROR(IF(ROUND((SUMIFS(Tracker[Net],Tracker[Cover %],"&gt;="&amp;$AF7,Tracker[Cover %],"&lt;"&amp;$AF8,Tracker[Bet Type],AM$2))/COUNTIFS(Tracker[Cover %],"&gt;="&amp;$AF7,Tracker[Cover %],"&lt;"&amp;$AF8,Tracker[Bet Type],AM$2),2)&gt;0.05,"X",IF(ROUND((SUMIFS(Tracker[Net],Tracker[Cover %],"&gt;="&amp;$AF7,Tracker[Cover %],"&lt;"&amp;$AF8,Tracker[Bet Type],AM$2))/COUNTIFS(Tracker[Cover %],"&gt;="&amp;$AF7,Tracker[Cover %],"&lt;"&amp;$AF8,Tracker[Bet Type],AM$2),2)&lt;-0.15,"O","")),"")</f>
        <v>O</v>
      </c>
      <c r="AN7" s="24" t="str">
        <f>IFERROR(IF(ROUND((SUMIFS(Tracker[Net],Tracker[Cover %],"&gt;="&amp;$AF7,Tracker[Cover %],"&lt;"&amp;$AF8,Tracker[Bet Type Drill Down],AN$2))/COUNTIFS(Tracker[Cover %],"&gt;="&amp;$AF7,Tracker[Cover %],"&lt;"&amp;$AF8,Tracker[Bet Type Drill Down],AN$2),2)&gt;0.05,"X",IF(ROUND((SUMIFS(Tracker[Net],Tracker[Cover %],"&gt;="&amp;$AF7,Tracker[Cover %],"&lt;"&amp;$AF8,Tracker[Bet Type Drill Down],AN$2))/COUNTIFS(Tracker[Cover %],"&gt;="&amp;$AF7,Tracker[Cover %],"&lt;"&amp;$AF8,Tracker[Bet Type Drill Down],AN$2),2)&lt;-0.15,"O","")),"")</f>
        <v/>
      </c>
      <c r="AO7" s="24" t="str">
        <f>IFERROR(IF(ROUND((SUMIFS(Tracker[Net],Tracker[Cover %],"&gt;="&amp;$AF7,Tracker[Cover %],"&lt;"&amp;$AF8,Tracker[Bet Type Drill Down],AO$2))/COUNTIFS(Tracker[Cover %],"&gt;="&amp;$AF7,Tracker[Cover %],"&lt;"&amp;$AF8,Tracker[Bet Type Drill Down],AO$2),2)&gt;0.05,"X",IF(ROUND((SUMIFS(Tracker[Net],Tracker[Cover %],"&gt;="&amp;$AF7,Tracker[Cover %],"&lt;"&amp;$AF8,Tracker[Bet Type Drill Down],AO$2))/COUNTIFS(Tracker[Cover %],"&gt;="&amp;$AF7,Tracker[Cover %],"&lt;"&amp;$AF8,Tracker[Bet Type Drill Down],AO$2),2)&lt;-0.15,"O","")),"")</f>
        <v>O</v>
      </c>
      <c r="AP7" s="24" t="str">
        <f>IFERROR(IF(ROUND((SUMIFS(Tracker[Net],Tracker[Cover %],"&gt;="&amp;$AF7,Tracker[Cover %],"&lt;"&amp;$AF8,Tracker[Bet Type Drill Down],AP$2))/COUNTIFS(Tracker[Cover %],"&gt;="&amp;$AF7,Tracker[Cover %],"&lt;"&amp;$AF8,Tracker[Bet Type Drill Down],AP$2),2)&gt;0.05,"X",IF(ROUND((SUMIFS(Tracker[Net],Tracker[Cover %],"&gt;="&amp;$AF7,Tracker[Cover %],"&lt;"&amp;$AF8,Tracker[Bet Type Drill Down],AP$2))/COUNTIFS(Tracker[Cover %],"&gt;="&amp;$AF7,Tracker[Cover %],"&lt;"&amp;$AF8,Tracker[Bet Type Drill Down],AP$2),2)&lt;-0.15,"O","")),"")</f>
        <v/>
      </c>
      <c r="AQ7" s="24" t="str">
        <f>IFERROR(IF(ROUND((SUMIFS(Tracker[Net],Tracker[Cover %],"&gt;="&amp;$AF7,Tracker[Cover %],"&lt;"&amp;$AF8,Tracker[Bet Type Drill Down],AQ$2))/COUNTIFS(Tracker[Cover %],"&gt;="&amp;$AF7,Tracker[Cover %],"&lt;"&amp;$AF8,Tracker[Bet Type Drill Down],AQ$2),2)&gt;0.05,"X",IF(ROUND((SUMIFS(Tracker[Net],Tracker[Cover %],"&gt;="&amp;$AF7,Tracker[Cover %],"&lt;"&amp;$AF8,Tracker[Bet Type Drill Down],AQ$2))/COUNTIFS(Tracker[Cover %],"&gt;="&amp;$AF7,Tracker[Cover %],"&lt;"&amp;$AF8,Tracker[Bet Type Drill Down],AQ$2),2)&lt;-0.15,"O","")),"")</f>
        <v/>
      </c>
      <c r="AT7" s="153">
        <f t="shared" si="1"/>
        <v>-0.74999999999999978</v>
      </c>
      <c r="AU7" s="39" t="str">
        <f t="shared" si="2"/>
        <v>-75  to  -70%</v>
      </c>
      <c r="AV7" t="str">
        <f>IFERROR(COUNTIFS(Tracker[Money Discrepency],"&gt;="&amp;AT7,Tracker[Money Discrepency],"&lt;"&amp;AT8,Tracker[Result],"W")&amp;"-"&amp;COUNTIFS(Tracker[Money Discrepency],"&gt;="&amp;AT7,Tracker[Money Discrepency],"&lt;"&amp;AT8,Tracker[Result],"L")&amp;"-"&amp;COUNTIFS(Tracker[Money Discrepency],"&gt;="&amp;AT7,Tracker[Money Discrepency],"&lt;"&amp;AT8,Tracker[Result],"Push")&amp;" ("&amp;ROUND(COUNTIFS(Tracker[Money Discrepency],"&gt;="&amp;AT7,Tracker[Money Discrepency],"&lt;"&amp;AT8,Tracker[Result],"W")/(COUNTIFS(Tracker[Money Discrepency],"&gt;="&amp;AT7,Tracker[Money Discrepency],"&lt;"&amp;AT8,Tracker[Result],"L")+COUNTIFS(Tracker[Money Discrepency],"&gt;="&amp;AT7,Tracker[Money Discrepency],"&lt;"&amp;AT8,Tracker[Result],"W"))*100,2)&amp;"%)","No Bets")</f>
        <v>No Bets</v>
      </c>
      <c r="AW7">
        <f>SUMIFS(Tracker[Net],Tracker[Money Discrepency],"&gt;="&amp;AT7,Tracker[Money Discrepency],"&lt;"&amp;AT8)</f>
        <v>0</v>
      </c>
      <c r="AX7" s="24" t="str">
        <f>IFERROR(IF(ROUND((SUMIFS(Tracker[Net],Tracker[Money Discrepency],"&gt;="&amp;$AT7,Tracker[Money Discrepency],"&lt;"&amp;$AT8,Tracker[Bet Type],AX$1))/COUNTIFS(Tracker[Money Discrepency],"&gt;="&amp;$AT7,Tracker[Money Discrepency],"&lt;"&amp;$AT8,Tracker[Bet Type],AX$1),2)&gt;0.05,"X",IF(ROUND((SUMIFS(Tracker[Net],Tracker[Money Discrepency],"&gt;="&amp;$AT7,Tracker[Money Discrepency],"&lt;"&amp;$AT8,Tracker[Bet Type],AX$1))/COUNTIFS(Tracker[Money Discrepency],"&gt;="&amp;$AT7,Tracker[Money Discrepency],"&lt;"&amp;$AT8,Tracker[Bet Type],AX$1),2)&lt;-0.15,"O","")),"")</f>
        <v/>
      </c>
      <c r="AY7" s="24" t="str">
        <f>IFERROR(IF(ROUND((SUMIFS(Tracker[Net],Tracker[Money Discrepency],"&gt;="&amp;$AT7,Tracker[Money Discrepency],"&lt;"&amp;$AT8,Tracker[Bet Type],AY$1))/COUNTIFS(Tracker[Money Discrepency],"&gt;="&amp;$AT7,Tracker[Money Discrepency],"&lt;"&amp;$AT8,Tracker[Bet Type],AY$1),2)&gt;0.05,"X",IF(ROUND((SUMIFS(Tracker[Net],Tracker[Money Discrepency],"&gt;="&amp;$AT7,Tracker[Money Discrepency],"&lt;"&amp;$AT8,Tracker[Bet Type],AY$1))/COUNTIFS(Tracker[Money Discrepency],"&gt;="&amp;$AT7,Tracker[Money Discrepency],"&lt;"&amp;$AT8,Tracker[Bet Type],AY$1),2)&lt;-0.15,"O","")),"")</f>
        <v/>
      </c>
      <c r="AZ7" s="24" t="str">
        <f>IFERROR(IF(ROUND((SUMIFS(Tracker[Net],Tracker[Money Discrepency],"&gt;="&amp;$AT7,Tracker[Money Discrepency],"&lt;"&amp;$AT8,Tracker[Bet Type],AZ$1))/COUNTIFS(Tracker[Money Discrepency],"&gt;="&amp;$AT7,Tracker[Money Discrepency],"&lt;"&amp;$AT8,Tracker[Bet Type],AZ$1),2)&gt;0.05,"X",IF(ROUND((SUMIFS(Tracker[Net],Tracker[Money Discrepency],"&gt;="&amp;$AT7,Tracker[Money Discrepency],"&lt;"&amp;$AT8,Tracker[Bet Type],AZ$1))/COUNTIFS(Tracker[Money Discrepency],"&gt;="&amp;$AT7,Tracker[Money Discrepency],"&lt;"&amp;$AT8,Tracker[Bet Type],AZ$1),2)&lt;-0.15,"O","")),"")</f>
        <v/>
      </c>
      <c r="BA7" s="24" t="str">
        <f>IFERROR(IF(ROUND((SUMIFS(Tracker[Net],Tracker[Money Discrepency],"&gt;="&amp;$AT7,Tracker[Money Discrepency],"&lt;"&amp;$AT8,Tracker[Bet Type],BA$1))/COUNTIFS(Tracker[Money Discrepency],"&gt;="&amp;$AT7,Tracker[Money Discrepency],"&lt;"&amp;$AT8,Tracker[Bet Type],BA$1),2)&gt;0.05,"X",IF(ROUND((SUMIFS(Tracker[Net],Tracker[Money Discrepency],"&gt;="&amp;$AT7,Tracker[Money Discrepency],"&lt;"&amp;$AT8,Tracker[Bet Type],BA$1))/COUNTIFS(Tracker[Money Discrepency],"&gt;="&amp;$AT7,Tracker[Money Discrepency],"&lt;"&amp;$AT8,Tracker[Bet Type],BA$1),2)&lt;-0.15,"O","")),"")</f>
        <v/>
      </c>
      <c r="BB7" s="24" t="str">
        <f>IFERROR(IF(ROUND((SUMIFS(Tracker[Net],Tracker[Money Discrepency],"&gt;="&amp;$AT7,Tracker[Money Discrepency],"&lt;"&amp;$AT8,Tracker[Bet Type Drill Down],BB$1))/COUNTIFS(Tracker[Money Discrepency],"&gt;="&amp;$AT7,Tracker[Money Discrepency],"&lt;"&amp;$AT8,Tracker[Bet Type Drill Down],BB$1),2)&gt;0.05,"X",IF(ROUND((SUMIFS(Tracker[Net],Tracker[Money Discrepency],"&gt;="&amp;$AT7,Tracker[Money Discrepency],"&lt;"&amp;$AT8,Tracker[Bet Type Drill Down],BB$1))/COUNTIFS(Tracker[Money Discrepency],"&gt;="&amp;$AT7,Tracker[Money Discrepency],"&lt;"&amp;$AT8,Tracker[Bet Type Drill Down],BB$1),2)&lt;-0.15,"O","")),"")</f>
        <v/>
      </c>
      <c r="BC7" s="24" t="str">
        <f>IFERROR(IF(ROUND((SUMIFS(Tracker[Net],Tracker[Money Discrepency],"&gt;="&amp;$AT7,Tracker[Money Discrepency],"&lt;"&amp;$AT8,Tracker[Bet Type Drill Down],BC$1))/COUNTIFS(Tracker[Money Discrepency],"&gt;="&amp;$AT7,Tracker[Money Discrepency],"&lt;"&amp;$AT8,Tracker[Bet Type Drill Down],BC$1),2)&gt;0.05,"X",IF(ROUND((SUMIFS(Tracker[Net],Tracker[Money Discrepency],"&gt;="&amp;$AT7,Tracker[Money Discrepency],"&lt;"&amp;$AT8,Tracker[Bet Type Drill Down],BC$1))/COUNTIFS(Tracker[Money Discrepency],"&gt;="&amp;$AT7,Tracker[Money Discrepency],"&lt;"&amp;$AT8,Tracker[Bet Type Drill Down],BC$1),2)&lt;-0.15,"O","")),"")</f>
        <v/>
      </c>
      <c r="BD7" s="24" t="str">
        <f>IFERROR(IF(ROUND((SUMIFS(Tracker[Net],Tracker[Money Discrepency],"&gt;="&amp;$AT7,Tracker[Money Discrepency],"&lt;"&amp;$AT8,Tracker[Bet Type Drill Down],BD$1))/COUNTIFS(Tracker[Money Discrepency],"&gt;="&amp;$AT7,Tracker[Money Discrepency],"&lt;"&amp;$AT8,Tracker[Bet Type Drill Down],BD$1),2)&gt;0.05,"X",IF(ROUND((SUMIFS(Tracker[Net],Tracker[Money Discrepency],"&gt;="&amp;$AT7,Tracker[Money Discrepency],"&lt;"&amp;$AT8,Tracker[Bet Type Drill Down],BD$1))/COUNTIFS(Tracker[Money Discrepency],"&gt;="&amp;$AT7,Tracker[Money Discrepency],"&lt;"&amp;$AT8,Tracker[Bet Type Drill Down],BD$1),2)&lt;-0.15,"O","")),"")</f>
        <v/>
      </c>
      <c r="BE7" s="24" t="str">
        <f>IFERROR(IF(ROUND((SUMIFS(Tracker[Net],Tracker[Money Discrepency],"&gt;="&amp;$AT7,Tracker[Money Discrepency],"&lt;"&amp;$AT8,Tracker[Bet Type Drill Down],BE$1))/COUNTIFS(Tracker[Money Discrepency],"&gt;="&amp;$AT7,Tracker[Money Discrepency],"&lt;"&amp;$AT8,Tracker[Bet Type Drill Down],BE$1),2)&gt;0.05,"X",IF(ROUND((SUMIFS(Tracker[Net],Tracker[Money Discrepency],"&gt;="&amp;$AT7,Tracker[Money Discrepency],"&lt;"&amp;$AT8,Tracker[Bet Type Drill Down],BE$1))/COUNTIFS(Tracker[Money Discrepency],"&gt;="&amp;$AT7,Tracker[Money Discrepency],"&lt;"&amp;$AT8,Tracker[Bet Type Drill Down],BE$1),2)&lt;-0.15,"O","")),"")</f>
        <v/>
      </c>
      <c r="BG7" s="153">
        <f t="shared" si="3"/>
        <v>0.25</v>
      </c>
      <c r="BH7" s="154" t="str">
        <f t="shared" si="4"/>
        <v>25  to  30%</v>
      </c>
      <c r="BI7" t="str">
        <f>IFERROR(COUNTIFS(Tracker[Money %],"&gt;="&amp;BG7,Tracker[Money %],"&lt;"&amp;BG8,Tracker[Result],"W")&amp;"-"&amp;COUNTIFS(Tracker[Money %],"&gt;="&amp;BG7,Tracker[Money %],"&lt;"&amp;BG8,Tracker[Result],"L")&amp;"-"&amp;COUNTIFS(Tracker[Money %],"&gt;="&amp;BG7,Tracker[Money %],"&lt;"&amp;BG8,Tracker[Result],"Push")&amp;" ("&amp;ROUND(COUNTIFS(Tracker[Money %],"&gt;="&amp;BG7,Tracker[Money %],"&lt;"&amp;BG8,Tracker[Result],"W")/(COUNTIFS(Tracker[Money %],"&gt;="&amp;BG7,Tracker[Money %],"&lt;"&amp;BG8,Tracker[Result],"L")+COUNTIFS(Tracker[Money %],"&gt;="&amp;BG7,Tracker[Money %],"&lt;"&amp;BG8,Tracker[Result],"W"))*100,2)&amp;"%)","No Bets")</f>
        <v>7-6-0 (53.85%)</v>
      </c>
      <c r="BJ7">
        <f>SUMIFS(Tracker[Net],Tracker[Money %],"&gt;="&amp;BG7,Tracker[Money %],"&lt;"&amp;BG8)</f>
        <v>0.36363636363636354</v>
      </c>
      <c r="BK7" s="24" t="str">
        <f>IFERROR(IF(ROUND((SUMIFS(Tracker[Net],Tracker[Money %],"&gt;="&amp;$BG7,Tracker[Money %],"&lt;"&amp;$BG8,Tracker[Bet Type],BK$1))/COUNTIFS(Tracker[Money %],"&gt;="&amp;$BG7,Tracker[Money %],"&lt;"&amp;$BG8,Tracker[Bet Type],BK$1),2)&gt;0.05,"X",IF(ROUND((SUMIFS(Tracker[Net],Tracker[Money %],"&gt;="&amp;$BG7,Tracker[Money %],"&lt;"&amp;$BG8,Tracker[Bet Type],BK$1))/COUNTIFS(Tracker[Money %],"&gt;="&amp;$BG7,Tracker[Money %],"&lt;"&amp;$BG8,Tracker[Bet Type],BK$1),2)&lt;-0.15,"O","")),"")</f>
        <v>X</v>
      </c>
      <c r="BL7" s="24" t="str">
        <f>IFERROR(IF(ROUND((SUMIFS(Tracker[Net],Tracker[Money %],"&gt;="&amp;$BG7,Tracker[Money %],"&lt;"&amp;$BG8,Tracker[Bet Type],BL$1))/COUNTIFS(Tracker[Money %],"&gt;="&amp;$BG7,Tracker[Money %],"&lt;"&amp;$BG8,Tracker[Bet Type],BL$1),2)&gt;0.05,"X",IF(ROUND((SUMIFS(Tracker[Net],Tracker[Money %],"&gt;="&amp;$BG7,Tracker[Money %],"&lt;"&amp;$BG8,Tracker[Bet Type],BL$1))/COUNTIFS(Tracker[Money %],"&gt;="&amp;$BG7,Tracker[Money %],"&lt;"&amp;$BG8,Tracker[Bet Type],BL$1),2)&lt;-0.15,"O","")),"")</f>
        <v>O</v>
      </c>
      <c r="BM7" s="24" t="str">
        <f>IFERROR(IF(ROUND((SUMIFS(Tracker[Net],Tracker[Money %],"&gt;="&amp;$BG7,Tracker[Money %],"&lt;"&amp;$BG8,Tracker[Bet Type],BM$1))/COUNTIFS(Tracker[Money %],"&gt;="&amp;$BG7,Tracker[Money %],"&lt;"&amp;$BG8,Tracker[Bet Type],BM$1),2)&gt;0.05,"X",IF(ROUND((SUMIFS(Tracker[Net],Tracker[Money %],"&gt;="&amp;$BG7,Tracker[Money %],"&lt;"&amp;$BG8,Tracker[Bet Type],BM$1))/COUNTIFS(Tracker[Money %],"&gt;="&amp;$BG7,Tracker[Money %],"&lt;"&amp;$BG8,Tracker[Bet Type],BM$1),2)&lt;-0.15,"O","")),"")</f>
        <v/>
      </c>
      <c r="BN7" s="24" t="str">
        <f>IFERROR(IF(ROUND((SUMIFS(Tracker[Net],Tracker[Money %],"&gt;="&amp;$BG7,Tracker[Money %],"&lt;"&amp;$BG8,Tracker[Bet Type],BN$1))/COUNTIFS(Tracker[Money %],"&gt;="&amp;$BG7,Tracker[Money %],"&lt;"&amp;$BG8,Tracker[Bet Type],BN$1),2)&gt;0.05,"X",IF(ROUND((SUMIFS(Tracker[Net],Tracker[Money %],"&gt;="&amp;$BG7,Tracker[Money %],"&lt;"&amp;$BG8,Tracker[Bet Type],BN$1))/COUNTIFS(Tracker[Money %],"&gt;="&amp;$BG7,Tracker[Money %],"&lt;"&amp;$BG8,Tracker[Bet Type],BN$1),2)&lt;-0.15,"O","")),"")</f>
        <v>X</v>
      </c>
      <c r="BO7" s="24" t="str">
        <f>IFERROR(IF(ROUND((SUMIFS(Tracker[Net],Tracker[Money %],"&gt;="&amp;$BG7,Tracker[Money %],"&lt;"&amp;$BG8,Tracker[Bet Type Drill Down],BO$1))/COUNTIFS(Tracker[Money %],"&gt;="&amp;$BG7,Tracker[Money %],"&lt;"&amp;$BG8,Tracker[Bet Type Drill Down],BO$1),2)&gt;0.05,"X",IF(ROUND((SUMIFS(Tracker[Net],Tracker[Money %],"&gt;="&amp;$BG7,Tracker[Money %],"&lt;"&amp;$BG8,Tracker[Bet Type Drill Down],BO$1))/COUNTIFS(Tracker[Money %],"&gt;="&amp;$BG7,Tracker[Money %],"&lt;"&amp;$BG8,Tracker[Bet Type Drill Down],BO$1),2)&lt;-0.15,"O","")),"")</f>
        <v>O</v>
      </c>
      <c r="BP7" s="24" t="str">
        <f>IFERROR(IF(ROUND((SUMIFS(Tracker[Net],Tracker[Money %],"&gt;="&amp;$BG7,Tracker[Money %],"&lt;"&amp;$BG8,Tracker[Bet Type Drill Down],BP$1))/COUNTIFS(Tracker[Money %],"&gt;="&amp;$BG7,Tracker[Money %],"&lt;"&amp;$BG8,Tracker[Bet Type Drill Down],BP$1),2)&gt;0.05,"X",IF(ROUND((SUMIFS(Tracker[Net],Tracker[Money %],"&gt;="&amp;$BG7,Tracker[Money %],"&lt;"&amp;$BG8,Tracker[Bet Type Drill Down],BP$1))/COUNTIFS(Tracker[Money %],"&gt;="&amp;$BG7,Tracker[Money %],"&lt;"&amp;$BG8,Tracker[Bet Type Drill Down],BP$1),2)&lt;-0.15,"O","")),"")</f>
        <v>X</v>
      </c>
      <c r="BQ7" s="24" t="str">
        <f>IFERROR(IF(ROUND((SUMIFS(Tracker[Net],Tracker[Money %],"&gt;="&amp;$BG7,Tracker[Money %],"&lt;"&amp;$BG8,Tracker[Bet Type Drill Down],BQ$1))/COUNTIFS(Tracker[Money %],"&gt;="&amp;$BG7,Tracker[Money %],"&lt;"&amp;$BG8,Tracker[Bet Type Drill Down],BQ$1),2)&gt;0.05,"X",IF(ROUND((SUMIFS(Tracker[Net],Tracker[Money %],"&gt;="&amp;$BG7,Tracker[Money %],"&lt;"&amp;$BG8,Tracker[Bet Type Drill Down],BQ$1))/COUNTIFS(Tracker[Money %],"&gt;="&amp;$BG7,Tracker[Money %],"&lt;"&amp;$BG8,Tracker[Bet Type Drill Down],BQ$1),2)&lt;-0.15,"O","")),"")</f>
        <v/>
      </c>
      <c r="BR7" s="24" t="str">
        <f>IFERROR(IF(ROUND((SUMIFS(Tracker[Net],Tracker[Money %],"&gt;="&amp;$BG7,Tracker[Money %],"&lt;"&amp;$BG8,Tracker[Bet Type Drill Down],BR$1))/COUNTIFS(Tracker[Money %],"&gt;="&amp;$BG7,Tracker[Money %],"&lt;"&amp;$BG8,Tracker[Bet Type Drill Down],BR$1),2)&gt;0.05,"X",IF(ROUND((SUMIFS(Tracker[Net],Tracker[Money %],"&gt;="&amp;$BG7,Tracker[Money %],"&lt;"&amp;$BG8,Tracker[Bet Type Drill Down],BR$1))/COUNTIFS(Tracker[Money %],"&gt;="&amp;$BG7,Tracker[Money %],"&lt;"&amp;$BG8,Tracker[Bet Type Drill Down],BR$1),2)&lt;-0.15,"O","")),"")</f>
        <v/>
      </c>
      <c r="BT7" s="153">
        <f t="shared" si="5"/>
        <v>0.25</v>
      </c>
      <c r="BU7" s="154" t="str">
        <f t="shared" ref="BU7" si="13">ROUND(BT7*100,0)&amp;"  to  "&amp;ROUND(BT8*100,0)&amp;"%"</f>
        <v>25  to  30%</v>
      </c>
      <c r="BV7" t="str">
        <f>IFERROR(COUNTIFS(Tracker[Bet %],"&gt;="&amp;BT7,Tracker[Bet %],"&lt;"&amp;BT8,Tracker[Result],"W")&amp;"-"&amp;COUNTIFS(Tracker[Bet %],"&gt;="&amp;BT7,Tracker[Bet %],"&lt;"&amp;BT8,Tracker[Result],"L")&amp;"-"&amp;COUNTIFS(Tracker[Bet %],"&gt;="&amp;BT7,Tracker[Bet %],"&lt;"&amp;BT8,Tracker[Result],"Push")&amp;" ("&amp;ROUND(COUNTIFS(Tracker[Bet %],"&gt;="&amp;BT7,Tracker[Bet %],"&lt;"&amp;BT8,Tracker[Result],"W")/(COUNTIFS(Tracker[Bet %],"&gt;="&amp;BT7,Tracker[Bet %],"&lt;"&amp;BT8,Tracker[Result],"L")+COUNTIFS(Tracker[Bet %],"&gt;="&amp;BT7,Tracker[Bet %],"&lt;"&amp;BT8,Tracker[Result],"W"))*100,2)&amp;"%)","No Bets")</f>
        <v>4-5-0 (44.44%)</v>
      </c>
      <c r="BW7">
        <f>SUMIFS(Tracker[Net],Tracker[Bet %],"&gt;="&amp;BT7,Tracker[Bet %],"&lt;"&amp;BT8)</f>
        <v>-1.3636363636363633</v>
      </c>
      <c r="BX7" s="24" t="str">
        <f>IFERROR(IF(ROUND((SUMIFS(Tracker[Net],Tracker[Bet %],"&gt;="&amp;$BG7,Tracker[Bet %],"&lt;"&amp;$BG8,Tracker[Bet Type],BX$1))/COUNTIFS(Tracker[Bet %],"&gt;="&amp;$BG7,Tracker[Bet %],"&lt;"&amp;$BG8,Tracker[Bet Type],BX$1),2)&gt;0.05,"X",IF(ROUND((SUMIFS(Tracker[Net],Tracker[Bet %],"&gt;="&amp;$BG7,Tracker[Bet %],"&lt;"&amp;$BG8,Tracker[Bet Type],BX$1))/COUNTIFS(Tracker[Bet %],"&gt;="&amp;$BG7,Tracker[Bet %],"&lt;"&amp;$BG8,Tracker[Bet Type],BX$1),2)&lt;-0.15,"O","")),"")</f>
        <v/>
      </c>
      <c r="BY7" s="24" t="str">
        <f>IFERROR(IF(ROUND((SUMIFS(Tracker[Net],Tracker[Bet %],"&gt;="&amp;$BG7,Tracker[Bet %],"&lt;"&amp;$BG8,Tracker[Bet Type],BY$1))/COUNTIFS(Tracker[Bet %],"&gt;="&amp;$BG7,Tracker[Bet %],"&lt;"&amp;$BG8,Tracker[Bet Type],BY$1),2)&gt;0.05,"X",IF(ROUND((SUMIFS(Tracker[Net],Tracker[Bet %],"&gt;="&amp;$BG7,Tracker[Bet %],"&lt;"&amp;$BG8,Tracker[Bet Type],BY$1))/COUNTIFS(Tracker[Bet %],"&gt;="&amp;$BG7,Tracker[Bet %],"&lt;"&amp;$BG8,Tracker[Bet Type],BY$1),2)&lt;-0.15,"O","")),"")</f>
        <v>O</v>
      </c>
      <c r="BZ7" s="24" t="str">
        <f>IFERROR(IF(ROUND((SUMIFS(Tracker[Net],Tracker[Bet %],"&gt;="&amp;$BG7,Tracker[Bet %],"&lt;"&amp;$BG8,Tracker[Bet Type],BZ$1))/COUNTIFS(Tracker[Bet %],"&gt;="&amp;$BG7,Tracker[Bet %],"&lt;"&amp;$BG8,Tracker[Bet Type],BZ$1),2)&gt;0.05,"X",IF(ROUND((SUMIFS(Tracker[Net],Tracker[Bet %],"&gt;="&amp;$BG7,Tracker[Bet %],"&lt;"&amp;$BG8,Tracker[Bet Type],BZ$1))/COUNTIFS(Tracker[Bet %],"&gt;="&amp;$BG7,Tracker[Bet %],"&lt;"&amp;$BG8,Tracker[Bet Type],BZ$1),2)&lt;-0.15,"O","")),"")</f>
        <v/>
      </c>
      <c r="CA7" s="24" t="str">
        <f>IFERROR(IF(ROUND((SUMIFS(Tracker[Net],Tracker[Bet %],"&gt;="&amp;$BG7,Tracker[Bet %],"&lt;"&amp;$BG8,Tracker[Bet Type],CA$1))/COUNTIFS(Tracker[Bet %],"&gt;="&amp;$BG7,Tracker[Bet %],"&lt;"&amp;$BG8,Tracker[Bet Type],CA$1),2)&gt;0.05,"X",IF(ROUND((SUMIFS(Tracker[Net],Tracker[Bet %],"&gt;="&amp;$BG7,Tracker[Bet %],"&lt;"&amp;$BG8,Tracker[Bet Type],CA$1))/COUNTIFS(Tracker[Bet %],"&gt;="&amp;$BG7,Tracker[Bet %],"&lt;"&amp;$BG8,Tracker[Bet Type],CA$1),2)&lt;-0.15,"O","")),"")</f>
        <v/>
      </c>
      <c r="CB7" s="24" t="str">
        <f>IFERROR(IF(ROUND((SUMIFS(Tracker[Net],Tracker[Bet %],"&gt;="&amp;$BG7,Tracker[Bet %],"&lt;"&amp;$BG8,Tracker[Bet Type Drill Down],CB$1))/COUNTIFS(Tracker[Bet %],"&gt;="&amp;$BG7,Tracker[Bet %],"&lt;"&amp;$BG8,Tracker[Bet Type Drill Down],CB$1),2)&gt;0.05,"X",IF(ROUND((SUMIFS(Tracker[Net],Tracker[Bet %],"&gt;="&amp;$BG7,Tracker[Bet %],"&lt;"&amp;$BG8,Tracker[Bet Type Drill Down],CB$1))/COUNTIFS(Tracker[Bet %],"&gt;="&amp;$BG7,Tracker[Bet %],"&lt;"&amp;$BG8,Tracker[Bet Type Drill Down],CB$1),2)&lt;-0.15,"O","")),"")</f>
        <v/>
      </c>
      <c r="CC7" s="24" t="str">
        <f>IFERROR(IF(ROUND((SUMIFS(Tracker[Net],Tracker[Bet %],"&gt;="&amp;$BG7,Tracker[Bet %],"&lt;"&amp;$BG8,Tracker[Bet Type Drill Down],CC$1))/COUNTIFS(Tracker[Bet %],"&gt;="&amp;$BG7,Tracker[Bet %],"&lt;"&amp;$BG8,Tracker[Bet Type Drill Down],CC$1),2)&gt;0.05,"X",IF(ROUND((SUMIFS(Tracker[Net],Tracker[Bet %],"&gt;="&amp;$BG7,Tracker[Bet %],"&lt;"&amp;$BG8,Tracker[Bet Type Drill Down],CC$1))/COUNTIFS(Tracker[Bet %],"&gt;="&amp;$BG7,Tracker[Bet %],"&lt;"&amp;$BG8,Tracker[Bet Type Drill Down],CC$1),2)&lt;-0.15,"O","")),"")</f>
        <v/>
      </c>
      <c r="CD7" s="24" t="str">
        <f>IFERROR(IF(ROUND((SUMIFS(Tracker[Net],Tracker[Bet %],"&gt;="&amp;$BG7,Tracker[Bet %],"&lt;"&amp;$BG8,Tracker[Bet Type Drill Down],CD$1))/COUNTIFS(Tracker[Bet %],"&gt;="&amp;$BG7,Tracker[Bet %],"&lt;"&amp;$BG8,Tracker[Bet Type Drill Down],CD$1),2)&gt;0.05,"X",IF(ROUND((SUMIFS(Tracker[Net],Tracker[Bet %],"&gt;="&amp;$BG7,Tracker[Bet %],"&lt;"&amp;$BG8,Tracker[Bet Type Drill Down],CD$1))/COUNTIFS(Tracker[Bet %],"&gt;="&amp;$BG7,Tracker[Bet %],"&lt;"&amp;$BG8,Tracker[Bet Type Drill Down],CD$1),2)&lt;-0.15,"O","")),"")</f>
        <v/>
      </c>
      <c r="CE7" s="24" t="str">
        <f>IFERROR(IF(ROUND((SUMIFS(Tracker[Net],Tracker[Bet %],"&gt;="&amp;$BG7,Tracker[Bet %],"&lt;"&amp;$BG8,Tracker[Bet Type Drill Down],CE$1))/COUNTIFS(Tracker[Bet %],"&gt;="&amp;$BG7,Tracker[Bet %],"&lt;"&amp;$BG8,Tracker[Bet Type Drill Down],CE$1),2)&gt;0.05,"X",IF(ROUND((SUMIFS(Tracker[Net],Tracker[Bet %],"&gt;="&amp;$BG7,Tracker[Bet %],"&lt;"&amp;$BG8,Tracker[Bet Type Drill Down],CE$1))/COUNTIFS(Tracker[Bet %],"&gt;="&amp;$BG7,Tracker[Bet %],"&lt;"&amp;$BG8,Tracker[Bet Type Drill Down],CE$1),2)&lt;-0.15,"O","")),"")</f>
        <v/>
      </c>
    </row>
    <row r="8" spans="1:83" x14ac:dyDescent="0.25">
      <c r="A8" s="36">
        <f t="shared" si="9"/>
        <v>1</v>
      </c>
      <c r="B8" s="25">
        <v>43796</v>
      </c>
      <c r="C8" s="25" t="str">
        <f t="shared" si="7"/>
        <v>NBA</v>
      </c>
      <c r="D8" s="26" t="s">
        <v>780</v>
      </c>
      <c r="E8" s="27" t="s">
        <v>265</v>
      </c>
      <c r="F8" s="67">
        <v>0.57914628124274392</v>
      </c>
      <c r="G8" s="29">
        <v>-110</v>
      </c>
      <c r="H8" s="30" t="s">
        <v>57</v>
      </c>
      <c r="I8" s="44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8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8" s="32" t="str">
        <f>MID(Tracker[[#This Row],[Game]],SEARCH("@",Tracker[[#This Row],[Game]])+2,LEN(Tracker[[#This Row],[Game]]))</f>
        <v>76ers</v>
      </c>
      <c r="L8" s="32" t="str">
        <f>LEFT(Tracker[[#This Row],[Game]],SEARCH("@",Tracker[[#This Row],[Game]])-2)</f>
        <v>Kings</v>
      </c>
      <c r="M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8" s="123"/>
      <c r="O8" s="147"/>
      <c r="P8" s="147"/>
      <c r="Q8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8" s="147" t="e">
        <f>IF(AND(Tracker[[#This Row],[Money %]]&lt;&gt;"",Tracker[[#This Row],[Bet %]]&lt;&gt;""),Tracker[[#This Row],[Money %]]-Tracker[[#This Row],[Bet %]],NA())</f>
        <v>#N/A</v>
      </c>
      <c r="S8" s="109"/>
      <c r="T8" s="109"/>
      <c r="U8" s="56">
        <f>IFERROR(INDEX($A$4:$B10004,MATCH(ROW()-3,$A$4:$A$4:$A1004,0),2),0)</f>
        <v>43810</v>
      </c>
      <c r="V8" s="33" t="str">
        <f>COUNTIFS(Tracker[Date],U8,Tracker[Result],"W")&amp;"-"&amp;COUNTIFS(Tracker[Date],U8,Tracker[Result],"L")&amp;IF(COUNTIFS(Tracker[Date],U8,Tracker[Result],"Push")&gt;0,"-"&amp;COUNTIFS(Tracker[Date],U8,Tracker[Result],"Push"),"")</f>
        <v>8-6</v>
      </c>
      <c r="W8" s="34">
        <f>IFERROR(COUNTIFS(Tracker[Date],U8,Tracker[Result],"W")/(COUNTIFS(Tracker[Date],U8,Tracker[Result],"W")+COUNTIFS(Tracker[Date],U8,Tracker[Result],"L")),"")</f>
        <v>0.5714285714285714</v>
      </c>
      <c r="X8" s="61">
        <f>SUMIF(Tracker[Date],U8,Tracker[Net])</f>
        <v>1.2727272727272729</v>
      </c>
      <c r="Y8" s="35" t="str">
        <f>IFERROR("("&amp;ROUND(SUMIF(Tracker[Date],U8,Tracker[Net])/COUNTIF(Tracker[Date],U8),2)*100&amp;"%)","")</f>
        <v>(9%)</v>
      </c>
      <c r="Z8" s="36" t="s">
        <v>252</v>
      </c>
      <c r="AA8" s="37" t="s">
        <v>253</v>
      </c>
      <c r="AB8" s="24" t="str">
        <f>IFERROR(COUNTIFS(Tracker[Bet Type],Z8,Tracker[Result],"W",Tracker[Confidence],"&gt;="&amp;$AB$2,Tracker[Confidence],"&lt;="&amp;$AC$2)&amp;"-"&amp;COUNTIFS(Tracker[Bet Type],Z8,Tracker[Result],"L",Tracker[Confidence],"&gt;="&amp;$AB$2,Tracker[Confidence],"&lt;="&amp;$AC$2)&amp;IF(COUNTIFS(Tracker[Bet Type],Z8,Tracker[Result],"Push",Tracker[Confidence],"&gt;="&amp;$AB$2,Tracker[Confidence],"&lt;="&amp;$AC$2)&gt;0,"-"&amp;COUNTIFS(Tracker[Bet Type],Z8,Tracker[Result],"Push",Tracker[Confidence],"&gt;="&amp;$AB$2,Tracker[Confidence],"&lt;="&amp;$AC$2),"")&amp;" ("&amp;ROUND(COUNTIFS(Tracker[Bet Type],Z8,Tracker[Result],"W",Tracker[Confidence],"&gt;="&amp;$AB$2,Tracker[Confidence],"&lt;="&amp;$AC$2)/(COUNTIFS(Tracker[Bet Type],Z8,Tracker[Result],"W",Tracker[Confidence],"&gt;="&amp;$AB$2,Tracker[Confidence],"&lt;="&amp;$AC$2)+COUNTIFS(Tracker[Bet Type],Z8,Tracker[Result],"L",Tracker[Confidence],"&gt;="&amp;$AB$2,Tracker[Confidence],"&lt;="&amp;$AC$2))*100,1)&amp;"%)","No Bets")</f>
        <v>No Bets</v>
      </c>
      <c r="AC8" s="64">
        <f>SUMIFS(Tracker[Net],Tracker[Bet Type],Z8,Tracker[Confidence],"&gt;="&amp;$AB$2,Tracker[Confidence],"&lt;="&amp;$AC$2)</f>
        <v>0</v>
      </c>
      <c r="AD8" s="38" t="str">
        <f>IFERROR("("&amp;ROUND((SUMIFS(Tracker[Net],Tracker[Bet Type],Z8,Tracker[Confidence],"&gt;="&amp;$AB$2,Tracker[Confidence],"&lt;="&amp;$AC$2))/COUNTIFS(Tracker[Bet Type],Z8,Tracker[Confidence],"&gt;="&amp;$AB$2,Tracker[Confidence],"&lt;="&amp;$AC$2),2)*100&amp;"%)","")</f>
        <v/>
      </c>
      <c r="AF8" s="36">
        <f t="shared" si="11"/>
        <v>0.25</v>
      </c>
      <c r="AG8" s="66" t="str">
        <f t="shared" si="0"/>
        <v>25-30%</v>
      </c>
      <c r="AH8" s="124" t="str">
        <f>IFERROR(COUNTIFS(Tracker[Cover %],"&gt;="&amp;AF8,Tracker[Cover %],"&lt;"&amp;AF9,Tracker[Result],"W")&amp;"-"&amp;COUNTIFS(Tracker[Cover %],"&gt;="&amp;AF8,Tracker[Cover %],"&lt;"&amp;AF9,Tracker[Result],"L")&amp;"-"&amp;COUNTIFS(Tracker[Cover %],"&gt;="&amp;AF8,Tracker[Cover %],"&lt;"&amp;AF9,Tracker[Result],"Push")&amp;" ("&amp;ROUND(COUNTIFS(Tracker[Cover %],"&gt;="&amp;AF8,Tracker[Cover %],"&lt;"&amp;AF9,Tracker[Result],"W")/(COUNTIFS(Tracker[Cover %],"&gt;="&amp;AF8,Tracker[Cover %],"&lt;"&amp;AF9,Tracker[Result],"L")+COUNTIFS(Tracker[Cover %],"&gt;="&amp;AF8,Tracker[Cover %],"&lt;"&amp;AF9,Tracker[Result],"W"))*100,2)&amp;"%)","No Bets")</f>
        <v>1-3-0 (25%)</v>
      </c>
      <c r="AI8" s="72">
        <f>SUMIFS(Tracker[Net],Tracker[Cover %],"&gt;="&amp;AF8,Tracker[Cover %],"&lt;"&amp;AF9)</f>
        <v>-2.0909090909090908</v>
      </c>
      <c r="AJ8" s="24" t="str">
        <f>IFERROR(IF(ROUND((SUMIFS(Tracker[Net],Tracker[Cover %],"&gt;="&amp;$AF8,Tracker[Cover %],"&lt;"&amp;$AF9,Tracker[Bet Type],AJ$2))/COUNTIFS(Tracker[Cover %],"&gt;="&amp;$AF8,Tracker[Cover %],"&lt;"&amp;$AF9,Tracker[Bet Type],AJ$2),2)&gt;0.05,"X",IF(ROUND((SUMIFS(Tracker[Net],Tracker[Cover %],"&gt;="&amp;$AF8,Tracker[Cover %],"&lt;"&amp;$AF9,Tracker[Bet Type],AJ$2))/COUNTIFS(Tracker[Cover %],"&gt;="&amp;$AF8,Tracker[Cover %],"&lt;"&amp;$AF9,Tracker[Bet Type],AJ$2),2)&lt;-0.15,"O","")),"")</f>
        <v/>
      </c>
      <c r="AK8" s="24" t="str">
        <f>IFERROR(IF(ROUND((SUMIFS(Tracker[Net],Tracker[Cover %],"&gt;="&amp;$AF8,Tracker[Cover %],"&lt;"&amp;$AF9,Tracker[Bet Type],AK$2))/COUNTIFS(Tracker[Cover %],"&gt;="&amp;$AF8,Tracker[Cover %],"&lt;"&amp;$AF9,Tracker[Bet Type],AK$2),2)&gt;0.05,"X",IF(ROUND((SUMIFS(Tracker[Net],Tracker[Cover %],"&gt;="&amp;$AF8,Tracker[Cover %],"&lt;"&amp;$AF9,Tracker[Bet Type],AK$2))/COUNTIFS(Tracker[Cover %],"&gt;="&amp;$AF8,Tracker[Cover %],"&lt;"&amp;$AF9,Tracker[Bet Type],AK$2),2)&lt;-0.15,"O","")),"")</f>
        <v/>
      </c>
      <c r="AL8" s="24" t="str">
        <f>IFERROR(IF(ROUND((SUMIFS(Tracker[Net],Tracker[Cover %],"&gt;="&amp;$AF8,Tracker[Cover %],"&lt;"&amp;$AF9,Tracker[Bet Type],AL$2))/COUNTIFS(Tracker[Cover %],"&gt;="&amp;$AF8,Tracker[Cover %],"&lt;"&amp;$AF9,Tracker[Bet Type],AL$2),2)&gt;0.05,"X",IF(ROUND((SUMIFS(Tracker[Net],Tracker[Cover %],"&gt;="&amp;$AF8,Tracker[Cover %],"&lt;"&amp;$AF9,Tracker[Bet Type],AL$2))/COUNTIFS(Tracker[Cover %],"&gt;="&amp;$AF8,Tracker[Cover %],"&lt;"&amp;$AF9,Tracker[Bet Type],AL$2),2)&lt;-0.15,"O","")),"")</f>
        <v>O</v>
      </c>
      <c r="AM8" s="24" t="str">
        <f>IFERROR(IF(ROUND((SUMIFS(Tracker[Net],Tracker[Cover %],"&gt;="&amp;$AF8,Tracker[Cover %],"&lt;"&amp;$AF9,Tracker[Bet Type],AM$2))/COUNTIFS(Tracker[Cover %],"&gt;="&amp;$AF8,Tracker[Cover %],"&lt;"&amp;$AF9,Tracker[Bet Type],AM$2),2)&gt;0.05,"X",IF(ROUND((SUMIFS(Tracker[Net],Tracker[Cover %],"&gt;="&amp;$AF8,Tracker[Cover %],"&lt;"&amp;$AF9,Tracker[Bet Type],AM$2))/COUNTIFS(Tracker[Cover %],"&gt;="&amp;$AF8,Tracker[Cover %],"&lt;"&amp;$AF9,Tracker[Bet Type],AM$2),2)&lt;-0.15,"O","")),"")</f>
        <v>O</v>
      </c>
      <c r="AN8" s="24" t="str">
        <f>IFERROR(IF(ROUND((SUMIFS(Tracker[Net],Tracker[Cover %],"&gt;="&amp;$AF8,Tracker[Cover %],"&lt;"&amp;$AF9,Tracker[Bet Type Drill Down],AN$2))/COUNTIFS(Tracker[Cover %],"&gt;="&amp;$AF8,Tracker[Cover %],"&lt;"&amp;$AF9,Tracker[Bet Type Drill Down],AN$2),2)&gt;0.05,"X",IF(ROUND((SUMIFS(Tracker[Net],Tracker[Cover %],"&gt;="&amp;$AF8,Tracker[Cover %],"&lt;"&amp;$AF9,Tracker[Bet Type Drill Down],AN$2))/COUNTIFS(Tracker[Cover %],"&gt;="&amp;$AF8,Tracker[Cover %],"&lt;"&amp;$AF9,Tracker[Bet Type Drill Down],AN$2),2)&lt;-0.15,"O","")),"")</f>
        <v>O</v>
      </c>
      <c r="AO8" s="24" t="str">
        <f>IFERROR(IF(ROUND((SUMIFS(Tracker[Net],Tracker[Cover %],"&gt;="&amp;$AF8,Tracker[Cover %],"&lt;"&amp;$AF9,Tracker[Bet Type Drill Down],AO$2))/COUNTIFS(Tracker[Cover %],"&gt;="&amp;$AF8,Tracker[Cover %],"&lt;"&amp;$AF9,Tracker[Bet Type Drill Down],AO$2),2)&gt;0.05,"X",IF(ROUND((SUMIFS(Tracker[Net],Tracker[Cover %],"&gt;="&amp;$AF8,Tracker[Cover %],"&lt;"&amp;$AF9,Tracker[Bet Type Drill Down],AO$2))/COUNTIFS(Tracker[Cover %],"&gt;="&amp;$AF8,Tracker[Cover %],"&lt;"&amp;$AF9,Tracker[Bet Type Drill Down],AO$2),2)&lt;-0.15,"O","")),"")</f>
        <v/>
      </c>
      <c r="AP8" s="24" t="str">
        <f>IFERROR(IF(ROUND((SUMIFS(Tracker[Net],Tracker[Cover %],"&gt;="&amp;$AF8,Tracker[Cover %],"&lt;"&amp;$AF9,Tracker[Bet Type Drill Down],AP$2))/COUNTIFS(Tracker[Cover %],"&gt;="&amp;$AF8,Tracker[Cover %],"&lt;"&amp;$AF9,Tracker[Bet Type Drill Down],AP$2),2)&gt;0.05,"X",IF(ROUND((SUMIFS(Tracker[Net],Tracker[Cover %],"&gt;="&amp;$AF8,Tracker[Cover %],"&lt;"&amp;$AF9,Tracker[Bet Type Drill Down],AP$2))/COUNTIFS(Tracker[Cover %],"&gt;="&amp;$AF8,Tracker[Cover %],"&lt;"&amp;$AF9,Tracker[Bet Type Drill Down],AP$2),2)&lt;-0.15,"O","")),"")</f>
        <v>O</v>
      </c>
      <c r="AQ8" s="24" t="str">
        <f>IFERROR(IF(ROUND((SUMIFS(Tracker[Net],Tracker[Cover %],"&gt;="&amp;$AF8,Tracker[Cover %],"&lt;"&amp;$AF9,Tracker[Bet Type Drill Down],AQ$2))/COUNTIFS(Tracker[Cover %],"&gt;="&amp;$AF8,Tracker[Cover %],"&lt;"&amp;$AF9,Tracker[Bet Type Drill Down],AQ$2),2)&gt;0.05,"X",IF(ROUND((SUMIFS(Tracker[Net],Tracker[Cover %],"&gt;="&amp;$AF8,Tracker[Cover %],"&lt;"&amp;$AF9,Tracker[Bet Type Drill Down],AQ$2))/COUNTIFS(Tracker[Cover %],"&gt;="&amp;$AF8,Tracker[Cover %],"&lt;"&amp;$AF9,Tracker[Bet Type Drill Down],AQ$2),2)&lt;-0.15,"O","")),"")</f>
        <v/>
      </c>
      <c r="AT8" s="153">
        <f t="shared" si="1"/>
        <v>-0.69999999999999973</v>
      </c>
      <c r="AU8" s="39" t="str">
        <f t="shared" si="2"/>
        <v>-70  to  -65%</v>
      </c>
      <c r="AV8" t="str">
        <f>IFERROR(COUNTIFS(Tracker[Money Discrepency],"&gt;="&amp;AT8,Tracker[Money Discrepency],"&lt;"&amp;AT9,Tracker[Result],"W")&amp;"-"&amp;COUNTIFS(Tracker[Money Discrepency],"&gt;="&amp;AT8,Tracker[Money Discrepency],"&lt;"&amp;AT9,Tracker[Result],"L")&amp;"-"&amp;COUNTIFS(Tracker[Money Discrepency],"&gt;="&amp;AT8,Tracker[Money Discrepency],"&lt;"&amp;AT9,Tracker[Result],"Push")&amp;" ("&amp;ROUND(COUNTIFS(Tracker[Money Discrepency],"&gt;="&amp;AT8,Tracker[Money Discrepency],"&lt;"&amp;AT9,Tracker[Result],"W")/(COUNTIFS(Tracker[Money Discrepency],"&gt;="&amp;AT8,Tracker[Money Discrepency],"&lt;"&amp;AT9,Tracker[Result],"L")+COUNTIFS(Tracker[Money Discrepency],"&gt;="&amp;AT8,Tracker[Money Discrepency],"&lt;"&amp;AT9,Tracker[Result],"W"))*100,2)&amp;"%)","No Bets")</f>
        <v>No Bets</v>
      </c>
      <c r="AW8">
        <f>SUMIFS(Tracker[Net],Tracker[Money Discrepency],"&gt;="&amp;AT8,Tracker[Money Discrepency],"&lt;"&amp;AT9)</f>
        <v>0</v>
      </c>
      <c r="AX8" s="24" t="str">
        <f>IFERROR(IF(ROUND((SUMIFS(Tracker[Net],Tracker[Money Discrepency],"&gt;="&amp;$AT8,Tracker[Money Discrepency],"&lt;"&amp;$AT9,Tracker[Bet Type],AX$1))/COUNTIFS(Tracker[Money Discrepency],"&gt;="&amp;$AT8,Tracker[Money Discrepency],"&lt;"&amp;$AT9,Tracker[Bet Type],AX$1),2)&gt;0.05,"X",IF(ROUND((SUMIFS(Tracker[Net],Tracker[Money Discrepency],"&gt;="&amp;$AT8,Tracker[Money Discrepency],"&lt;"&amp;$AT9,Tracker[Bet Type],AX$1))/COUNTIFS(Tracker[Money Discrepency],"&gt;="&amp;$AT8,Tracker[Money Discrepency],"&lt;"&amp;$AT9,Tracker[Bet Type],AX$1),2)&lt;-0.15,"O","")),"")</f>
        <v/>
      </c>
      <c r="AY8" s="24" t="str">
        <f>IFERROR(IF(ROUND((SUMIFS(Tracker[Net],Tracker[Money Discrepency],"&gt;="&amp;$AT8,Tracker[Money Discrepency],"&lt;"&amp;$AT9,Tracker[Bet Type],AY$1))/COUNTIFS(Tracker[Money Discrepency],"&gt;="&amp;$AT8,Tracker[Money Discrepency],"&lt;"&amp;$AT9,Tracker[Bet Type],AY$1),2)&gt;0.05,"X",IF(ROUND((SUMIFS(Tracker[Net],Tracker[Money Discrepency],"&gt;="&amp;$AT8,Tracker[Money Discrepency],"&lt;"&amp;$AT9,Tracker[Bet Type],AY$1))/COUNTIFS(Tracker[Money Discrepency],"&gt;="&amp;$AT8,Tracker[Money Discrepency],"&lt;"&amp;$AT9,Tracker[Bet Type],AY$1),2)&lt;-0.15,"O","")),"")</f>
        <v/>
      </c>
      <c r="AZ8" s="24" t="str">
        <f>IFERROR(IF(ROUND((SUMIFS(Tracker[Net],Tracker[Money Discrepency],"&gt;="&amp;$AT8,Tracker[Money Discrepency],"&lt;"&amp;$AT9,Tracker[Bet Type],AZ$1))/COUNTIFS(Tracker[Money Discrepency],"&gt;="&amp;$AT8,Tracker[Money Discrepency],"&lt;"&amp;$AT9,Tracker[Bet Type],AZ$1),2)&gt;0.05,"X",IF(ROUND((SUMIFS(Tracker[Net],Tracker[Money Discrepency],"&gt;="&amp;$AT8,Tracker[Money Discrepency],"&lt;"&amp;$AT9,Tracker[Bet Type],AZ$1))/COUNTIFS(Tracker[Money Discrepency],"&gt;="&amp;$AT8,Tracker[Money Discrepency],"&lt;"&amp;$AT9,Tracker[Bet Type],AZ$1),2)&lt;-0.15,"O","")),"")</f>
        <v/>
      </c>
      <c r="BA8" s="24" t="str">
        <f>IFERROR(IF(ROUND((SUMIFS(Tracker[Net],Tracker[Money Discrepency],"&gt;="&amp;$AT8,Tracker[Money Discrepency],"&lt;"&amp;$AT9,Tracker[Bet Type],BA$1))/COUNTIFS(Tracker[Money Discrepency],"&gt;="&amp;$AT8,Tracker[Money Discrepency],"&lt;"&amp;$AT9,Tracker[Bet Type],BA$1),2)&gt;0.05,"X",IF(ROUND((SUMIFS(Tracker[Net],Tracker[Money Discrepency],"&gt;="&amp;$AT8,Tracker[Money Discrepency],"&lt;"&amp;$AT9,Tracker[Bet Type],BA$1))/COUNTIFS(Tracker[Money Discrepency],"&gt;="&amp;$AT8,Tracker[Money Discrepency],"&lt;"&amp;$AT9,Tracker[Bet Type],BA$1),2)&lt;-0.15,"O","")),"")</f>
        <v/>
      </c>
      <c r="BB8" s="24" t="str">
        <f>IFERROR(IF(ROUND((SUMIFS(Tracker[Net],Tracker[Money Discrepency],"&gt;="&amp;$AT8,Tracker[Money Discrepency],"&lt;"&amp;$AT9,Tracker[Bet Type Drill Down],BB$1))/COUNTIFS(Tracker[Money Discrepency],"&gt;="&amp;$AT8,Tracker[Money Discrepency],"&lt;"&amp;$AT9,Tracker[Bet Type Drill Down],BB$1),2)&gt;0.05,"X",IF(ROUND((SUMIFS(Tracker[Net],Tracker[Money Discrepency],"&gt;="&amp;$AT8,Tracker[Money Discrepency],"&lt;"&amp;$AT9,Tracker[Bet Type Drill Down],BB$1))/COUNTIFS(Tracker[Money Discrepency],"&gt;="&amp;$AT8,Tracker[Money Discrepency],"&lt;"&amp;$AT9,Tracker[Bet Type Drill Down],BB$1),2)&lt;-0.15,"O","")),"")</f>
        <v/>
      </c>
      <c r="BC8" s="24" t="str">
        <f>IFERROR(IF(ROUND((SUMIFS(Tracker[Net],Tracker[Money Discrepency],"&gt;="&amp;$AT8,Tracker[Money Discrepency],"&lt;"&amp;$AT9,Tracker[Bet Type Drill Down],BC$1))/COUNTIFS(Tracker[Money Discrepency],"&gt;="&amp;$AT8,Tracker[Money Discrepency],"&lt;"&amp;$AT9,Tracker[Bet Type Drill Down],BC$1),2)&gt;0.05,"X",IF(ROUND((SUMIFS(Tracker[Net],Tracker[Money Discrepency],"&gt;="&amp;$AT8,Tracker[Money Discrepency],"&lt;"&amp;$AT9,Tracker[Bet Type Drill Down],BC$1))/COUNTIFS(Tracker[Money Discrepency],"&gt;="&amp;$AT8,Tracker[Money Discrepency],"&lt;"&amp;$AT9,Tracker[Bet Type Drill Down],BC$1),2)&lt;-0.15,"O","")),"")</f>
        <v/>
      </c>
      <c r="BD8" s="24" t="str">
        <f>IFERROR(IF(ROUND((SUMIFS(Tracker[Net],Tracker[Money Discrepency],"&gt;="&amp;$AT8,Tracker[Money Discrepency],"&lt;"&amp;$AT9,Tracker[Bet Type Drill Down],BD$1))/COUNTIFS(Tracker[Money Discrepency],"&gt;="&amp;$AT8,Tracker[Money Discrepency],"&lt;"&amp;$AT9,Tracker[Bet Type Drill Down],BD$1),2)&gt;0.05,"X",IF(ROUND((SUMIFS(Tracker[Net],Tracker[Money Discrepency],"&gt;="&amp;$AT8,Tracker[Money Discrepency],"&lt;"&amp;$AT9,Tracker[Bet Type Drill Down],BD$1))/COUNTIFS(Tracker[Money Discrepency],"&gt;="&amp;$AT8,Tracker[Money Discrepency],"&lt;"&amp;$AT9,Tracker[Bet Type Drill Down],BD$1),2)&lt;-0.15,"O","")),"")</f>
        <v/>
      </c>
      <c r="BE8" s="24" t="str">
        <f>IFERROR(IF(ROUND((SUMIFS(Tracker[Net],Tracker[Money Discrepency],"&gt;="&amp;$AT8,Tracker[Money Discrepency],"&lt;"&amp;$AT9,Tracker[Bet Type Drill Down],BE$1))/COUNTIFS(Tracker[Money Discrepency],"&gt;="&amp;$AT8,Tracker[Money Discrepency],"&lt;"&amp;$AT9,Tracker[Bet Type Drill Down],BE$1),2)&gt;0.05,"X",IF(ROUND((SUMIFS(Tracker[Net],Tracker[Money Discrepency],"&gt;="&amp;$AT8,Tracker[Money Discrepency],"&lt;"&amp;$AT9,Tracker[Bet Type Drill Down],BE$1))/COUNTIFS(Tracker[Money Discrepency],"&gt;="&amp;$AT8,Tracker[Money Discrepency],"&lt;"&amp;$AT9,Tracker[Bet Type Drill Down],BE$1),2)&lt;-0.15,"O","")),"")</f>
        <v/>
      </c>
      <c r="BG8" s="153">
        <f t="shared" si="3"/>
        <v>0.3</v>
      </c>
      <c r="BH8" s="154" t="str">
        <f t="shared" si="4"/>
        <v>30  to  35%</v>
      </c>
      <c r="BI8" t="str">
        <f>IFERROR(COUNTIFS(Tracker[Money %],"&gt;="&amp;BG8,Tracker[Money %],"&lt;"&amp;BG9,Tracker[Result],"W")&amp;"-"&amp;COUNTIFS(Tracker[Money %],"&gt;="&amp;BG8,Tracker[Money %],"&lt;"&amp;BG9,Tracker[Result],"L")&amp;"-"&amp;COUNTIFS(Tracker[Money %],"&gt;="&amp;BG8,Tracker[Money %],"&lt;"&amp;BG9,Tracker[Result],"Push")&amp;" ("&amp;ROUND(COUNTIFS(Tracker[Money %],"&gt;="&amp;BG8,Tracker[Money %],"&lt;"&amp;BG9,Tracker[Result],"W")/(COUNTIFS(Tracker[Money %],"&gt;="&amp;BG8,Tracker[Money %],"&lt;"&amp;BG9,Tracker[Result],"L")+COUNTIFS(Tracker[Money %],"&gt;="&amp;BG8,Tracker[Money %],"&lt;"&amp;BG9,Tracker[Result],"W"))*100,2)&amp;"%)","No Bets")</f>
        <v>3-3-0 (50%)</v>
      </c>
      <c r="BJ8">
        <f>SUMIFS(Tracker[Net],Tracker[Money %],"&gt;="&amp;BG8,Tracker[Money %],"&lt;"&amp;BG9)</f>
        <v>-0.2727272727272726</v>
      </c>
      <c r="BK8" s="24" t="str">
        <f>IFERROR(IF(ROUND((SUMIFS(Tracker[Net],Tracker[Money %],"&gt;="&amp;$BG8,Tracker[Money %],"&lt;"&amp;$BG9,Tracker[Bet Type],BK$1))/COUNTIFS(Tracker[Money %],"&gt;="&amp;$BG8,Tracker[Money %],"&lt;"&amp;$BG9,Tracker[Bet Type],BK$1),2)&gt;0.05,"X",IF(ROUND((SUMIFS(Tracker[Net],Tracker[Money %],"&gt;="&amp;$BG8,Tracker[Money %],"&lt;"&amp;$BG9,Tracker[Bet Type],BK$1))/COUNTIFS(Tracker[Money %],"&gt;="&amp;$BG8,Tracker[Money %],"&lt;"&amp;$BG9,Tracker[Bet Type],BK$1),2)&lt;-0.15,"O","")),"")</f>
        <v>O</v>
      </c>
      <c r="BL8" s="24" t="str">
        <f>IFERROR(IF(ROUND((SUMIFS(Tracker[Net],Tracker[Money %],"&gt;="&amp;$BG8,Tracker[Money %],"&lt;"&amp;$BG9,Tracker[Bet Type],BL$1))/COUNTIFS(Tracker[Money %],"&gt;="&amp;$BG8,Tracker[Money %],"&lt;"&amp;$BG9,Tracker[Bet Type],BL$1),2)&gt;0.05,"X",IF(ROUND((SUMIFS(Tracker[Net],Tracker[Money %],"&gt;="&amp;$BG8,Tracker[Money %],"&lt;"&amp;$BG9,Tracker[Bet Type],BL$1))/COUNTIFS(Tracker[Money %],"&gt;="&amp;$BG8,Tracker[Money %],"&lt;"&amp;$BG9,Tracker[Bet Type],BL$1),2)&lt;-0.15,"O","")),"")</f>
        <v>X</v>
      </c>
      <c r="BM8" s="24" t="str">
        <f>IFERROR(IF(ROUND((SUMIFS(Tracker[Net],Tracker[Money %],"&gt;="&amp;$BG8,Tracker[Money %],"&lt;"&amp;$BG9,Tracker[Bet Type],BM$1))/COUNTIFS(Tracker[Money %],"&gt;="&amp;$BG8,Tracker[Money %],"&lt;"&amp;$BG9,Tracker[Bet Type],BM$1),2)&gt;0.05,"X",IF(ROUND((SUMIFS(Tracker[Net],Tracker[Money %],"&gt;="&amp;$BG8,Tracker[Money %],"&lt;"&amp;$BG9,Tracker[Bet Type],BM$1))/COUNTIFS(Tracker[Money %],"&gt;="&amp;$BG8,Tracker[Money %],"&lt;"&amp;$BG9,Tracker[Bet Type],BM$1),2)&lt;-0.15,"O","")),"")</f>
        <v>X</v>
      </c>
      <c r="BN8" s="24" t="str">
        <f>IFERROR(IF(ROUND((SUMIFS(Tracker[Net],Tracker[Money %],"&gt;="&amp;$BG8,Tracker[Money %],"&lt;"&amp;$BG9,Tracker[Bet Type],BN$1))/COUNTIFS(Tracker[Money %],"&gt;="&amp;$BG8,Tracker[Money %],"&lt;"&amp;$BG9,Tracker[Bet Type],BN$1),2)&gt;0.05,"X",IF(ROUND((SUMIFS(Tracker[Net],Tracker[Money %],"&gt;="&amp;$BG8,Tracker[Money %],"&lt;"&amp;$BG9,Tracker[Bet Type],BN$1))/COUNTIFS(Tracker[Money %],"&gt;="&amp;$BG8,Tracker[Money %],"&lt;"&amp;$BG9,Tracker[Bet Type],BN$1),2)&lt;-0.15,"O","")),"")</f>
        <v>O</v>
      </c>
      <c r="BO8" s="24" t="str">
        <f>IFERROR(IF(ROUND((SUMIFS(Tracker[Net],Tracker[Money %],"&gt;="&amp;$BG8,Tracker[Money %],"&lt;"&amp;$BG9,Tracker[Bet Type Drill Down],BO$1))/COUNTIFS(Tracker[Money %],"&gt;="&amp;$BG8,Tracker[Money %],"&lt;"&amp;$BG9,Tracker[Bet Type Drill Down],BO$1),2)&gt;0.05,"X",IF(ROUND((SUMIFS(Tracker[Net],Tracker[Money %],"&gt;="&amp;$BG8,Tracker[Money %],"&lt;"&amp;$BG9,Tracker[Bet Type Drill Down],BO$1))/COUNTIFS(Tracker[Money %],"&gt;="&amp;$BG8,Tracker[Money %],"&lt;"&amp;$BG9,Tracker[Bet Type Drill Down],BO$1),2)&lt;-0.15,"O","")),"")</f>
        <v>O</v>
      </c>
      <c r="BP8" s="24" t="str">
        <f>IFERROR(IF(ROUND((SUMIFS(Tracker[Net],Tracker[Money %],"&gt;="&amp;$BG8,Tracker[Money %],"&lt;"&amp;$BG9,Tracker[Bet Type Drill Down],BP$1))/COUNTIFS(Tracker[Money %],"&gt;="&amp;$BG8,Tracker[Money %],"&lt;"&amp;$BG9,Tracker[Bet Type Drill Down],BP$1),2)&gt;0.05,"X",IF(ROUND((SUMIFS(Tracker[Net],Tracker[Money %],"&gt;="&amp;$BG8,Tracker[Money %],"&lt;"&amp;$BG9,Tracker[Bet Type Drill Down],BP$1))/COUNTIFS(Tracker[Money %],"&gt;="&amp;$BG8,Tracker[Money %],"&lt;"&amp;$BG9,Tracker[Bet Type Drill Down],BP$1),2)&lt;-0.15,"O","")),"")</f>
        <v/>
      </c>
      <c r="BQ8" s="24" t="str">
        <f>IFERROR(IF(ROUND((SUMIFS(Tracker[Net],Tracker[Money %],"&gt;="&amp;$BG8,Tracker[Money %],"&lt;"&amp;$BG9,Tracker[Bet Type Drill Down],BQ$1))/COUNTIFS(Tracker[Money %],"&gt;="&amp;$BG8,Tracker[Money %],"&lt;"&amp;$BG9,Tracker[Bet Type Drill Down],BQ$1),2)&gt;0.05,"X",IF(ROUND((SUMIFS(Tracker[Net],Tracker[Money %],"&gt;="&amp;$BG8,Tracker[Money %],"&lt;"&amp;$BG9,Tracker[Bet Type Drill Down],BQ$1))/COUNTIFS(Tracker[Money %],"&gt;="&amp;$BG8,Tracker[Money %],"&lt;"&amp;$BG9,Tracker[Bet Type Drill Down],BQ$1),2)&lt;-0.15,"O","")),"")</f>
        <v/>
      </c>
      <c r="BR8" s="24" t="str">
        <f>IFERROR(IF(ROUND((SUMIFS(Tracker[Net],Tracker[Money %],"&gt;="&amp;$BG8,Tracker[Money %],"&lt;"&amp;$BG9,Tracker[Bet Type Drill Down],BR$1))/COUNTIFS(Tracker[Money %],"&gt;="&amp;$BG8,Tracker[Money %],"&lt;"&amp;$BG9,Tracker[Bet Type Drill Down],BR$1),2)&gt;0.05,"X",IF(ROUND((SUMIFS(Tracker[Net],Tracker[Money %],"&gt;="&amp;$BG8,Tracker[Money %],"&lt;"&amp;$BG9,Tracker[Bet Type Drill Down],BR$1))/COUNTIFS(Tracker[Money %],"&gt;="&amp;$BG8,Tracker[Money %],"&lt;"&amp;$BG9,Tracker[Bet Type Drill Down],BR$1),2)&lt;-0.15,"O","")),"")</f>
        <v>X</v>
      </c>
      <c r="BT8" s="153">
        <f t="shared" si="5"/>
        <v>0.3</v>
      </c>
      <c r="BU8" s="154" t="str">
        <f t="shared" ref="BU8" si="14">ROUND(BT8*100,0)&amp;"  to  "&amp;ROUND(BT9*100,0)&amp;"%"</f>
        <v>30  to  35%</v>
      </c>
      <c r="BV8" t="str">
        <f>IFERROR(COUNTIFS(Tracker[Bet %],"&gt;="&amp;BT8,Tracker[Bet %],"&lt;"&amp;BT9,Tracker[Result],"W")&amp;"-"&amp;COUNTIFS(Tracker[Bet %],"&gt;="&amp;BT8,Tracker[Bet %],"&lt;"&amp;BT9,Tracker[Result],"L")&amp;"-"&amp;COUNTIFS(Tracker[Bet %],"&gt;="&amp;BT8,Tracker[Bet %],"&lt;"&amp;BT9,Tracker[Result],"Push")&amp;" ("&amp;ROUND(COUNTIFS(Tracker[Bet %],"&gt;="&amp;BT8,Tracker[Bet %],"&lt;"&amp;BT9,Tracker[Result],"W")/(COUNTIFS(Tracker[Bet %],"&gt;="&amp;BT8,Tracker[Bet %],"&lt;"&amp;BT9,Tracker[Result],"L")+COUNTIFS(Tracker[Bet %],"&gt;="&amp;BT8,Tracker[Bet %],"&lt;"&amp;BT9,Tracker[Result],"W"))*100,2)&amp;"%)","No Bets")</f>
        <v>9-7-0 (56.25%)</v>
      </c>
      <c r="BW8">
        <f>SUMIFS(Tracker[Net],Tracker[Bet %],"&gt;="&amp;BT8,Tracker[Bet %],"&lt;"&amp;BT9)</f>
        <v>1.1818181818181817</v>
      </c>
      <c r="BX8" s="24" t="str">
        <f>IFERROR(IF(ROUND((SUMIFS(Tracker[Net],Tracker[Bet %],"&gt;="&amp;$BG8,Tracker[Bet %],"&lt;"&amp;$BG9,Tracker[Bet Type],BX$1))/COUNTIFS(Tracker[Bet %],"&gt;="&amp;$BG8,Tracker[Bet %],"&lt;"&amp;$BG9,Tracker[Bet Type],BX$1),2)&gt;0.05,"X",IF(ROUND((SUMIFS(Tracker[Net],Tracker[Bet %],"&gt;="&amp;$BG8,Tracker[Bet %],"&lt;"&amp;$BG9,Tracker[Bet Type],BX$1))/COUNTIFS(Tracker[Bet %],"&gt;="&amp;$BG8,Tracker[Bet %],"&lt;"&amp;$BG9,Tracker[Bet Type],BX$1),2)&lt;-0.15,"O","")),"")</f>
        <v>O</v>
      </c>
      <c r="BY8" s="24" t="str">
        <f>IFERROR(IF(ROUND((SUMIFS(Tracker[Net],Tracker[Bet %],"&gt;="&amp;$BG8,Tracker[Bet %],"&lt;"&amp;$BG9,Tracker[Bet Type],BY$1))/COUNTIFS(Tracker[Bet %],"&gt;="&amp;$BG8,Tracker[Bet %],"&lt;"&amp;$BG9,Tracker[Bet Type],BY$1),2)&gt;0.05,"X",IF(ROUND((SUMIFS(Tracker[Net],Tracker[Bet %],"&gt;="&amp;$BG8,Tracker[Bet %],"&lt;"&amp;$BG9,Tracker[Bet Type],BY$1))/COUNTIFS(Tracker[Bet %],"&gt;="&amp;$BG8,Tracker[Bet %],"&lt;"&amp;$BG9,Tracker[Bet Type],BY$1),2)&lt;-0.15,"O","")),"")</f>
        <v>X</v>
      </c>
      <c r="BZ8" s="24" t="str">
        <f>IFERROR(IF(ROUND((SUMIFS(Tracker[Net],Tracker[Bet %],"&gt;="&amp;$BG8,Tracker[Bet %],"&lt;"&amp;$BG9,Tracker[Bet Type],BZ$1))/COUNTIFS(Tracker[Bet %],"&gt;="&amp;$BG8,Tracker[Bet %],"&lt;"&amp;$BG9,Tracker[Bet Type],BZ$1),2)&gt;0.05,"X",IF(ROUND((SUMIFS(Tracker[Net],Tracker[Bet %],"&gt;="&amp;$BG8,Tracker[Bet %],"&lt;"&amp;$BG9,Tracker[Bet Type],BZ$1))/COUNTIFS(Tracker[Bet %],"&gt;="&amp;$BG8,Tracker[Bet %],"&lt;"&amp;$BG9,Tracker[Bet Type],BZ$1),2)&lt;-0.15,"O","")),"")</f>
        <v/>
      </c>
      <c r="CA8" s="24" t="str">
        <f>IFERROR(IF(ROUND((SUMIFS(Tracker[Net],Tracker[Bet %],"&gt;="&amp;$BG8,Tracker[Bet %],"&lt;"&amp;$BG9,Tracker[Bet Type],CA$1))/COUNTIFS(Tracker[Bet %],"&gt;="&amp;$BG8,Tracker[Bet %],"&lt;"&amp;$BG9,Tracker[Bet Type],CA$1),2)&gt;0.05,"X",IF(ROUND((SUMIFS(Tracker[Net],Tracker[Bet %],"&gt;="&amp;$BG8,Tracker[Bet %],"&lt;"&amp;$BG9,Tracker[Bet Type],CA$1))/COUNTIFS(Tracker[Bet %],"&gt;="&amp;$BG8,Tracker[Bet %],"&lt;"&amp;$BG9,Tracker[Bet Type],CA$1),2)&lt;-0.15,"O","")),"")</f>
        <v>X</v>
      </c>
      <c r="CB8" s="24" t="str">
        <f>IFERROR(IF(ROUND((SUMIFS(Tracker[Net],Tracker[Bet %],"&gt;="&amp;$BG8,Tracker[Bet %],"&lt;"&amp;$BG9,Tracker[Bet Type Drill Down],CB$1))/COUNTIFS(Tracker[Bet %],"&gt;="&amp;$BG8,Tracker[Bet %],"&lt;"&amp;$BG9,Tracker[Bet Type Drill Down],CB$1),2)&gt;0.05,"X",IF(ROUND((SUMIFS(Tracker[Net],Tracker[Bet %],"&gt;="&amp;$BG8,Tracker[Bet %],"&lt;"&amp;$BG9,Tracker[Bet Type Drill Down],CB$1))/COUNTIFS(Tracker[Bet %],"&gt;="&amp;$BG8,Tracker[Bet %],"&lt;"&amp;$BG9,Tracker[Bet Type Drill Down],CB$1),2)&lt;-0.15,"O","")),"")</f>
        <v>X</v>
      </c>
      <c r="CC8" s="24" t="str">
        <f>IFERROR(IF(ROUND((SUMIFS(Tracker[Net],Tracker[Bet %],"&gt;="&amp;$BG8,Tracker[Bet %],"&lt;"&amp;$BG9,Tracker[Bet Type Drill Down],CC$1))/COUNTIFS(Tracker[Bet %],"&gt;="&amp;$BG8,Tracker[Bet %],"&lt;"&amp;$BG9,Tracker[Bet Type Drill Down],CC$1),2)&gt;0.05,"X",IF(ROUND((SUMIFS(Tracker[Net],Tracker[Bet %],"&gt;="&amp;$BG8,Tracker[Bet %],"&lt;"&amp;$BG9,Tracker[Bet Type Drill Down],CC$1))/COUNTIFS(Tracker[Bet %],"&gt;="&amp;$BG8,Tracker[Bet %],"&lt;"&amp;$BG9,Tracker[Bet Type Drill Down],CC$1),2)&lt;-0.15,"O","")),"")</f>
        <v>O</v>
      </c>
      <c r="CD8" s="24" t="str">
        <f>IFERROR(IF(ROUND((SUMIFS(Tracker[Net],Tracker[Bet %],"&gt;="&amp;$BG8,Tracker[Bet %],"&lt;"&amp;$BG9,Tracker[Bet Type Drill Down],CD$1))/COUNTIFS(Tracker[Bet %],"&gt;="&amp;$BG8,Tracker[Bet %],"&lt;"&amp;$BG9,Tracker[Bet Type Drill Down],CD$1),2)&gt;0.05,"X",IF(ROUND((SUMIFS(Tracker[Net],Tracker[Bet %],"&gt;="&amp;$BG8,Tracker[Bet %],"&lt;"&amp;$BG9,Tracker[Bet Type Drill Down],CD$1))/COUNTIFS(Tracker[Bet %],"&gt;="&amp;$BG8,Tracker[Bet %],"&lt;"&amp;$BG9,Tracker[Bet Type Drill Down],CD$1),2)&lt;-0.15,"O","")),"")</f>
        <v/>
      </c>
      <c r="CE8" s="24" t="str">
        <f>IFERROR(IF(ROUND((SUMIFS(Tracker[Net],Tracker[Bet %],"&gt;="&amp;$BG8,Tracker[Bet %],"&lt;"&amp;$BG9,Tracker[Bet Type Drill Down],CE$1))/COUNTIFS(Tracker[Bet %],"&gt;="&amp;$BG8,Tracker[Bet %],"&lt;"&amp;$BG9,Tracker[Bet Type Drill Down],CE$1),2)&gt;0.05,"X",IF(ROUND((SUMIFS(Tracker[Net],Tracker[Bet %],"&gt;="&amp;$BG8,Tracker[Bet %],"&lt;"&amp;$BG9,Tracker[Bet Type Drill Down],CE$1))/COUNTIFS(Tracker[Bet %],"&gt;="&amp;$BG8,Tracker[Bet %],"&lt;"&amp;$BG9,Tracker[Bet Type Drill Down],CE$1),2)&lt;-0.15,"O","")),"")</f>
        <v/>
      </c>
    </row>
    <row r="9" spans="1:83" x14ac:dyDescent="0.25">
      <c r="A9" s="36">
        <f t="shared" si="9"/>
        <v>1</v>
      </c>
      <c r="B9" s="25">
        <v>43796</v>
      </c>
      <c r="C9" s="25" t="str">
        <f t="shared" si="7"/>
        <v>NBA</v>
      </c>
      <c r="D9" s="26" t="s">
        <v>781</v>
      </c>
      <c r="E9" s="27" t="s">
        <v>782</v>
      </c>
      <c r="F9" s="67">
        <v>0.56288547200647954</v>
      </c>
      <c r="G9" s="29">
        <v>-110</v>
      </c>
      <c r="H9" s="30" t="s">
        <v>56</v>
      </c>
      <c r="I9" s="44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9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9" s="32" t="str">
        <f>MID(Tracker[[#This Row],[Game]],SEARCH("@",Tracker[[#This Row],[Game]])+2,LEN(Tracker[[#This Row],[Game]]))</f>
        <v>Raptors</v>
      </c>
      <c r="L9" s="32" t="str">
        <f>LEFT(Tracker[[#This Row],[Game]],SEARCH("@",Tracker[[#This Row],[Game]])-2)</f>
        <v>Knicks</v>
      </c>
      <c r="M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9" s="123"/>
      <c r="O9" s="147"/>
      <c r="P9" s="147"/>
      <c r="Q9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9" s="147" t="e">
        <f>IF(AND(Tracker[[#This Row],[Money %]]&lt;&gt;"",Tracker[[#This Row],[Bet %]]&lt;&gt;""),Tracker[[#This Row],[Money %]]-Tracker[[#This Row],[Bet %]],NA())</f>
        <v>#N/A</v>
      </c>
      <c r="S9" s="109"/>
      <c r="T9" s="109"/>
      <c r="U9" s="56">
        <f>IFERROR(INDEX($A$4:$B10005,MATCH(ROW()-3,$A$4:$A$4:$A1005,0),2),0)</f>
        <v>43811</v>
      </c>
      <c r="V9" s="33" t="str">
        <f>COUNTIFS(Tracker[Date],U9,Tracker[Result],"W")&amp;"-"&amp;COUNTIFS(Tracker[Date],U9,Tracker[Result],"L")&amp;IF(COUNTIFS(Tracker[Date],U9,Tracker[Result],"Push")&gt;0,"-"&amp;COUNTIFS(Tracker[Date],U9,Tracker[Result],"Push"),"")</f>
        <v>3-3</v>
      </c>
      <c r="W9" s="34">
        <f>IFERROR(COUNTIFS(Tracker[Date],U9,Tracker[Result],"W")/(COUNTIFS(Tracker[Date],U9,Tracker[Result],"W")+COUNTIFS(Tracker[Date],U9,Tracker[Result],"L")),"")</f>
        <v>0.5</v>
      </c>
      <c r="X9" s="61">
        <f>SUMIF(Tracker[Date],U9,Tracker[Net])</f>
        <v>-0.27272727272727282</v>
      </c>
      <c r="Y9" s="35" t="str">
        <f>IFERROR("("&amp;ROUND(SUMIF(Tracker[Date],U9,Tracker[Net])/COUNTIF(Tracker[Date],U9),2)*100&amp;"%)","")</f>
        <v>(-5%)</v>
      </c>
      <c r="Z9" s="36" t="s">
        <v>254</v>
      </c>
      <c r="AA9" s="37" t="s">
        <v>255</v>
      </c>
      <c r="AB9" s="24" t="str">
        <f>IFERROR(COUNTIFS(Tracker[Bet Type],Z9,Tracker[Result],"W",Tracker[Confidence],"&gt;="&amp;$AB$2,Tracker[Confidence],"&lt;="&amp;$AC$2)&amp;"-"&amp;COUNTIFS(Tracker[Bet Type],Z9,Tracker[Result],"L",Tracker[Confidence],"&gt;="&amp;$AB$2,Tracker[Confidence],"&lt;="&amp;$AC$2)&amp;IF(COUNTIFS(Tracker[Bet Type],Z9,Tracker[Result],"Push",Tracker[Confidence],"&gt;="&amp;$AB$2,Tracker[Confidence],"&lt;="&amp;$AC$2)&gt;0,"-"&amp;COUNTIFS(Tracker[Bet Type],Z9,Tracker[Result],"Push",Tracker[Confidence],"&gt;="&amp;$AB$2,Tracker[Confidence],"&lt;="&amp;$AC$2),"")&amp;" ("&amp;ROUND(COUNTIFS(Tracker[Bet Type],Z9,Tracker[Result],"W",Tracker[Confidence],"&gt;="&amp;$AB$2,Tracker[Confidence],"&lt;="&amp;$AC$2)/(COUNTIFS(Tracker[Bet Type],Z9,Tracker[Result],"W",Tracker[Confidence],"&gt;="&amp;$AB$2,Tracker[Confidence],"&lt;="&amp;$AC$2)+COUNTIFS(Tracker[Bet Type],Z9,Tracker[Result],"L",Tracker[Confidence],"&gt;="&amp;$AB$2,Tracker[Confidence],"&lt;="&amp;$AC$2))*100,1)&amp;"%)","No Bets")</f>
        <v>No Bets</v>
      </c>
      <c r="AC9" s="64">
        <f>SUMIFS(Tracker[Net],Tracker[Bet Type],Z9,Tracker[Confidence],"&gt;="&amp;$AB$2,Tracker[Confidence],"&lt;="&amp;$AC$2)</f>
        <v>0</v>
      </c>
      <c r="AD9" s="38" t="str">
        <f>IFERROR("("&amp;ROUND((SUMIFS(Tracker[Net],Tracker[Bet Type],Z9,Tracker[Confidence],"&gt;="&amp;$AB$2,Tracker[Confidence],"&lt;="&amp;$AC$2))/COUNTIFS(Tracker[Bet Type],Z9,Tracker[Confidence],"&gt;="&amp;$AB$2,Tracker[Confidence],"&lt;="&amp;$AC$2),2)*100&amp;"%)","")</f>
        <v/>
      </c>
      <c r="AF9" s="36">
        <f t="shared" si="11"/>
        <v>0.3</v>
      </c>
      <c r="AG9" s="66" t="str">
        <f t="shared" si="0"/>
        <v>30-35%</v>
      </c>
      <c r="AH9" s="124" t="str">
        <f>IFERROR(COUNTIFS(Tracker[Cover %],"&gt;="&amp;AF9,Tracker[Cover %],"&lt;"&amp;AF10,Tracker[Result],"W")&amp;"-"&amp;COUNTIFS(Tracker[Cover %],"&gt;="&amp;AF9,Tracker[Cover %],"&lt;"&amp;AF10,Tracker[Result],"L")&amp;"-"&amp;COUNTIFS(Tracker[Cover %],"&gt;="&amp;AF9,Tracker[Cover %],"&lt;"&amp;AF10,Tracker[Result],"Push")&amp;" ("&amp;ROUND(COUNTIFS(Tracker[Cover %],"&gt;="&amp;AF9,Tracker[Cover %],"&lt;"&amp;AF10,Tracker[Result],"W")/(COUNTIFS(Tracker[Cover %],"&gt;="&amp;AF9,Tracker[Cover %],"&lt;"&amp;AF10,Tracker[Result],"L")+COUNTIFS(Tracker[Cover %],"&gt;="&amp;AF9,Tracker[Cover %],"&lt;"&amp;AF10,Tracker[Result],"W"))*100,2)&amp;"%)","No Bets")</f>
        <v>2-2-0 (50%)</v>
      </c>
      <c r="AI9" s="72">
        <f>SUMIFS(Tracker[Net],Tracker[Cover %],"&gt;="&amp;AF9,Tracker[Cover %],"&lt;"&amp;AF10)</f>
        <v>-0.18181818181818177</v>
      </c>
      <c r="AJ9" s="24" t="str">
        <f>IFERROR(IF(ROUND((SUMIFS(Tracker[Net],Tracker[Cover %],"&gt;="&amp;$AF9,Tracker[Cover %],"&lt;"&amp;$AF10,Tracker[Bet Type],AJ$2))/COUNTIFS(Tracker[Cover %],"&gt;="&amp;$AF9,Tracker[Cover %],"&lt;"&amp;$AF10,Tracker[Bet Type],AJ$2),2)&gt;0.05,"X",IF(ROUND((SUMIFS(Tracker[Net],Tracker[Cover %],"&gt;="&amp;$AF9,Tracker[Cover %],"&lt;"&amp;$AF10,Tracker[Bet Type],AJ$2))/COUNTIFS(Tracker[Cover %],"&gt;="&amp;$AF9,Tracker[Cover %],"&lt;"&amp;$AF10,Tracker[Bet Type],AJ$2),2)&lt;-0.15,"O","")),"")</f>
        <v/>
      </c>
      <c r="AK9" s="24" t="str">
        <f>IFERROR(IF(ROUND((SUMIFS(Tracker[Net],Tracker[Cover %],"&gt;="&amp;$AF9,Tracker[Cover %],"&lt;"&amp;$AF10,Tracker[Bet Type],AK$2))/COUNTIFS(Tracker[Cover %],"&gt;="&amp;$AF9,Tracker[Cover %],"&lt;"&amp;$AF10,Tracker[Bet Type],AK$2),2)&gt;0.05,"X",IF(ROUND((SUMIFS(Tracker[Net],Tracker[Cover %],"&gt;="&amp;$AF9,Tracker[Cover %],"&lt;"&amp;$AF10,Tracker[Bet Type],AK$2))/COUNTIFS(Tracker[Cover %],"&gt;="&amp;$AF9,Tracker[Cover %],"&lt;"&amp;$AF10,Tracker[Bet Type],AK$2),2)&lt;-0.15,"O","")),"")</f>
        <v>X</v>
      </c>
      <c r="AL9" s="24" t="str">
        <f>IFERROR(IF(ROUND((SUMIFS(Tracker[Net],Tracker[Cover %],"&gt;="&amp;$AF9,Tracker[Cover %],"&lt;"&amp;$AF10,Tracker[Bet Type],AL$2))/COUNTIFS(Tracker[Cover %],"&gt;="&amp;$AF9,Tracker[Cover %],"&lt;"&amp;$AF10,Tracker[Bet Type],AL$2),2)&gt;0.05,"X",IF(ROUND((SUMIFS(Tracker[Net],Tracker[Cover %],"&gt;="&amp;$AF9,Tracker[Cover %],"&lt;"&amp;$AF10,Tracker[Bet Type],AL$2))/COUNTIFS(Tracker[Cover %],"&gt;="&amp;$AF9,Tracker[Cover %],"&lt;"&amp;$AF10,Tracker[Bet Type],AL$2),2)&lt;-0.15,"O","")),"")</f>
        <v/>
      </c>
      <c r="AM9" s="24" t="str">
        <f>IFERROR(IF(ROUND((SUMIFS(Tracker[Net],Tracker[Cover %],"&gt;="&amp;$AF9,Tracker[Cover %],"&lt;"&amp;$AF10,Tracker[Bet Type],AM$2))/COUNTIFS(Tracker[Cover %],"&gt;="&amp;$AF9,Tracker[Cover %],"&lt;"&amp;$AF10,Tracker[Bet Type],AM$2),2)&gt;0.05,"X",IF(ROUND((SUMIFS(Tracker[Net],Tracker[Cover %],"&gt;="&amp;$AF9,Tracker[Cover %],"&lt;"&amp;$AF10,Tracker[Bet Type],AM$2))/COUNTIFS(Tracker[Cover %],"&gt;="&amp;$AF9,Tracker[Cover %],"&lt;"&amp;$AF10,Tracker[Bet Type],AM$2),2)&lt;-0.15,"O","")),"")</f>
        <v>O</v>
      </c>
      <c r="AN9" s="24" t="str">
        <f>IFERROR(IF(ROUND((SUMIFS(Tracker[Net],Tracker[Cover %],"&gt;="&amp;$AF9,Tracker[Cover %],"&lt;"&amp;$AF10,Tracker[Bet Type Drill Down],AN$2))/COUNTIFS(Tracker[Cover %],"&gt;="&amp;$AF9,Tracker[Cover %],"&lt;"&amp;$AF10,Tracker[Bet Type Drill Down],AN$2),2)&gt;0.05,"X",IF(ROUND((SUMIFS(Tracker[Net],Tracker[Cover %],"&gt;="&amp;$AF9,Tracker[Cover %],"&lt;"&amp;$AF10,Tracker[Bet Type Drill Down],AN$2))/COUNTIFS(Tracker[Cover %],"&gt;="&amp;$AF9,Tracker[Cover %],"&lt;"&amp;$AF10,Tracker[Bet Type Drill Down],AN$2),2)&lt;-0.15,"O","")),"")</f>
        <v>O</v>
      </c>
      <c r="AO9" s="24" t="str">
        <f>IFERROR(IF(ROUND((SUMIFS(Tracker[Net],Tracker[Cover %],"&gt;="&amp;$AF9,Tracker[Cover %],"&lt;"&amp;$AF10,Tracker[Bet Type Drill Down],AO$2))/COUNTIFS(Tracker[Cover %],"&gt;="&amp;$AF9,Tracker[Cover %],"&lt;"&amp;$AF10,Tracker[Bet Type Drill Down],AO$2),2)&gt;0.05,"X",IF(ROUND((SUMIFS(Tracker[Net],Tracker[Cover %],"&gt;="&amp;$AF9,Tracker[Cover %],"&lt;"&amp;$AF10,Tracker[Bet Type Drill Down],AO$2))/COUNTIFS(Tracker[Cover %],"&gt;="&amp;$AF9,Tracker[Cover %],"&lt;"&amp;$AF10,Tracker[Bet Type Drill Down],AO$2),2)&lt;-0.15,"O","")),"")</f>
        <v/>
      </c>
      <c r="AP9" s="24" t="str">
        <f>IFERROR(IF(ROUND((SUMIFS(Tracker[Net],Tracker[Cover %],"&gt;="&amp;$AF9,Tracker[Cover %],"&lt;"&amp;$AF10,Tracker[Bet Type Drill Down],AP$2))/COUNTIFS(Tracker[Cover %],"&gt;="&amp;$AF9,Tracker[Cover %],"&lt;"&amp;$AF10,Tracker[Bet Type Drill Down],AP$2),2)&gt;0.05,"X",IF(ROUND((SUMIFS(Tracker[Net],Tracker[Cover %],"&gt;="&amp;$AF9,Tracker[Cover %],"&lt;"&amp;$AF10,Tracker[Bet Type Drill Down],AP$2))/COUNTIFS(Tracker[Cover %],"&gt;="&amp;$AF9,Tracker[Cover %],"&lt;"&amp;$AF10,Tracker[Bet Type Drill Down],AP$2),2)&lt;-0.15,"O","")),"")</f>
        <v/>
      </c>
      <c r="AQ9" s="24" t="str">
        <f>IFERROR(IF(ROUND((SUMIFS(Tracker[Net],Tracker[Cover %],"&gt;="&amp;$AF9,Tracker[Cover %],"&lt;"&amp;$AF10,Tracker[Bet Type Drill Down],AQ$2))/COUNTIFS(Tracker[Cover %],"&gt;="&amp;$AF9,Tracker[Cover %],"&lt;"&amp;$AF10,Tracker[Bet Type Drill Down],AQ$2),2)&gt;0.05,"X",IF(ROUND((SUMIFS(Tracker[Net],Tracker[Cover %],"&gt;="&amp;$AF9,Tracker[Cover %],"&lt;"&amp;$AF10,Tracker[Bet Type Drill Down],AQ$2))/COUNTIFS(Tracker[Cover %],"&gt;="&amp;$AF9,Tracker[Cover %],"&lt;"&amp;$AF10,Tracker[Bet Type Drill Down],AQ$2),2)&lt;-0.15,"O","")),"")</f>
        <v/>
      </c>
      <c r="AT9" s="153">
        <f t="shared" si="1"/>
        <v>-0.64999999999999969</v>
      </c>
      <c r="AU9" s="39" t="str">
        <f t="shared" si="2"/>
        <v>-65  to  -60%</v>
      </c>
      <c r="AV9" t="str">
        <f>IFERROR(COUNTIFS(Tracker[Money Discrepency],"&gt;="&amp;AT9,Tracker[Money Discrepency],"&lt;"&amp;AT10,Tracker[Result],"W")&amp;"-"&amp;COUNTIFS(Tracker[Money Discrepency],"&gt;="&amp;AT9,Tracker[Money Discrepency],"&lt;"&amp;AT10,Tracker[Result],"L")&amp;"-"&amp;COUNTIFS(Tracker[Money Discrepency],"&gt;="&amp;AT9,Tracker[Money Discrepency],"&lt;"&amp;AT10,Tracker[Result],"Push")&amp;" ("&amp;ROUND(COUNTIFS(Tracker[Money Discrepency],"&gt;="&amp;AT9,Tracker[Money Discrepency],"&lt;"&amp;AT10,Tracker[Result],"W")/(COUNTIFS(Tracker[Money Discrepency],"&gt;="&amp;AT9,Tracker[Money Discrepency],"&lt;"&amp;AT10,Tracker[Result],"L")+COUNTIFS(Tracker[Money Discrepency],"&gt;="&amp;AT9,Tracker[Money Discrepency],"&lt;"&amp;AT10,Tracker[Result],"W"))*100,2)&amp;"%)","No Bets")</f>
        <v>No Bets</v>
      </c>
      <c r="AW9">
        <f>SUMIFS(Tracker[Net],Tracker[Money Discrepency],"&gt;="&amp;AT9,Tracker[Money Discrepency],"&lt;"&amp;AT10)</f>
        <v>0</v>
      </c>
      <c r="AX9" s="24" t="str">
        <f>IFERROR(IF(ROUND((SUMIFS(Tracker[Net],Tracker[Money Discrepency],"&gt;="&amp;$AT9,Tracker[Money Discrepency],"&lt;"&amp;$AT10,Tracker[Bet Type],AX$1))/COUNTIFS(Tracker[Money Discrepency],"&gt;="&amp;$AT9,Tracker[Money Discrepency],"&lt;"&amp;$AT10,Tracker[Bet Type],AX$1),2)&gt;0.05,"X",IF(ROUND((SUMIFS(Tracker[Net],Tracker[Money Discrepency],"&gt;="&amp;$AT9,Tracker[Money Discrepency],"&lt;"&amp;$AT10,Tracker[Bet Type],AX$1))/COUNTIFS(Tracker[Money Discrepency],"&gt;="&amp;$AT9,Tracker[Money Discrepency],"&lt;"&amp;$AT10,Tracker[Bet Type],AX$1),2)&lt;-0.15,"O","")),"")</f>
        <v/>
      </c>
      <c r="AY9" s="24" t="str">
        <f>IFERROR(IF(ROUND((SUMIFS(Tracker[Net],Tracker[Money Discrepency],"&gt;="&amp;$AT9,Tracker[Money Discrepency],"&lt;"&amp;$AT10,Tracker[Bet Type],AY$1))/COUNTIFS(Tracker[Money Discrepency],"&gt;="&amp;$AT9,Tracker[Money Discrepency],"&lt;"&amp;$AT10,Tracker[Bet Type],AY$1),2)&gt;0.05,"X",IF(ROUND((SUMIFS(Tracker[Net],Tracker[Money Discrepency],"&gt;="&amp;$AT9,Tracker[Money Discrepency],"&lt;"&amp;$AT10,Tracker[Bet Type],AY$1))/COUNTIFS(Tracker[Money Discrepency],"&gt;="&amp;$AT9,Tracker[Money Discrepency],"&lt;"&amp;$AT10,Tracker[Bet Type],AY$1),2)&lt;-0.15,"O","")),"")</f>
        <v/>
      </c>
      <c r="AZ9" s="24" t="str">
        <f>IFERROR(IF(ROUND((SUMIFS(Tracker[Net],Tracker[Money Discrepency],"&gt;="&amp;$AT9,Tracker[Money Discrepency],"&lt;"&amp;$AT10,Tracker[Bet Type],AZ$1))/COUNTIFS(Tracker[Money Discrepency],"&gt;="&amp;$AT9,Tracker[Money Discrepency],"&lt;"&amp;$AT10,Tracker[Bet Type],AZ$1),2)&gt;0.05,"X",IF(ROUND((SUMIFS(Tracker[Net],Tracker[Money Discrepency],"&gt;="&amp;$AT9,Tracker[Money Discrepency],"&lt;"&amp;$AT10,Tracker[Bet Type],AZ$1))/COUNTIFS(Tracker[Money Discrepency],"&gt;="&amp;$AT9,Tracker[Money Discrepency],"&lt;"&amp;$AT10,Tracker[Bet Type],AZ$1),2)&lt;-0.15,"O","")),"")</f>
        <v/>
      </c>
      <c r="BA9" s="24" t="str">
        <f>IFERROR(IF(ROUND((SUMIFS(Tracker[Net],Tracker[Money Discrepency],"&gt;="&amp;$AT9,Tracker[Money Discrepency],"&lt;"&amp;$AT10,Tracker[Bet Type],BA$1))/COUNTIFS(Tracker[Money Discrepency],"&gt;="&amp;$AT9,Tracker[Money Discrepency],"&lt;"&amp;$AT10,Tracker[Bet Type],BA$1),2)&gt;0.05,"X",IF(ROUND((SUMIFS(Tracker[Net],Tracker[Money Discrepency],"&gt;="&amp;$AT9,Tracker[Money Discrepency],"&lt;"&amp;$AT10,Tracker[Bet Type],BA$1))/COUNTIFS(Tracker[Money Discrepency],"&gt;="&amp;$AT9,Tracker[Money Discrepency],"&lt;"&amp;$AT10,Tracker[Bet Type],BA$1),2)&lt;-0.15,"O","")),"")</f>
        <v/>
      </c>
      <c r="BB9" s="24" t="str">
        <f>IFERROR(IF(ROUND((SUMIFS(Tracker[Net],Tracker[Money Discrepency],"&gt;="&amp;$AT9,Tracker[Money Discrepency],"&lt;"&amp;$AT10,Tracker[Bet Type Drill Down],BB$1))/COUNTIFS(Tracker[Money Discrepency],"&gt;="&amp;$AT9,Tracker[Money Discrepency],"&lt;"&amp;$AT10,Tracker[Bet Type Drill Down],BB$1),2)&gt;0.05,"X",IF(ROUND((SUMIFS(Tracker[Net],Tracker[Money Discrepency],"&gt;="&amp;$AT9,Tracker[Money Discrepency],"&lt;"&amp;$AT10,Tracker[Bet Type Drill Down],BB$1))/COUNTIFS(Tracker[Money Discrepency],"&gt;="&amp;$AT9,Tracker[Money Discrepency],"&lt;"&amp;$AT10,Tracker[Bet Type Drill Down],BB$1),2)&lt;-0.15,"O","")),"")</f>
        <v/>
      </c>
      <c r="BC9" s="24" t="str">
        <f>IFERROR(IF(ROUND((SUMIFS(Tracker[Net],Tracker[Money Discrepency],"&gt;="&amp;$AT9,Tracker[Money Discrepency],"&lt;"&amp;$AT10,Tracker[Bet Type Drill Down],BC$1))/COUNTIFS(Tracker[Money Discrepency],"&gt;="&amp;$AT9,Tracker[Money Discrepency],"&lt;"&amp;$AT10,Tracker[Bet Type Drill Down],BC$1),2)&gt;0.05,"X",IF(ROUND((SUMIFS(Tracker[Net],Tracker[Money Discrepency],"&gt;="&amp;$AT9,Tracker[Money Discrepency],"&lt;"&amp;$AT10,Tracker[Bet Type Drill Down],BC$1))/COUNTIFS(Tracker[Money Discrepency],"&gt;="&amp;$AT9,Tracker[Money Discrepency],"&lt;"&amp;$AT10,Tracker[Bet Type Drill Down],BC$1),2)&lt;-0.15,"O","")),"")</f>
        <v/>
      </c>
      <c r="BD9" s="24" t="str">
        <f>IFERROR(IF(ROUND((SUMIFS(Tracker[Net],Tracker[Money Discrepency],"&gt;="&amp;$AT9,Tracker[Money Discrepency],"&lt;"&amp;$AT10,Tracker[Bet Type Drill Down],BD$1))/COUNTIFS(Tracker[Money Discrepency],"&gt;="&amp;$AT9,Tracker[Money Discrepency],"&lt;"&amp;$AT10,Tracker[Bet Type Drill Down],BD$1),2)&gt;0.05,"X",IF(ROUND((SUMIFS(Tracker[Net],Tracker[Money Discrepency],"&gt;="&amp;$AT9,Tracker[Money Discrepency],"&lt;"&amp;$AT10,Tracker[Bet Type Drill Down],BD$1))/COUNTIFS(Tracker[Money Discrepency],"&gt;="&amp;$AT9,Tracker[Money Discrepency],"&lt;"&amp;$AT10,Tracker[Bet Type Drill Down],BD$1),2)&lt;-0.15,"O","")),"")</f>
        <v/>
      </c>
      <c r="BE9" s="24" t="str">
        <f>IFERROR(IF(ROUND((SUMIFS(Tracker[Net],Tracker[Money Discrepency],"&gt;="&amp;$AT9,Tracker[Money Discrepency],"&lt;"&amp;$AT10,Tracker[Bet Type Drill Down],BE$1))/COUNTIFS(Tracker[Money Discrepency],"&gt;="&amp;$AT9,Tracker[Money Discrepency],"&lt;"&amp;$AT10,Tracker[Bet Type Drill Down],BE$1),2)&gt;0.05,"X",IF(ROUND((SUMIFS(Tracker[Net],Tracker[Money Discrepency],"&gt;="&amp;$AT9,Tracker[Money Discrepency],"&lt;"&amp;$AT10,Tracker[Bet Type Drill Down],BE$1))/COUNTIFS(Tracker[Money Discrepency],"&gt;="&amp;$AT9,Tracker[Money Discrepency],"&lt;"&amp;$AT10,Tracker[Bet Type Drill Down],BE$1),2)&lt;-0.15,"O","")),"")</f>
        <v/>
      </c>
      <c r="BG9" s="153">
        <f t="shared" si="3"/>
        <v>0.35</v>
      </c>
      <c r="BH9" s="154" t="str">
        <f t="shared" si="4"/>
        <v>35  to  40%</v>
      </c>
      <c r="BI9" t="str">
        <f>IFERROR(COUNTIFS(Tracker[Money %],"&gt;="&amp;BG9,Tracker[Money %],"&lt;"&amp;BG10,Tracker[Result],"W")&amp;"-"&amp;COUNTIFS(Tracker[Money %],"&gt;="&amp;BG9,Tracker[Money %],"&lt;"&amp;BG10,Tracker[Result],"L")&amp;"-"&amp;COUNTIFS(Tracker[Money %],"&gt;="&amp;BG9,Tracker[Money %],"&lt;"&amp;BG10,Tracker[Result],"Push")&amp;" ("&amp;ROUND(COUNTIFS(Tracker[Money %],"&gt;="&amp;BG9,Tracker[Money %],"&lt;"&amp;BG10,Tracker[Result],"W")/(COUNTIFS(Tracker[Money %],"&gt;="&amp;BG9,Tracker[Money %],"&lt;"&amp;BG10,Tracker[Result],"L")+COUNTIFS(Tracker[Money %],"&gt;="&amp;BG9,Tracker[Money %],"&lt;"&amp;BG10,Tracker[Result],"W"))*100,2)&amp;"%)","No Bets")</f>
        <v>6-7-0 (46.15%)</v>
      </c>
      <c r="BJ9">
        <f>SUMIFS(Tracker[Net],Tracker[Money %],"&gt;="&amp;BG9,Tracker[Money %],"&lt;"&amp;BG10)</f>
        <v>-1.545454545454545</v>
      </c>
      <c r="BK9" s="24" t="str">
        <f>IFERROR(IF(ROUND((SUMIFS(Tracker[Net],Tracker[Money %],"&gt;="&amp;$BG9,Tracker[Money %],"&lt;"&amp;$BG10,Tracker[Bet Type],BK$1))/COUNTIFS(Tracker[Money %],"&gt;="&amp;$BG9,Tracker[Money %],"&lt;"&amp;$BG10,Tracker[Bet Type],BK$1),2)&gt;0.05,"X",IF(ROUND((SUMIFS(Tracker[Net],Tracker[Money %],"&gt;="&amp;$BG9,Tracker[Money %],"&lt;"&amp;$BG10,Tracker[Bet Type],BK$1))/COUNTIFS(Tracker[Money %],"&gt;="&amp;$BG9,Tracker[Money %],"&lt;"&amp;$BG10,Tracker[Bet Type],BK$1),2)&lt;-0.15,"O","")),"")</f>
        <v>O</v>
      </c>
      <c r="BL9" s="24" t="str">
        <f>IFERROR(IF(ROUND((SUMIFS(Tracker[Net],Tracker[Money %],"&gt;="&amp;$BG9,Tracker[Money %],"&lt;"&amp;$BG10,Tracker[Bet Type],BL$1))/COUNTIFS(Tracker[Money %],"&gt;="&amp;$BG9,Tracker[Money %],"&lt;"&amp;$BG10,Tracker[Bet Type],BL$1),2)&gt;0.05,"X",IF(ROUND((SUMIFS(Tracker[Net],Tracker[Money %],"&gt;="&amp;$BG9,Tracker[Money %],"&lt;"&amp;$BG10,Tracker[Bet Type],BL$1))/COUNTIFS(Tracker[Money %],"&gt;="&amp;$BG9,Tracker[Money %],"&lt;"&amp;$BG10,Tracker[Bet Type],BL$1),2)&lt;-0.15,"O","")),"")</f>
        <v>X</v>
      </c>
      <c r="BM9" s="24" t="str">
        <f>IFERROR(IF(ROUND((SUMIFS(Tracker[Net],Tracker[Money %],"&gt;="&amp;$BG9,Tracker[Money %],"&lt;"&amp;$BG10,Tracker[Bet Type],BM$1))/COUNTIFS(Tracker[Money %],"&gt;="&amp;$BG9,Tracker[Money %],"&lt;"&amp;$BG10,Tracker[Bet Type],BM$1),2)&gt;0.05,"X",IF(ROUND((SUMIFS(Tracker[Net],Tracker[Money %],"&gt;="&amp;$BG9,Tracker[Money %],"&lt;"&amp;$BG10,Tracker[Bet Type],BM$1))/COUNTIFS(Tracker[Money %],"&gt;="&amp;$BG9,Tracker[Money %],"&lt;"&amp;$BG10,Tracker[Bet Type],BM$1),2)&lt;-0.15,"O","")),"")</f>
        <v>O</v>
      </c>
      <c r="BN9" s="24" t="str">
        <f>IFERROR(IF(ROUND((SUMIFS(Tracker[Net],Tracker[Money %],"&gt;="&amp;$BG9,Tracker[Money %],"&lt;"&amp;$BG10,Tracker[Bet Type],BN$1))/COUNTIFS(Tracker[Money %],"&gt;="&amp;$BG9,Tracker[Money %],"&lt;"&amp;$BG10,Tracker[Bet Type],BN$1),2)&gt;0.05,"X",IF(ROUND((SUMIFS(Tracker[Net],Tracker[Money %],"&gt;="&amp;$BG9,Tracker[Money %],"&lt;"&amp;$BG10,Tracker[Bet Type],BN$1))/COUNTIFS(Tracker[Money %],"&gt;="&amp;$BG9,Tracker[Money %],"&lt;"&amp;$BG10,Tracker[Bet Type],BN$1),2)&lt;-0.15,"O","")),"")</f>
        <v/>
      </c>
      <c r="BO9" s="24" t="str">
        <f>IFERROR(IF(ROUND((SUMIFS(Tracker[Net],Tracker[Money %],"&gt;="&amp;$BG9,Tracker[Money %],"&lt;"&amp;$BG10,Tracker[Bet Type Drill Down],BO$1))/COUNTIFS(Tracker[Money %],"&gt;="&amp;$BG9,Tracker[Money %],"&lt;"&amp;$BG10,Tracker[Bet Type Drill Down],BO$1),2)&gt;0.05,"X",IF(ROUND((SUMIFS(Tracker[Net],Tracker[Money %],"&gt;="&amp;$BG9,Tracker[Money %],"&lt;"&amp;$BG10,Tracker[Bet Type Drill Down],BO$1))/COUNTIFS(Tracker[Money %],"&gt;="&amp;$BG9,Tracker[Money %],"&lt;"&amp;$BG10,Tracker[Bet Type Drill Down],BO$1),2)&lt;-0.15,"O","")),"")</f>
        <v/>
      </c>
      <c r="BP9" s="24" t="str">
        <f>IFERROR(IF(ROUND((SUMIFS(Tracker[Net],Tracker[Money %],"&gt;="&amp;$BG9,Tracker[Money %],"&lt;"&amp;$BG10,Tracker[Bet Type Drill Down],BP$1))/COUNTIFS(Tracker[Money %],"&gt;="&amp;$BG9,Tracker[Money %],"&lt;"&amp;$BG10,Tracker[Bet Type Drill Down],BP$1),2)&gt;0.05,"X",IF(ROUND((SUMIFS(Tracker[Net],Tracker[Money %],"&gt;="&amp;$BG9,Tracker[Money %],"&lt;"&amp;$BG10,Tracker[Bet Type Drill Down],BP$1))/COUNTIFS(Tracker[Money %],"&gt;="&amp;$BG9,Tracker[Money %],"&lt;"&amp;$BG10,Tracker[Bet Type Drill Down],BP$1),2)&lt;-0.15,"O","")),"")</f>
        <v/>
      </c>
      <c r="BQ9" s="24" t="str">
        <f>IFERROR(IF(ROUND((SUMIFS(Tracker[Net],Tracker[Money %],"&gt;="&amp;$BG9,Tracker[Money %],"&lt;"&amp;$BG10,Tracker[Bet Type Drill Down],BQ$1))/COUNTIFS(Tracker[Money %],"&gt;="&amp;$BG9,Tracker[Money %],"&lt;"&amp;$BG10,Tracker[Bet Type Drill Down],BQ$1),2)&gt;0.05,"X",IF(ROUND((SUMIFS(Tracker[Net],Tracker[Money %],"&gt;="&amp;$BG9,Tracker[Money %],"&lt;"&amp;$BG10,Tracker[Bet Type Drill Down],BQ$1))/COUNTIFS(Tracker[Money %],"&gt;="&amp;$BG9,Tracker[Money %],"&lt;"&amp;$BG10,Tracker[Bet Type Drill Down],BQ$1),2)&lt;-0.15,"O","")),"")</f>
        <v>O</v>
      </c>
      <c r="BR9" s="24" t="str">
        <f>IFERROR(IF(ROUND((SUMIFS(Tracker[Net],Tracker[Money %],"&gt;="&amp;$BG9,Tracker[Money %],"&lt;"&amp;$BG10,Tracker[Bet Type Drill Down],BR$1))/COUNTIFS(Tracker[Money %],"&gt;="&amp;$BG9,Tracker[Money %],"&lt;"&amp;$BG10,Tracker[Bet Type Drill Down],BR$1),2)&gt;0.05,"X",IF(ROUND((SUMIFS(Tracker[Net],Tracker[Money %],"&gt;="&amp;$BG9,Tracker[Money %],"&lt;"&amp;$BG10,Tracker[Bet Type Drill Down],BR$1))/COUNTIFS(Tracker[Money %],"&gt;="&amp;$BG9,Tracker[Money %],"&lt;"&amp;$BG10,Tracker[Bet Type Drill Down],BR$1),2)&lt;-0.15,"O","")),"")</f>
        <v>O</v>
      </c>
      <c r="BT9" s="153">
        <f t="shared" si="5"/>
        <v>0.35</v>
      </c>
      <c r="BU9" s="154" t="str">
        <f t="shared" ref="BU9" si="15">ROUND(BT9*100,0)&amp;"  to  "&amp;ROUND(BT10*100,0)&amp;"%"</f>
        <v>35  to  40%</v>
      </c>
      <c r="BV9" t="str">
        <f>IFERROR(COUNTIFS(Tracker[Bet %],"&gt;="&amp;BT9,Tracker[Bet %],"&lt;"&amp;BT10,Tracker[Result],"W")&amp;"-"&amp;COUNTIFS(Tracker[Bet %],"&gt;="&amp;BT9,Tracker[Bet %],"&lt;"&amp;BT10,Tracker[Result],"L")&amp;"-"&amp;COUNTIFS(Tracker[Bet %],"&gt;="&amp;BT9,Tracker[Bet %],"&lt;"&amp;BT10,Tracker[Result],"Push")&amp;" ("&amp;ROUND(COUNTIFS(Tracker[Bet %],"&gt;="&amp;BT9,Tracker[Bet %],"&lt;"&amp;BT10,Tracker[Result],"W")/(COUNTIFS(Tracker[Bet %],"&gt;="&amp;BT9,Tracker[Bet %],"&lt;"&amp;BT10,Tracker[Result],"L")+COUNTIFS(Tracker[Bet %],"&gt;="&amp;BT9,Tracker[Bet %],"&lt;"&amp;BT10,Tracker[Result],"W"))*100,2)&amp;"%)","No Bets")</f>
        <v>7-9-0 (43.75%)</v>
      </c>
      <c r="BW9">
        <f>SUMIFS(Tracker[Net],Tracker[Bet %],"&gt;="&amp;BT9,Tracker[Bet %],"&lt;"&amp;BT10)</f>
        <v>-2.6363636363636358</v>
      </c>
      <c r="BX9" s="24" t="str">
        <f>IFERROR(IF(ROUND((SUMIFS(Tracker[Net],Tracker[Bet %],"&gt;="&amp;$BG9,Tracker[Bet %],"&lt;"&amp;$BG10,Tracker[Bet Type],BX$1))/COUNTIFS(Tracker[Bet %],"&gt;="&amp;$BG9,Tracker[Bet %],"&lt;"&amp;$BG10,Tracker[Bet Type],BX$1),2)&gt;0.05,"X",IF(ROUND((SUMIFS(Tracker[Net],Tracker[Bet %],"&gt;="&amp;$BG9,Tracker[Bet %],"&lt;"&amp;$BG10,Tracker[Bet Type],BX$1))/COUNTIFS(Tracker[Bet %],"&gt;="&amp;$BG9,Tracker[Bet %],"&lt;"&amp;$BG10,Tracker[Bet Type],BX$1),2)&lt;-0.15,"O","")),"")</f>
        <v/>
      </c>
      <c r="BY9" s="24" t="str">
        <f>IFERROR(IF(ROUND((SUMIFS(Tracker[Net],Tracker[Bet %],"&gt;="&amp;$BG9,Tracker[Bet %],"&lt;"&amp;$BG10,Tracker[Bet Type],BY$1))/COUNTIFS(Tracker[Bet %],"&gt;="&amp;$BG9,Tracker[Bet %],"&lt;"&amp;$BG10,Tracker[Bet Type],BY$1),2)&gt;0.05,"X",IF(ROUND((SUMIFS(Tracker[Net],Tracker[Bet %],"&gt;="&amp;$BG9,Tracker[Bet %],"&lt;"&amp;$BG10,Tracker[Bet Type],BY$1))/COUNTIFS(Tracker[Bet %],"&gt;="&amp;$BG9,Tracker[Bet %],"&lt;"&amp;$BG10,Tracker[Bet Type],BY$1),2)&lt;-0.15,"O","")),"")</f>
        <v>X</v>
      </c>
      <c r="BZ9" s="24" t="str">
        <f>IFERROR(IF(ROUND((SUMIFS(Tracker[Net],Tracker[Bet %],"&gt;="&amp;$BG9,Tracker[Bet %],"&lt;"&amp;$BG10,Tracker[Bet Type],BZ$1))/COUNTIFS(Tracker[Bet %],"&gt;="&amp;$BG9,Tracker[Bet %],"&lt;"&amp;$BG10,Tracker[Bet Type],BZ$1),2)&gt;0.05,"X",IF(ROUND((SUMIFS(Tracker[Net],Tracker[Bet %],"&gt;="&amp;$BG9,Tracker[Bet %],"&lt;"&amp;$BG10,Tracker[Bet Type],BZ$1))/COUNTIFS(Tracker[Bet %],"&gt;="&amp;$BG9,Tracker[Bet %],"&lt;"&amp;$BG10,Tracker[Bet Type],BZ$1),2)&lt;-0.15,"O","")),"")</f>
        <v/>
      </c>
      <c r="CA9" s="24" t="str">
        <f>IFERROR(IF(ROUND((SUMIFS(Tracker[Net],Tracker[Bet %],"&gt;="&amp;$BG9,Tracker[Bet %],"&lt;"&amp;$BG10,Tracker[Bet Type],CA$1))/COUNTIFS(Tracker[Bet %],"&gt;="&amp;$BG9,Tracker[Bet %],"&lt;"&amp;$BG10,Tracker[Bet Type],CA$1),2)&gt;0.05,"X",IF(ROUND((SUMIFS(Tracker[Net],Tracker[Bet %],"&gt;="&amp;$BG9,Tracker[Bet %],"&lt;"&amp;$BG10,Tracker[Bet Type],CA$1))/COUNTIFS(Tracker[Bet %],"&gt;="&amp;$BG9,Tracker[Bet %],"&lt;"&amp;$BG10,Tracker[Bet Type],CA$1),2)&lt;-0.15,"O","")),"")</f>
        <v>O</v>
      </c>
      <c r="CB9" s="24" t="str">
        <f>IFERROR(IF(ROUND((SUMIFS(Tracker[Net],Tracker[Bet %],"&gt;="&amp;$BG9,Tracker[Bet %],"&lt;"&amp;$BG10,Tracker[Bet Type Drill Down],CB$1))/COUNTIFS(Tracker[Bet %],"&gt;="&amp;$BG9,Tracker[Bet %],"&lt;"&amp;$BG10,Tracker[Bet Type Drill Down],CB$1),2)&gt;0.05,"X",IF(ROUND((SUMIFS(Tracker[Net],Tracker[Bet %],"&gt;="&amp;$BG9,Tracker[Bet %],"&lt;"&amp;$BG10,Tracker[Bet Type Drill Down],CB$1))/COUNTIFS(Tracker[Bet %],"&gt;="&amp;$BG9,Tracker[Bet %],"&lt;"&amp;$BG10,Tracker[Bet Type Drill Down],CB$1),2)&lt;-0.15,"O","")),"")</f>
        <v>O</v>
      </c>
      <c r="CC9" s="24" t="str">
        <f>IFERROR(IF(ROUND((SUMIFS(Tracker[Net],Tracker[Bet %],"&gt;="&amp;$BG9,Tracker[Bet %],"&lt;"&amp;$BG10,Tracker[Bet Type Drill Down],CC$1))/COUNTIFS(Tracker[Bet %],"&gt;="&amp;$BG9,Tracker[Bet %],"&lt;"&amp;$BG10,Tracker[Bet Type Drill Down],CC$1),2)&gt;0.05,"X",IF(ROUND((SUMIFS(Tracker[Net],Tracker[Bet %],"&gt;="&amp;$BG9,Tracker[Bet %],"&lt;"&amp;$BG10,Tracker[Bet Type Drill Down],CC$1))/COUNTIFS(Tracker[Bet %],"&gt;="&amp;$BG9,Tracker[Bet %],"&lt;"&amp;$BG10,Tracker[Bet Type Drill Down],CC$1),2)&lt;-0.15,"O","")),"")</f>
        <v>X</v>
      </c>
      <c r="CD9" s="24" t="str">
        <f>IFERROR(IF(ROUND((SUMIFS(Tracker[Net],Tracker[Bet %],"&gt;="&amp;$BG9,Tracker[Bet %],"&lt;"&amp;$BG10,Tracker[Bet Type Drill Down],CD$1))/COUNTIFS(Tracker[Bet %],"&gt;="&amp;$BG9,Tracker[Bet %],"&lt;"&amp;$BG10,Tracker[Bet Type Drill Down],CD$1),2)&gt;0.05,"X",IF(ROUND((SUMIFS(Tracker[Net],Tracker[Bet %],"&gt;="&amp;$BG9,Tracker[Bet %],"&lt;"&amp;$BG10,Tracker[Bet Type Drill Down],CD$1))/COUNTIFS(Tracker[Bet %],"&gt;="&amp;$BG9,Tracker[Bet %],"&lt;"&amp;$BG10,Tracker[Bet Type Drill Down],CD$1),2)&lt;-0.15,"O","")),"")</f>
        <v/>
      </c>
      <c r="CE9" s="24" t="str">
        <f>IFERROR(IF(ROUND((SUMIFS(Tracker[Net],Tracker[Bet %],"&gt;="&amp;$BG9,Tracker[Bet %],"&lt;"&amp;$BG10,Tracker[Bet Type Drill Down],CE$1))/COUNTIFS(Tracker[Bet %],"&gt;="&amp;$BG9,Tracker[Bet %],"&lt;"&amp;$BG10,Tracker[Bet Type Drill Down],CE$1),2)&gt;0.05,"X",IF(ROUND((SUMIFS(Tracker[Net],Tracker[Bet %],"&gt;="&amp;$BG9,Tracker[Bet %],"&lt;"&amp;$BG10,Tracker[Bet Type Drill Down],CE$1))/COUNTIFS(Tracker[Bet %],"&gt;="&amp;$BG9,Tracker[Bet %],"&lt;"&amp;$BG10,Tracker[Bet Type Drill Down],CE$1),2)&lt;-0.15,"O","")),"")</f>
        <v/>
      </c>
    </row>
    <row r="10" spans="1:83" x14ac:dyDescent="0.25">
      <c r="A10" s="36">
        <f t="shared" si="9"/>
        <v>1</v>
      </c>
      <c r="B10" s="25">
        <v>43796</v>
      </c>
      <c r="C10" s="25" t="str">
        <f t="shared" si="7"/>
        <v>NBA</v>
      </c>
      <c r="D10" s="26" t="s">
        <v>781</v>
      </c>
      <c r="E10" s="27" t="s">
        <v>265</v>
      </c>
      <c r="F10" s="67">
        <v>0.61207213851007491</v>
      </c>
      <c r="G10" s="29">
        <v>-110</v>
      </c>
      <c r="H10" s="30" t="s">
        <v>56</v>
      </c>
      <c r="I10" s="44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0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10" s="32" t="str">
        <f>MID(Tracker[[#This Row],[Game]],SEARCH("@",Tracker[[#This Row],[Game]])+2,LEN(Tracker[[#This Row],[Game]]))</f>
        <v>Raptors</v>
      </c>
      <c r="L10" s="32" t="str">
        <f>LEFT(Tracker[[#This Row],[Game]],SEARCH("@",Tracker[[#This Row],[Game]])-2)</f>
        <v>Knicks</v>
      </c>
      <c r="M1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10" s="123"/>
      <c r="O10" s="147"/>
      <c r="P10" s="147"/>
      <c r="Q10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0" s="147" t="e">
        <f>IF(AND(Tracker[[#This Row],[Money %]]&lt;&gt;"",Tracker[[#This Row],[Bet %]]&lt;&gt;""),Tracker[[#This Row],[Money %]]-Tracker[[#This Row],[Bet %]],NA())</f>
        <v>#N/A</v>
      </c>
      <c r="S10" s="109"/>
      <c r="T10" s="109"/>
      <c r="U10" s="56">
        <f>IFERROR(INDEX($A$4:$B10006,MATCH(ROW()-3,$A$4:$A$4:$A1006,0),2),0)</f>
        <v>43812</v>
      </c>
      <c r="V10" s="33" t="str">
        <f>COUNTIFS(Tracker[Date],U10,Tracker[Result],"W")&amp;"-"&amp;COUNTIFS(Tracker[Date],U10,Tracker[Result],"L")&amp;IF(COUNTIFS(Tracker[Date],U10,Tracker[Result],"Push")&gt;0,"-"&amp;COUNTIFS(Tracker[Date],U10,Tracker[Result],"Push"),"")</f>
        <v>4-5</v>
      </c>
      <c r="W10" s="34">
        <f>IFERROR(COUNTIFS(Tracker[Date],U10,Tracker[Result],"W")/(COUNTIFS(Tracker[Date],U10,Tracker[Result],"W")+COUNTIFS(Tracker[Date],U10,Tracker[Result],"L")),"")</f>
        <v>0.44444444444444442</v>
      </c>
      <c r="X10" s="61">
        <f>SUMIF(Tracker[Date],U10,Tracker[Net])</f>
        <v>-1.3636363636363633</v>
      </c>
      <c r="Y10" s="35" t="str">
        <f>IFERROR("("&amp;ROUND(SUMIF(Tracker[Date],U10,Tracker[Net])/COUNTIF(Tracker[Date],U10),2)*100&amp;"%)","")</f>
        <v>(-15%)</v>
      </c>
      <c r="Z10" s="36" t="s">
        <v>256</v>
      </c>
      <c r="AA10" s="37" t="s">
        <v>257</v>
      </c>
      <c r="AB10" s="24" t="str">
        <f>IFERROR(COUNTIFS(Tracker[Bet Type],Z10,Tracker[Result],"W",Tracker[Confidence],"&gt;="&amp;$AB$2,Tracker[Confidence],"&lt;="&amp;$AC$2)&amp;"-"&amp;COUNTIFS(Tracker[Bet Type],Z10,Tracker[Result],"L",Tracker[Confidence],"&gt;="&amp;$AB$2,Tracker[Confidence],"&lt;="&amp;$AC$2)&amp;IF(COUNTIFS(Tracker[Bet Type],Z10,Tracker[Result],"Push",Tracker[Confidence],"&gt;="&amp;$AB$2,Tracker[Confidence],"&lt;="&amp;$AC$2)&gt;0,"-"&amp;COUNTIFS(Tracker[Bet Type],Z10,Tracker[Result],"Push",Tracker[Confidence],"&gt;="&amp;$AB$2,Tracker[Confidence],"&lt;="&amp;$AC$2),"")&amp;" ("&amp;ROUND(COUNTIFS(Tracker[Bet Type],Z10,Tracker[Result],"W",Tracker[Confidence],"&gt;="&amp;$AB$2,Tracker[Confidence],"&lt;="&amp;$AC$2)/(COUNTIFS(Tracker[Bet Type],Z10,Tracker[Result],"W",Tracker[Confidence],"&gt;="&amp;$AB$2,Tracker[Confidence],"&lt;="&amp;$AC$2)+COUNTIFS(Tracker[Bet Type],Z10,Tracker[Result],"L",Tracker[Confidence],"&gt;="&amp;$AB$2,Tracker[Confidence],"&lt;="&amp;$AC$2))*100,1)&amp;"%)","No Bets")</f>
        <v>No Bets</v>
      </c>
      <c r="AC10" s="64">
        <f>SUMIFS(Tracker[Net],Tracker[Bet Type],Z10,Tracker[Confidence],"&gt;="&amp;$AB$2,Tracker[Confidence],"&lt;="&amp;$AC$2)</f>
        <v>0</v>
      </c>
      <c r="AD10" s="38" t="str">
        <f>IFERROR("("&amp;ROUND((SUMIFS(Tracker[Net],Tracker[Bet Type],Z10,Tracker[Confidence],"&gt;="&amp;$AB$2,Tracker[Confidence],"&lt;="&amp;$AC$2))/COUNTIFS(Tracker[Bet Type],Z10,Tracker[Confidence],"&gt;="&amp;$AB$2,Tracker[Confidence],"&lt;="&amp;$AC$2),2)*100&amp;"%)","")</f>
        <v/>
      </c>
      <c r="AF10" s="36">
        <f t="shared" si="11"/>
        <v>0.35</v>
      </c>
      <c r="AG10" s="66" t="str">
        <f t="shared" si="0"/>
        <v>35-40%</v>
      </c>
      <c r="AH10" s="124" t="str">
        <f>IFERROR(COUNTIFS(Tracker[Cover %],"&gt;="&amp;AF10,Tracker[Cover %],"&lt;"&amp;AF11,Tracker[Result],"W")&amp;"-"&amp;COUNTIFS(Tracker[Cover %],"&gt;="&amp;AF10,Tracker[Cover %],"&lt;"&amp;AF11,Tracker[Result],"L")&amp;"-"&amp;COUNTIFS(Tracker[Cover %],"&gt;="&amp;AF10,Tracker[Cover %],"&lt;"&amp;AF11,Tracker[Result],"Push")&amp;" ("&amp;ROUND(COUNTIFS(Tracker[Cover %],"&gt;="&amp;AF10,Tracker[Cover %],"&lt;"&amp;AF11,Tracker[Result],"W")/(COUNTIFS(Tracker[Cover %],"&gt;="&amp;AF10,Tracker[Cover %],"&lt;"&amp;AF11,Tracker[Result],"L")+COUNTIFS(Tracker[Cover %],"&gt;="&amp;AF10,Tracker[Cover %],"&lt;"&amp;AF11,Tracker[Result],"W"))*100,2)&amp;"%)","No Bets")</f>
        <v>6-6-0 (50%)</v>
      </c>
      <c r="AI10" s="72">
        <f>SUMIFS(Tracker[Net],Tracker[Cover %],"&gt;="&amp;AF10,Tracker[Cover %],"&lt;"&amp;AF11)</f>
        <v>-0.54545454545454553</v>
      </c>
      <c r="AJ10" s="24" t="str">
        <f>IFERROR(IF(ROUND((SUMIFS(Tracker[Net],Tracker[Cover %],"&gt;="&amp;$AF10,Tracker[Cover %],"&lt;"&amp;$AF11,Tracker[Bet Type],AJ$2))/COUNTIFS(Tracker[Cover %],"&gt;="&amp;$AF10,Tracker[Cover %],"&lt;"&amp;$AF11,Tracker[Bet Type],AJ$2),2)&gt;0.05,"X",IF(ROUND((SUMIFS(Tracker[Net],Tracker[Cover %],"&gt;="&amp;$AF10,Tracker[Cover %],"&lt;"&amp;$AF11,Tracker[Bet Type],AJ$2))/COUNTIFS(Tracker[Cover %],"&gt;="&amp;$AF10,Tracker[Cover %],"&lt;"&amp;$AF11,Tracker[Bet Type],AJ$2),2)&lt;-0.15,"O","")),"")</f>
        <v>X</v>
      </c>
      <c r="AK10" s="24" t="str">
        <f>IFERROR(IF(ROUND((SUMIFS(Tracker[Net],Tracker[Cover %],"&gt;="&amp;$AF10,Tracker[Cover %],"&lt;"&amp;$AF11,Tracker[Bet Type],AK$2))/COUNTIFS(Tracker[Cover %],"&gt;="&amp;$AF10,Tracker[Cover %],"&lt;"&amp;$AF11,Tracker[Bet Type],AK$2),2)&gt;0.05,"X",IF(ROUND((SUMIFS(Tracker[Net],Tracker[Cover %],"&gt;="&amp;$AF10,Tracker[Cover %],"&lt;"&amp;$AF11,Tracker[Bet Type],AK$2))/COUNTIFS(Tracker[Cover %],"&gt;="&amp;$AF10,Tracker[Cover %],"&lt;"&amp;$AF11,Tracker[Bet Type],AK$2),2)&lt;-0.15,"O","")),"")</f>
        <v>O</v>
      </c>
      <c r="AL10" s="24" t="str">
        <f>IFERROR(IF(ROUND((SUMIFS(Tracker[Net],Tracker[Cover %],"&gt;="&amp;$AF10,Tracker[Cover %],"&lt;"&amp;$AF11,Tracker[Bet Type],AL$2))/COUNTIFS(Tracker[Cover %],"&gt;="&amp;$AF10,Tracker[Cover %],"&lt;"&amp;$AF11,Tracker[Bet Type],AL$2),2)&gt;0.05,"X",IF(ROUND((SUMIFS(Tracker[Net],Tracker[Cover %],"&gt;="&amp;$AF10,Tracker[Cover %],"&lt;"&amp;$AF11,Tracker[Bet Type],AL$2))/COUNTIFS(Tracker[Cover %],"&gt;="&amp;$AF10,Tracker[Cover %],"&lt;"&amp;$AF11,Tracker[Bet Type],AL$2),2)&lt;-0.15,"O","")),"")</f>
        <v/>
      </c>
      <c r="AM10" s="24" t="str">
        <f>IFERROR(IF(ROUND((SUMIFS(Tracker[Net],Tracker[Cover %],"&gt;="&amp;$AF10,Tracker[Cover %],"&lt;"&amp;$AF11,Tracker[Bet Type],AM$2))/COUNTIFS(Tracker[Cover %],"&gt;="&amp;$AF10,Tracker[Cover %],"&lt;"&amp;$AF11,Tracker[Bet Type],AM$2),2)&gt;0.05,"X",IF(ROUND((SUMIFS(Tracker[Net],Tracker[Cover %],"&gt;="&amp;$AF10,Tracker[Cover %],"&lt;"&amp;$AF11,Tracker[Bet Type],AM$2))/COUNTIFS(Tracker[Cover %],"&gt;="&amp;$AF10,Tracker[Cover %],"&lt;"&amp;$AF11,Tracker[Bet Type],AM$2),2)&lt;-0.15,"O","")),"")</f>
        <v>X</v>
      </c>
      <c r="AN10" s="24" t="str">
        <f>IFERROR(IF(ROUND((SUMIFS(Tracker[Net],Tracker[Cover %],"&gt;="&amp;$AF10,Tracker[Cover %],"&lt;"&amp;$AF11,Tracker[Bet Type Drill Down],AN$2))/COUNTIFS(Tracker[Cover %],"&gt;="&amp;$AF10,Tracker[Cover %],"&lt;"&amp;$AF11,Tracker[Bet Type Drill Down],AN$2),2)&gt;0.05,"X",IF(ROUND((SUMIFS(Tracker[Net],Tracker[Cover %],"&gt;="&amp;$AF10,Tracker[Cover %],"&lt;"&amp;$AF11,Tracker[Bet Type Drill Down],AN$2))/COUNTIFS(Tracker[Cover %],"&gt;="&amp;$AF10,Tracker[Cover %],"&lt;"&amp;$AF11,Tracker[Bet Type Drill Down],AN$2),2)&lt;-0.15,"O","")),"")</f>
        <v>X</v>
      </c>
      <c r="AO10" s="24" t="str">
        <f>IFERROR(IF(ROUND((SUMIFS(Tracker[Net],Tracker[Cover %],"&gt;="&amp;$AF10,Tracker[Cover %],"&lt;"&amp;$AF11,Tracker[Bet Type Drill Down],AO$2))/COUNTIFS(Tracker[Cover %],"&gt;="&amp;$AF10,Tracker[Cover %],"&lt;"&amp;$AF11,Tracker[Bet Type Drill Down],AO$2),2)&gt;0.05,"X",IF(ROUND((SUMIFS(Tracker[Net],Tracker[Cover %],"&gt;="&amp;$AF10,Tracker[Cover %],"&lt;"&amp;$AF11,Tracker[Bet Type Drill Down],AO$2))/COUNTIFS(Tracker[Cover %],"&gt;="&amp;$AF10,Tracker[Cover %],"&lt;"&amp;$AF11,Tracker[Bet Type Drill Down],AO$2),2)&lt;-0.15,"O","")),"")</f>
        <v/>
      </c>
      <c r="AP10" s="24" t="str">
        <f>IFERROR(IF(ROUND((SUMIFS(Tracker[Net],Tracker[Cover %],"&gt;="&amp;$AF10,Tracker[Cover %],"&lt;"&amp;$AF11,Tracker[Bet Type Drill Down],AP$2))/COUNTIFS(Tracker[Cover %],"&gt;="&amp;$AF10,Tracker[Cover %],"&lt;"&amp;$AF11,Tracker[Bet Type Drill Down],AP$2),2)&gt;0.05,"X",IF(ROUND((SUMIFS(Tracker[Net],Tracker[Cover %],"&gt;="&amp;$AF10,Tracker[Cover %],"&lt;"&amp;$AF11,Tracker[Bet Type Drill Down],AP$2))/COUNTIFS(Tracker[Cover %],"&gt;="&amp;$AF10,Tracker[Cover %],"&lt;"&amp;$AF11,Tracker[Bet Type Drill Down],AP$2),2)&lt;-0.15,"O","")),"")</f>
        <v>O</v>
      </c>
      <c r="AQ10" s="24" t="str">
        <f>IFERROR(IF(ROUND((SUMIFS(Tracker[Net],Tracker[Cover %],"&gt;="&amp;$AF10,Tracker[Cover %],"&lt;"&amp;$AF11,Tracker[Bet Type Drill Down],AQ$2))/COUNTIFS(Tracker[Cover %],"&gt;="&amp;$AF10,Tracker[Cover %],"&lt;"&amp;$AF11,Tracker[Bet Type Drill Down],AQ$2),2)&gt;0.05,"X",IF(ROUND((SUMIFS(Tracker[Net],Tracker[Cover %],"&gt;="&amp;$AF10,Tracker[Cover %],"&lt;"&amp;$AF11,Tracker[Bet Type Drill Down],AQ$2))/COUNTIFS(Tracker[Cover %],"&gt;="&amp;$AF10,Tracker[Cover %],"&lt;"&amp;$AF11,Tracker[Bet Type Drill Down],AQ$2),2)&lt;-0.15,"O","")),"")</f>
        <v>X</v>
      </c>
      <c r="AT10" s="153">
        <f t="shared" si="1"/>
        <v>-0.59999999999999964</v>
      </c>
      <c r="AU10" s="39" t="str">
        <f t="shared" si="2"/>
        <v>-60  to  -55%</v>
      </c>
      <c r="AV10" t="str">
        <f>IFERROR(COUNTIFS(Tracker[Money Discrepency],"&gt;="&amp;AT10,Tracker[Money Discrepency],"&lt;"&amp;AT11,Tracker[Result],"W")&amp;"-"&amp;COUNTIFS(Tracker[Money Discrepency],"&gt;="&amp;AT10,Tracker[Money Discrepency],"&lt;"&amp;AT11,Tracker[Result],"L")&amp;"-"&amp;COUNTIFS(Tracker[Money Discrepency],"&gt;="&amp;AT10,Tracker[Money Discrepency],"&lt;"&amp;AT11,Tracker[Result],"Push")&amp;" ("&amp;ROUND(COUNTIFS(Tracker[Money Discrepency],"&gt;="&amp;AT10,Tracker[Money Discrepency],"&lt;"&amp;AT11,Tracker[Result],"W")/(COUNTIFS(Tracker[Money Discrepency],"&gt;="&amp;AT10,Tracker[Money Discrepency],"&lt;"&amp;AT11,Tracker[Result],"L")+COUNTIFS(Tracker[Money Discrepency],"&gt;="&amp;AT10,Tracker[Money Discrepency],"&lt;"&amp;AT11,Tracker[Result],"W"))*100,2)&amp;"%)","No Bets")</f>
        <v>No Bets</v>
      </c>
      <c r="AW10">
        <f>SUMIFS(Tracker[Net],Tracker[Money Discrepency],"&gt;="&amp;AT10,Tracker[Money Discrepency],"&lt;"&amp;AT11)</f>
        <v>0</v>
      </c>
      <c r="AX10" s="24" t="str">
        <f>IFERROR(IF(ROUND((SUMIFS(Tracker[Net],Tracker[Money Discrepency],"&gt;="&amp;$AT10,Tracker[Money Discrepency],"&lt;"&amp;$AT11,Tracker[Bet Type],AX$1))/COUNTIFS(Tracker[Money Discrepency],"&gt;="&amp;$AT10,Tracker[Money Discrepency],"&lt;"&amp;$AT11,Tracker[Bet Type],AX$1),2)&gt;0.05,"X",IF(ROUND((SUMIFS(Tracker[Net],Tracker[Money Discrepency],"&gt;="&amp;$AT10,Tracker[Money Discrepency],"&lt;"&amp;$AT11,Tracker[Bet Type],AX$1))/COUNTIFS(Tracker[Money Discrepency],"&gt;="&amp;$AT10,Tracker[Money Discrepency],"&lt;"&amp;$AT11,Tracker[Bet Type],AX$1),2)&lt;-0.15,"O","")),"")</f>
        <v/>
      </c>
      <c r="AY10" s="24" t="str">
        <f>IFERROR(IF(ROUND((SUMIFS(Tracker[Net],Tracker[Money Discrepency],"&gt;="&amp;$AT10,Tracker[Money Discrepency],"&lt;"&amp;$AT11,Tracker[Bet Type],AY$1))/COUNTIFS(Tracker[Money Discrepency],"&gt;="&amp;$AT10,Tracker[Money Discrepency],"&lt;"&amp;$AT11,Tracker[Bet Type],AY$1),2)&gt;0.05,"X",IF(ROUND((SUMIFS(Tracker[Net],Tracker[Money Discrepency],"&gt;="&amp;$AT10,Tracker[Money Discrepency],"&lt;"&amp;$AT11,Tracker[Bet Type],AY$1))/COUNTIFS(Tracker[Money Discrepency],"&gt;="&amp;$AT10,Tracker[Money Discrepency],"&lt;"&amp;$AT11,Tracker[Bet Type],AY$1),2)&lt;-0.15,"O","")),"")</f>
        <v/>
      </c>
      <c r="AZ10" s="24" t="str">
        <f>IFERROR(IF(ROUND((SUMIFS(Tracker[Net],Tracker[Money Discrepency],"&gt;="&amp;$AT10,Tracker[Money Discrepency],"&lt;"&amp;$AT11,Tracker[Bet Type],AZ$1))/COUNTIFS(Tracker[Money Discrepency],"&gt;="&amp;$AT10,Tracker[Money Discrepency],"&lt;"&amp;$AT11,Tracker[Bet Type],AZ$1),2)&gt;0.05,"X",IF(ROUND((SUMIFS(Tracker[Net],Tracker[Money Discrepency],"&gt;="&amp;$AT10,Tracker[Money Discrepency],"&lt;"&amp;$AT11,Tracker[Bet Type],AZ$1))/COUNTIFS(Tracker[Money Discrepency],"&gt;="&amp;$AT10,Tracker[Money Discrepency],"&lt;"&amp;$AT11,Tracker[Bet Type],AZ$1),2)&lt;-0.15,"O","")),"")</f>
        <v/>
      </c>
      <c r="BA10" s="24" t="str">
        <f>IFERROR(IF(ROUND((SUMIFS(Tracker[Net],Tracker[Money Discrepency],"&gt;="&amp;$AT10,Tracker[Money Discrepency],"&lt;"&amp;$AT11,Tracker[Bet Type],BA$1))/COUNTIFS(Tracker[Money Discrepency],"&gt;="&amp;$AT10,Tracker[Money Discrepency],"&lt;"&amp;$AT11,Tracker[Bet Type],BA$1),2)&gt;0.05,"X",IF(ROUND((SUMIFS(Tracker[Net],Tracker[Money Discrepency],"&gt;="&amp;$AT10,Tracker[Money Discrepency],"&lt;"&amp;$AT11,Tracker[Bet Type],BA$1))/COUNTIFS(Tracker[Money Discrepency],"&gt;="&amp;$AT10,Tracker[Money Discrepency],"&lt;"&amp;$AT11,Tracker[Bet Type],BA$1),2)&lt;-0.15,"O","")),"")</f>
        <v/>
      </c>
      <c r="BB10" s="24" t="str">
        <f>IFERROR(IF(ROUND((SUMIFS(Tracker[Net],Tracker[Money Discrepency],"&gt;="&amp;$AT10,Tracker[Money Discrepency],"&lt;"&amp;$AT11,Tracker[Bet Type Drill Down],BB$1))/COUNTIFS(Tracker[Money Discrepency],"&gt;="&amp;$AT10,Tracker[Money Discrepency],"&lt;"&amp;$AT11,Tracker[Bet Type Drill Down],BB$1),2)&gt;0.05,"X",IF(ROUND((SUMIFS(Tracker[Net],Tracker[Money Discrepency],"&gt;="&amp;$AT10,Tracker[Money Discrepency],"&lt;"&amp;$AT11,Tracker[Bet Type Drill Down],BB$1))/COUNTIFS(Tracker[Money Discrepency],"&gt;="&amp;$AT10,Tracker[Money Discrepency],"&lt;"&amp;$AT11,Tracker[Bet Type Drill Down],BB$1),2)&lt;-0.15,"O","")),"")</f>
        <v/>
      </c>
      <c r="BC10" s="24" t="str">
        <f>IFERROR(IF(ROUND((SUMIFS(Tracker[Net],Tracker[Money Discrepency],"&gt;="&amp;$AT10,Tracker[Money Discrepency],"&lt;"&amp;$AT11,Tracker[Bet Type Drill Down],BC$1))/COUNTIFS(Tracker[Money Discrepency],"&gt;="&amp;$AT10,Tracker[Money Discrepency],"&lt;"&amp;$AT11,Tracker[Bet Type Drill Down],BC$1),2)&gt;0.05,"X",IF(ROUND((SUMIFS(Tracker[Net],Tracker[Money Discrepency],"&gt;="&amp;$AT10,Tracker[Money Discrepency],"&lt;"&amp;$AT11,Tracker[Bet Type Drill Down],BC$1))/COUNTIFS(Tracker[Money Discrepency],"&gt;="&amp;$AT10,Tracker[Money Discrepency],"&lt;"&amp;$AT11,Tracker[Bet Type Drill Down],BC$1),2)&lt;-0.15,"O","")),"")</f>
        <v/>
      </c>
      <c r="BD10" s="24" t="str">
        <f>IFERROR(IF(ROUND((SUMIFS(Tracker[Net],Tracker[Money Discrepency],"&gt;="&amp;$AT10,Tracker[Money Discrepency],"&lt;"&amp;$AT11,Tracker[Bet Type Drill Down],BD$1))/COUNTIFS(Tracker[Money Discrepency],"&gt;="&amp;$AT10,Tracker[Money Discrepency],"&lt;"&amp;$AT11,Tracker[Bet Type Drill Down],BD$1),2)&gt;0.05,"X",IF(ROUND((SUMIFS(Tracker[Net],Tracker[Money Discrepency],"&gt;="&amp;$AT10,Tracker[Money Discrepency],"&lt;"&amp;$AT11,Tracker[Bet Type Drill Down],BD$1))/COUNTIFS(Tracker[Money Discrepency],"&gt;="&amp;$AT10,Tracker[Money Discrepency],"&lt;"&amp;$AT11,Tracker[Bet Type Drill Down],BD$1),2)&lt;-0.15,"O","")),"")</f>
        <v/>
      </c>
      <c r="BE10" s="24" t="str">
        <f>IFERROR(IF(ROUND((SUMIFS(Tracker[Net],Tracker[Money Discrepency],"&gt;="&amp;$AT10,Tracker[Money Discrepency],"&lt;"&amp;$AT11,Tracker[Bet Type Drill Down],BE$1))/COUNTIFS(Tracker[Money Discrepency],"&gt;="&amp;$AT10,Tracker[Money Discrepency],"&lt;"&amp;$AT11,Tracker[Bet Type Drill Down],BE$1),2)&gt;0.05,"X",IF(ROUND((SUMIFS(Tracker[Net],Tracker[Money Discrepency],"&gt;="&amp;$AT10,Tracker[Money Discrepency],"&lt;"&amp;$AT11,Tracker[Bet Type Drill Down],BE$1))/COUNTIFS(Tracker[Money Discrepency],"&gt;="&amp;$AT10,Tracker[Money Discrepency],"&lt;"&amp;$AT11,Tracker[Bet Type Drill Down],BE$1),2)&lt;-0.15,"O","")),"")</f>
        <v/>
      </c>
      <c r="BG10" s="153">
        <f t="shared" si="3"/>
        <v>0.39999999999999997</v>
      </c>
      <c r="BH10" s="154" t="str">
        <f t="shared" si="4"/>
        <v>40  to  45%</v>
      </c>
      <c r="BI10" t="str">
        <f>IFERROR(COUNTIFS(Tracker[Money %],"&gt;="&amp;BG10,Tracker[Money %],"&lt;"&amp;BG11,Tracker[Result],"W")&amp;"-"&amp;COUNTIFS(Tracker[Money %],"&gt;="&amp;BG10,Tracker[Money %],"&lt;"&amp;BG11,Tracker[Result],"L")&amp;"-"&amp;COUNTIFS(Tracker[Money %],"&gt;="&amp;BG10,Tracker[Money %],"&lt;"&amp;BG11,Tracker[Result],"Push")&amp;" ("&amp;ROUND(COUNTIFS(Tracker[Money %],"&gt;="&amp;BG10,Tracker[Money %],"&lt;"&amp;BG11,Tracker[Result],"W")/(COUNTIFS(Tracker[Money %],"&gt;="&amp;BG10,Tracker[Money %],"&lt;"&amp;BG11,Tracker[Result],"L")+COUNTIFS(Tracker[Money %],"&gt;="&amp;BG10,Tracker[Money %],"&lt;"&amp;BG11,Tracker[Result],"W"))*100,2)&amp;"%)","No Bets")</f>
        <v>6-0-0 (100%)</v>
      </c>
      <c r="BJ10">
        <f>SUMIFS(Tracker[Net],Tracker[Money %],"&gt;="&amp;BG10,Tracker[Money %],"&lt;"&amp;BG11)</f>
        <v>5.4545454545454541</v>
      </c>
      <c r="BK10" s="24" t="str">
        <f>IFERROR(IF(ROUND((SUMIFS(Tracker[Net],Tracker[Money %],"&gt;="&amp;$BG10,Tracker[Money %],"&lt;"&amp;$BG11,Tracker[Bet Type],BK$1))/COUNTIFS(Tracker[Money %],"&gt;="&amp;$BG10,Tracker[Money %],"&lt;"&amp;$BG11,Tracker[Bet Type],BK$1),2)&gt;0.05,"X",IF(ROUND((SUMIFS(Tracker[Net],Tracker[Money %],"&gt;="&amp;$BG10,Tracker[Money %],"&lt;"&amp;$BG11,Tracker[Bet Type],BK$1))/COUNTIFS(Tracker[Money %],"&gt;="&amp;$BG10,Tracker[Money %],"&lt;"&amp;$BG11,Tracker[Bet Type],BK$1),2)&lt;-0.15,"O","")),"")</f>
        <v>X</v>
      </c>
      <c r="BL10" s="24" t="str">
        <f>IFERROR(IF(ROUND((SUMIFS(Tracker[Net],Tracker[Money %],"&gt;="&amp;$BG10,Tracker[Money %],"&lt;"&amp;$BG11,Tracker[Bet Type],BL$1))/COUNTIFS(Tracker[Money %],"&gt;="&amp;$BG10,Tracker[Money %],"&lt;"&amp;$BG11,Tracker[Bet Type],BL$1),2)&gt;0.05,"X",IF(ROUND((SUMIFS(Tracker[Net],Tracker[Money %],"&gt;="&amp;$BG10,Tracker[Money %],"&lt;"&amp;$BG11,Tracker[Bet Type],BL$1))/COUNTIFS(Tracker[Money %],"&gt;="&amp;$BG10,Tracker[Money %],"&lt;"&amp;$BG11,Tracker[Bet Type],BL$1),2)&lt;-0.15,"O","")),"")</f>
        <v>X</v>
      </c>
      <c r="BM10" s="24" t="str">
        <f>IFERROR(IF(ROUND((SUMIFS(Tracker[Net],Tracker[Money %],"&gt;="&amp;$BG10,Tracker[Money %],"&lt;"&amp;$BG11,Tracker[Bet Type],BM$1))/COUNTIFS(Tracker[Money %],"&gt;="&amp;$BG10,Tracker[Money %],"&lt;"&amp;$BG11,Tracker[Bet Type],BM$1),2)&gt;0.05,"X",IF(ROUND((SUMIFS(Tracker[Net],Tracker[Money %],"&gt;="&amp;$BG10,Tracker[Money %],"&lt;"&amp;$BG11,Tracker[Bet Type],BM$1))/COUNTIFS(Tracker[Money %],"&gt;="&amp;$BG10,Tracker[Money %],"&lt;"&amp;$BG11,Tracker[Bet Type],BM$1),2)&lt;-0.15,"O","")),"")</f>
        <v>X</v>
      </c>
      <c r="BN10" s="24" t="str">
        <f>IFERROR(IF(ROUND((SUMIFS(Tracker[Net],Tracker[Money %],"&gt;="&amp;$BG10,Tracker[Money %],"&lt;"&amp;$BG11,Tracker[Bet Type],BN$1))/COUNTIFS(Tracker[Money %],"&gt;="&amp;$BG10,Tracker[Money %],"&lt;"&amp;$BG11,Tracker[Bet Type],BN$1),2)&gt;0.05,"X",IF(ROUND((SUMIFS(Tracker[Net],Tracker[Money %],"&gt;="&amp;$BG10,Tracker[Money %],"&lt;"&amp;$BG11,Tracker[Bet Type],BN$1))/COUNTIFS(Tracker[Money %],"&gt;="&amp;$BG10,Tracker[Money %],"&lt;"&amp;$BG11,Tracker[Bet Type],BN$1),2)&lt;-0.15,"O","")),"")</f>
        <v>X</v>
      </c>
      <c r="BO10" s="24" t="str">
        <f>IFERROR(IF(ROUND((SUMIFS(Tracker[Net],Tracker[Money %],"&gt;="&amp;$BG10,Tracker[Money %],"&lt;"&amp;$BG11,Tracker[Bet Type Drill Down],BO$1))/COUNTIFS(Tracker[Money %],"&gt;="&amp;$BG10,Tracker[Money %],"&lt;"&amp;$BG11,Tracker[Bet Type Drill Down],BO$1),2)&gt;0.05,"X",IF(ROUND((SUMIFS(Tracker[Net],Tracker[Money %],"&gt;="&amp;$BG10,Tracker[Money %],"&lt;"&amp;$BG11,Tracker[Bet Type Drill Down],BO$1))/COUNTIFS(Tracker[Money %],"&gt;="&amp;$BG10,Tracker[Money %],"&lt;"&amp;$BG11,Tracker[Bet Type Drill Down],BO$1),2)&lt;-0.15,"O","")),"")</f>
        <v>X</v>
      </c>
      <c r="BP10" s="24" t="str">
        <f>IFERROR(IF(ROUND((SUMIFS(Tracker[Net],Tracker[Money %],"&gt;="&amp;$BG10,Tracker[Money %],"&lt;"&amp;$BG11,Tracker[Bet Type Drill Down],BP$1))/COUNTIFS(Tracker[Money %],"&gt;="&amp;$BG10,Tracker[Money %],"&lt;"&amp;$BG11,Tracker[Bet Type Drill Down],BP$1),2)&gt;0.05,"X",IF(ROUND((SUMIFS(Tracker[Net],Tracker[Money %],"&gt;="&amp;$BG10,Tracker[Money %],"&lt;"&amp;$BG11,Tracker[Bet Type Drill Down],BP$1))/COUNTIFS(Tracker[Money %],"&gt;="&amp;$BG10,Tracker[Money %],"&lt;"&amp;$BG11,Tracker[Bet Type Drill Down],BP$1),2)&lt;-0.15,"O","")),"")</f>
        <v/>
      </c>
      <c r="BQ10" s="24" t="str">
        <f>IFERROR(IF(ROUND((SUMIFS(Tracker[Net],Tracker[Money %],"&gt;="&amp;$BG10,Tracker[Money %],"&lt;"&amp;$BG11,Tracker[Bet Type Drill Down],BQ$1))/COUNTIFS(Tracker[Money %],"&gt;="&amp;$BG10,Tracker[Money %],"&lt;"&amp;$BG11,Tracker[Bet Type Drill Down],BQ$1),2)&gt;0.05,"X",IF(ROUND((SUMIFS(Tracker[Net],Tracker[Money %],"&gt;="&amp;$BG10,Tracker[Money %],"&lt;"&amp;$BG11,Tracker[Bet Type Drill Down],BQ$1))/COUNTIFS(Tracker[Money %],"&gt;="&amp;$BG10,Tracker[Money %],"&lt;"&amp;$BG11,Tracker[Bet Type Drill Down],BQ$1),2)&lt;-0.15,"O","")),"")</f>
        <v>X</v>
      </c>
      <c r="BR10" s="24" t="str">
        <f>IFERROR(IF(ROUND((SUMIFS(Tracker[Net],Tracker[Money %],"&gt;="&amp;$BG10,Tracker[Money %],"&lt;"&amp;$BG11,Tracker[Bet Type Drill Down],BR$1))/COUNTIFS(Tracker[Money %],"&gt;="&amp;$BG10,Tracker[Money %],"&lt;"&amp;$BG11,Tracker[Bet Type Drill Down],BR$1),2)&gt;0.05,"X",IF(ROUND((SUMIFS(Tracker[Net],Tracker[Money %],"&gt;="&amp;$BG10,Tracker[Money %],"&lt;"&amp;$BG11,Tracker[Bet Type Drill Down],BR$1))/COUNTIFS(Tracker[Money %],"&gt;="&amp;$BG10,Tracker[Money %],"&lt;"&amp;$BG11,Tracker[Bet Type Drill Down],BR$1),2)&lt;-0.15,"O","")),"")</f>
        <v/>
      </c>
      <c r="BT10" s="153">
        <f t="shared" si="5"/>
        <v>0.39999999999999997</v>
      </c>
      <c r="BU10" s="154" t="str">
        <f t="shared" ref="BU10" si="16">ROUND(BT10*100,0)&amp;"  to  "&amp;ROUND(BT11*100,0)&amp;"%"</f>
        <v>40  to  45%</v>
      </c>
      <c r="BV10" t="str">
        <f>IFERROR(COUNTIFS(Tracker[Bet %],"&gt;="&amp;BT10,Tracker[Bet %],"&lt;"&amp;BT11,Tracker[Result],"W")&amp;"-"&amp;COUNTIFS(Tracker[Bet %],"&gt;="&amp;BT10,Tracker[Bet %],"&lt;"&amp;BT11,Tracker[Result],"L")&amp;"-"&amp;COUNTIFS(Tracker[Bet %],"&gt;="&amp;BT10,Tracker[Bet %],"&lt;"&amp;BT11,Tracker[Result],"Push")&amp;" ("&amp;ROUND(COUNTIFS(Tracker[Bet %],"&gt;="&amp;BT10,Tracker[Bet %],"&lt;"&amp;BT11,Tracker[Result],"W")/(COUNTIFS(Tracker[Bet %],"&gt;="&amp;BT10,Tracker[Bet %],"&lt;"&amp;BT11,Tracker[Result],"L")+COUNTIFS(Tracker[Bet %],"&gt;="&amp;BT10,Tracker[Bet %],"&lt;"&amp;BT11,Tracker[Result],"W"))*100,2)&amp;"%)","No Bets")</f>
        <v>12-11-2 (52.17%)</v>
      </c>
      <c r="BW10">
        <f>SUMIFS(Tracker[Net],Tracker[Bet %],"&gt;="&amp;BT10,Tracker[Bet %],"&lt;"&amp;BT11)</f>
        <v>-9.0909090909090495E-2</v>
      </c>
      <c r="BX10" s="24" t="str">
        <f>IFERROR(IF(ROUND((SUMIFS(Tracker[Net],Tracker[Bet %],"&gt;="&amp;$BG10,Tracker[Bet %],"&lt;"&amp;$BG11,Tracker[Bet Type],BX$1))/COUNTIFS(Tracker[Bet %],"&gt;="&amp;$BG10,Tracker[Bet %],"&lt;"&amp;$BG11,Tracker[Bet Type],BX$1),2)&gt;0.05,"X",IF(ROUND((SUMIFS(Tracker[Net],Tracker[Bet %],"&gt;="&amp;$BG10,Tracker[Bet %],"&lt;"&amp;$BG11,Tracker[Bet Type],BX$1))/COUNTIFS(Tracker[Bet %],"&gt;="&amp;$BG10,Tracker[Bet %],"&lt;"&amp;$BG11,Tracker[Bet Type],BX$1),2)&lt;-0.15,"O","")),"")</f>
        <v>X</v>
      </c>
      <c r="BY10" s="24" t="str">
        <f>IFERROR(IF(ROUND((SUMIFS(Tracker[Net],Tracker[Bet %],"&gt;="&amp;$BG10,Tracker[Bet %],"&lt;"&amp;$BG11,Tracker[Bet Type],BY$1))/COUNTIFS(Tracker[Bet %],"&gt;="&amp;$BG10,Tracker[Bet %],"&lt;"&amp;$BG11,Tracker[Bet Type],BY$1),2)&gt;0.05,"X",IF(ROUND((SUMIFS(Tracker[Net],Tracker[Bet %],"&gt;="&amp;$BG10,Tracker[Bet %],"&lt;"&amp;$BG11,Tracker[Bet Type],BY$1))/COUNTIFS(Tracker[Bet %],"&gt;="&amp;$BG10,Tracker[Bet %],"&lt;"&amp;$BG11,Tracker[Bet Type],BY$1),2)&lt;-0.15,"O","")),"")</f>
        <v/>
      </c>
      <c r="BZ10" s="24" t="str">
        <f>IFERROR(IF(ROUND((SUMIFS(Tracker[Net],Tracker[Bet %],"&gt;="&amp;$BG10,Tracker[Bet %],"&lt;"&amp;$BG11,Tracker[Bet Type],BZ$1))/COUNTIFS(Tracker[Bet %],"&gt;="&amp;$BG10,Tracker[Bet %],"&lt;"&amp;$BG11,Tracker[Bet Type],BZ$1),2)&gt;0.05,"X",IF(ROUND((SUMIFS(Tracker[Net],Tracker[Bet %],"&gt;="&amp;$BG10,Tracker[Bet %],"&lt;"&amp;$BG11,Tracker[Bet Type],BZ$1))/COUNTIFS(Tracker[Bet %],"&gt;="&amp;$BG10,Tracker[Bet %],"&lt;"&amp;$BG11,Tracker[Bet Type],BZ$1),2)&lt;-0.15,"O","")),"")</f>
        <v/>
      </c>
      <c r="CA10" s="24" t="str">
        <f>IFERROR(IF(ROUND((SUMIFS(Tracker[Net],Tracker[Bet %],"&gt;="&amp;$BG10,Tracker[Bet %],"&lt;"&amp;$BG11,Tracker[Bet Type],CA$1))/COUNTIFS(Tracker[Bet %],"&gt;="&amp;$BG10,Tracker[Bet %],"&lt;"&amp;$BG11,Tracker[Bet Type],CA$1),2)&gt;0.05,"X",IF(ROUND((SUMIFS(Tracker[Net],Tracker[Bet %],"&gt;="&amp;$BG10,Tracker[Bet %],"&lt;"&amp;$BG11,Tracker[Bet Type],CA$1))/COUNTIFS(Tracker[Bet %],"&gt;="&amp;$BG10,Tracker[Bet %],"&lt;"&amp;$BG11,Tracker[Bet Type],CA$1),2)&lt;-0.15,"O","")),"")</f>
        <v>O</v>
      </c>
      <c r="CB10" s="24" t="str">
        <f>IFERROR(IF(ROUND((SUMIFS(Tracker[Net],Tracker[Bet %],"&gt;="&amp;$BG10,Tracker[Bet %],"&lt;"&amp;$BG11,Tracker[Bet Type Drill Down],CB$1))/COUNTIFS(Tracker[Bet %],"&gt;="&amp;$BG10,Tracker[Bet %],"&lt;"&amp;$BG11,Tracker[Bet Type Drill Down],CB$1),2)&gt;0.05,"X",IF(ROUND((SUMIFS(Tracker[Net],Tracker[Bet %],"&gt;="&amp;$BG10,Tracker[Bet %],"&lt;"&amp;$BG11,Tracker[Bet Type Drill Down],CB$1))/COUNTIFS(Tracker[Bet %],"&gt;="&amp;$BG10,Tracker[Bet %],"&lt;"&amp;$BG11,Tracker[Bet Type Drill Down],CB$1),2)&lt;-0.15,"O","")),"")</f>
        <v>O</v>
      </c>
      <c r="CC10" s="24" t="str">
        <f>IFERROR(IF(ROUND((SUMIFS(Tracker[Net],Tracker[Bet %],"&gt;="&amp;$BG10,Tracker[Bet %],"&lt;"&amp;$BG11,Tracker[Bet Type Drill Down],CC$1))/COUNTIFS(Tracker[Bet %],"&gt;="&amp;$BG10,Tracker[Bet %],"&lt;"&amp;$BG11,Tracker[Bet Type Drill Down],CC$1),2)&gt;0.05,"X",IF(ROUND((SUMIFS(Tracker[Net],Tracker[Bet %],"&gt;="&amp;$BG10,Tracker[Bet %],"&lt;"&amp;$BG11,Tracker[Bet Type Drill Down],CC$1))/COUNTIFS(Tracker[Bet %],"&gt;="&amp;$BG10,Tracker[Bet %],"&lt;"&amp;$BG11,Tracker[Bet Type Drill Down],CC$1),2)&lt;-0.15,"O","")),"")</f>
        <v/>
      </c>
      <c r="CD10" s="24" t="str">
        <f>IFERROR(IF(ROUND((SUMIFS(Tracker[Net],Tracker[Bet %],"&gt;="&amp;$BG10,Tracker[Bet %],"&lt;"&amp;$BG11,Tracker[Bet Type Drill Down],CD$1))/COUNTIFS(Tracker[Bet %],"&gt;="&amp;$BG10,Tracker[Bet %],"&lt;"&amp;$BG11,Tracker[Bet Type Drill Down],CD$1),2)&gt;0.05,"X",IF(ROUND((SUMIFS(Tracker[Net],Tracker[Bet %],"&gt;="&amp;$BG10,Tracker[Bet %],"&lt;"&amp;$BG11,Tracker[Bet Type Drill Down],CD$1))/COUNTIFS(Tracker[Bet %],"&gt;="&amp;$BG10,Tracker[Bet %],"&lt;"&amp;$BG11,Tracker[Bet Type Drill Down],CD$1),2)&lt;-0.15,"O","")),"")</f>
        <v>O</v>
      </c>
      <c r="CE10" s="24" t="str">
        <f>IFERROR(IF(ROUND((SUMIFS(Tracker[Net],Tracker[Bet %],"&gt;="&amp;$BG10,Tracker[Bet %],"&lt;"&amp;$BG11,Tracker[Bet Type Drill Down],CE$1))/COUNTIFS(Tracker[Bet %],"&gt;="&amp;$BG10,Tracker[Bet %],"&lt;"&amp;$BG11,Tracker[Bet Type Drill Down],CE$1),2)&gt;0.05,"X",IF(ROUND((SUMIFS(Tracker[Net],Tracker[Bet %],"&gt;="&amp;$BG10,Tracker[Bet %],"&lt;"&amp;$BG11,Tracker[Bet Type Drill Down],CE$1))/COUNTIFS(Tracker[Bet %],"&gt;="&amp;$BG10,Tracker[Bet %],"&lt;"&amp;$BG11,Tracker[Bet Type Drill Down],CE$1),2)&lt;-0.15,"O","")),"")</f>
        <v>X</v>
      </c>
    </row>
    <row r="11" spans="1:83" x14ac:dyDescent="0.25">
      <c r="A11" s="36">
        <f t="shared" si="9"/>
        <v>1</v>
      </c>
      <c r="B11" s="25">
        <v>43796</v>
      </c>
      <c r="C11" s="25" t="str">
        <f t="shared" si="7"/>
        <v>NBA</v>
      </c>
      <c r="D11" s="26" t="s">
        <v>783</v>
      </c>
      <c r="E11" s="27" t="s">
        <v>784</v>
      </c>
      <c r="F11" s="67">
        <v>0.62758114495948958</v>
      </c>
      <c r="G11" s="29">
        <v>-110</v>
      </c>
      <c r="H11" s="30" t="s">
        <v>57</v>
      </c>
      <c r="I11" s="44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1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11" s="32" t="str">
        <f>MID(Tracker[[#This Row],[Game]],SEARCH("@",Tracker[[#This Row],[Game]])+2,LEN(Tracker[[#This Row],[Game]]))</f>
        <v>Rockets</v>
      </c>
      <c r="L11" s="32" t="str">
        <f>LEFT(Tracker[[#This Row],[Game]],SEARCH("@",Tracker[[#This Row],[Game]])-2)</f>
        <v>Heat</v>
      </c>
      <c r="M1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11" s="123"/>
      <c r="O11" s="147"/>
      <c r="P11" s="147"/>
      <c r="Q11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1" s="147" t="e">
        <f>IF(AND(Tracker[[#This Row],[Money %]]&lt;&gt;"",Tracker[[#This Row],[Bet %]]&lt;&gt;""),Tracker[[#This Row],[Money %]]-Tracker[[#This Row],[Bet %]],NA())</f>
        <v>#N/A</v>
      </c>
      <c r="S11" s="109"/>
      <c r="T11" s="109"/>
      <c r="U11" s="56">
        <f>IFERROR(INDEX($A$4:$B10007,MATCH(ROW()-3,$A$4:$A$4:$A1007,0),2),0)</f>
        <v>43815</v>
      </c>
      <c r="V11" s="33" t="str">
        <f>COUNTIFS(Tracker[Date],U11,Tracker[Result],"W")&amp;"-"&amp;COUNTIFS(Tracker[Date],U11,Tracker[Result],"L")&amp;IF(COUNTIFS(Tracker[Date],U11,Tracker[Result],"Push")&gt;0,"-"&amp;COUNTIFS(Tracker[Date],U11,Tracker[Result],"Push"),"")</f>
        <v>10-4</v>
      </c>
      <c r="W11" s="34">
        <f>IFERROR(COUNTIFS(Tracker[Date],U11,Tracker[Result],"W")/(COUNTIFS(Tracker[Date],U11,Tracker[Result],"W")+COUNTIFS(Tracker[Date],U11,Tracker[Result],"L")),"")</f>
        <v>0.7142857142857143</v>
      </c>
      <c r="X11" s="61">
        <f>SUMIF(Tracker[Date],U11,Tracker[Net])</f>
        <v>5.0909090909090908</v>
      </c>
      <c r="Y11" s="35" t="str">
        <f>IFERROR("("&amp;ROUND(SUMIF(Tracker[Date],U11,Tracker[Net])/COUNTIF(Tracker[Date],U11),2)*100&amp;"%)","")</f>
        <v>(36%)</v>
      </c>
      <c r="Z11" s="36" t="s">
        <v>1206</v>
      </c>
      <c r="AA11" s="37" t="s">
        <v>1210</v>
      </c>
      <c r="AB11" s="24" t="str">
        <f>IFERROR(COUNTIFS(Tracker[Bet Type Drill Down],Z11,Tracker[Result],"W",Tracker[Confidence],"&gt;="&amp;$AB$2,Tracker[Confidence],"&lt;="&amp;$AC$2)&amp;"-"&amp;COUNTIFS(Tracker[Bet Type Drill Down],Z11,Tracker[Result],"L",Tracker[Confidence],"&gt;="&amp;$AB$2,Tracker[Confidence],"&lt;="&amp;$AC$2)&amp;IF(COUNTIFS(Tracker[Bet Type Drill Down],Z11,Tracker[Result],"Push",Tracker[Confidence],"&gt;="&amp;$AB$2,Tracker[Confidence],"&lt;="&amp;$AC$2)&gt;0,"-"&amp;COUNTIFS(Tracker[Bet Type Drill Down],Z11,Tracker[Result],"Push",Tracker[Confidence],"&gt;="&amp;$AB$2,Tracker[Confidence],"&lt;="&amp;$AC$2),"")&amp;" ("&amp;ROUND(COUNTIFS(Tracker[Bet Type Drill Down],Z11,Tracker[Result],"W",Tracker[Confidence],"&gt;="&amp;$AB$2,Tracker[Confidence],"&lt;="&amp;$AC$2)/(COUNTIFS(Tracker[Bet Type Drill Down],Z11,Tracker[Result],"W",Tracker[Confidence],"&gt;="&amp;$AB$2,Tracker[Confidence],"&lt;="&amp;$AC$2)+COUNTIFS(Tracker[Bet Type Drill Down],Z11,Tracker[Result],"L",Tracker[Confidence],"&gt;="&amp;$AB$2,Tracker[Confidence],"&lt;="&amp;$AC$2))*100,1)&amp;"%)","No Bets")</f>
        <v>15-18 (45.5%)</v>
      </c>
      <c r="AC11" s="64">
        <f>SUMIFS(Tracker[Net],Tracker[Bet Type Drill Down],Z11,Tracker[Confidence],"&gt;="&amp;$AB$2,Tracker[Confidence],"&lt;="&amp;$AC$2)</f>
        <v>-4.3636363636363624</v>
      </c>
      <c r="AD11" s="38" t="str">
        <f>IFERROR("("&amp;ROUND((SUMIFS(Tracker[Net],Tracker[Bet Type Drill Down],Z11,Tracker[Confidence],"&gt;="&amp;$AB$2,Tracker[Confidence],"&lt;="&amp;$AC$2))/COUNTIFS(Tracker[Bet Type Drill Down],Z11,Tracker[Confidence],"&gt;="&amp;$AB$2,Tracker[Confidence],"&lt;="&amp;$AC$2),2)*100&amp;"%)","")</f>
        <v>(-13%)</v>
      </c>
      <c r="AF11" s="36">
        <f t="shared" si="11"/>
        <v>0.39999999999999997</v>
      </c>
      <c r="AG11" s="66" t="str">
        <f t="shared" si="0"/>
        <v>40-45%</v>
      </c>
      <c r="AH11" s="124" t="str">
        <f>IFERROR(COUNTIFS(Tracker[Cover %],"&gt;="&amp;AF11,Tracker[Cover %],"&lt;"&amp;AF12,Tracker[Result],"W")&amp;"-"&amp;COUNTIFS(Tracker[Cover %],"&gt;="&amp;AF11,Tracker[Cover %],"&lt;"&amp;AF12,Tracker[Result],"L")&amp;"-"&amp;COUNTIFS(Tracker[Cover %],"&gt;="&amp;AF11,Tracker[Cover %],"&lt;"&amp;AF12,Tracker[Result],"Push")&amp;" ("&amp;ROUND(COUNTIFS(Tracker[Cover %],"&gt;="&amp;AF11,Tracker[Cover %],"&lt;"&amp;AF12,Tracker[Result],"W")/(COUNTIFS(Tracker[Cover %],"&gt;="&amp;AF11,Tracker[Cover %],"&lt;"&amp;AF12,Tracker[Result],"L")+COUNTIFS(Tracker[Cover %],"&gt;="&amp;AF11,Tracker[Cover %],"&lt;"&amp;AF12,Tracker[Result],"W"))*100,2)&amp;"%)","No Bets")</f>
        <v>21-18-2 (53.85%)</v>
      </c>
      <c r="AI11" s="72">
        <f>SUMIFS(Tracker[Net],Tracker[Cover %],"&gt;="&amp;AF11,Tracker[Cover %],"&lt;"&amp;AF12)</f>
        <v>1.0909090909090913</v>
      </c>
      <c r="AJ11" s="24" t="str">
        <f>IFERROR(IF(ROUND((SUMIFS(Tracker[Net],Tracker[Cover %],"&gt;="&amp;$AF11,Tracker[Cover %],"&lt;"&amp;$AF12,Tracker[Bet Type],AJ$2))/COUNTIFS(Tracker[Cover %],"&gt;="&amp;$AF11,Tracker[Cover %],"&lt;"&amp;$AF12,Tracker[Bet Type],AJ$2),2)&gt;0.05,"X",IF(ROUND((SUMIFS(Tracker[Net],Tracker[Cover %],"&gt;="&amp;$AF11,Tracker[Cover %],"&lt;"&amp;$AF12,Tracker[Bet Type],AJ$2))/COUNTIFS(Tracker[Cover %],"&gt;="&amp;$AF11,Tracker[Cover %],"&lt;"&amp;$AF12,Tracker[Bet Type],AJ$2),2)&lt;-0.15,"O","")),"")</f>
        <v>X</v>
      </c>
      <c r="AK11" s="24" t="str">
        <f>IFERROR(IF(ROUND((SUMIFS(Tracker[Net],Tracker[Cover %],"&gt;="&amp;$AF11,Tracker[Cover %],"&lt;"&amp;$AF12,Tracker[Bet Type],AK$2))/COUNTIFS(Tracker[Cover %],"&gt;="&amp;$AF11,Tracker[Cover %],"&lt;"&amp;$AF12,Tracker[Bet Type],AK$2),2)&gt;0.05,"X",IF(ROUND((SUMIFS(Tracker[Net],Tracker[Cover %],"&gt;="&amp;$AF11,Tracker[Cover %],"&lt;"&amp;$AF12,Tracker[Bet Type],AK$2))/COUNTIFS(Tracker[Cover %],"&gt;="&amp;$AF11,Tracker[Cover %],"&lt;"&amp;$AF12,Tracker[Bet Type],AK$2),2)&lt;-0.15,"O","")),"")</f>
        <v>O</v>
      </c>
      <c r="AL11" s="24" t="str">
        <f>IFERROR(IF(ROUND((SUMIFS(Tracker[Net],Tracker[Cover %],"&gt;="&amp;$AF11,Tracker[Cover %],"&lt;"&amp;$AF12,Tracker[Bet Type],AL$2))/COUNTIFS(Tracker[Cover %],"&gt;="&amp;$AF11,Tracker[Cover %],"&lt;"&amp;$AF12,Tracker[Bet Type],AL$2),2)&gt;0.05,"X",IF(ROUND((SUMIFS(Tracker[Net],Tracker[Cover %],"&gt;="&amp;$AF11,Tracker[Cover %],"&lt;"&amp;$AF12,Tracker[Bet Type],AL$2))/COUNTIFS(Tracker[Cover %],"&gt;="&amp;$AF11,Tracker[Cover %],"&lt;"&amp;$AF12,Tracker[Bet Type],AL$2),2)&lt;-0.15,"O","")),"")</f>
        <v/>
      </c>
      <c r="AM11" s="24" t="str">
        <f>IFERROR(IF(ROUND((SUMIFS(Tracker[Net],Tracker[Cover %],"&gt;="&amp;$AF11,Tracker[Cover %],"&lt;"&amp;$AF12,Tracker[Bet Type],AM$2))/COUNTIFS(Tracker[Cover %],"&gt;="&amp;$AF11,Tracker[Cover %],"&lt;"&amp;$AF12,Tracker[Bet Type],AM$2),2)&gt;0.05,"X",IF(ROUND((SUMIFS(Tracker[Net],Tracker[Cover %],"&gt;="&amp;$AF11,Tracker[Cover %],"&lt;"&amp;$AF12,Tracker[Bet Type],AM$2))/COUNTIFS(Tracker[Cover %],"&gt;="&amp;$AF11,Tracker[Cover %],"&lt;"&amp;$AF12,Tracker[Bet Type],AM$2),2)&lt;-0.15,"O","")),"")</f>
        <v>X</v>
      </c>
      <c r="AN11" s="24" t="str">
        <f>IFERROR(IF(ROUND((SUMIFS(Tracker[Net],Tracker[Cover %],"&gt;="&amp;$AF11,Tracker[Cover %],"&lt;"&amp;$AF12,Tracker[Bet Type Drill Down],AN$2))/COUNTIFS(Tracker[Cover %],"&gt;="&amp;$AF11,Tracker[Cover %],"&lt;"&amp;$AF12,Tracker[Bet Type Drill Down],AN$2),2)&gt;0.05,"X",IF(ROUND((SUMIFS(Tracker[Net],Tracker[Cover %],"&gt;="&amp;$AF11,Tracker[Cover %],"&lt;"&amp;$AF12,Tracker[Bet Type Drill Down],AN$2))/COUNTIFS(Tracker[Cover %],"&gt;="&amp;$AF11,Tracker[Cover %],"&lt;"&amp;$AF12,Tracker[Bet Type Drill Down],AN$2),2)&lt;-0.15,"O","")),"")</f>
        <v>X</v>
      </c>
      <c r="AO11" s="24" t="str">
        <f>IFERROR(IF(ROUND((SUMIFS(Tracker[Net],Tracker[Cover %],"&gt;="&amp;$AF11,Tracker[Cover %],"&lt;"&amp;$AF12,Tracker[Bet Type Drill Down],AO$2))/COUNTIFS(Tracker[Cover %],"&gt;="&amp;$AF11,Tracker[Cover %],"&lt;"&amp;$AF12,Tracker[Bet Type Drill Down],AO$2),2)&gt;0.05,"X",IF(ROUND((SUMIFS(Tracker[Net],Tracker[Cover %],"&gt;="&amp;$AF11,Tracker[Cover %],"&lt;"&amp;$AF12,Tracker[Bet Type Drill Down],AO$2))/COUNTIFS(Tracker[Cover %],"&gt;="&amp;$AF11,Tracker[Cover %],"&lt;"&amp;$AF12,Tracker[Bet Type Drill Down],AO$2),2)&lt;-0.15,"O","")),"")</f>
        <v>X</v>
      </c>
      <c r="AP11" s="24" t="str">
        <f>IFERROR(IF(ROUND((SUMIFS(Tracker[Net],Tracker[Cover %],"&gt;="&amp;$AF11,Tracker[Cover %],"&lt;"&amp;$AF12,Tracker[Bet Type Drill Down],AP$2))/COUNTIFS(Tracker[Cover %],"&gt;="&amp;$AF11,Tracker[Cover %],"&lt;"&amp;$AF12,Tracker[Bet Type Drill Down],AP$2),2)&gt;0.05,"X",IF(ROUND((SUMIFS(Tracker[Net],Tracker[Cover %],"&gt;="&amp;$AF11,Tracker[Cover %],"&lt;"&amp;$AF12,Tracker[Bet Type Drill Down],AP$2))/COUNTIFS(Tracker[Cover %],"&gt;="&amp;$AF11,Tracker[Cover %],"&lt;"&amp;$AF12,Tracker[Bet Type Drill Down],AP$2),2)&lt;-0.15,"O","")),"")</f>
        <v/>
      </c>
      <c r="AQ11" s="24" t="str">
        <f>IFERROR(IF(ROUND((SUMIFS(Tracker[Net],Tracker[Cover %],"&gt;="&amp;$AF11,Tracker[Cover %],"&lt;"&amp;$AF12,Tracker[Bet Type Drill Down],AQ$2))/COUNTIFS(Tracker[Cover %],"&gt;="&amp;$AF11,Tracker[Cover %],"&lt;"&amp;$AF12,Tracker[Bet Type Drill Down],AQ$2),2)&gt;0.05,"X",IF(ROUND((SUMIFS(Tracker[Net],Tracker[Cover %],"&gt;="&amp;$AF11,Tracker[Cover %],"&lt;"&amp;$AF12,Tracker[Bet Type Drill Down],AQ$2))/COUNTIFS(Tracker[Cover %],"&gt;="&amp;$AF11,Tracker[Cover %],"&lt;"&amp;$AF12,Tracker[Bet Type Drill Down],AQ$2),2)&lt;-0.15,"O","")),"")</f>
        <v/>
      </c>
      <c r="AT11" s="153">
        <f t="shared" si="1"/>
        <v>-0.5499999999999996</v>
      </c>
      <c r="AU11" s="39" t="str">
        <f t="shared" si="2"/>
        <v>-55  to  -50%</v>
      </c>
      <c r="AV11" t="str">
        <f>IFERROR(COUNTIFS(Tracker[Money Discrepency],"&gt;="&amp;AT11,Tracker[Money Discrepency],"&lt;"&amp;AT12,Tracker[Result],"W")&amp;"-"&amp;COUNTIFS(Tracker[Money Discrepency],"&gt;="&amp;AT11,Tracker[Money Discrepency],"&lt;"&amp;AT12,Tracker[Result],"L")&amp;"-"&amp;COUNTIFS(Tracker[Money Discrepency],"&gt;="&amp;AT11,Tracker[Money Discrepency],"&lt;"&amp;AT12,Tracker[Result],"Push")&amp;" ("&amp;ROUND(COUNTIFS(Tracker[Money Discrepency],"&gt;="&amp;AT11,Tracker[Money Discrepency],"&lt;"&amp;AT12,Tracker[Result],"W")/(COUNTIFS(Tracker[Money Discrepency],"&gt;="&amp;AT11,Tracker[Money Discrepency],"&lt;"&amp;AT12,Tracker[Result],"L")+COUNTIFS(Tracker[Money Discrepency],"&gt;="&amp;AT11,Tracker[Money Discrepency],"&lt;"&amp;AT12,Tracker[Result],"W"))*100,2)&amp;"%)","No Bets")</f>
        <v>0-1-0 (0%)</v>
      </c>
      <c r="AW11">
        <f>SUMIFS(Tracker[Net],Tracker[Money Discrepency],"&gt;="&amp;AT11,Tracker[Money Discrepency],"&lt;"&amp;AT12)</f>
        <v>-1</v>
      </c>
      <c r="AX11" s="24" t="str">
        <f>IFERROR(IF(ROUND((SUMIFS(Tracker[Net],Tracker[Money Discrepency],"&gt;="&amp;$AT11,Tracker[Money Discrepency],"&lt;"&amp;$AT12,Tracker[Bet Type],AX$1))/COUNTIFS(Tracker[Money Discrepency],"&gt;="&amp;$AT11,Tracker[Money Discrepency],"&lt;"&amp;$AT12,Tracker[Bet Type],AX$1),2)&gt;0.05,"X",IF(ROUND((SUMIFS(Tracker[Net],Tracker[Money Discrepency],"&gt;="&amp;$AT11,Tracker[Money Discrepency],"&lt;"&amp;$AT12,Tracker[Bet Type],AX$1))/COUNTIFS(Tracker[Money Discrepency],"&gt;="&amp;$AT11,Tracker[Money Discrepency],"&lt;"&amp;$AT12,Tracker[Bet Type],AX$1),2)&lt;-0.15,"O","")),"")</f>
        <v>O</v>
      </c>
      <c r="AY11" s="24" t="str">
        <f>IFERROR(IF(ROUND((SUMIFS(Tracker[Net],Tracker[Money Discrepency],"&gt;="&amp;$AT11,Tracker[Money Discrepency],"&lt;"&amp;$AT12,Tracker[Bet Type],AY$1))/COUNTIFS(Tracker[Money Discrepency],"&gt;="&amp;$AT11,Tracker[Money Discrepency],"&lt;"&amp;$AT12,Tracker[Bet Type],AY$1),2)&gt;0.05,"X",IF(ROUND((SUMIFS(Tracker[Net],Tracker[Money Discrepency],"&gt;="&amp;$AT11,Tracker[Money Discrepency],"&lt;"&amp;$AT12,Tracker[Bet Type],AY$1))/COUNTIFS(Tracker[Money Discrepency],"&gt;="&amp;$AT11,Tracker[Money Discrepency],"&lt;"&amp;$AT12,Tracker[Bet Type],AY$1),2)&lt;-0.15,"O","")),"")</f>
        <v/>
      </c>
      <c r="AZ11" s="24" t="str">
        <f>IFERROR(IF(ROUND((SUMIFS(Tracker[Net],Tracker[Money Discrepency],"&gt;="&amp;$AT11,Tracker[Money Discrepency],"&lt;"&amp;$AT12,Tracker[Bet Type],AZ$1))/COUNTIFS(Tracker[Money Discrepency],"&gt;="&amp;$AT11,Tracker[Money Discrepency],"&lt;"&amp;$AT12,Tracker[Bet Type],AZ$1),2)&gt;0.05,"X",IF(ROUND((SUMIFS(Tracker[Net],Tracker[Money Discrepency],"&gt;="&amp;$AT11,Tracker[Money Discrepency],"&lt;"&amp;$AT12,Tracker[Bet Type],AZ$1))/COUNTIFS(Tracker[Money Discrepency],"&gt;="&amp;$AT11,Tracker[Money Discrepency],"&lt;"&amp;$AT12,Tracker[Bet Type],AZ$1),2)&lt;-0.15,"O","")),"")</f>
        <v/>
      </c>
      <c r="BA11" s="24" t="str">
        <f>IFERROR(IF(ROUND((SUMIFS(Tracker[Net],Tracker[Money Discrepency],"&gt;="&amp;$AT11,Tracker[Money Discrepency],"&lt;"&amp;$AT12,Tracker[Bet Type],BA$1))/COUNTIFS(Tracker[Money Discrepency],"&gt;="&amp;$AT11,Tracker[Money Discrepency],"&lt;"&amp;$AT12,Tracker[Bet Type],BA$1),2)&gt;0.05,"X",IF(ROUND((SUMIFS(Tracker[Net],Tracker[Money Discrepency],"&gt;="&amp;$AT11,Tracker[Money Discrepency],"&lt;"&amp;$AT12,Tracker[Bet Type],BA$1))/COUNTIFS(Tracker[Money Discrepency],"&gt;="&amp;$AT11,Tracker[Money Discrepency],"&lt;"&amp;$AT12,Tracker[Bet Type],BA$1),2)&lt;-0.15,"O","")),"")</f>
        <v/>
      </c>
      <c r="BB11" s="24" t="str">
        <f>IFERROR(IF(ROUND((SUMIFS(Tracker[Net],Tracker[Money Discrepency],"&gt;="&amp;$AT11,Tracker[Money Discrepency],"&lt;"&amp;$AT12,Tracker[Bet Type Drill Down],BB$1))/COUNTIFS(Tracker[Money Discrepency],"&gt;="&amp;$AT11,Tracker[Money Discrepency],"&lt;"&amp;$AT12,Tracker[Bet Type Drill Down],BB$1),2)&gt;0.05,"X",IF(ROUND((SUMIFS(Tracker[Net],Tracker[Money Discrepency],"&gt;="&amp;$AT11,Tracker[Money Discrepency],"&lt;"&amp;$AT12,Tracker[Bet Type Drill Down],BB$1))/COUNTIFS(Tracker[Money Discrepency],"&gt;="&amp;$AT11,Tracker[Money Discrepency],"&lt;"&amp;$AT12,Tracker[Bet Type Drill Down],BB$1),2)&lt;-0.15,"O","")),"")</f>
        <v/>
      </c>
      <c r="BC11" s="24" t="str">
        <f>IFERROR(IF(ROUND((SUMIFS(Tracker[Net],Tracker[Money Discrepency],"&gt;="&amp;$AT11,Tracker[Money Discrepency],"&lt;"&amp;$AT12,Tracker[Bet Type Drill Down],BC$1))/COUNTIFS(Tracker[Money Discrepency],"&gt;="&amp;$AT11,Tracker[Money Discrepency],"&lt;"&amp;$AT12,Tracker[Bet Type Drill Down],BC$1),2)&gt;0.05,"X",IF(ROUND((SUMIFS(Tracker[Net],Tracker[Money Discrepency],"&gt;="&amp;$AT11,Tracker[Money Discrepency],"&lt;"&amp;$AT12,Tracker[Bet Type Drill Down],BC$1))/COUNTIFS(Tracker[Money Discrepency],"&gt;="&amp;$AT11,Tracker[Money Discrepency],"&lt;"&amp;$AT12,Tracker[Bet Type Drill Down],BC$1),2)&lt;-0.15,"O","")),"")</f>
        <v/>
      </c>
      <c r="BD11" s="24" t="str">
        <f>IFERROR(IF(ROUND((SUMIFS(Tracker[Net],Tracker[Money Discrepency],"&gt;="&amp;$AT11,Tracker[Money Discrepency],"&lt;"&amp;$AT12,Tracker[Bet Type Drill Down],BD$1))/COUNTIFS(Tracker[Money Discrepency],"&gt;="&amp;$AT11,Tracker[Money Discrepency],"&lt;"&amp;$AT12,Tracker[Bet Type Drill Down],BD$1),2)&gt;0.05,"X",IF(ROUND((SUMIFS(Tracker[Net],Tracker[Money Discrepency],"&gt;="&amp;$AT11,Tracker[Money Discrepency],"&lt;"&amp;$AT12,Tracker[Bet Type Drill Down],BD$1))/COUNTIFS(Tracker[Money Discrepency],"&gt;="&amp;$AT11,Tracker[Money Discrepency],"&lt;"&amp;$AT12,Tracker[Bet Type Drill Down],BD$1),2)&lt;-0.15,"O","")),"")</f>
        <v/>
      </c>
      <c r="BE11" s="24" t="str">
        <f>IFERROR(IF(ROUND((SUMIFS(Tracker[Net],Tracker[Money Discrepency],"&gt;="&amp;$AT11,Tracker[Money Discrepency],"&lt;"&amp;$AT12,Tracker[Bet Type Drill Down],BE$1))/COUNTIFS(Tracker[Money Discrepency],"&gt;="&amp;$AT11,Tracker[Money Discrepency],"&lt;"&amp;$AT12,Tracker[Bet Type Drill Down],BE$1),2)&gt;0.05,"X",IF(ROUND((SUMIFS(Tracker[Net],Tracker[Money Discrepency],"&gt;="&amp;$AT11,Tracker[Money Discrepency],"&lt;"&amp;$AT12,Tracker[Bet Type Drill Down],BE$1))/COUNTIFS(Tracker[Money Discrepency],"&gt;="&amp;$AT11,Tracker[Money Discrepency],"&lt;"&amp;$AT12,Tracker[Bet Type Drill Down],BE$1),2)&lt;-0.15,"O","")),"")</f>
        <v/>
      </c>
      <c r="BG11" s="153">
        <f t="shared" si="3"/>
        <v>0.44999999999999996</v>
      </c>
      <c r="BH11" s="154" t="str">
        <f t="shared" si="4"/>
        <v>45  to  50%</v>
      </c>
      <c r="BI11" t="str">
        <f>IFERROR(COUNTIFS(Tracker[Money %],"&gt;="&amp;BG11,Tracker[Money %],"&lt;"&amp;BG12,Tracker[Result],"W")&amp;"-"&amp;COUNTIFS(Tracker[Money %],"&gt;="&amp;BG11,Tracker[Money %],"&lt;"&amp;BG12,Tracker[Result],"L")&amp;"-"&amp;COUNTIFS(Tracker[Money %],"&gt;="&amp;BG11,Tracker[Money %],"&lt;"&amp;BG12,Tracker[Result],"Push")&amp;" ("&amp;ROUND(COUNTIFS(Tracker[Money %],"&gt;="&amp;BG11,Tracker[Money %],"&lt;"&amp;BG12,Tracker[Result],"W")/(COUNTIFS(Tracker[Money %],"&gt;="&amp;BG11,Tracker[Money %],"&lt;"&amp;BG12,Tracker[Result],"L")+COUNTIFS(Tracker[Money %],"&gt;="&amp;BG11,Tracker[Money %],"&lt;"&amp;BG12,Tracker[Result],"W"))*100,2)&amp;"%)","No Bets")</f>
        <v>4-3-1 (57.14%)</v>
      </c>
      <c r="BJ11">
        <f>SUMIFS(Tracker[Net],Tracker[Money %],"&gt;="&amp;BG11,Tracker[Money %],"&lt;"&amp;BG12)</f>
        <v>0.63636363636363646</v>
      </c>
      <c r="BK11" s="24" t="str">
        <f>IFERROR(IF(ROUND((SUMIFS(Tracker[Net],Tracker[Money %],"&gt;="&amp;$BG11,Tracker[Money %],"&lt;"&amp;$BG12,Tracker[Bet Type],BK$1))/COUNTIFS(Tracker[Money %],"&gt;="&amp;$BG11,Tracker[Money %],"&lt;"&amp;$BG12,Tracker[Bet Type],BK$1),2)&gt;0.05,"X",IF(ROUND((SUMIFS(Tracker[Net],Tracker[Money %],"&gt;="&amp;$BG11,Tracker[Money %],"&lt;"&amp;$BG12,Tracker[Bet Type],BK$1))/COUNTIFS(Tracker[Money %],"&gt;="&amp;$BG11,Tracker[Money %],"&lt;"&amp;$BG12,Tracker[Bet Type],BK$1),2)&lt;-0.15,"O","")),"")</f>
        <v>X</v>
      </c>
      <c r="BL11" s="24" t="str">
        <f>IFERROR(IF(ROUND((SUMIFS(Tracker[Net],Tracker[Money %],"&gt;="&amp;$BG11,Tracker[Money %],"&lt;"&amp;$BG12,Tracker[Bet Type],BL$1))/COUNTIFS(Tracker[Money %],"&gt;="&amp;$BG11,Tracker[Money %],"&lt;"&amp;$BG12,Tracker[Bet Type],BL$1),2)&gt;0.05,"X",IF(ROUND((SUMIFS(Tracker[Net],Tracker[Money %],"&gt;="&amp;$BG11,Tracker[Money %],"&lt;"&amp;$BG12,Tracker[Bet Type],BL$1))/COUNTIFS(Tracker[Money %],"&gt;="&amp;$BG11,Tracker[Money %],"&lt;"&amp;$BG12,Tracker[Bet Type],BL$1),2)&lt;-0.15,"O","")),"")</f>
        <v>O</v>
      </c>
      <c r="BM11" s="24" t="str">
        <f>IFERROR(IF(ROUND((SUMIFS(Tracker[Net],Tracker[Money %],"&gt;="&amp;$BG11,Tracker[Money %],"&lt;"&amp;$BG12,Tracker[Bet Type],BM$1))/COUNTIFS(Tracker[Money %],"&gt;="&amp;$BG11,Tracker[Money %],"&lt;"&amp;$BG12,Tracker[Bet Type],BM$1),2)&gt;0.05,"X",IF(ROUND((SUMIFS(Tracker[Net],Tracker[Money %],"&gt;="&amp;$BG11,Tracker[Money %],"&lt;"&amp;$BG12,Tracker[Bet Type],BM$1))/COUNTIFS(Tracker[Money %],"&gt;="&amp;$BG11,Tracker[Money %],"&lt;"&amp;$BG12,Tracker[Bet Type],BM$1),2)&lt;-0.15,"O","")),"")</f>
        <v>X</v>
      </c>
      <c r="BN11" s="24" t="str">
        <f>IFERROR(IF(ROUND((SUMIFS(Tracker[Net],Tracker[Money %],"&gt;="&amp;$BG11,Tracker[Money %],"&lt;"&amp;$BG12,Tracker[Bet Type],BN$1))/COUNTIFS(Tracker[Money %],"&gt;="&amp;$BG11,Tracker[Money %],"&lt;"&amp;$BG12,Tracker[Bet Type],BN$1),2)&gt;0.05,"X",IF(ROUND((SUMIFS(Tracker[Net],Tracker[Money %],"&gt;="&amp;$BG11,Tracker[Money %],"&lt;"&amp;$BG12,Tracker[Bet Type],BN$1))/COUNTIFS(Tracker[Money %],"&gt;="&amp;$BG11,Tracker[Money %],"&lt;"&amp;$BG12,Tracker[Bet Type],BN$1),2)&lt;-0.15,"O","")),"")</f>
        <v/>
      </c>
      <c r="BO11" s="24" t="str">
        <f>IFERROR(IF(ROUND((SUMIFS(Tracker[Net],Tracker[Money %],"&gt;="&amp;$BG11,Tracker[Money %],"&lt;"&amp;$BG12,Tracker[Bet Type Drill Down],BO$1))/COUNTIFS(Tracker[Money %],"&gt;="&amp;$BG11,Tracker[Money %],"&lt;"&amp;$BG12,Tracker[Bet Type Drill Down],BO$1),2)&gt;0.05,"X",IF(ROUND((SUMIFS(Tracker[Net],Tracker[Money %],"&gt;="&amp;$BG11,Tracker[Money %],"&lt;"&amp;$BG12,Tracker[Bet Type Drill Down],BO$1))/COUNTIFS(Tracker[Money %],"&gt;="&amp;$BG11,Tracker[Money %],"&lt;"&amp;$BG12,Tracker[Bet Type Drill Down],BO$1),2)&lt;-0.15,"O","")),"")</f>
        <v/>
      </c>
      <c r="BP11" s="24" t="str">
        <f>IFERROR(IF(ROUND((SUMIFS(Tracker[Net],Tracker[Money %],"&gt;="&amp;$BG11,Tracker[Money %],"&lt;"&amp;$BG12,Tracker[Bet Type Drill Down],BP$1))/COUNTIFS(Tracker[Money %],"&gt;="&amp;$BG11,Tracker[Money %],"&lt;"&amp;$BG12,Tracker[Bet Type Drill Down],BP$1),2)&gt;0.05,"X",IF(ROUND((SUMIFS(Tracker[Net],Tracker[Money %],"&gt;="&amp;$BG11,Tracker[Money %],"&lt;"&amp;$BG12,Tracker[Bet Type Drill Down],BP$1))/COUNTIFS(Tracker[Money %],"&gt;="&amp;$BG11,Tracker[Money %],"&lt;"&amp;$BG12,Tracker[Bet Type Drill Down],BP$1),2)&lt;-0.15,"O","")),"")</f>
        <v/>
      </c>
      <c r="BQ11" s="24" t="str">
        <f>IFERROR(IF(ROUND((SUMIFS(Tracker[Net],Tracker[Money %],"&gt;="&amp;$BG11,Tracker[Money %],"&lt;"&amp;$BG12,Tracker[Bet Type Drill Down],BQ$1))/COUNTIFS(Tracker[Money %],"&gt;="&amp;$BG11,Tracker[Money %],"&lt;"&amp;$BG12,Tracker[Bet Type Drill Down],BQ$1),2)&gt;0.05,"X",IF(ROUND((SUMIFS(Tracker[Net],Tracker[Money %],"&gt;="&amp;$BG11,Tracker[Money %],"&lt;"&amp;$BG12,Tracker[Bet Type Drill Down],BQ$1))/COUNTIFS(Tracker[Money %],"&gt;="&amp;$BG11,Tracker[Money %],"&lt;"&amp;$BG12,Tracker[Bet Type Drill Down],BQ$1),2)&lt;-0.15,"O","")),"")</f>
        <v>X</v>
      </c>
      <c r="BR11" s="24" t="str">
        <f>IFERROR(IF(ROUND((SUMIFS(Tracker[Net],Tracker[Money %],"&gt;="&amp;$BG11,Tracker[Money %],"&lt;"&amp;$BG12,Tracker[Bet Type Drill Down],BR$1))/COUNTIFS(Tracker[Money %],"&gt;="&amp;$BG11,Tracker[Money %],"&lt;"&amp;$BG12,Tracker[Bet Type Drill Down],BR$1),2)&gt;0.05,"X",IF(ROUND((SUMIFS(Tracker[Net],Tracker[Money %],"&gt;="&amp;$BG11,Tracker[Money %],"&lt;"&amp;$BG12,Tracker[Bet Type Drill Down],BR$1))/COUNTIFS(Tracker[Money %],"&gt;="&amp;$BG11,Tracker[Money %],"&lt;"&amp;$BG12,Tracker[Bet Type Drill Down],BR$1),2)&lt;-0.15,"O","")),"")</f>
        <v/>
      </c>
      <c r="BT11" s="153">
        <f t="shared" si="5"/>
        <v>0.44999999999999996</v>
      </c>
      <c r="BU11" s="154" t="str">
        <f t="shared" ref="BU11" si="17">ROUND(BT11*100,0)&amp;"  to  "&amp;ROUND(BT12*100,0)&amp;"%"</f>
        <v>45  to  50%</v>
      </c>
      <c r="BV11" t="str">
        <f>IFERROR(COUNTIFS(Tracker[Bet %],"&gt;="&amp;BT11,Tracker[Bet %],"&lt;"&amp;BT12,Tracker[Result],"W")&amp;"-"&amp;COUNTIFS(Tracker[Bet %],"&gt;="&amp;BT11,Tracker[Bet %],"&lt;"&amp;BT12,Tracker[Result],"L")&amp;"-"&amp;COUNTIFS(Tracker[Bet %],"&gt;="&amp;BT11,Tracker[Bet %],"&lt;"&amp;BT12,Tracker[Result],"Push")&amp;" ("&amp;ROUND(COUNTIFS(Tracker[Bet %],"&gt;="&amp;BT11,Tracker[Bet %],"&lt;"&amp;BT12,Tracker[Result],"W")/(COUNTIFS(Tracker[Bet %],"&gt;="&amp;BT11,Tracker[Bet %],"&lt;"&amp;BT12,Tracker[Result],"L")+COUNTIFS(Tracker[Bet %],"&gt;="&amp;BT11,Tracker[Bet %],"&lt;"&amp;BT12,Tracker[Result],"W"))*100,2)&amp;"%)","No Bets")</f>
        <v>10-5-1 (66.67%)</v>
      </c>
      <c r="BW11">
        <f>SUMIFS(Tracker[Net],Tracker[Bet %],"&gt;="&amp;BT11,Tracker[Bet %],"&lt;"&amp;BT12)</f>
        <v>4.0909090909090908</v>
      </c>
      <c r="BX11" s="24" t="str">
        <f>IFERROR(IF(ROUND((SUMIFS(Tracker[Net],Tracker[Bet %],"&gt;="&amp;$BG11,Tracker[Bet %],"&lt;"&amp;$BG12,Tracker[Bet Type],BX$1))/COUNTIFS(Tracker[Bet %],"&gt;="&amp;$BG11,Tracker[Bet %],"&lt;"&amp;$BG12,Tracker[Bet Type],BX$1),2)&gt;0.05,"X",IF(ROUND((SUMIFS(Tracker[Net],Tracker[Bet %],"&gt;="&amp;$BG11,Tracker[Bet %],"&lt;"&amp;$BG12,Tracker[Bet Type],BX$1))/COUNTIFS(Tracker[Bet %],"&gt;="&amp;$BG11,Tracker[Bet %],"&lt;"&amp;$BG12,Tracker[Bet Type],BX$1),2)&lt;-0.15,"O","")),"")</f>
        <v>X</v>
      </c>
      <c r="BY11" s="24" t="str">
        <f>IFERROR(IF(ROUND((SUMIFS(Tracker[Net],Tracker[Bet %],"&gt;="&amp;$BG11,Tracker[Bet %],"&lt;"&amp;$BG12,Tracker[Bet Type],BY$1))/COUNTIFS(Tracker[Bet %],"&gt;="&amp;$BG11,Tracker[Bet %],"&lt;"&amp;$BG12,Tracker[Bet Type],BY$1),2)&gt;0.05,"X",IF(ROUND((SUMIFS(Tracker[Net],Tracker[Bet %],"&gt;="&amp;$BG11,Tracker[Bet %],"&lt;"&amp;$BG12,Tracker[Bet Type],BY$1))/COUNTIFS(Tracker[Bet %],"&gt;="&amp;$BG11,Tracker[Bet %],"&lt;"&amp;$BG12,Tracker[Bet Type],BY$1),2)&lt;-0.15,"O","")),"")</f>
        <v>X</v>
      </c>
      <c r="BZ11" s="24" t="str">
        <f>IFERROR(IF(ROUND((SUMIFS(Tracker[Net],Tracker[Bet %],"&gt;="&amp;$BG11,Tracker[Bet %],"&lt;"&amp;$BG12,Tracker[Bet Type],BZ$1))/COUNTIFS(Tracker[Bet %],"&gt;="&amp;$BG11,Tracker[Bet %],"&lt;"&amp;$BG12,Tracker[Bet Type],BZ$1),2)&gt;0.05,"X",IF(ROUND((SUMIFS(Tracker[Net],Tracker[Bet %],"&gt;="&amp;$BG11,Tracker[Bet %],"&lt;"&amp;$BG12,Tracker[Bet Type],BZ$1))/COUNTIFS(Tracker[Bet %],"&gt;="&amp;$BG11,Tracker[Bet %],"&lt;"&amp;$BG12,Tracker[Bet Type],BZ$1),2)&lt;-0.15,"O","")),"")</f>
        <v>X</v>
      </c>
      <c r="CA11" s="24" t="str">
        <f>IFERROR(IF(ROUND((SUMIFS(Tracker[Net],Tracker[Bet %],"&gt;="&amp;$BG11,Tracker[Bet %],"&lt;"&amp;$BG12,Tracker[Bet Type],CA$1))/COUNTIFS(Tracker[Bet %],"&gt;="&amp;$BG11,Tracker[Bet %],"&lt;"&amp;$BG12,Tracker[Bet Type],CA$1),2)&gt;0.05,"X",IF(ROUND((SUMIFS(Tracker[Net],Tracker[Bet %],"&gt;="&amp;$BG11,Tracker[Bet %],"&lt;"&amp;$BG12,Tracker[Bet Type],CA$1))/COUNTIFS(Tracker[Bet %],"&gt;="&amp;$BG11,Tracker[Bet %],"&lt;"&amp;$BG12,Tracker[Bet Type],CA$1),2)&lt;-0.15,"O","")),"")</f>
        <v>O</v>
      </c>
      <c r="CB11" s="24" t="str">
        <f>IFERROR(IF(ROUND((SUMIFS(Tracker[Net],Tracker[Bet %],"&gt;="&amp;$BG11,Tracker[Bet %],"&lt;"&amp;$BG12,Tracker[Bet Type Drill Down],CB$1))/COUNTIFS(Tracker[Bet %],"&gt;="&amp;$BG11,Tracker[Bet %],"&lt;"&amp;$BG12,Tracker[Bet Type Drill Down],CB$1),2)&gt;0.05,"X",IF(ROUND((SUMIFS(Tracker[Net],Tracker[Bet %],"&gt;="&amp;$BG11,Tracker[Bet %],"&lt;"&amp;$BG12,Tracker[Bet Type Drill Down],CB$1))/COUNTIFS(Tracker[Bet %],"&gt;="&amp;$BG11,Tracker[Bet %],"&lt;"&amp;$BG12,Tracker[Bet Type Drill Down],CB$1),2)&lt;-0.15,"O","")),"")</f>
        <v>O</v>
      </c>
      <c r="CC11" s="24" t="str">
        <f>IFERROR(IF(ROUND((SUMIFS(Tracker[Net],Tracker[Bet %],"&gt;="&amp;$BG11,Tracker[Bet %],"&lt;"&amp;$BG12,Tracker[Bet Type Drill Down],CC$1))/COUNTIFS(Tracker[Bet %],"&gt;="&amp;$BG11,Tracker[Bet %],"&lt;"&amp;$BG12,Tracker[Bet Type Drill Down],CC$1),2)&gt;0.05,"X",IF(ROUND((SUMIFS(Tracker[Net],Tracker[Bet %],"&gt;="&amp;$BG11,Tracker[Bet %],"&lt;"&amp;$BG12,Tracker[Bet Type Drill Down],CC$1))/COUNTIFS(Tracker[Bet %],"&gt;="&amp;$BG11,Tracker[Bet %],"&lt;"&amp;$BG12,Tracker[Bet Type Drill Down],CC$1),2)&lt;-0.15,"O","")),"")</f>
        <v/>
      </c>
      <c r="CD11" s="24" t="str">
        <f>IFERROR(IF(ROUND((SUMIFS(Tracker[Net],Tracker[Bet %],"&gt;="&amp;$BG11,Tracker[Bet %],"&lt;"&amp;$BG12,Tracker[Bet Type Drill Down],CD$1))/COUNTIFS(Tracker[Bet %],"&gt;="&amp;$BG11,Tracker[Bet %],"&lt;"&amp;$BG12,Tracker[Bet Type Drill Down],CD$1),2)&gt;0.05,"X",IF(ROUND((SUMIFS(Tracker[Net],Tracker[Bet %],"&gt;="&amp;$BG11,Tracker[Bet %],"&lt;"&amp;$BG12,Tracker[Bet Type Drill Down],CD$1))/COUNTIFS(Tracker[Bet %],"&gt;="&amp;$BG11,Tracker[Bet %],"&lt;"&amp;$BG12,Tracker[Bet Type Drill Down],CD$1),2)&lt;-0.15,"O","")),"")</f>
        <v>X</v>
      </c>
      <c r="CE11" s="24" t="str">
        <f>IFERROR(IF(ROUND((SUMIFS(Tracker[Net],Tracker[Bet %],"&gt;="&amp;$BG11,Tracker[Bet %],"&lt;"&amp;$BG12,Tracker[Bet Type Drill Down],CE$1))/COUNTIFS(Tracker[Bet %],"&gt;="&amp;$BG11,Tracker[Bet %],"&lt;"&amp;$BG12,Tracker[Bet Type Drill Down],CE$1),2)&gt;0.05,"X",IF(ROUND((SUMIFS(Tracker[Net],Tracker[Bet %],"&gt;="&amp;$BG11,Tracker[Bet %],"&lt;"&amp;$BG12,Tracker[Bet Type Drill Down],CE$1))/COUNTIFS(Tracker[Bet %],"&gt;="&amp;$BG11,Tracker[Bet %],"&lt;"&amp;$BG12,Tracker[Bet Type Drill Down],CE$1),2)&lt;-0.15,"O","")),"")</f>
        <v/>
      </c>
    </row>
    <row r="12" spans="1:83" x14ac:dyDescent="0.25">
      <c r="A12" s="36">
        <f t="shared" si="9"/>
        <v>1</v>
      </c>
      <c r="B12" s="25">
        <v>43796</v>
      </c>
      <c r="C12" s="25" t="str">
        <f t="shared" si="7"/>
        <v>NBA</v>
      </c>
      <c r="D12" s="26" t="s">
        <v>785</v>
      </c>
      <c r="E12" s="27" t="s">
        <v>786</v>
      </c>
      <c r="F12" s="67">
        <v>0.62194139616454391</v>
      </c>
      <c r="G12" s="29">
        <v>-110</v>
      </c>
      <c r="H12" s="30" t="s">
        <v>56</v>
      </c>
      <c r="I12" s="44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2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12" s="32" t="str">
        <f>MID(Tracker[[#This Row],[Game]],SEARCH("@",Tracker[[#This Row],[Game]])+2,LEN(Tracker[[#This Row],[Game]]))</f>
        <v>Bucks</v>
      </c>
      <c r="L12" s="32" t="str">
        <f>LEFT(Tracker[[#This Row],[Game]],SEARCH("@",Tracker[[#This Row],[Game]])-2)</f>
        <v>Hawks</v>
      </c>
      <c r="M1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12" s="123"/>
      <c r="O12" s="147"/>
      <c r="P12" s="147"/>
      <c r="Q12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2" s="147" t="e">
        <f>IF(AND(Tracker[[#This Row],[Money %]]&lt;&gt;"",Tracker[[#This Row],[Bet %]]&lt;&gt;""),Tracker[[#This Row],[Money %]]-Tracker[[#This Row],[Bet %]],NA())</f>
        <v>#N/A</v>
      </c>
      <c r="S12" s="109"/>
      <c r="T12" s="109"/>
      <c r="U12" s="56">
        <f>IFERROR(INDEX($A$4:$B10008,MATCH(ROW()-3,$A$4:$A$4:$A1008,0),2),0)</f>
        <v>43816</v>
      </c>
      <c r="V12" s="33" t="str">
        <f>COUNTIFS(Tracker[Date],U12,Tracker[Result],"W")&amp;"-"&amp;COUNTIFS(Tracker[Date],U12,Tracker[Result],"L")&amp;IF(COUNTIFS(Tracker[Date],U12,Tracker[Result],"Push")&gt;0,"-"&amp;COUNTIFS(Tracker[Date],U12,Tracker[Result],"Push"),"")</f>
        <v>0-5</v>
      </c>
      <c r="W12" s="34">
        <f>IFERROR(COUNTIFS(Tracker[Date],U12,Tracker[Result],"W")/(COUNTIFS(Tracker[Date],U12,Tracker[Result],"W")+COUNTIFS(Tracker[Date],U12,Tracker[Result],"L")),"")</f>
        <v>0</v>
      </c>
      <c r="X12" s="61">
        <f>SUMIF(Tracker[Date],U12,Tracker[Net])</f>
        <v>-5</v>
      </c>
      <c r="Y12" s="35" t="str">
        <f>IFERROR("("&amp;ROUND(SUMIF(Tracker[Date],U12,Tracker[Net])/COUNTIF(Tracker[Date],U12),2)*100&amp;"%)","")</f>
        <v>(-100%)</v>
      </c>
      <c r="Z12" s="99" t="s">
        <v>1207</v>
      </c>
      <c r="AA12" s="37" t="s">
        <v>1211</v>
      </c>
      <c r="AB12" s="24" t="str">
        <f>IFERROR(COUNTIFS(Tracker[Bet Type Drill Down],Z12,Tracker[Result],"W",Tracker[Confidence],"&gt;="&amp;$AB$2,Tracker[Confidence],"&lt;="&amp;$AC$2)&amp;"-"&amp;COUNTIFS(Tracker[Bet Type Drill Down],Z12,Tracker[Result],"L",Tracker[Confidence],"&gt;="&amp;$AB$2,Tracker[Confidence],"&lt;="&amp;$AC$2)&amp;IF(COUNTIFS(Tracker[Bet Type Drill Down],Z12,Tracker[Result],"Push",Tracker[Confidence],"&gt;="&amp;$AB$2,Tracker[Confidence],"&lt;="&amp;$AC$2)&gt;0,"-"&amp;COUNTIFS(Tracker[Bet Type Drill Down],Z12,Tracker[Result],"Push",Tracker[Confidence],"&gt;="&amp;$AB$2,Tracker[Confidence],"&lt;="&amp;$AC$2),"")&amp;" ("&amp;ROUND(COUNTIFS(Tracker[Bet Type Drill Down],Z12,Tracker[Result],"W",Tracker[Confidence],"&gt;="&amp;$AB$2,Tracker[Confidence],"&lt;="&amp;$AC$2)/(COUNTIFS(Tracker[Bet Type Drill Down],Z12,Tracker[Result],"W",Tracker[Confidence],"&gt;="&amp;$AB$2,Tracker[Confidence],"&lt;="&amp;$AC$2)+COUNTIFS(Tracker[Bet Type Drill Down],Z12,Tracker[Result],"L",Tracker[Confidence],"&gt;="&amp;$AB$2,Tracker[Confidence],"&lt;="&amp;$AC$2))*100,1)&amp;"%)","No Bets")</f>
        <v>2-1 (66.7%)</v>
      </c>
      <c r="AC12" s="64">
        <f>SUMIFS(Tracker[Net],Tracker[Bet Type Drill Down],Z12,Tracker[Confidence],"&gt;="&amp;$AB$2,Tracker[Confidence],"&lt;="&amp;$AC$2)</f>
        <v>0.81818181818181812</v>
      </c>
      <c r="AD12" s="38" t="str">
        <f>IFERROR("("&amp;ROUND((SUMIFS(Tracker[Net],Tracker[Bet Type Drill Down],Z12,Tracker[Confidence],"&gt;="&amp;$AB$2,Tracker[Confidence],"&lt;="&amp;$AC$2))/COUNTIFS(Tracker[Bet Type Drill Down],Z12,Tracker[Confidence],"&gt;="&amp;$AB$2,Tracker[Confidence],"&lt;="&amp;$AC$2),2)*100&amp;"%)","")</f>
        <v>(27%)</v>
      </c>
      <c r="AF12" s="36">
        <f t="shared" si="11"/>
        <v>0.44999999999999996</v>
      </c>
      <c r="AG12" s="66" t="str">
        <f t="shared" si="0"/>
        <v>45-50%</v>
      </c>
      <c r="AH12" s="124" t="str">
        <f>IFERROR(COUNTIFS(Tracker[Cover %],"&gt;="&amp;AF12,Tracker[Cover %],"&lt;"&amp;AF13,Tracker[Result],"W")&amp;"-"&amp;COUNTIFS(Tracker[Cover %],"&gt;="&amp;AF12,Tracker[Cover %],"&lt;"&amp;AF13,Tracker[Result],"L")&amp;"-"&amp;COUNTIFS(Tracker[Cover %],"&gt;="&amp;AF12,Tracker[Cover %],"&lt;"&amp;AF13,Tracker[Result],"Push")&amp;" ("&amp;ROUND(COUNTIFS(Tracker[Cover %],"&gt;="&amp;AF12,Tracker[Cover %],"&lt;"&amp;AF13,Tracker[Result],"W")/(COUNTIFS(Tracker[Cover %],"&gt;="&amp;AF12,Tracker[Cover %],"&lt;"&amp;AF13,Tracker[Result],"L")+COUNTIFS(Tracker[Cover %],"&gt;="&amp;AF12,Tracker[Cover %],"&lt;"&amp;AF13,Tracker[Result],"W"))*100,2)&amp;"%)","No Bets")</f>
        <v>37-35-2 (51.39%)</v>
      </c>
      <c r="AI12" s="72">
        <f>SUMIFS(Tracker[Net],Tracker[Cover %],"&gt;="&amp;AF12,Tracker[Cover %],"&lt;"&amp;AF13)</f>
        <v>-1.3636363636363618</v>
      </c>
      <c r="AJ12" s="24" t="str">
        <f>IFERROR(IF(ROUND((SUMIFS(Tracker[Net],Tracker[Cover %],"&gt;="&amp;$AF12,Tracker[Cover %],"&lt;"&amp;$AF13,Tracker[Bet Type],AJ$2))/COUNTIFS(Tracker[Cover %],"&gt;="&amp;$AF12,Tracker[Cover %],"&lt;"&amp;$AF13,Tracker[Bet Type],AJ$2),2)&gt;0.05,"X",IF(ROUND((SUMIFS(Tracker[Net],Tracker[Cover %],"&gt;="&amp;$AF12,Tracker[Cover %],"&lt;"&amp;$AF13,Tracker[Bet Type],AJ$2))/COUNTIFS(Tracker[Cover %],"&gt;="&amp;$AF12,Tracker[Cover %],"&lt;"&amp;$AF13,Tracker[Bet Type],AJ$2),2)&lt;-0.15,"O","")),"")</f>
        <v/>
      </c>
      <c r="AK12" s="24" t="str">
        <f>IFERROR(IF(ROUND((SUMIFS(Tracker[Net],Tracker[Cover %],"&gt;="&amp;$AF12,Tracker[Cover %],"&lt;"&amp;$AF13,Tracker[Bet Type],AK$2))/COUNTIFS(Tracker[Cover %],"&gt;="&amp;$AF12,Tracker[Cover %],"&lt;"&amp;$AF13,Tracker[Bet Type],AK$2),2)&gt;0.05,"X",IF(ROUND((SUMIFS(Tracker[Net],Tracker[Cover %],"&gt;="&amp;$AF12,Tracker[Cover %],"&lt;"&amp;$AF13,Tracker[Bet Type],AK$2))/COUNTIFS(Tracker[Cover %],"&gt;="&amp;$AF12,Tracker[Cover %],"&lt;"&amp;$AF13,Tracker[Bet Type],AK$2),2)&lt;-0.15,"O","")),"")</f>
        <v/>
      </c>
      <c r="AL12" s="24" t="str">
        <f>IFERROR(IF(ROUND((SUMIFS(Tracker[Net],Tracker[Cover %],"&gt;="&amp;$AF12,Tracker[Cover %],"&lt;"&amp;$AF13,Tracker[Bet Type],AL$2))/COUNTIFS(Tracker[Cover %],"&gt;="&amp;$AF12,Tracker[Cover %],"&lt;"&amp;$AF13,Tracker[Bet Type],AL$2),2)&gt;0.05,"X",IF(ROUND((SUMIFS(Tracker[Net],Tracker[Cover %],"&gt;="&amp;$AF12,Tracker[Cover %],"&lt;"&amp;$AF13,Tracker[Bet Type],AL$2))/COUNTIFS(Tracker[Cover %],"&gt;="&amp;$AF12,Tracker[Cover %],"&lt;"&amp;$AF13,Tracker[Bet Type],AL$2),2)&lt;-0.15,"O","")),"")</f>
        <v>X</v>
      </c>
      <c r="AM12" s="24" t="str">
        <f>IFERROR(IF(ROUND((SUMIFS(Tracker[Net],Tracker[Cover %],"&gt;="&amp;$AF12,Tracker[Cover %],"&lt;"&amp;$AF13,Tracker[Bet Type],AM$2))/COUNTIFS(Tracker[Cover %],"&gt;="&amp;$AF12,Tracker[Cover %],"&lt;"&amp;$AF13,Tracker[Bet Type],AM$2),2)&gt;0.05,"X",IF(ROUND((SUMIFS(Tracker[Net],Tracker[Cover %],"&gt;="&amp;$AF12,Tracker[Cover %],"&lt;"&amp;$AF13,Tracker[Bet Type],AM$2))/COUNTIFS(Tracker[Cover %],"&gt;="&amp;$AF12,Tracker[Cover %],"&lt;"&amp;$AF13,Tracker[Bet Type],AM$2),2)&lt;-0.15,"O","")),"")</f>
        <v/>
      </c>
      <c r="AN12" s="24" t="str">
        <f>IFERROR(IF(ROUND((SUMIFS(Tracker[Net],Tracker[Cover %],"&gt;="&amp;$AF12,Tracker[Cover %],"&lt;"&amp;$AF13,Tracker[Bet Type Drill Down],AN$2))/COUNTIFS(Tracker[Cover %],"&gt;="&amp;$AF12,Tracker[Cover %],"&lt;"&amp;$AF13,Tracker[Bet Type Drill Down],AN$2),2)&gt;0.05,"X",IF(ROUND((SUMIFS(Tracker[Net],Tracker[Cover %],"&gt;="&amp;$AF12,Tracker[Cover %],"&lt;"&amp;$AF13,Tracker[Bet Type Drill Down],AN$2))/COUNTIFS(Tracker[Cover %],"&gt;="&amp;$AF12,Tracker[Cover %],"&lt;"&amp;$AF13,Tracker[Bet Type Drill Down],AN$2),2)&lt;-0.15,"O","")),"")</f>
        <v/>
      </c>
      <c r="AO12" s="24" t="str">
        <f>IFERROR(IF(ROUND((SUMIFS(Tracker[Net],Tracker[Cover %],"&gt;="&amp;$AF12,Tracker[Cover %],"&lt;"&amp;$AF13,Tracker[Bet Type Drill Down],AO$2))/COUNTIFS(Tracker[Cover %],"&gt;="&amp;$AF12,Tracker[Cover %],"&lt;"&amp;$AF13,Tracker[Bet Type Drill Down],AO$2),2)&gt;0.05,"X",IF(ROUND((SUMIFS(Tracker[Net],Tracker[Cover %],"&gt;="&amp;$AF12,Tracker[Cover %],"&lt;"&amp;$AF13,Tracker[Bet Type Drill Down],AO$2))/COUNTIFS(Tracker[Cover %],"&gt;="&amp;$AF12,Tracker[Cover %],"&lt;"&amp;$AF13,Tracker[Bet Type Drill Down],AO$2),2)&lt;-0.15,"O","")),"")</f>
        <v/>
      </c>
      <c r="AP12" s="24" t="str">
        <f>IFERROR(IF(ROUND((SUMIFS(Tracker[Net],Tracker[Cover %],"&gt;="&amp;$AF12,Tracker[Cover %],"&lt;"&amp;$AF13,Tracker[Bet Type Drill Down],AP$2))/COUNTIFS(Tracker[Cover %],"&gt;="&amp;$AF12,Tracker[Cover %],"&lt;"&amp;$AF13,Tracker[Bet Type Drill Down],AP$2),2)&gt;0.05,"X",IF(ROUND((SUMIFS(Tracker[Net],Tracker[Cover %],"&gt;="&amp;$AF12,Tracker[Cover %],"&lt;"&amp;$AF13,Tracker[Bet Type Drill Down],AP$2))/COUNTIFS(Tracker[Cover %],"&gt;="&amp;$AF12,Tracker[Cover %],"&lt;"&amp;$AF13,Tracker[Bet Type Drill Down],AP$2),2)&lt;-0.15,"O","")),"")</f>
        <v/>
      </c>
      <c r="AQ12" s="24" t="str">
        <f>IFERROR(IF(ROUND((SUMIFS(Tracker[Net],Tracker[Cover %],"&gt;="&amp;$AF12,Tracker[Cover %],"&lt;"&amp;$AF13,Tracker[Bet Type Drill Down],AQ$2))/COUNTIFS(Tracker[Cover %],"&gt;="&amp;$AF12,Tracker[Cover %],"&lt;"&amp;$AF13,Tracker[Bet Type Drill Down],AQ$2),2)&gt;0.05,"X",IF(ROUND((SUMIFS(Tracker[Net],Tracker[Cover %],"&gt;="&amp;$AF12,Tracker[Cover %],"&lt;"&amp;$AF13,Tracker[Bet Type Drill Down],AQ$2))/COUNTIFS(Tracker[Cover %],"&gt;="&amp;$AF12,Tracker[Cover %],"&lt;"&amp;$AF13,Tracker[Bet Type Drill Down],AQ$2),2)&lt;-0.15,"O","")),"")</f>
        <v>X</v>
      </c>
      <c r="AT12" s="153">
        <f t="shared" si="1"/>
        <v>-0.49999999999999961</v>
      </c>
      <c r="AU12" s="39" t="str">
        <f t="shared" si="2"/>
        <v>-50  to  -45%</v>
      </c>
      <c r="AV12" t="str">
        <f>IFERROR(COUNTIFS(Tracker[Money Discrepency],"&gt;="&amp;AT12,Tracker[Money Discrepency],"&lt;"&amp;AT13,Tracker[Result],"W")&amp;"-"&amp;COUNTIFS(Tracker[Money Discrepency],"&gt;="&amp;AT12,Tracker[Money Discrepency],"&lt;"&amp;AT13,Tracker[Result],"L")&amp;"-"&amp;COUNTIFS(Tracker[Money Discrepency],"&gt;="&amp;AT12,Tracker[Money Discrepency],"&lt;"&amp;AT13,Tracker[Result],"Push")&amp;" ("&amp;ROUND(COUNTIFS(Tracker[Money Discrepency],"&gt;="&amp;AT12,Tracker[Money Discrepency],"&lt;"&amp;AT13,Tracker[Result],"W")/(COUNTIFS(Tracker[Money Discrepency],"&gt;="&amp;AT12,Tracker[Money Discrepency],"&lt;"&amp;AT13,Tracker[Result],"L")+COUNTIFS(Tracker[Money Discrepency],"&gt;="&amp;AT12,Tracker[Money Discrepency],"&lt;"&amp;AT13,Tracker[Result],"W"))*100,2)&amp;"%)","No Bets")</f>
        <v>No Bets</v>
      </c>
      <c r="AW12">
        <f>SUMIFS(Tracker[Net],Tracker[Money Discrepency],"&gt;="&amp;AT12,Tracker[Money Discrepency],"&lt;"&amp;AT13)</f>
        <v>0</v>
      </c>
      <c r="AX12" s="24" t="str">
        <f>IFERROR(IF(ROUND((SUMIFS(Tracker[Net],Tracker[Money Discrepency],"&gt;="&amp;$AT12,Tracker[Money Discrepency],"&lt;"&amp;$AT13,Tracker[Bet Type],AX$1))/COUNTIFS(Tracker[Money Discrepency],"&gt;="&amp;$AT12,Tracker[Money Discrepency],"&lt;"&amp;$AT13,Tracker[Bet Type],AX$1),2)&gt;0.05,"X",IF(ROUND((SUMIFS(Tracker[Net],Tracker[Money Discrepency],"&gt;="&amp;$AT12,Tracker[Money Discrepency],"&lt;"&amp;$AT13,Tracker[Bet Type],AX$1))/COUNTIFS(Tracker[Money Discrepency],"&gt;="&amp;$AT12,Tracker[Money Discrepency],"&lt;"&amp;$AT13,Tracker[Bet Type],AX$1),2)&lt;-0.15,"O","")),"")</f>
        <v/>
      </c>
      <c r="AY12" s="24" t="str">
        <f>IFERROR(IF(ROUND((SUMIFS(Tracker[Net],Tracker[Money Discrepency],"&gt;="&amp;$AT12,Tracker[Money Discrepency],"&lt;"&amp;$AT13,Tracker[Bet Type],AY$1))/COUNTIFS(Tracker[Money Discrepency],"&gt;="&amp;$AT12,Tracker[Money Discrepency],"&lt;"&amp;$AT13,Tracker[Bet Type],AY$1),2)&gt;0.05,"X",IF(ROUND((SUMIFS(Tracker[Net],Tracker[Money Discrepency],"&gt;="&amp;$AT12,Tracker[Money Discrepency],"&lt;"&amp;$AT13,Tracker[Bet Type],AY$1))/COUNTIFS(Tracker[Money Discrepency],"&gt;="&amp;$AT12,Tracker[Money Discrepency],"&lt;"&amp;$AT13,Tracker[Bet Type],AY$1),2)&lt;-0.15,"O","")),"")</f>
        <v/>
      </c>
      <c r="AZ12" s="24" t="str">
        <f>IFERROR(IF(ROUND((SUMIFS(Tracker[Net],Tracker[Money Discrepency],"&gt;="&amp;$AT12,Tracker[Money Discrepency],"&lt;"&amp;$AT13,Tracker[Bet Type],AZ$1))/COUNTIFS(Tracker[Money Discrepency],"&gt;="&amp;$AT12,Tracker[Money Discrepency],"&lt;"&amp;$AT13,Tracker[Bet Type],AZ$1),2)&gt;0.05,"X",IF(ROUND((SUMIFS(Tracker[Net],Tracker[Money Discrepency],"&gt;="&amp;$AT12,Tracker[Money Discrepency],"&lt;"&amp;$AT13,Tracker[Bet Type],AZ$1))/COUNTIFS(Tracker[Money Discrepency],"&gt;="&amp;$AT12,Tracker[Money Discrepency],"&lt;"&amp;$AT13,Tracker[Bet Type],AZ$1),2)&lt;-0.15,"O","")),"")</f>
        <v/>
      </c>
      <c r="BA12" s="24" t="str">
        <f>IFERROR(IF(ROUND((SUMIFS(Tracker[Net],Tracker[Money Discrepency],"&gt;="&amp;$AT12,Tracker[Money Discrepency],"&lt;"&amp;$AT13,Tracker[Bet Type],BA$1))/COUNTIFS(Tracker[Money Discrepency],"&gt;="&amp;$AT12,Tracker[Money Discrepency],"&lt;"&amp;$AT13,Tracker[Bet Type],BA$1),2)&gt;0.05,"X",IF(ROUND((SUMIFS(Tracker[Net],Tracker[Money Discrepency],"&gt;="&amp;$AT12,Tracker[Money Discrepency],"&lt;"&amp;$AT13,Tracker[Bet Type],BA$1))/COUNTIFS(Tracker[Money Discrepency],"&gt;="&amp;$AT12,Tracker[Money Discrepency],"&lt;"&amp;$AT13,Tracker[Bet Type],BA$1),2)&lt;-0.15,"O","")),"")</f>
        <v/>
      </c>
      <c r="BB12" s="24" t="str">
        <f>IFERROR(IF(ROUND((SUMIFS(Tracker[Net],Tracker[Money Discrepency],"&gt;="&amp;$AT12,Tracker[Money Discrepency],"&lt;"&amp;$AT13,Tracker[Bet Type Drill Down],BB$1))/COUNTIFS(Tracker[Money Discrepency],"&gt;="&amp;$AT12,Tracker[Money Discrepency],"&lt;"&amp;$AT13,Tracker[Bet Type Drill Down],BB$1),2)&gt;0.05,"X",IF(ROUND((SUMIFS(Tracker[Net],Tracker[Money Discrepency],"&gt;="&amp;$AT12,Tracker[Money Discrepency],"&lt;"&amp;$AT13,Tracker[Bet Type Drill Down],BB$1))/COUNTIFS(Tracker[Money Discrepency],"&gt;="&amp;$AT12,Tracker[Money Discrepency],"&lt;"&amp;$AT13,Tracker[Bet Type Drill Down],BB$1),2)&lt;-0.15,"O","")),"")</f>
        <v/>
      </c>
      <c r="BC12" s="24" t="str">
        <f>IFERROR(IF(ROUND((SUMIFS(Tracker[Net],Tracker[Money Discrepency],"&gt;="&amp;$AT12,Tracker[Money Discrepency],"&lt;"&amp;$AT13,Tracker[Bet Type Drill Down],BC$1))/COUNTIFS(Tracker[Money Discrepency],"&gt;="&amp;$AT12,Tracker[Money Discrepency],"&lt;"&amp;$AT13,Tracker[Bet Type Drill Down],BC$1),2)&gt;0.05,"X",IF(ROUND((SUMIFS(Tracker[Net],Tracker[Money Discrepency],"&gt;="&amp;$AT12,Tracker[Money Discrepency],"&lt;"&amp;$AT13,Tracker[Bet Type Drill Down],BC$1))/COUNTIFS(Tracker[Money Discrepency],"&gt;="&amp;$AT12,Tracker[Money Discrepency],"&lt;"&amp;$AT13,Tracker[Bet Type Drill Down],BC$1),2)&lt;-0.15,"O","")),"")</f>
        <v/>
      </c>
      <c r="BD12" s="24" t="str">
        <f>IFERROR(IF(ROUND((SUMIFS(Tracker[Net],Tracker[Money Discrepency],"&gt;="&amp;$AT12,Tracker[Money Discrepency],"&lt;"&amp;$AT13,Tracker[Bet Type Drill Down],BD$1))/COUNTIFS(Tracker[Money Discrepency],"&gt;="&amp;$AT12,Tracker[Money Discrepency],"&lt;"&amp;$AT13,Tracker[Bet Type Drill Down],BD$1),2)&gt;0.05,"X",IF(ROUND((SUMIFS(Tracker[Net],Tracker[Money Discrepency],"&gt;="&amp;$AT12,Tracker[Money Discrepency],"&lt;"&amp;$AT13,Tracker[Bet Type Drill Down],BD$1))/COUNTIFS(Tracker[Money Discrepency],"&gt;="&amp;$AT12,Tracker[Money Discrepency],"&lt;"&amp;$AT13,Tracker[Bet Type Drill Down],BD$1),2)&lt;-0.15,"O","")),"")</f>
        <v/>
      </c>
      <c r="BE12" s="24" t="str">
        <f>IFERROR(IF(ROUND((SUMIFS(Tracker[Net],Tracker[Money Discrepency],"&gt;="&amp;$AT12,Tracker[Money Discrepency],"&lt;"&amp;$AT13,Tracker[Bet Type Drill Down],BE$1))/COUNTIFS(Tracker[Money Discrepency],"&gt;="&amp;$AT12,Tracker[Money Discrepency],"&lt;"&amp;$AT13,Tracker[Bet Type Drill Down],BE$1),2)&gt;0.05,"X",IF(ROUND((SUMIFS(Tracker[Net],Tracker[Money Discrepency],"&gt;="&amp;$AT12,Tracker[Money Discrepency],"&lt;"&amp;$AT13,Tracker[Bet Type Drill Down],BE$1))/COUNTIFS(Tracker[Money Discrepency],"&gt;="&amp;$AT12,Tracker[Money Discrepency],"&lt;"&amp;$AT13,Tracker[Bet Type Drill Down],BE$1),2)&lt;-0.15,"O","")),"")</f>
        <v/>
      </c>
      <c r="BG12" s="153">
        <f t="shared" si="3"/>
        <v>0.49999999999999994</v>
      </c>
      <c r="BH12" s="154" t="str">
        <f t="shared" si="4"/>
        <v>50  to  55%</v>
      </c>
      <c r="BI12" t="str">
        <f>IFERROR(COUNTIFS(Tracker[Money %],"&gt;="&amp;BG12,Tracker[Money %],"&lt;"&amp;BG13,Tracker[Result],"W")&amp;"-"&amp;COUNTIFS(Tracker[Money %],"&gt;="&amp;BG12,Tracker[Money %],"&lt;"&amp;BG13,Tracker[Result],"L")&amp;"-"&amp;COUNTIFS(Tracker[Money %],"&gt;="&amp;BG12,Tracker[Money %],"&lt;"&amp;BG13,Tracker[Result],"Push")&amp;" ("&amp;ROUND(COUNTIFS(Tracker[Money %],"&gt;="&amp;BG12,Tracker[Money %],"&lt;"&amp;BG13,Tracker[Result],"W")/(COUNTIFS(Tracker[Money %],"&gt;="&amp;BG12,Tracker[Money %],"&lt;"&amp;BG13,Tracker[Result],"L")+COUNTIFS(Tracker[Money %],"&gt;="&amp;BG12,Tracker[Money %],"&lt;"&amp;BG13,Tracker[Result],"W"))*100,2)&amp;"%)","No Bets")</f>
        <v>4-9-0 (30.77%)</v>
      </c>
      <c r="BJ12">
        <f>SUMIFS(Tracker[Net],Tracker[Money %],"&gt;="&amp;BG12,Tracker[Money %],"&lt;"&amp;BG13)</f>
        <v>-5.3636363636363633</v>
      </c>
      <c r="BK12" s="24" t="str">
        <f>IFERROR(IF(ROUND((SUMIFS(Tracker[Net],Tracker[Money %],"&gt;="&amp;$BG12,Tracker[Money %],"&lt;"&amp;$BG13,Tracker[Bet Type],BK$1))/COUNTIFS(Tracker[Money %],"&gt;="&amp;$BG12,Tracker[Money %],"&lt;"&amp;$BG13,Tracker[Bet Type],BK$1),2)&gt;0.05,"X",IF(ROUND((SUMIFS(Tracker[Net],Tracker[Money %],"&gt;="&amp;$BG12,Tracker[Money %],"&lt;"&amp;$BG13,Tracker[Bet Type],BK$1))/COUNTIFS(Tracker[Money %],"&gt;="&amp;$BG12,Tracker[Money %],"&lt;"&amp;$BG13,Tracker[Bet Type],BK$1),2)&lt;-0.15,"O","")),"")</f>
        <v>X</v>
      </c>
      <c r="BL12" s="24" t="str">
        <f>IFERROR(IF(ROUND((SUMIFS(Tracker[Net],Tracker[Money %],"&gt;="&amp;$BG12,Tracker[Money %],"&lt;"&amp;$BG13,Tracker[Bet Type],BL$1))/COUNTIFS(Tracker[Money %],"&gt;="&amp;$BG12,Tracker[Money %],"&lt;"&amp;$BG13,Tracker[Bet Type],BL$1),2)&gt;0.05,"X",IF(ROUND((SUMIFS(Tracker[Net],Tracker[Money %],"&gt;="&amp;$BG12,Tracker[Money %],"&lt;"&amp;$BG13,Tracker[Bet Type],BL$1))/COUNTIFS(Tracker[Money %],"&gt;="&amp;$BG12,Tracker[Money %],"&lt;"&amp;$BG13,Tracker[Bet Type],BL$1),2)&lt;-0.15,"O","")),"")</f>
        <v>O</v>
      </c>
      <c r="BM12" s="24" t="str">
        <f>IFERROR(IF(ROUND((SUMIFS(Tracker[Net],Tracker[Money %],"&gt;="&amp;$BG12,Tracker[Money %],"&lt;"&amp;$BG13,Tracker[Bet Type],BM$1))/COUNTIFS(Tracker[Money %],"&gt;="&amp;$BG12,Tracker[Money %],"&lt;"&amp;$BG13,Tracker[Bet Type],BM$1),2)&gt;0.05,"X",IF(ROUND((SUMIFS(Tracker[Net],Tracker[Money %],"&gt;="&amp;$BG12,Tracker[Money %],"&lt;"&amp;$BG13,Tracker[Bet Type],BM$1))/COUNTIFS(Tracker[Money %],"&gt;="&amp;$BG12,Tracker[Money %],"&lt;"&amp;$BG13,Tracker[Bet Type],BM$1),2)&lt;-0.15,"O","")),"")</f>
        <v/>
      </c>
      <c r="BN12" s="24" t="str">
        <f>IFERROR(IF(ROUND((SUMIFS(Tracker[Net],Tracker[Money %],"&gt;="&amp;$BG12,Tracker[Money %],"&lt;"&amp;$BG13,Tracker[Bet Type],BN$1))/COUNTIFS(Tracker[Money %],"&gt;="&amp;$BG12,Tracker[Money %],"&lt;"&amp;$BG13,Tracker[Bet Type],BN$1),2)&gt;0.05,"X",IF(ROUND((SUMIFS(Tracker[Net],Tracker[Money %],"&gt;="&amp;$BG12,Tracker[Money %],"&lt;"&amp;$BG13,Tracker[Bet Type],BN$1))/COUNTIFS(Tracker[Money %],"&gt;="&amp;$BG12,Tracker[Money %],"&lt;"&amp;$BG13,Tracker[Bet Type],BN$1),2)&lt;-0.15,"O","")),"")</f>
        <v>O</v>
      </c>
      <c r="BO12" s="24" t="str">
        <f>IFERROR(IF(ROUND((SUMIFS(Tracker[Net],Tracker[Money %],"&gt;="&amp;$BG12,Tracker[Money %],"&lt;"&amp;$BG13,Tracker[Bet Type Drill Down],BO$1))/COUNTIFS(Tracker[Money %],"&gt;="&amp;$BG12,Tracker[Money %],"&lt;"&amp;$BG13,Tracker[Bet Type Drill Down],BO$1),2)&gt;0.05,"X",IF(ROUND((SUMIFS(Tracker[Net],Tracker[Money %],"&gt;="&amp;$BG12,Tracker[Money %],"&lt;"&amp;$BG13,Tracker[Bet Type Drill Down],BO$1))/COUNTIFS(Tracker[Money %],"&gt;="&amp;$BG12,Tracker[Money %],"&lt;"&amp;$BG13,Tracker[Bet Type Drill Down],BO$1),2)&lt;-0.15,"O","")),"")</f>
        <v>O</v>
      </c>
      <c r="BP12" s="24" t="str">
        <f>IFERROR(IF(ROUND((SUMIFS(Tracker[Net],Tracker[Money %],"&gt;="&amp;$BG12,Tracker[Money %],"&lt;"&amp;$BG13,Tracker[Bet Type Drill Down],BP$1))/COUNTIFS(Tracker[Money %],"&gt;="&amp;$BG12,Tracker[Money %],"&lt;"&amp;$BG13,Tracker[Bet Type Drill Down],BP$1),2)&gt;0.05,"X",IF(ROUND((SUMIFS(Tracker[Net],Tracker[Money %],"&gt;="&amp;$BG12,Tracker[Money %],"&lt;"&amp;$BG13,Tracker[Bet Type Drill Down],BP$1))/COUNTIFS(Tracker[Money %],"&gt;="&amp;$BG12,Tracker[Money %],"&lt;"&amp;$BG13,Tracker[Bet Type Drill Down],BP$1),2)&lt;-0.15,"O","")),"")</f>
        <v/>
      </c>
      <c r="BQ12" s="24" t="str">
        <f>IFERROR(IF(ROUND((SUMIFS(Tracker[Net],Tracker[Money %],"&gt;="&amp;$BG12,Tracker[Money %],"&lt;"&amp;$BG13,Tracker[Bet Type Drill Down],BQ$1))/COUNTIFS(Tracker[Money %],"&gt;="&amp;$BG12,Tracker[Money %],"&lt;"&amp;$BG13,Tracker[Bet Type Drill Down],BQ$1),2)&gt;0.05,"X",IF(ROUND((SUMIFS(Tracker[Net],Tracker[Money %],"&gt;="&amp;$BG12,Tracker[Money %],"&lt;"&amp;$BG13,Tracker[Bet Type Drill Down],BQ$1))/COUNTIFS(Tracker[Money %],"&gt;="&amp;$BG12,Tracker[Money %],"&lt;"&amp;$BG13,Tracker[Bet Type Drill Down],BQ$1),2)&lt;-0.15,"O","")),"")</f>
        <v>O</v>
      </c>
      <c r="BR12" s="24" t="str">
        <f>IFERROR(IF(ROUND((SUMIFS(Tracker[Net],Tracker[Money %],"&gt;="&amp;$BG12,Tracker[Money %],"&lt;"&amp;$BG13,Tracker[Bet Type Drill Down],BR$1))/COUNTIFS(Tracker[Money %],"&gt;="&amp;$BG12,Tracker[Money %],"&lt;"&amp;$BG13,Tracker[Bet Type Drill Down],BR$1),2)&gt;0.05,"X",IF(ROUND((SUMIFS(Tracker[Net],Tracker[Money %],"&gt;="&amp;$BG12,Tracker[Money %],"&lt;"&amp;$BG13,Tracker[Bet Type Drill Down],BR$1))/COUNTIFS(Tracker[Money %],"&gt;="&amp;$BG12,Tracker[Money %],"&lt;"&amp;$BG13,Tracker[Bet Type Drill Down],BR$1),2)&lt;-0.15,"O","")),"")</f>
        <v>X</v>
      </c>
      <c r="BT12" s="153">
        <f t="shared" si="5"/>
        <v>0.49999999999999994</v>
      </c>
      <c r="BU12" s="154" t="str">
        <f t="shared" ref="BU12" si="18">ROUND(BT12*100,0)&amp;"  to  "&amp;ROUND(BT13*100,0)&amp;"%"</f>
        <v>50  to  55%</v>
      </c>
      <c r="BV12" t="str">
        <f>IFERROR(COUNTIFS(Tracker[Bet %],"&gt;="&amp;BT12,Tracker[Bet %],"&lt;"&amp;BT13,Tracker[Result],"W")&amp;"-"&amp;COUNTIFS(Tracker[Bet %],"&gt;="&amp;BT12,Tracker[Bet %],"&lt;"&amp;BT13,Tracker[Result],"L")&amp;"-"&amp;COUNTIFS(Tracker[Bet %],"&gt;="&amp;BT12,Tracker[Bet %],"&lt;"&amp;BT13,Tracker[Result],"Push")&amp;" ("&amp;ROUND(COUNTIFS(Tracker[Bet %],"&gt;="&amp;BT12,Tracker[Bet %],"&lt;"&amp;BT13,Tracker[Result],"W")/(COUNTIFS(Tracker[Bet %],"&gt;="&amp;BT12,Tracker[Bet %],"&lt;"&amp;BT13,Tracker[Result],"L")+COUNTIFS(Tracker[Bet %],"&gt;="&amp;BT12,Tracker[Bet %],"&lt;"&amp;BT13,Tracker[Result],"W"))*100,2)&amp;"%)","No Bets")</f>
        <v>11-8-1 (57.89%)</v>
      </c>
      <c r="BW12">
        <f>SUMIFS(Tracker[Net],Tracker[Bet %],"&gt;="&amp;BT12,Tracker[Bet %],"&lt;"&amp;BT13)</f>
        <v>2.0000000000000004</v>
      </c>
      <c r="BX12" s="24" t="str">
        <f>IFERROR(IF(ROUND((SUMIFS(Tracker[Net],Tracker[Bet %],"&gt;="&amp;$BG12,Tracker[Bet %],"&lt;"&amp;$BG13,Tracker[Bet Type],BX$1))/COUNTIFS(Tracker[Bet %],"&gt;="&amp;$BG12,Tracker[Bet %],"&lt;"&amp;$BG13,Tracker[Bet Type],BX$1),2)&gt;0.05,"X",IF(ROUND((SUMIFS(Tracker[Net],Tracker[Bet %],"&gt;="&amp;$BG12,Tracker[Bet %],"&lt;"&amp;$BG13,Tracker[Bet Type],BX$1))/COUNTIFS(Tracker[Bet %],"&gt;="&amp;$BG12,Tracker[Bet %],"&lt;"&amp;$BG13,Tracker[Bet Type],BX$1),2)&lt;-0.15,"O","")),"")</f>
        <v/>
      </c>
      <c r="BY12" s="24" t="str">
        <f>IFERROR(IF(ROUND((SUMIFS(Tracker[Net],Tracker[Bet %],"&gt;="&amp;$BG12,Tracker[Bet %],"&lt;"&amp;$BG13,Tracker[Bet Type],BY$1))/COUNTIFS(Tracker[Bet %],"&gt;="&amp;$BG12,Tracker[Bet %],"&lt;"&amp;$BG13,Tracker[Bet Type],BY$1),2)&gt;0.05,"X",IF(ROUND((SUMIFS(Tracker[Net],Tracker[Bet %],"&gt;="&amp;$BG12,Tracker[Bet %],"&lt;"&amp;$BG13,Tracker[Bet Type],BY$1))/COUNTIFS(Tracker[Bet %],"&gt;="&amp;$BG12,Tracker[Bet %],"&lt;"&amp;$BG13,Tracker[Bet Type],BY$1),2)&lt;-0.15,"O","")),"")</f>
        <v/>
      </c>
      <c r="BZ12" s="24" t="str">
        <f>IFERROR(IF(ROUND((SUMIFS(Tracker[Net],Tracker[Bet %],"&gt;="&amp;$BG12,Tracker[Bet %],"&lt;"&amp;$BG13,Tracker[Bet Type],BZ$1))/COUNTIFS(Tracker[Bet %],"&gt;="&amp;$BG12,Tracker[Bet %],"&lt;"&amp;$BG13,Tracker[Bet Type],BZ$1),2)&gt;0.05,"X",IF(ROUND((SUMIFS(Tracker[Net],Tracker[Bet %],"&gt;="&amp;$BG12,Tracker[Bet %],"&lt;"&amp;$BG13,Tracker[Bet Type],BZ$1))/COUNTIFS(Tracker[Bet %],"&gt;="&amp;$BG12,Tracker[Bet %],"&lt;"&amp;$BG13,Tracker[Bet Type],BZ$1),2)&lt;-0.15,"O","")),"")</f>
        <v>X</v>
      </c>
      <c r="CA12" s="24" t="str">
        <f>IFERROR(IF(ROUND((SUMIFS(Tracker[Net],Tracker[Bet %],"&gt;="&amp;$BG12,Tracker[Bet %],"&lt;"&amp;$BG13,Tracker[Bet Type],CA$1))/COUNTIFS(Tracker[Bet %],"&gt;="&amp;$BG12,Tracker[Bet %],"&lt;"&amp;$BG13,Tracker[Bet Type],CA$1),2)&gt;0.05,"X",IF(ROUND((SUMIFS(Tracker[Net],Tracker[Bet %],"&gt;="&amp;$BG12,Tracker[Bet %],"&lt;"&amp;$BG13,Tracker[Bet Type],CA$1))/COUNTIFS(Tracker[Bet %],"&gt;="&amp;$BG12,Tracker[Bet %],"&lt;"&amp;$BG13,Tracker[Bet Type],CA$1),2)&lt;-0.15,"O","")),"")</f>
        <v>X</v>
      </c>
      <c r="CB12" s="24" t="str">
        <f>IFERROR(IF(ROUND((SUMIFS(Tracker[Net],Tracker[Bet %],"&gt;="&amp;$BG12,Tracker[Bet %],"&lt;"&amp;$BG13,Tracker[Bet Type Drill Down],CB$1))/COUNTIFS(Tracker[Bet %],"&gt;="&amp;$BG12,Tracker[Bet %],"&lt;"&amp;$BG13,Tracker[Bet Type Drill Down],CB$1),2)&gt;0.05,"X",IF(ROUND((SUMIFS(Tracker[Net],Tracker[Bet %],"&gt;="&amp;$BG12,Tracker[Bet %],"&lt;"&amp;$BG13,Tracker[Bet Type Drill Down],CB$1))/COUNTIFS(Tracker[Bet %],"&gt;="&amp;$BG12,Tracker[Bet %],"&lt;"&amp;$BG13,Tracker[Bet Type Drill Down],CB$1),2)&lt;-0.15,"O","")),"")</f>
        <v>X</v>
      </c>
      <c r="CC12" s="24" t="str">
        <f>IFERROR(IF(ROUND((SUMIFS(Tracker[Net],Tracker[Bet %],"&gt;="&amp;$BG12,Tracker[Bet %],"&lt;"&amp;$BG13,Tracker[Bet Type Drill Down],CC$1))/COUNTIFS(Tracker[Bet %],"&gt;="&amp;$BG12,Tracker[Bet %],"&lt;"&amp;$BG13,Tracker[Bet Type Drill Down],CC$1),2)&gt;0.05,"X",IF(ROUND((SUMIFS(Tracker[Net],Tracker[Bet %],"&gt;="&amp;$BG12,Tracker[Bet %],"&lt;"&amp;$BG13,Tracker[Bet Type Drill Down],CC$1))/COUNTIFS(Tracker[Bet %],"&gt;="&amp;$BG12,Tracker[Bet %],"&lt;"&amp;$BG13,Tracker[Bet Type Drill Down],CC$1),2)&lt;-0.15,"O","")),"")</f>
        <v/>
      </c>
      <c r="CD12" s="24" t="str">
        <f>IFERROR(IF(ROUND((SUMIFS(Tracker[Net],Tracker[Bet %],"&gt;="&amp;$BG12,Tracker[Bet %],"&lt;"&amp;$BG13,Tracker[Bet Type Drill Down],CD$1))/COUNTIFS(Tracker[Bet %],"&gt;="&amp;$BG12,Tracker[Bet %],"&lt;"&amp;$BG13,Tracker[Bet Type Drill Down],CD$1),2)&gt;0.05,"X",IF(ROUND((SUMIFS(Tracker[Net],Tracker[Bet %],"&gt;="&amp;$BG12,Tracker[Bet %],"&lt;"&amp;$BG13,Tracker[Bet Type Drill Down],CD$1))/COUNTIFS(Tracker[Bet %],"&gt;="&amp;$BG12,Tracker[Bet %],"&lt;"&amp;$BG13,Tracker[Bet Type Drill Down],CD$1),2)&lt;-0.15,"O","")),"")</f>
        <v>X</v>
      </c>
      <c r="CE12" s="24" t="str">
        <f>IFERROR(IF(ROUND((SUMIFS(Tracker[Net],Tracker[Bet %],"&gt;="&amp;$BG12,Tracker[Bet %],"&lt;"&amp;$BG13,Tracker[Bet Type Drill Down],CE$1))/COUNTIFS(Tracker[Bet %],"&gt;="&amp;$BG12,Tracker[Bet %],"&lt;"&amp;$BG13,Tracker[Bet Type Drill Down],CE$1),2)&gt;0.05,"X",IF(ROUND((SUMIFS(Tracker[Net],Tracker[Bet %],"&gt;="&amp;$BG12,Tracker[Bet %],"&lt;"&amp;$BG13,Tracker[Bet Type Drill Down],CE$1))/COUNTIFS(Tracker[Bet %],"&gt;="&amp;$BG12,Tracker[Bet %],"&lt;"&amp;$BG13,Tracker[Bet Type Drill Down],CE$1),2)&lt;-0.15,"O","")),"")</f>
        <v>X</v>
      </c>
    </row>
    <row r="13" spans="1:83" x14ac:dyDescent="0.25">
      <c r="A13" s="36">
        <f t="shared" si="9"/>
        <v>1</v>
      </c>
      <c r="B13" s="25">
        <v>43796</v>
      </c>
      <c r="C13" s="25" t="str">
        <f t="shared" si="7"/>
        <v>NBA</v>
      </c>
      <c r="D13" s="26" t="s">
        <v>787</v>
      </c>
      <c r="E13" s="27" t="s">
        <v>788</v>
      </c>
      <c r="F13" s="67">
        <v>0.591142126256744</v>
      </c>
      <c r="G13" s="29">
        <v>-110</v>
      </c>
      <c r="H13" s="30" t="s">
        <v>57</v>
      </c>
      <c r="I13" s="44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3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13" s="32" t="str">
        <f>MID(Tracker[[#This Row],[Game]],SEARCH("@",Tracker[[#This Row],[Game]])+2,LEN(Tracker[[#This Row],[Game]]))</f>
        <v>Grizzlies</v>
      </c>
      <c r="L13" s="32" t="str">
        <f>LEFT(Tracker[[#This Row],[Game]],SEARCH("@",Tracker[[#This Row],[Game]])-2)</f>
        <v>Clippers</v>
      </c>
      <c r="M1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13" s="123"/>
      <c r="O13" s="147"/>
      <c r="P13" s="147"/>
      <c r="Q13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3" s="147" t="e">
        <f>IF(AND(Tracker[[#This Row],[Money %]]&lt;&gt;"",Tracker[[#This Row],[Bet %]]&lt;&gt;""),Tracker[[#This Row],[Money %]]-Tracker[[#This Row],[Bet %]],NA())</f>
        <v>#N/A</v>
      </c>
      <c r="S13" s="109"/>
      <c r="T13" s="109"/>
      <c r="U13" s="56">
        <f>IFERROR(INDEX($A$4:$B10009,MATCH(ROW()-3,$A$4:$A$4:$A1009,0),2),0)</f>
        <v>43817</v>
      </c>
      <c r="V13" s="33" t="str">
        <f>COUNTIFS(Tracker[Date],U13,Tracker[Result],"W")&amp;"-"&amp;COUNTIFS(Tracker[Date],U13,Tracker[Result],"L")&amp;IF(COUNTIFS(Tracker[Date],U13,Tracker[Result],"Push")&gt;0,"-"&amp;COUNTIFS(Tracker[Date],U13,Tracker[Result],"Push"),"")</f>
        <v>8-2</v>
      </c>
      <c r="W13" s="34">
        <f>IFERROR(COUNTIFS(Tracker[Date],U13,Tracker[Result],"W")/(COUNTIFS(Tracker[Date],U13,Tracker[Result],"W")+COUNTIFS(Tracker[Date],U13,Tracker[Result],"L")),"")</f>
        <v>0.8</v>
      </c>
      <c r="X13" s="61">
        <f>SUMIF(Tracker[Date],U13,Tracker[Net])</f>
        <v>6.3236363636363633</v>
      </c>
      <c r="Y13" s="35" t="str">
        <f>IFERROR("("&amp;ROUND(SUMIF(Tracker[Date],U13,Tracker[Net])/COUNTIF(Tracker[Date],U13),2)*100&amp;"%)","")</f>
        <v>(63%)</v>
      </c>
      <c r="Z13" s="99" t="s">
        <v>1208</v>
      </c>
      <c r="AA13" s="37" t="s">
        <v>1212</v>
      </c>
      <c r="AB13" s="24" t="str">
        <f>IFERROR(COUNTIFS(Tracker[Bet Type Drill Down],Z13,Tracker[Result],"W",Tracker[Confidence],"&gt;="&amp;$AB$2,Tracker[Confidence],"&lt;="&amp;$AC$2)&amp;"-"&amp;COUNTIFS(Tracker[Bet Type Drill Down],Z13,Tracker[Result],"L",Tracker[Confidence],"&gt;="&amp;$AB$2,Tracker[Confidence],"&lt;="&amp;$AC$2)&amp;IF(COUNTIFS(Tracker[Bet Type Drill Down],Z13,Tracker[Result],"Push",Tracker[Confidence],"&gt;="&amp;$AB$2,Tracker[Confidence],"&lt;="&amp;$AC$2)&gt;0,"-"&amp;COUNTIFS(Tracker[Bet Type Drill Down],Z13,Tracker[Result],"Push",Tracker[Confidence],"&gt;="&amp;$AB$2,Tracker[Confidence],"&lt;="&amp;$AC$2),"")&amp;" ("&amp;ROUND(COUNTIFS(Tracker[Bet Type Drill Down],Z13,Tracker[Result],"W",Tracker[Confidence],"&gt;="&amp;$AB$2,Tracker[Confidence],"&lt;="&amp;$AC$2)/(COUNTIFS(Tracker[Bet Type Drill Down],Z13,Tracker[Result],"W",Tracker[Confidence],"&gt;="&amp;$AB$2,Tracker[Confidence],"&lt;="&amp;$AC$2)+COUNTIFS(Tracker[Bet Type Drill Down],Z13,Tracker[Result],"L",Tracker[Confidence],"&gt;="&amp;$AB$2,Tracker[Confidence],"&lt;="&amp;$AC$2))*100,1)&amp;"%)","No Bets")</f>
        <v>10-9 (52.6%)</v>
      </c>
      <c r="AC13" s="64">
        <f>SUMIFS(Tracker[Net],Tracker[Bet Type Drill Down],Z13,Tracker[Confidence],"&gt;="&amp;$AB$2,Tracker[Confidence],"&lt;="&amp;$AC$2)</f>
        <v>9.0909090909091494E-2</v>
      </c>
      <c r="AD13" s="38" t="str">
        <f>IFERROR("("&amp;ROUND((SUMIFS(Tracker[Net],Tracker[Bet Type Drill Down],Z13,Tracker[Confidence],"&gt;="&amp;$AB$2,Tracker[Confidence],"&lt;="&amp;$AC$2))/COUNTIFS(Tracker[Bet Type Drill Down],Z13,Tracker[Confidence],"&gt;="&amp;$AB$2,Tracker[Confidence],"&lt;="&amp;$AC$2),2)*100&amp;"%)","")</f>
        <v>(0%)</v>
      </c>
      <c r="AF13" s="36">
        <f t="shared" si="11"/>
        <v>0.49999999999999994</v>
      </c>
      <c r="AG13" s="66" t="str">
        <f t="shared" si="0"/>
        <v>50-55%</v>
      </c>
      <c r="AH13" s="124" t="str">
        <f>IFERROR(COUNTIFS(Tracker[Cover %],"&gt;="&amp;AF13,Tracker[Cover %],"&lt;"&amp;AF14,Tracker[Result],"W")&amp;"-"&amp;COUNTIFS(Tracker[Cover %],"&gt;="&amp;AF13,Tracker[Cover %],"&lt;"&amp;AF14,Tracker[Result],"L")&amp;"-"&amp;COUNTIFS(Tracker[Cover %],"&gt;="&amp;AF13,Tracker[Cover %],"&lt;"&amp;AF14,Tracker[Result],"Push")&amp;" ("&amp;ROUND(COUNTIFS(Tracker[Cover %],"&gt;="&amp;AF13,Tracker[Cover %],"&lt;"&amp;AF14,Tracker[Result],"W")/(COUNTIFS(Tracker[Cover %],"&gt;="&amp;AF13,Tracker[Cover %],"&lt;"&amp;AF14,Tracker[Result],"L")+COUNTIFS(Tracker[Cover %],"&gt;="&amp;AF13,Tracker[Cover %],"&lt;"&amp;AF14,Tracker[Result],"W"))*100,2)&amp;"%)","No Bets")</f>
        <v>41-32-5 (56.16%)</v>
      </c>
      <c r="AI13" s="72">
        <f>SUMIFS(Tracker[Net],Tracker[Cover %],"&gt;="&amp;AF13,Tracker[Cover %],"&lt;"&amp;AF14)</f>
        <v>5.272727272727268</v>
      </c>
      <c r="AJ13" s="24" t="str">
        <f>IFERROR(IF(ROUND((SUMIFS(Tracker[Net],Tracker[Cover %],"&gt;="&amp;$AF13,Tracker[Cover %],"&lt;"&amp;$AF14,Tracker[Bet Type],AJ$2))/COUNTIFS(Tracker[Cover %],"&gt;="&amp;$AF13,Tracker[Cover %],"&lt;"&amp;$AF14,Tracker[Bet Type],AJ$2),2)&gt;0.05,"X",IF(ROUND((SUMIFS(Tracker[Net],Tracker[Cover %],"&gt;="&amp;$AF13,Tracker[Cover %],"&lt;"&amp;$AF14,Tracker[Bet Type],AJ$2))/COUNTIFS(Tracker[Cover %],"&gt;="&amp;$AF13,Tracker[Cover %],"&lt;"&amp;$AF14,Tracker[Bet Type],AJ$2),2)&lt;-0.15,"O","")),"")</f>
        <v>X</v>
      </c>
      <c r="AK13" s="24" t="str">
        <f>IFERROR(IF(ROUND((SUMIFS(Tracker[Net],Tracker[Cover %],"&gt;="&amp;$AF13,Tracker[Cover %],"&lt;"&amp;$AF14,Tracker[Bet Type],AK$2))/COUNTIFS(Tracker[Cover %],"&gt;="&amp;$AF13,Tracker[Cover %],"&lt;"&amp;$AF14,Tracker[Bet Type],AK$2),2)&gt;0.05,"X",IF(ROUND((SUMIFS(Tracker[Net],Tracker[Cover %],"&gt;="&amp;$AF13,Tracker[Cover %],"&lt;"&amp;$AF14,Tracker[Bet Type],AK$2))/COUNTIFS(Tracker[Cover %],"&gt;="&amp;$AF13,Tracker[Cover %],"&lt;"&amp;$AF14,Tracker[Bet Type],AK$2),2)&lt;-0.15,"O","")),"")</f>
        <v>O</v>
      </c>
      <c r="AL13" s="24" t="str">
        <f>IFERROR(IF(ROUND((SUMIFS(Tracker[Net],Tracker[Cover %],"&gt;="&amp;$AF13,Tracker[Cover %],"&lt;"&amp;$AF14,Tracker[Bet Type],AL$2))/COUNTIFS(Tracker[Cover %],"&gt;="&amp;$AF13,Tracker[Cover %],"&lt;"&amp;$AF14,Tracker[Bet Type],AL$2),2)&gt;0.05,"X",IF(ROUND((SUMIFS(Tracker[Net],Tracker[Cover %],"&gt;="&amp;$AF13,Tracker[Cover %],"&lt;"&amp;$AF14,Tracker[Bet Type],AL$2))/COUNTIFS(Tracker[Cover %],"&gt;="&amp;$AF13,Tracker[Cover %],"&lt;"&amp;$AF14,Tracker[Bet Type],AL$2),2)&lt;-0.15,"O","")),"")</f>
        <v>X</v>
      </c>
      <c r="AM13" s="24" t="str">
        <f>IFERROR(IF(ROUND((SUMIFS(Tracker[Net],Tracker[Cover %],"&gt;="&amp;$AF13,Tracker[Cover %],"&lt;"&amp;$AF14,Tracker[Bet Type],AM$2))/COUNTIFS(Tracker[Cover %],"&gt;="&amp;$AF13,Tracker[Cover %],"&lt;"&amp;$AF14,Tracker[Bet Type],AM$2),2)&gt;0.05,"X",IF(ROUND((SUMIFS(Tracker[Net],Tracker[Cover %],"&gt;="&amp;$AF13,Tracker[Cover %],"&lt;"&amp;$AF14,Tracker[Bet Type],AM$2))/COUNTIFS(Tracker[Cover %],"&gt;="&amp;$AF13,Tracker[Cover %],"&lt;"&amp;$AF14,Tracker[Bet Type],AM$2),2)&lt;-0.15,"O","")),"")</f>
        <v>X</v>
      </c>
      <c r="AN13" s="24" t="str">
        <f>IFERROR(IF(ROUND((SUMIFS(Tracker[Net],Tracker[Cover %],"&gt;="&amp;$AF13,Tracker[Cover %],"&lt;"&amp;$AF14,Tracker[Bet Type Drill Down],AN$2))/COUNTIFS(Tracker[Cover %],"&gt;="&amp;$AF13,Tracker[Cover %],"&lt;"&amp;$AF14,Tracker[Bet Type Drill Down],AN$2),2)&gt;0.05,"X",IF(ROUND((SUMIFS(Tracker[Net],Tracker[Cover %],"&gt;="&amp;$AF13,Tracker[Cover %],"&lt;"&amp;$AF14,Tracker[Bet Type Drill Down],AN$2))/COUNTIFS(Tracker[Cover %],"&gt;="&amp;$AF13,Tracker[Cover %],"&lt;"&amp;$AF14,Tracker[Bet Type Drill Down],AN$2),2)&lt;-0.15,"O","")),"")</f>
        <v>X</v>
      </c>
      <c r="AO13" s="24" t="str">
        <f>IFERROR(IF(ROUND((SUMIFS(Tracker[Net],Tracker[Cover %],"&gt;="&amp;$AF13,Tracker[Cover %],"&lt;"&amp;$AF14,Tracker[Bet Type Drill Down],AO$2))/COUNTIFS(Tracker[Cover %],"&gt;="&amp;$AF13,Tracker[Cover %],"&lt;"&amp;$AF14,Tracker[Bet Type Drill Down],AO$2),2)&gt;0.05,"X",IF(ROUND((SUMIFS(Tracker[Net],Tracker[Cover %],"&gt;="&amp;$AF13,Tracker[Cover %],"&lt;"&amp;$AF14,Tracker[Bet Type Drill Down],AO$2))/COUNTIFS(Tracker[Cover %],"&gt;="&amp;$AF13,Tracker[Cover %],"&lt;"&amp;$AF14,Tracker[Bet Type Drill Down],AO$2),2)&lt;-0.15,"O","")),"")</f>
        <v/>
      </c>
      <c r="AP13" s="24" t="str">
        <f>IFERROR(IF(ROUND((SUMIFS(Tracker[Net],Tracker[Cover %],"&gt;="&amp;$AF13,Tracker[Cover %],"&lt;"&amp;$AF14,Tracker[Bet Type Drill Down],AP$2))/COUNTIFS(Tracker[Cover %],"&gt;="&amp;$AF13,Tracker[Cover %],"&lt;"&amp;$AF14,Tracker[Bet Type Drill Down],AP$2),2)&gt;0.05,"X",IF(ROUND((SUMIFS(Tracker[Net],Tracker[Cover %],"&gt;="&amp;$AF13,Tracker[Cover %],"&lt;"&amp;$AF14,Tracker[Bet Type Drill Down],AP$2))/COUNTIFS(Tracker[Cover %],"&gt;="&amp;$AF13,Tracker[Cover %],"&lt;"&amp;$AF14,Tracker[Bet Type Drill Down],AP$2),2)&lt;-0.15,"O","")),"")</f>
        <v>X</v>
      </c>
      <c r="AQ13" s="24" t="str">
        <f>IFERROR(IF(ROUND((SUMIFS(Tracker[Net],Tracker[Cover %],"&gt;="&amp;$AF13,Tracker[Cover %],"&lt;"&amp;$AF14,Tracker[Bet Type Drill Down],AQ$2))/COUNTIFS(Tracker[Cover %],"&gt;="&amp;$AF13,Tracker[Cover %],"&lt;"&amp;$AF14,Tracker[Bet Type Drill Down],AQ$2),2)&gt;0.05,"X",IF(ROUND((SUMIFS(Tracker[Net],Tracker[Cover %],"&gt;="&amp;$AF13,Tracker[Cover %],"&lt;"&amp;$AF14,Tracker[Bet Type Drill Down],AQ$2))/COUNTIFS(Tracker[Cover %],"&gt;="&amp;$AF13,Tracker[Cover %],"&lt;"&amp;$AF14,Tracker[Bet Type Drill Down],AQ$2),2)&lt;-0.15,"O","")),"")</f>
        <v>X</v>
      </c>
      <c r="AT13" s="153">
        <f t="shared" si="1"/>
        <v>-0.44999999999999962</v>
      </c>
      <c r="AU13" s="39" t="str">
        <f t="shared" si="2"/>
        <v>-45  to  -40%</v>
      </c>
      <c r="AV13" t="str">
        <f>IFERROR(COUNTIFS(Tracker[Money Discrepency],"&gt;="&amp;AT13,Tracker[Money Discrepency],"&lt;"&amp;AT14,Tracker[Result],"W")&amp;"-"&amp;COUNTIFS(Tracker[Money Discrepency],"&gt;="&amp;AT13,Tracker[Money Discrepency],"&lt;"&amp;AT14,Tracker[Result],"L")&amp;"-"&amp;COUNTIFS(Tracker[Money Discrepency],"&gt;="&amp;AT13,Tracker[Money Discrepency],"&lt;"&amp;AT14,Tracker[Result],"Push")&amp;" ("&amp;ROUND(COUNTIFS(Tracker[Money Discrepency],"&gt;="&amp;AT13,Tracker[Money Discrepency],"&lt;"&amp;AT14,Tracker[Result],"W")/(COUNTIFS(Tracker[Money Discrepency],"&gt;="&amp;AT13,Tracker[Money Discrepency],"&lt;"&amp;AT14,Tracker[Result],"L")+COUNTIFS(Tracker[Money Discrepency],"&gt;="&amp;AT13,Tracker[Money Discrepency],"&lt;"&amp;AT14,Tracker[Result],"W"))*100,2)&amp;"%)","No Bets")</f>
        <v>No Bets</v>
      </c>
      <c r="AW13">
        <f>SUMIFS(Tracker[Net],Tracker[Money Discrepency],"&gt;="&amp;AT13,Tracker[Money Discrepency],"&lt;"&amp;AT14)</f>
        <v>0</v>
      </c>
      <c r="AX13" s="24" t="str">
        <f>IFERROR(IF(ROUND((SUMIFS(Tracker[Net],Tracker[Money Discrepency],"&gt;="&amp;$AT13,Tracker[Money Discrepency],"&lt;"&amp;$AT14,Tracker[Bet Type],AX$1))/COUNTIFS(Tracker[Money Discrepency],"&gt;="&amp;$AT13,Tracker[Money Discrepency],"&lt;"&amp;$AT14,Tracker[Bet Type],AX$1),2)&gt;0.05,"X",IF(ROUND((SUMIFS(Tracker[Net],Tracker[Money Discrepency],"&gt;="&amp;$AT13,Tracker[Money Discrepency],"&lt;"&amp;$AT14,Tracker[Bet Type],AX$1))/COUNTIFS(Tracker[Money Discrepency],"&gt;="&amp;$AT13,Tracker[Money Discrepency],"&lt;"&amp;$AT14,Tracker[Bet Type],AX$1),2)&lt;-0.15,"O","")),"")</f>
        <v/>
      </c>
      <c r="AY13" s="24" t="str">
        <f>IFERROR(IF(ROUND((SUMIFS(Tracker[Net],Tracker[Money Discrepency],"&gt;="&amp;$AT13,Tracker[Money Discrepency],"&lt;"&amp;$AT14,Tracker[Bet Type],AY$1))/COUNTIFS(Tracker[Money Discrepency],"&gt;="&amp;$AT13,Tracker[Money Discrepency],"&lt;"&amp;$AT14,Tracker[Bet Type],AY$1),2)&gt;0.05,"X",IF(ROUND((SUMIFS(Tracker[Net],Tracker[Money Discrepency],"&gt;="&amp;$AT13,Tracker[Money Discrepency],"&lt;"&amp;$AT14,Tracker[Bet Type],AY$1))/COUNTIFS(Tracker[Money Discrepency],"&gt;="&amp;$AT13,Tracker[Money Discrepency],"&lt;"&amp;$AT14,Tracker[Bet Type],AY$1),2)&lt;-0.15,"O","")),"")</f>
        <v/>
      </c>
      <c r="AZ13" s="24" t="str">
        <f>IFERROR(IF(ROUND((SUMIFS(Tracker[Net],Tracker[Money Discrepency],"&gt;="&amp;$AT13,Tracker[Money Discrepency],"&lt;"&amp;$AT14,Tracker[Bet Type],AZ$1))/COUNTIFS(Tracker[Money Discrepency],"&gt;="&amp;$AT13,Tracker[Money Discrepency],"&lt;"&amp;$AT14,Tracker[Bet Type],AZ$1),2)&gt;0.05,"X",IF(ROUND((SUMIFS(Tracker[Net],Tracker[Money Discrepency],"&gt;="&amp;$AT13,Tracker[Money Discrepency],"&lt;"&amp;$AT14,Tracker[Bet Type],AZ$1))/COUNTIFS(Tracker[Money Discrepency],"&gt;="&amp;$AT13,Tracker[Money Discrepency],"&lt;"&amp;$AT14,Tracker[Bet Type],AZ$1),2)&lt;-0.15,"O","")),"")</f>
        <v/>
      </c>
      <c r="BA13" s="24" t="str">
        <f>IFERROR(IF(ROUND((SUMIFS(Tracker[Net],Tracker[Money Discrepency],"&gt;="&amp;$AT13,Tracker[Money Discrepency],"&lt;"&amp;$AT14,Tracker[Bet Type],BA$1))/COUNTIFS(Tracker[Money Discrepency],"&gt;="&amp;$AT13,Tracker[Money Discrepency],"&lt;"&amp;$AT14,Tracker[Bet Type],BA$1),2)&gt;0.05,"X",IF(ROUND((SUMIFS(Tracker[Net],Tracker[Money Discrepency],"&gt;="&amp;$AT13,Tracker[Money Discrepency],"&lt;"&amp;$AT14,Tracker[Bet Type],BA$1))/COUNTIFS(Tracker[Money Discrepency],"&gt;="&amp;$AT13,Tracker[Money Discrepency],"&lt;"&amp;$AT14,Tracker[Bet Type],BA$1),2)&lt;-0.15,"O","")),"")</f>
        <v/>
      </c>
      <c r="BB13" s="24" t="str">
        <f>IFERROR(IF(ROUND((SUMIFS(Tracker[Net],Tracker[Money Discrepency],"&gt;="&amp;$AT13,Tracker[Money Discrepency],"&lt;"&amp;$AT14,Tracker[Bet Type Drill Down],BB$1))/COUNTIFS(Tracker[Money Discrepency],"&gt;="&amp;$AT13,Tracker[Money Discrepency],"&lt;"&amp;$AT14,Tracker[Bet Type Drill Down],BB$1),2)&gt;0.05,"X",IF(ROUND((SUMIFS(Tracker[Net],Tracker[Money Discrepency],"&gt;="&amp;$AT13,Tracker[Money Discrepency],"&lt;"&amp;$AT14,Tracker[Bet Type Drill Down],BB$1))/COUNTIFS(Tracker[Money Discrepency],"&gt;="&amp;$AT13,Tracker[Money Discrepency],"&lt;"&amp;$AT14,Tracker[Bet Type Drill Down],BB$1),2)&lt;-0.15,"O","")),"")</f>
        <v/>
      </c>
      <c r="BC13" s="24" t="str">
        <f>IFERROR(IF(ROUND((SUMIFS(Tracker[Net],Tracker[Money Discrepency],"&gt;="&amp;$AT13,Tracker[Money Discrepency],"&lt;"&amp;$AT14,Tracker[Bet Type Drill Down],BC$1))/COUNTIFS(Tracker[Money Discrepency],"&gt;="&amp;$AT13,Tracker[Money Discrepency],"&lt;"&amp;$AT14,Tracker[Bet Type Drill Down],BC$1),2)&gt;0.05,"X",IF(ROUND((SUMIFS(Tracker[Net],Tracker[Money Discrepency],"&gt;="&amp;$AT13,Tracker[Money Discrepency],"&lt;"&amp;$AT14,Tracker[Bet Type Drill Down],BC$1))/COUNTIFS(Tracker[Money Discrepency],"&gt;="&amp;$AT13,Tracker[Money Discrepency],"&lt;"&amp;$AT14,Tracker[Bet Type Drill Down],BC$1),2)&lt;-0.15,"O","")),"")</f>
        <v/>
      </c>
      <c r="BD13" s="24" t="str">
        <f>IFERROR(IF(ROUND((SUMIFS(Tracker[Net],Tracker[Money Discrepency],"&gt;="&amp;$AT13,Tracker[Money Discrepency],"&lt;"&amp;$AT14,Tracker[Bet Type Drill Down],BD$1))/COUNTIFS(Tracker[Money Discrepency],"&gt;="&amp;$AT13,Tracker[Money Discrepency],"&lt;"&amp;$AT14,Tracker[Bet Type Drill Down],BD$1),2)&gt;0.05,"X",IF(ROUND((SUMIFS(Tracker[Net],Tracker[Money Discrepency],"&gt;="&amp;$AT13,Tracker[Money Discrepency],"&lt;"&amp;$AT14,Tracker[Bet Type Drill Down],BD$1))/COUNTIFS(Tracker[Money Discrepency],"&gt;="&amp;$AT13,Tracker[Money Discrepency],"&lt;"&amp;$AT14,Tracker[Bet Type Drill Down],BD$1),2)&lt;-0.15,"O","")),"")</f>
        <v/>
      </c>
      <c r="BE13" s="24" t="str">
        <f>IFERROR(IF(ROUND((SUMIFS(Tracker[Net],Tracker[Money Discrepency],"&gt;="&amp;$AT13,Tracker[Money Discrepency],"&lt;"&amp;$AT14,Tracker[Bet Type Drill Down],BE$1))/COUNTIFS(Tracker[Money Discrepency],"&gt;="&amp;$AT13,Tracker[Money Discrepency],"&lt;"&amp;$AT14,Tracker[Bet Type Drill Down],BE$1),2)&gt;0.05,"X",IF(ROUND((SUMIFS(Tracker[Net],Tracker[Money Discrepency],"&gt;="&amp;$AT13,Tracker[Money Discrepency],"&lt;"&amp;$AT14,Tracker[Bet Type Drill Down],BE$1))/COUNTIFS(Tracker[Money Discrepency],"&gt;="&amp;$AT13,Tracker[Money Discrepency],"&lt;"&amp;$AT14,Tracker[Bet Type Drill Down],BE$1),2)&lt;-0.15,"O","")),"")</f>
        <v/>
      </c>
      <c r="BG13" s="153">
        <f t="shared" si="3"/>
        <v>0.54999999999999993</v>
      </c>
      <c r="BH13" s="154" t="str">
        <f t="shared" si="4"/>
        <v>55  to  60%</v>
      </c>
      <c r="BI13" t="str">
        <f>IFERROR(COUNTIFS(Tracker[Money %],"&gt;="&amp;BG13,Tracker[Money %],"&lt;"&amp;BG14,Tracker[Result],"W")&amp;"-"&amp;COUNTIFS(Tracker[Money %],"&gt;="&amp;BG13,Tracker[Money %],"&lt;"&amp;BG14,Tracker[Result],"L")&amp;"-"&amp;COUNTIFS(Tracker[Money %],"&gt;="&amp;BG13,Tracker[Money %],"&lt;"&amp;BG14,Tracker[Result],"Push")&amp;" ("&amp;ROUND(COUNTIFS(Tracker[Money %],"&gt;="&amp;BG13,Tracker[Money %],"&lt;"&amp;BG14,Tracker[Result],"W")/(COUNTIFS(Tracker[Money %],"&gt;="&amp;BG13,Tracker[Money %],"&lt;"&amp;BG14,Tracker[Result],"L")+COUNTIFS(Tracker[Money %],"&gt;="&amp;BG13,Tracker[Money %],"&lt;"&amp;BG14,Tracker[Result],"W"))*100,2)&amp;"%)","No Bets")</f>
        <v>4-6-0 (40%)</v>
      </c>
      <c r="BJ13">
        <f>SUMIFS(Tracker[Net],Tracker[Money %],"&gt;="&amp;BG13,Tracker[Money %],"&lt;"&amp;BG14)</f>
        <v>-2.3636363636363633</v>
      </c>
      <c r="BK13" s="24" t="str">
        <f>IFERROR(IF(ROUND((SUMIFS(Tracker[Net],Tracker[Money %],"&gt;="&amp;$BG13,Tracker[Money %],"&lt;"&amp;$BG14,Tracker[Bet Type],BK$1))/COUNTIFS(Tracker[Money %],"&gt;="&amp;$BG13,Tracker[Money %],"&lt;"&amp;$BG14,Tracker[Bet Type],BK$1),2)&gt;0.05,"X",IF(ROUND((SUMIFS(Tracker[Net],Tracker[Money %],"&gt;="&amp;$BG13,Tracker[Money %],"&lt;"&amp;$BG14,Tracker[Bet Type],BK$1))/COUNTIFS(Tracker[Money %],"&gt;="&amp;$BG13,Tracker[Money %],"&lt;"&amp;$BG14,Tracker[Bet Type],BK$1),2)&lt;-0.15,"O","")),"")</f>
        <v>O</v>
      </c>
      <c r="BL13" s="24" t="str">
        <f>IFERROR(IF(ROUND((SUMIFS(Tracker[Net],Tracker[Money %],"&gt;="&amp;$BG13,Tracker[Money %],"&lt;"&amp;$BG14,Tracker[Bet Type],BL$1))/COUNTIFS(Tracker[Money %],"&gt;="&amp;$BG13,Tracker[Money %],"&lt;"&amp;$BG14,Tracker[Bet Type],BL$1),2)&gt;0.05,"X",IF(ROUND((SUMIFS(Tracker[Net],Tracker[Money %],"&gt;="&amp;$BG13,Tracker[Money %],"&lt;"&amp;$BG14,Tracker[Bet Type],BL$1))/COUNTIFS(Tracker[Money %],"&gt;="&amp;$BG13,Tracker[Money %],"&lt;"&amp;$BG14,Tracker[Bet Type],BL$1),2)&lt;-0.15,"O","")),"")</f>
        <v/>
      </c>
      <c r="BM13" s="24" t="str">
        <f>IFERROR(IF(ROUND((SUMIFS(Tracker[Net],Tracker[Money %],"&gt;="&amp;$BG13,Tracker[Money %],"&lt;"&amp;$BG14,Tracker[Bet Type],BM$1))/COUNTIFS(Tracker[Money %],"&gt;="&amp;$BG13,Tracker[Money %],"&lt;"&amp;$BG14,Tracker[Bet Type],BM$1),2)&gt;0.05,"X",IF(ROUND((SUMIFS(Tracker[Net],Tracker[Money %],"&gt;="&amp;$BG13,Tracker[Money %],"&lt;"&amp;$BG14,Tracker[Bet Type],BM$1))/COUNTIFS(Tracker[Money %],"&gt;="&amp;$BG13,Tracker[Money %],"&lt;"&amp;$BG14,Tracker[Bet Type],BM$1),2)&lt;-0.15,"O","")),"")</f>
        <v>X</v>
      </c>
      <c r="BN13" s="24" t="str">
        <f>IFERROR(IF(ROUND((SUMIFS(Tracker[Net],Tracker[Money %],"&gt;="&amp;$BG13,Tracker[Money %],"&lt;"&amp;$BG14,Tracker[Bet Type],BN$1))/COUNTIFS(Tracker[Money %],"&gt;="&amp;$BG13,Tracker[Money %],"&lt;"&amp;$BG14,Tracker[Bet Type],BN$1),2)&gt;0.05,"X",IF(ROUND((SUMIFS(Tracker[Net],Tracker[Money %],"&gt;="&amp;$BG13,Tracker[Money %],"&lt;"&amp;$BG14,Tracker[Bet Type],BN$1))/COUNTIFS(Tracker[Money %],"&gt;="&amp;$BG13,Tracker[Money %],"&lt;"&amp;$BG14,Tracker[Bet Type],BN$1),2)&lt;-0.15,"O","")),"")</f>
        <v>O</v>
      </c>
      <c r="BO13" s="24" t="str">
        <f>IFERROR(IF(ROUND((SUMIFS(Tracker[Net],Tracker[Money %],"&gt;="&amp;$BG13,Tracker[Money %],"&lt;"&amp;$BG14,Tracker[Bet Type Drill Down],BO$1))/COUNTIFS(Tracker[Money %],"&gt;="&amp;$BG13,Tracker[Money %],"&lt;"&amp;$BG14,Tracker[Bet Type Drill Down],BO$1),2)&gt;0.05,"X",IF(ROUND((SUMIFS(Tracker[Net],Tracker[Money %],"&gt;="&amp;$BG13,Tracker[Money %],"&lt;"&amp;$BG14,Tracker[Bet Type Drill Down],BO$1))/COUNTIFS(Tracker[Money %],"&gt;="&amp;$BG13,Tracker[Money %],"&lt;"&amp;$BG14,Tracker[Bet Type Drill Down],BO$1),2)&lt;-0.15,"O","")),"")</f>
        <v>O</v>
      </c>
      <c r="BP13" s="24" t="str">
        <f>IFERROR(IF(ROUND((SUMIFS(Tracker[Net],Tracker[Money %],"&gt;="&amp;$BG13,Tracker[Money %],"&lt;"&amp;$BG14,Tracker[Bet Type Drill Down],BP$1))/COUNTIFS(Tracker[Money %],"&gt;="&amp;$BG13,Tracker[Money %],"&lt;"&amp;$BG14,Tracker[Bet Type Drill Down],BP$1),2)&gt;0.05,"X",IF(ROUND((SUMIFS(Tracker[Net],Tracker[Money %],"&gt;="&amp;$BG13,Tracker[Money %],"&lt;"&amp;$BG14,Tracker[Bet Type Drill Down],BP$1))/COUNTIFS(Tracker[Money %],"&gt;="&amp;$BG13,Tracker[Money %],"&lt;"&amp;$BG14,Tracker[Bet Type Drill Down],BP$1),2)&lt;-0.15,"O","")),"")</f>
        <v/>
      </c>
      <c r="BQ13" s="24" t="str">
        <f>IFERROR(IF(ROUND((SUMIFS(Tracker[Net],Tracker[Money %],"&gt;="&amp;$BG13,Tracker[Money %],"&lt;"&amp;$BG14,Tracker[Bet Type Drill Down],BQ$1))/COUNTIFS(Tracker[Money %],"&gt;="&amp;$BG13,Tracker[Money %],"&lt;"&amp;$BG14,Tracker[Bet Type Drill Down],BQ$1),2)&gt;0.05,"X",IF(ROUND((SUMIFS(Tracker[Net],Tracker[Money %],"&gt;="&amp;$BG13,Tracker[Money %],"&lt;"&amp;$BG14,Tracker[Bet Type Drill Down],BQ$1))/COUNTIFS(Tracker[Money %],"&gt;="&amp;$BG13,Tracker[Money %],"&lt;"&amp;$BG14,Tracker[Bet Type Drill Down],BQ$1),2)&lt;-0.15,"O","")),"")</f>
        <v>X</v>
      </c>
      <c r="BR13" s="24" t="str">
        <f>IFERROR(IF(ROUND((SUMIFS(Tracker[Net],Tracker[Money %],"&gt;="&amp;$BG13,Tracker[Money %],"&lt;"&amp;$BG14,Tracker[Bet Type Drill Down],BR$1))/COUNTIFS(Tracker[Money %],"&gt;="&amp;$BG13,Tracker[Money %],"&lt;"&amp;$BG14,Tracker[Bet Type Drill Down],BR$1),2)&gt;0.05,"X",IF(ROUND((SUMIFS(Tracker[Net],Tracker[Money %],"&gt;="&amp;$BG13,Tracker[Money %],"&lt;"&amp;$BG14,Tracker[Bet Type Drill Down],BR$1))/COUNTIFS(Tracker[Money %],"&gt;="&amp;$BG13,Tracker[Money %],"&lt;"&amp;$BG14,Tracker[Bet Type Drill Down],BR$1),2)&lt;-0.15,"O","")),"")</f>
        <v>X</v>
      </c>
      <c r="BT13" s="153">
        <f t="shared" si="5"/>
        <v>0.54999999999999993</v>
      </c>
      <c r="BU13" s="154" t="str">
        <f t="shared" ref="BU13" si="19">ROUND(BT13*100,0)&amp;"  to  "&amp;ROUND(BT14*100,0)&amp;"%"</f>
        <v>55  to  60%</v>
      </c>
      <c r="BV13" t="str">
        <f>IFERROR(COUNTIFS(Tracker[Bet %],"&gt;="&amp;BT13,Tracker[Bet %],"&lt;"&amp;BT14,Tracker[Result],"W")&amp;"-"&amp;COUNTIFS(Tracker[Bet %],"&gt;="&amp;BT13,Tracker[Bet %],"&lt;"&amp;BT14,Tracker[Result],"L")&amp;"-"&amp;COUNTIFS(Tracker[Bet %],"&gt;="&amp;BT13,Tracker[Bet %],"&lt;"&amp;BT14,Tracker[Result],"Push")&amp;" ("&amp;ROUND(COUNTIFS(Tracker[Bet %],"&gt;="&amp;BT13,Tracker[Bet %],"&lt;"&amp;BT14,Tracker[Result],"W")/(COUNTIFS(Tracker[Bet %],"&gt;="&amp;BT13,Tracker[Bet %],"&lt;"&amp;BT14,Tracker[Result],"L")+COUNTIFS(Tracker[Bet %],"&gt;="&amp;BT13,Tracker[Bet %],"&lt;"&amp;BT14,Tracker[Result],"W"))*100,2)&amp;"%)","No Bets")</f>
        <v>6-7-0 (46.15%)</v>
      </c>
      <c r="BW13">
        <f>SUMIFS(Tracker[Net],Tracker[Bet %],"&gt;="&amp;BT13,Tracker[Bet %],"&lt;"&amp;BT14)</f>
        <v>-1.545454545454545</v>
      </c>
      <c r="BX13" s="24" t="str">
        <f>IFERROR(IF(ROUND((SUMIFS(Tracker[Net],Tracker[Bet %],"&gt;="&amp;$BG13,Tracker[Bet %],"&lt;"&amp;$BG14,Tracker[Bet Type],BX$1))/COUNTIFS(Tracker[Bet %],"&gt;="&amp;$BG13,Tracker[Bet %],"&lt;"&amp;$BG14,Tracker[Bet Type],BX$1),2)&gt;0.05,"X",IF(ROUND((SUMIFS(Tracker[Net],Tracker[Bet %],"&gt;="&amp;$BG13,Tracker[Bet %],"&lt;"&amp;$BG14,Tracker[Bet Type],BX$1))/COUNTIFS(Tracker[Bet %],"&gt;="&amp;$BG13,Tracker[Bet %],"&lt;"&amp;$BG14,Tracker[Bet Type],BX$1),2)&lt;-0.15,"O","")),"")</f>
        <v>X</v>
      </c>
      <c r="BY13" s="24" t="str">
        <f>IFERROR(IF(ROUND((SUMIFS(Tracker[Net],Tracker[Bet %],"&gt;="&amp;$BG13,Tracker[Bet %],"&lt;"&amp;$BG14,Tracker[Bet Type],BY$1))/COUNTIFS(Tracker[Bet %],"&gt;="&amp;$BG13,Tracker[Bet %],"&lt;"&amp;$BG14,Tracker[Bet Type],BY$1),2)&gt;0.05,"X",IF(ROUND((SUMIFS(Tracker[Net],Tracker[Bet %],"&gt;="&amp;$BG13,Tracker[Bet %],"&lt;"&amp;$BG14,Tracker[Bet Type],BY$1))/COUNTIFS(Tracker[Bet %],"&gt;="&amp;$BG13,Tracker[Bet %],"&lt;"&amp;$BG14,Tracker[Bet Type],BY$1),2)&lt;-0.15,"O","")),"")</f>
        <v>O</v>
      </c>
      <c r="BZ13" s="24" t="str">
        <f>IFERROR(IF(ROUND((SUMIFS(Tracker[Net],Tracker[Bet %],"&gt;="&amp;$BG13,Tracker[Bet %],"&lt;"&amp;$BG14,Tracker[Bet Type],BZ$1))/COUNTIFS(Tracker[Bet %],"&gt;="&amp;$BG13,Tracker[Bet %],"&lt;"&amp;$BG14,Tracker[Bet Type],BZ$1),2)&gt;0.05,"X",IF(ROUND((SUMIFS(Tracker[Net],Tracker[Bet %],"&gt;="&amp;$BG13,Tracker[Bet %],"&lt;"&amp;$BG14,Tracker[Bet Type],BZ$1))/COUNTIFS(Tracker[Bet %],"&gt;="&amp;$BG13,Tracker[Bet %],"&lt;"&amp;$BG14,Tracker[Bet Type],BZ$1),2)&lt;-0.15,"O","")),"")</f>
        <v/>
      </c>
      <c r="CA13" s="24" t="str">
        <f>IFERROR(IF(ROUND((SUMIFS(Tracker[Net],Tracker[Bet %],"&gt;="&amp;$BG13,Tracker[Bet %],"&lt;"&amp;$BG14,Tracker[Bet Type],CA$1))/COUNTIFS(Tracker[Bet %],"&gt;="&amp;$BG13,Tracker[Bet %],"&lt;"&amp;$BG14,Tracker[Bet Type],CA$1),2)&gt;0.05,"X",IF(ROUND((SUMIFS(Tracker[Net],Tracker[Bet %],"&gt;="&amp;$BG13,Tracker[Bet %],"&lt;"&amp;$BG14,Tracker[Bet Type],CA$1))/COUNTIFS(Tracker[Bet %],"&gt;="&amp;$BG13,Tracker[Bet %],"&lt;"&amp;$BG14,Tracker[Bet Type],CA$1),2)&lt;-0.15,"O","")),"")</f>
        <v>O</v>
      </c>
      <c r="CB13" s="24" t="str">
        <f>IFERROR(IF(ROUND((SUMIFS(Tracker[Net],Tracker[Bet %],"&gt;="&amp;$BG13,Tracker[Bet %],"&lt;"&amp;$BG14,Tracker[Bet Type Drill Down],CB$1))/COUNTIFS(Tracker[Bet %],"&gt;="&amp;$BG13,Tracker[Bet %],"&lt;"&amp;$BG14,Tracker[Bet Type Drill Down],CB$1),2)&gt;0.05,"X",IF(ROUND((SUMIFS(Tracker[Net],Tracker[Bet %],"&gt;="&amp;$BG13,Tracker[Bet %],"&lt;"&amp;$BG14,Tracker[Bet Type Drill Down],CB$1))/COUNTIFS(Tracker[Bet %],"&gt;="&amp;$BG13,Tracker[Bet %],"&lt;"&amp;$BG14,Tracker[Bet Type Drill Down],CB$1),2)&lt;-0.15,"O","")),"")</f>
        <v>O</v>
      </c>
      <c r="CC13" s="24" t="str">
        <f>IFERROR(IF(ROUND((SUMIFS(Tracker[Net],Tracker[Bet %],"&gt;="&amp;$BG13,Tracker[Bet %],"&lt;"&amp;$BG14,Tracker[Bet Type Drill Down],CC$1))/COUNTIFS(Tracker[Bet %],"&gt;="&amp;$BG13,Tracker[Bet %],"&lt;"&amp;$BG14,Tracker[Bet Type Drill Down],CC$1),2)&gt;0.05,"X",IF(ROUND((SUMIFS(Tracker[Net],Tracker[Bet %],"&gt;="&amp;$BG13,Tracker[Bet %],"&lt;"&amp;$BG14,Tracker[Bet Type Drill Down],CC$1))/COUNTIFS(Tracker[Bet %],"&gt;="&amp;$BG13,Tracker[Bet %],"&lt;"&amp;$BG14,Tracker[Bet Type Drill Down],CC$1),2)&lt;-0.15,"O","")),"")</f>
        <v/>
      </c>
      <c r="CD13" s="24" t="str">
        <f>IFERROR(IF(ROUND((SUMIFS(Tracker[Net],Tracker[Bet %],"&gt;="&amp;$BG13,Tracker[Bet %],"&lt;"&amp;$BG14,Tracker[Bet Type Drill Down],CD$1))/COUNTIFS(Tracker[Bet %],"&gt;="&amp;$BG13,Tracker[Bet %],"&lt;"&amp;$BG14,Tracker[Bet Type Drill Down],CD$1),2)&gt;0.05,"X",IF(ROUND((SUMIFS(Tracker[Net],Tracker[Bet %],"&gt;="&amp;$BG13,Tracker[Bet %],"&lt;"&amp;$BG14,Tracker[Bet Type Drill Down],CD$1))/COUNTIFS(Tracker[Bet %],"&gt;="&amp;$BG13,Tracker[Bet %],"&lt;"&amp;$BG14,Tracker[Bet Type Drill Down],CD$1),2)&lt;-0.15,"O","")),"")</f>
        <v/>
      </c>
      <c r="CE13" s="24" t="str">
        <f>IFERROR(IF(ROUND((SUMIFS(Tracker[Net],Tracker[Bet %],"&gt;="&amp;$BG13,Tracker[Bet %],"&lt;"&amp;$BG14,Tracker[Bet Type Drill Down],CE$1))/COUNTIFS(Tracker[Bet %],"&gt;="&amp;$BG13,Tracker[Bet %],"&lt;"&amp;$BG14,Tracker[Bet Type Drill Down],CE$1),2)&gt;0.05,"X",IF(ROUND((SUMIFS(Tracker[Net],Tracker[Bet %],"&gt;="&amp;$BG13,Tracker[Bet %],"&lt;"&amp;$BG14,Tracker[Bet Type Drill Down],CE$1))/COUNTIFS(Tracker[Bet %],"&gt;="&amp;$BG13,Tracker[Bet %],"&lt;"&amp;$BG14,Tracker[Bet Type Drill Down],CE$1),2)&lt;-0.15,"O","")),"")</f>
        <v/>
      </c>
    </row>
    <row r="14" spans="1:83" x14ac:dyDescent="0.25">
      <c r="A14" s="36">
        <f t="shared" si="9"/>
        <v>1</v>
      </c>
      <c r="B14" s="25">
        <v>43796</v>
      </c>
      <c r="C14" s="25" t="str">
        <f t="shared" si="7"/>
        <v>NBA</v>
      </c>
      <c r="D14" s="26" t="s">
        <v>787</v>
      </c>
      <c r="E14" s="27" t="s">
        <v>789</v>
      </c>
      <c r="F14" s="67">
        <v>0.56959875762506273</v>
      </c>
      <c r="G14" s="29">
        <v>-110</v>
      </c>
      <c r="H14" s="30" t="s">
        <v>57</v>
      </c>
      <c r="I14" s="44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4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14" s="32" t="str">
        <f>MID(Tracker[[#This Row],[Game]],SEARCH("@",Tracker[[#This Row],[Game]])+2,LEN(Tracker[[#This Row],[Game]]))</f>
        <v>Grizzlies</v>
      </c>
      <c r="L14" s="32" t="str">
        <f>LEFT(Tracker[[#This Row],[Game]],SEARCH("@",Tracker[[#This Row],[Game]])-2)</f>
        <v>Clippers</v>
      </c>
      <c r="M1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14" s="123"/>
      <c r="O14" s="147"/>
      <c r="P14" s="147"/>
      <c r="Q1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4" s="147" t="e">
        <f>IF(AND(Tracker[[#This Row],[Money %]]&lt;&gt;"",Tracker[[#This Row],[Bet %]]&lt;&gt;""),Tracker[[#This Row],[Money %]]-Tracker[[#This Row],[Bet %]],NA())</f>
        <v>#N/A</v>
      </c>
      <c r="S14" s="109"/>
      <c r="T14" s="109"/>
      <c r="U14" s="56">
        <f>IFERROR(INDEX($A$4:$B10010,MATCH(ROW()-3,$A$4:$A$4:$A1010,0),2),0)</f>
        <v>43818</v>
      </c>
      <c r="V14" s="33" t="str">
        <f>COUNTIFS(Tracker[Date],U14,Tracker[Result],"W")&amp;"-"&amp;COUNTIFS(Tracker[Date],U14,Tracker[Result],"L")&amp;IF(COUNTIFS(Tracker[Date],U14,Tracker[Result],"Push")&gt;0,"-"&amp;COUNTIFS(Tracker[Date],U14,Tracker[Result],"Push"),"")</f>
        <v>2-2</v>
      </c>
      <c r="W14" s="34">
        <f>IFERROR(COUNTIFS(Tracker[Date],U14,Tracker[Result],"W")/(COUNTIFS(Tracker[Date],U14,Tracker[Result],"W")+COUNTIFS(Tracker[Date],U14,Tracker[Result],"L")),"")</f>
        <v>0.5</v>
      </c>
      <c r="X14" s="61">
        <f>SUMIF(Tracker[Date],U14,Tracker[Net])</f>
        <v>-0.18181818181818177</v>
      </c>
      <c r="Y14" s="35" t="str">
        <f>IFERROR("("&amp;ROUND(SUMIF(Tracker[Date],U14,Tracker[Net])/COUNTIF(Tracker[Date],U14),2)*100&amp;"%)","")</f>
        <v>(-5%)</v>
      </c>
      <c r="Z14" s="99" t="s">
        <v>1209</v>
      </c>
      <c r="AA14" s="37" t="s">
        <v>1213</v>
      </c>
      <c r="AB14" s="24" t="str">
        <f>IFERROR(COUNTIFS(Tracker[Bet Type Drill Down],Z14,Tracker[Result],"W",Tracker[Confidence],"&gt;="&amp;$AB$2,Tracker[Confidence],"&lt;="&amp;$AC$2)&amp;"-"&amp;COUNTIFS(Tracker[Bet Type Drill Down],Z14,Tracker[Result],"L",Tracker[Confidence],"&gt;="&amp;$AB$2,Tracker[Confidence],"&lt;="&amp;$AC$2)&amp;IF(COUNTIFS(Tracker[Bet Type Drill Down],Z14,Tracker[Result],"Push",Tracker[Confidence],"&gt;="&amp;$AB$2,Tracker[Confidence],"&lt;="&amp;$AC$2)&gt;0,"-"&amp;COUNTIFS(Tracker[Bet Type Drill Down],Z14,Tracker[Result],"Push",Tracker[Confidence],"&gt;="&amp;$AB$2,Tracker[Confidence],"&lt;="&amp;$AC$2),"")&amp;" ("&amp;ROUND(COUNTIFS(Tracker[Bet Type Drill Down],Z14,Tracker[Result],"W",Tracker[Confidence],"&gt;="&amp;$AB$2,Tracker[Confidence],"&lt;="&amp;$AC$2)/(COUNTIFS(Tracker[Bet Type Drill Down],Z14,Tracker[Result],"W",Tracker[Confidence],"&gt;="&amp;$AB$2,Tracker[Confidence],"&lt;="&amp;$AC$2)+COUNTIFS(Tracker[Bet Type Drill Down],Z14,Tracker[Result],"L",Tracker[Confidence],"&gt;="&amp;$AB$2,Tracker[Confidence],"&lt;="&amp;$AC$2))*100,1)&amp;"%)","No Bets")</f>
        <v>8-0 (100%)</v>
      </c>
      <c r="AC14" s="64">
        <f>SUMIFS(Tracker[Net],Tracker[Bet Type Drill Down],Z14,Tracker[Confidence],"&gt;="&amp;$AB$2,Tracker[Confidence],"&lt;="&amp;$AC$2)</f>
        <v>7.2727272727272725</v>
      </c>
      <c r="AD14" s="38" t="str">
        <f>IFERROR("("&amp;ROUND((SUMIFS(Tracker[Net],Tracker[Bet Type Drill Down],Z14,Tracker[Confidence],"&gt;="&amp;$AB$2,Tracker[Confidence],"&lt;="&amp;$AC$2))/COUNTIFS(Tracker[Bet Type Drill Down],Z14,Tracker[Confidence],"&gt;="&amp;$AB$2,Tracker[Confidence],"&lt;="&amp;$AC$2),2)*100&amp;"%)","")</f>
        <v>(91%)</v>
      </c>
      <c r="AF14" s="36">
        <f t="shared" si="11"/>
        <v>0.54999999999999993</v>
      </c>
      <c r="AG14" s="66" t="str">
        <f t="shared" si="0"/>
        <v>55-60%</v>
      </c>
      <c r="AH14" s="124" t="str">
        <f>IFERROR(COUNTIFS(Tracker[Cover %],"&gt;="&amp;AF14,Tracker[Cover %],"&lt;"&amp;AF15,Tracker[Result],"W")&amp;"-"&amp;COUNTIFS(Tracker[Cover %],"&gt;="&amp;AF14,Tracker[Cover %],"&lt;"&amp;AF15,Tracker[Result],"L")&amp;"-"&amp;COUNTIFS(Tracker[Cover %],"&gt;="&amp;AF14,Tracker[Cover %],"&lt;"&amp;AF15,Tracker[Result],"Push")&amp;" ("&amp;ROUND(COUNTIFS(Tracker[Cover %],"&gt;="&amp;AF14,Tracker[Cover %],"&lt;"&amp;AF15,Tracker[Result],"W")/(COUNTIFS(Tracker[Cover %],"&gt;="&amp;AF14,Tracker[Cover %],"&lt;"&amp;AF15,Tracker[Result],"L")+COUNTIFS(Tracker[Cover %],"&gt;="&amp;AF14,Tracker[Cover %],"&lt;"&amp;AF15,Tracker[Result],"W"))*100,2)&amp;"%)","No Bets")</f>
        <v>14-19-0 (42.42%)</v>
      </c>
      <c r="AI14" s="72">
        <f>SUMIFS(Tracker[Net],Tracker[Cover %],"&gt;="&amp;AF14,Tracker[Cover %],"&lt;"&amp;AF15)</f>
        <v>-6.2727272727272725</v>
      </c>
      <c r="AJ14" s="24" t="str">
        <f>IFERROR(IF(ROUND((SUMIFS(Tracker[Net],Tracker[Cover %],"&gt;="&amp;$AF14,Tracker[Cover %],"&lt;"&amp;$AF15,Tracker[Bet Type],AJ$2))/COUNTIFS(Tracker[Cover %],"&gt;="&amp;$AF14,Tracker[Cover %],"&lt;"&amp;$AF15,Tracker[Bet Type],AJ$2),2)&gt;0.05,"X",IF(ROUND((SUMIFS(Tracker[Net],Tracker[Cover %],"&gt;="&amp;$AF14,Tracker[Cover %],"&lt;"&amp;$AF15,Tracker[Bet Type],AJ$2))/COUNTIFS(Tracker[Cover %],"&gt;="&amp;$AF14,Tracker[Cover %],"&lt;"&amp;$AF15,Tracker[Bet Type],AJ$2),2)&lt;-0.15,"O","")),"")</f>
        <v/>
      </c>
      <c r="AK14" s="24" t="str">
        <f>IFERROR(IF(ROUND((SUMIFS(Tracker[Net],Tracker[Cover %],"&gt;="&amp;$AF14,Tracker[Cover %],"&lt;"&amp;$AF15,Tracker[Bet Type],AK$2))/COUNTIFS(Tracker[Cover %],"&gt;="&amp;$AF14,Tracker[Cover %],"&lt;"&amp;$AF15,Tracker[Bet Type],AK$2),2)&gt;0.05,"X",IF(ROUND((SUMIFS(Tracker[Net],Tracker[Cover %],"&gt;="&amp;$AF14,Tracker[Cover %],"&lt;"&amp;$AF15,Tracker[Bet Type],AK$2))/COUNTIFS(Tracker[Cover %],"&gt;="&amp;$AF14,Tracker[Cover %],"&lt;"&amp;$AF15,Tracker[Bet Type],AK$2),2)&lt;-0.15,"O","")),"")</f>
        <v>O</v>
      </c>
      <c r="AL14" s="24" t="str">
        <f>IFERROR(IF(ROUND((SUMIFS(Tracker[Net],Tracker[Cover %],"&gt;="&amp;$AF14,Tracker[Cover %],"&lt;"&amp;$AF15,Tracker[Bet Type],AL$2))/COUNTIFS(Tracker[Cover %],"&gt;="&amp;$AF14,Tracker[Cover %],"&lt;"&amp;$AF15,Tracker[Bet Type],AL$2),2)&gt;0.05,"X",IF(ROUND((SUMIFS(Tracker[Net],Tracker[Cover %],"&gt;="&amp;$AF14,Tracker[Cover %],"&lt;"&amp;$AF15,Tracker[Bet Type],AL$2))/COUNTIFS(Tracker[Cover %],"&gt;="&amp;$AF14,Tracker[Cover %],"&lt;"&amp;$AF15,Tracker[Bet Type],AL$2),2)&lt;-0.15,"O","")),"")</f>
        <v/>
      </c>
      <c r="AM14" s="24" t="str">
        <f>IFERROR(IF(ROUND((SUMIFS(Tracker[Net],Tracker[Cover %],"&gt;="&amp;$AF14,Tracker[Cover %],"&lt;"&amp;$AF15,Tracker[Bet Type],AM$2))/COUNTIFS(Tracker[Cover %],"&gt;="&amp;$AF14,Tracker[Cover %],"&lt;"&amp;$AF15,Tracker[Bet Type],AM$2),2)&gt;0.05,"X",IF(ROUND((SUMIFS(Tracker[Net],Tracker[Cover %],"&gt;="&amp;$AF14,Tracker[Cover %],"&lt;"&amp;$AF15,Tracker[Bet Type],AM$2))/COUNTIFS(Tracker[Cover %],"&gt;="&amp;$AF14,Tracker[Cover %],"&lt;"&amp;$AF15,Tracker[Bet Type],AM$2),2)&lt;-0.15,"O","")),"")</f>
        <v>O</v>
      </c>
      <c r="AN14" s="24" t="str">
        <f>IFERROR(IF(ROUND((SUMIFS(Tracker[Net],Tracker[Cover %],"&gt;="&amp;$AF14,Tracker[Cover %],"&lt;"&amp;$AF15,Tracker[Bet Type Drill Down],AN$2))/COUNTIFS(Tracker[Cover %],"&gt;="&amp;$AF14,Tracker[Cover %],"&lt;"&amp;$AF15,Tracker[Bet Type Drill Down],AN$2),2)&gt;0.05,"X",IF(ROUND((SUMIFS(Tracker[Net],Tracker[Cover %],"&gt;="&amp;$AF14,Tracker[Cover %],"&lt;"&amp;$AF15,Tracker[Bet Type Drill Down],AN$2))/COUNTIFS(Tracker[Cover %],"&gt;="&amp;$AF14,Tracker[Cover %],"&lt;"&amp;$AF15,Tracker[Bet Type Drill Down],AN$2),2)&lt;-0.15,"O","")),"")</f>
        <v>O</v>
      </c>
      <c r="AO14" s="24" t="str">
        <f>IFERROR(IF(ROUND((SUMIFS(Tracker[Net],Tracker[Cover %],"&gt;="&amp;$AF14,Tracker[Cover %],"&lt;"&amp;$AF15,Tracker[Bet Type Drill Down],AO$2))/COUNTIFS(Tracker[Cover %],"&gt;="&amp;$AF14,Tracker[Cover %],"&lt;"&amp;$AF15,Tracker[Bet Type Drill Down],AO$2),2)&gt;0.05,"X",IF(ROUND((SUMIFS(Tracker[Net],Tracker[Cover %],"&gt;="&amp;$AF14,Tracker[Cover %],"&lt;"&amp;$AF15,Tracker[Bet Type Drill Down],AO$2))/COUNTIFS(Tracker[Cover %],"&gt;="&amp;$AF14,Tracker[Cover %],"&lt;"&amp;$AF15,Tracker[Bet Type Drill Down],AO$2),2)&lt;-0.15,"O","")),"")</f>
        <v/>
      </c>
      <c r="AP14" s="24" t="str">
        <f>IFERROR(IF(ROUND((SUMIFS(Tracker[Net],Tracker[Cover %],"&gt;="&amp;$AF14,Tracker[Cover %],"&lt;"&amp;$AF15,Tracker[Bet Type Drill Down],AP$2))/COUNTIFS(Tracker[Cover %],"&gt;="&amp;$AF14,Tracker[Cover %],"&lt;"&amp;$AF15,Tracker[Bet Type Drill Down],AP$2),2)&gt;0.05,"X",IF(ROUND((SUMIFS(Tracker[Net],Tracker[Cover %],"&gt;="&amp;$AF14,Tracker[Cover %],"&lt;"&amp;$AF15,Tracker[Bet Type Drill Down],AP$2))/COUNTIFS(Tracker[Cover %],"&gt;="&amp;$AF14,Tracker[Cover %],"&lt;"&amp;$AF15,Tracker[Bet Type Drill Down],AP$2),2)&lt;-0.15,"O","")),"")</f>
        <v>X</v>
      </c>
      <c r="AQ14" s="24" t="str">
        <f>IFERROR(IF(ROUND((SUMIFS(Tracker[Net],Tracker[Cover %],"&gt;="&amp;$AF14,Tracker[Cover %],"&lt;"&amp;$AF15,Tracker[Bet Type Drill Down],AQ$2))/COUNTIFS(Tracker[Cover %],"&gt;="&amp;$AF14,Tracker[Cover %],"&lt;"&amp;$AF15,Tracker[Bet Type Drill Down],AQ$2),2)&gt;0.05,"X",IF(ROUND((SUMIFS(Tracker[Net],Tracker[Cover %],"&gt;="&amp;$AF14,Tracker[Cover %],"&lt;"&amp;$AF15,Tracker[Bet Type Drill Down],AQ$2))/COUNTIFS(Tracker[Cover %],"&gt;="&amp;$AF14,Tracker[Cover %],"&lt;"&amp;$AF15,Tracker[Bet Type Drill Down],AQ$2),2)&lt;-0.15,"O","")),"")</f>
        <v>O</v>
      </c>
      <c r="AT14" s="153">
        <f t="shared" si="1"/>
        <v>-0.39999999999999963</v>
      </c>
      <c r="AU14" s="39" t="str">
        <f t="shared" si="2"/>
        <v>-40  to  -35%</v>
      </c>
      <c r="AV14" t="str">
        <f>IFERROR(COUNTIFS(Tracker[Money Discrepency],"&gt;="&amp;AT14,Tracker[Money Discrepency],"&lt;"&amp;AT15,Tracker[Result],"W")&amp;"-"&amp;COUNTIFS(Tracker[Money Discrepency],"&gt;="&amp;AT14,Tracker[Money Discrepency],"&lt;"&amp;AT15,Tracker[Result],"L")&amp;"-"&amp;COUNTIFS(Tracker[Money Discrepency],"&gt;="&amp;AT14,Tracker[Money Discrepency],"&lt;"&amp;AT15,Tracker[Result],"Push")&amp;" ("&amp;ROUND(COUNTIFS(Tracker[Money Discrepency],"&gt;="&amp;AT14,Tracker[Money Discrepency],"&lt;"&amp;AT15,Tracker[Result],"W")/(COUNTIFS(Tracker[Money Discrepency],"&gt;="&amp;AT14,Tracker[Money Discrepency],"&lt;"&amp;AT15,Tracker[Result],"L")+COUNTIFS(Tracker[Money Discrepency],"&gt;="&amp;AT14,Tracker[Money Discrepency],"&lt;"&amp;AT15,Tracker[Result],"W"))*100,2)&amp;"%)","No Bets")</f>
        <v>1-2-0 (33.33%)</v>
      </c>
      <c r="AW14">
        <f>SUMIFS(Tracker[Net],Tracker[Money Discrepency],"&gt;="&amp;AT14,Tracker[Money Discrepency],"&lt;"&amp;AT15)</f>
        <v>-1.0909090909090908</v>
      </c>
      <c r="AX14" s="24" t="str">
        <f>IFERROR(IF(ROUND((SUMIFS(Tracker[Net],Tracker[Money Discrepency],"&gt;="&amp;$AT14,Tracker[Money Discrepency],"&lt;"&amp;$AT15,Tracker[Bet Type],AX$1))/COUNTIFS(Tracker[Money Discrepency],"&gt;="&amp;$AT14,Tracker[Money Discrepency],"&lt;"&amp;$AT15,Tracker[Bet Type],AX$1),2)&gt;0.05,"X",IF(ROUND((SUMIFS(Tracker[Net],Tracker[Money Discrepency],"&gt;="&amp;$AT14,Tracker[Money Discrepency],"&lt;"&amp;$AT15,Tracker[Bet Type],AX$1))/COUNTIFS(Tracker[Money Discrepency],"&gt;="&amp;$AT14,Tracker[Money Discrepency],"&lt;"&amp;$AT15,Tracker[Bet Type],AX$1),2)&lt;-0.15,"O","")),"")</f>
        <v>O</v>
      </c>
      <c r="AY14" s="24" t="str">
        <f>IFERROR(IF(ROUND((SUMIFS(Tracker[Net],Tracker[Money Discrepency],"&gt;="&amp;$AT14,Tracker[Money Discrepency],"&lt;"&amp;$AT15,Tracker[Bet Type],AY$1))/COUNTIFS(Tracker[Money Discrepency],"&gt;="&amp;$AT14,Tracker[Money Discrepency],"&lt;"&amp;$AT15,Tracker[Bet Type],AY$1),2)&gt;0.05,"X",IF(ROUND((SUMIFS(Tracker[Net],Tracker[Money Discrepency],"&gt;="&amp;$AT14,Tracker[Money Discrepency],"&lt;"&amp;$AT15,Tracker[Bet Type],AY$1))/COUNTIFS(Tracker[Money Discrepency],"&gt;="&amp;$AT14,Tracker[Money Discrepency],"&lt;"&amp;$AT15,Tracker[Bet Type],AY$1),2)&lt;-0.15,"O","")),"")</f>
        <v/>
      </c>
      <c r="AZ14" s="24" t="str">
        <f>IFERROR(IF(ROUND((SUMIFS(Tracker[Net],Tracker[Money Discrepency],"&gt;="&amp;$AT14,Tracker[Money Discrepency],"&lt;"&amp;$AT15,Tracker[Bet Type],AZ$1))/COUNTIFS(Tracker[Money Discrepency],"&gt;="&amp;$AT14,Tracker[Money Discrepency],"&lt;"&amp;$AT15,Tracker[Bet Type],AZ$1),2)&gt;0.05,"X",IF(ROUND((SUMIFS(Tracker[Net],Tracker[Money Discrepency],"&gt;="&amp;$AT14,Tracker[Money Discrepency],"&lt;"&amp;$AT15,Tracker[Bet Type],AZ$1))/COUNTIFS(Tracker[Money Discrepency],"&gt;="&amp;$AT14,Tracker[Money Discrepency],"&lt;"&amp;$AT15,Tracker[Bet Type],AZ$1),2)&lt;-0.15,"O","")),"")</f>
        <v/>
      </c>
      <c r="BA14" s="24" t="str">
        <f>IFERROR(IF(ROUND((SUMIFS(Tracker[Net],Tracker[Money Discrepency],"&gt;="&amp;$AT14,Tracker[Money Discrepency],"&lt;"&amp;$AT15,Tracker[Bet Type],BA$1))/COUNTIFS(Tracker[Money Discrepency],"&gt;="&amp;$AT14,Tracker[Money Discrepency],"&lt;"&amp;$AT15,Tracker[Bet Type],BA$1),2)&gt;0.05,"X",IF(ROUND((SUMIFS(Tracker[Net],Tracker[Money Discrepency],"&gt;="&amp;$AT14,Tracker[Money Discrepency],"&lt;"&amp;$AT15,Tracker[Bet Type],BA$1))/COUNTIFS(Tracker[Money Discrepency],"&gt;="&amp;$AT14,Tracker[Money Discrepency],"&lt;"&amp;$AT15,Tracker[Bet Type],BA$1),2)&lt;-0.15,"O","")),"")</f>
        <v/>
      </c>
      <c r="BB14" s="24" t="str">
        <f>IFERROR(IF(ROUND((SUMIFS(Tracker[Net],Tracker[Money Discrepency],"&gt;="&amp;$AT14,Tracker[Money Discrepency],"&lt;"&amp;$AT15,Tracker[Bet Type Drill Down],BB$1))/COUNTIFS(Tracker[Money Discrepency],"&gt;="&amp;$AT14,Tracker[Money Discrepency],"&lt;"&amp;$AT15,Tracker[Bet Type Drill Down],BB$1),2)&gt;0.05,"X",IF(ROUND((SUMIFS(Tracker[Net],Tracker[Money Discrepency],"&gt;="&amp;$AT14,Tracker[Money Discrepency],"&lt;"&amp;$AT15,Tracker[Bet Type Drill Down],BB$1))/COUNTIFS(Tracker[Money Discrepency],"&gt;="&amp;$AT14,Tracker[Money Discrepency],"&lt;"&amp;$AT15,Tracker[Bet Type Drill Down],BB$1),2)&lt;-0.15,"O","")),"")</f>
        <v/>
      </c>
      <c r="BC14" s="24" t="str">
        <f>IFERROR(IF(ROUND((SUMIFS(Tracker[Net],Tracker[Money Discrepency],"&gt;="&amp;$AT14,Tracker[Money Discrepency],"&lt;"&amp;$AT15,Tracker[Bet Type Drill Down],BC$1))/COUNTIFS(Tracker[Money Discrepency],"&gt;="&amp;$AT14,Tracker[Money Discrepency],"&lt;"&amp;$AT15,Tracker[Bet Type Drill Down],BC$1),2)&gt;0.05,"X",IF(ROUND((SUMIFS(Tracker[Net],Tracker[Money Discrepency],"&gt;="&amp;$AT14,Tracker[Money Discrepency],"&lt;"&amp;$AT15,Tracker[Bet Type Drill Down],BC$1))/COUNTIFS(Tracker[Money Discrepency],"&gt;="&amp;$AT14,Tracker[Money Discrepency],"&lt;"&amp;$AT15,Tracker[Bet Type Drill Down],BC$1),2)&lt;-0.15,"O","")),"")</f>
        <v/>
      </c>
      <c r="BD14" s="24" t="str">
        <f>IFERROR(IF(ROUND((SUMIFS(Tracker[Net],Tracker[Money Discrepency],"&gt;="&amp;$AT14,Tracker[Money Discrepency],"&lt;"&amp;$AT15,Tracker[Bet Type Drill Down],BD$1))/COUNTIFS(Tracker[Money Discrepency],"&gt;="&amp;$AT14,Tracker[Money Discrepency],"&lt;"&amp;$AT15,Tracker[Bet Type Drill Down],BD$1),2)&gt;0.05,"X",IF(ROUND((SUMIFS(Tracker[Net],Tracker[Money Discrepency],"&gt;="&amp;$AT14,Tracker[Money Discrepency],"&lt;"&amp;$AT15,Tracker[Bet Type Drill Down],BD$1))/COUNTIFS(Tracker[Money Discrepency],"&gt;="&amp;$AT14,Tracker[Money Discrepency],"&lt;"&amp;$AT15,Tracker[Bet Type Drill Down],BD$1),2)&lt;-0.15,"O","")),"")</f>
        <v/>
      </c>
      <c r="BE14" s="24" t="str">
        <f>IFERROR(IF(ROUND((SUMIFS(Tracker[Net],Tracker[Money Discrepency],"&gt;="&amp;$AT14,Tracker[Money Discrepency],"&lt;"&amp;$AT15,Tracker[Bet Type Drill Down],BE$1))/COUNTIFS(Tracker[Money Discrepency],"&gt;="&amp;$AT14,Tracker[Money Discrepency],"&lt;"&amp;$AT15,Tracker[Bet Type Drill Down],BE$1),2)&gt;0.05,"X",IF(ROUND((SUMIFS(Tracker[Net],Tracker[Money Discrepency],"&gt;="&amp;$AT14,Tracker[Money Discrepency],"&lt;"&amp;$AT15,Tracker[Bet Type Drill Down],BE$1))/COUNTIFS(Tracker[Money Discrepency],"&gt;="&amp;$AT14,Tracker[Money Discrepency],"&lt;"&amp;$AT15,Tracker[Bet Type Drill Down],BE$1),2)&lt;-0.15,"O","")),"")</f>
        <v/>
      </c>
      <c r="BG14" s="153">
        <f t="shared" si="3"/>
        <v>0.6</v>
      </c>
      <c r="BH14" s="154" t="str">
        <f t="shared" si="4"/>
        <v>60  to  65%</v>
      </c>
      <c r="BI14" t="str">
        <f>IFERROR(COUNTIFS(Tracker[Money %],"&gt;="&amp;BG14,Tracker[Money %],"&lt;"&amp;BG15,Tracker[Result],"W")&amp;"-"&amp;COUNTIFS(Tracker[Money %],"&gt;="&amp;BG14,Tracker[Money %],"&lt;"&amp;BG15,Tracker[Result],"L")&amp;"-"&amp;COUNTIFS(Tracker[Money %],"&gt;="&amp;BG14,Tracker[Money %],"&lt;"&amp;BG15,Tracker[Result],"Push")&amp;" ("&amp;ROUND(COUNTIFS(Tracker[Money %],"&gt;="&amp;BG14,Tracker[Money %],"&lt;"&amp;BG15,Tracker[Result],"W")/(COUNTIFS(Tracker[Money %],"&gt;="&amp;BG14,Tracker[Money %],"&lt;"&amp;BG15,Tracker[Result],"L")+COUNTIFS(Tracker[Money %],"&gt;="&amp;BG14,Tracker[Money %],"&lt;"&amp;BG15,Tracker[Result],"W"))*100,2)&amp;"%)","No Bets")</f>
        <v>7-4-0 (63.64%)</v>
      </c>
      <c r="BJ14">
        <f>SUMIFS(Tracker[Net],Tracker[Money %],"&gt;="&amp;BG14,Tracker[Money %],"&lt;"&amp;BG15)</f>
        <v>2.3636363636363638</v>
      </c>
      <c r="BK14" s="24" t="str">
        <f>IFERROR(IF(ROUND((SUMIFS(Tracker[Net],Tracker[Money %],"&gt;="&amp;$BG14,Tracker[Money %],"&lt;"&amp;$BG15,Tracker[Bet Type],BK$1))/COUNTIFS(Tracker[Money %],"&gt;="&amp;$BG14,Tracker[Money %],"&lt;"&amp;$BG15,Tracker[Bet Type],BK$1),2)&gt;0.05,"X",IF(ROUND((SUMIFS(Tracker[Net],Tracker[Money %],"&gt;="&amp;$BG14,Tracker[Money %],"&lt;"&amp;$BG15,Tracker[Bet Type],BK$1))/COUNTIFS(Tracker[Money %],"&gt;="&amp;$BG14,Tracker[Money %],"&lt;"&amp;$BG15,Tracker[Bet Type],BK$1),2)&lt;-0.15,"O","")),"")</f>
        <v>O</v>
      </c>
      <c r="BL14" s="24" t="str">
        <f>IFERROR(IF(ROUND((SUMIFS(Tracker[Net],Tracker[Money %],"&gt;="&amp;$BG14,Tracker[Money %],"&lt;"&amp;$BG15,Tracker[Bet Type],BL$1))/COUNTIFS(Tracker[Money %],"&gt;="&amp;$BG14,Tracker[Money %],"&lt;"&amp;$BG15,Tracker[Bet Type],BL$1),2)&gt;0.05,"X",IF(ROUND((SUMIFS(Tracker[Net],Tracker[Money %],"&gt;="&amp;$BG14,Tracker[Money %],"&lt;"&amp;$BG15,Tracker[Bet Type],BL$1))/COUNTIFS(Tracker[Money %],"&gt;="&amp;$BG14,Tracker[Money %],"&lt;"&amp;$BG15,Tracker[Bet Type],BL$1),2)&lt;-0.15,"O","")),"")</f>
        <v/>
      </c>
      <c r="BM14" s="24" t="str">
        <f>IFERROR(IF(ROUND((SUMIFS(Tracker[Net],Tracker[Money %],"&gt;="&amp;$BG14,Tracker[Money %],"&lt;"&amp;$BG15,Tracker[Bet Type],BM$1))/COUNTIFS(Tracker[Money %],"&gt;="&amp;$BG14,Tracker[Money %],"&lt;"&amp;$BG15,Tracker[Bet Type],BM$1),2)&gt;0.05,"X",IF(ROUND((SUMIFS(Tracker[Net],Tracker[Money %],"&gt;="&amp;$BG14,Tracker[Money %],"&lt;"&amp;$BG15,Tracker[Bet Type],BM$1))/COUNTIFS(Tracker[Money %],"&gt;="&amp;$BG14,Tracker[Money %],"&lt;"&amp;$BG15,Tracker[Bet Type],BM$1),2)&lt;-0.15,"O","")),"")</f>
        <v>X</v>
      </c>
      <c r="BN14" s="24" t="str">
        <f>IFERROR(IF(ROUND((SUMIFS(Tracker[Net],Tracker[Money %],"&gt;="&amp;$BG14,Tracker[Money %],"&lt;"&amp;$BG15,Tracker[Bet Type],BN$1))/COUNTIFS(Tracker[Money %],"&gt;="&amp;$BG14,Tracker[Money %],"&lt;"&amp;$BG15,Tracker[Bet Type],BN$1),2)&gt;0.05,"X",IF(ROUND((SUMIFS(Tracker[Net],Tracker[Money %],"&gt;="&amp;$BG14,Tracker[Money %],"&lt;"&amp;$BG15,Tracker[Bet Type],BN$1))/COUNTIFS(Tracker[Money %],"&gt;="&amp;$BG14,Tracker[Money %],"&lt;"&amp;$BG15,Tracker[Bet Type],BN$1),2)&lt;-0.15,"O","")),"")</f>
        <v/>
      </c>
      <c r="BO14" s="24" t="str">
        <f>IFERROR(IF(ROUND((SUMIFS(Tracker[Net],Tracker[Money %],"&gt;="&amp;$BG14,Tracker[Money %],"&lt;"&amp;$BG15,Tracker[Bet Type Drill Down],BO$1))/COUNTIFS(Tracker[Money %],"&gt;="&amp;$BG14,Tracker[Money %],"&lt;"&amp;$BG15,Tracker[Bet Type Drill Down],BO$1),2)&gt;0.05,"X",IF(ROUND((SUMIFS(Tracker[Net],Tracker[Money %],"&gt;="&amp;$BG14,Tracker[Money %],"&lt;"&amp;$BG15,Tracker[Bet Type Drill Down],BO$1))/COUNTIFS(Tracker[Money %],"&gt;="&amp;$BG14,Tracker[Money %],"&lt;"&amp;$BG15,Tracker[Bet Type Drill Down],BO$1),2)&lt;-0.15,"O","")),"")</f>
        <v/>
      </c>
      <c r="BP14" s="24" t="str">
        <f>IFERROR(IF(ROUND((SUMIFS(Tracker[Net],Tracker[Money %],"&gt;="&amp;$BG14,Tracker[Money %],"&lt;"&amp;$BG15,Tracker[Bet Type Drill Down],BP$1))/COUNTIFS(Tracker[Money %],"&gt;="&amp;$BG14,Tracker[Money %],"&lt;"&amp;$BG15,Tracker[Bet Type Drill Down],BP$1),2)&gt;0.05,"X",IF(ROUND((SUMIFS(Tracker[Net],Tracker[Money %],"&gt;="&amp;$BG14,Tracker[Money %],"&lt;"&amp;$BG15,Tracker[Bet Type Drill Down],BP$1))/COUNTIFS(Tracker[Money %],"&gt;="&amp;$BG14,Tracker[Money %],"&lt;"&amp;$BG15,Tracker[Bet Type Drill Down],BP$1),2)&lt;-0.15,"O","")),"")</f>
        <v/>
      </c>
      <c r="BQ14" s="24" t="str">
        <f>IFERROR(IF(ROUND((SUMIFS(Tracker[Net],Tracker[Money %],"&gt;="&amp;$BG14,Tracker[Money %],"&lt;"&amp;$BG15,Tracker[Bet Type Drill Down],BQ$1))/COUNTIFS(Tracker[Money %],"&gt;="&amp;$BG14,Tracker[Money %],"&lt;"&amp;$BG15,Tracker[Bet Type Drill Down],BQ$1),2)&gt;0.05,"X",IF(ROUND((SUMIFS(Tracker[Net],Tracker[Money %],"&gt;="&amp;$BG14,Tracker[Money %],"&lt;"&amp;$BG15,Tracker[Bet Type Drill Down],BQ$1))/COUNTIFS(Tracker[Money %],"&gt;="&amp;$BG14,Tracker[Money %],"&lt;"&amp;$BG15,Tracker[Bet Type Drill Down],BQ$1),2)&lt;-0.15,"O","")),"")</f>
        <v>X</v>
      </c>
      <c r="BR14" s="24" t="str">
        <f>IFERROR(IF(ROUND((SUMIFS(Tracker[Net],Tracker[Money %],"&gt;="&amp;$BG14,Tracker[Money %],"&lt;"&amp;$BG15,Tracker[Bet Type Drill Down],BR$1))/COUNTIFS(Tracker[Money %],"&gt;="&amp;$BG14,Tracker[Money %],"&lt;"&amp;$BG15,Tracker[Bet Type Drill Down],BR$1),2)&gt;0.05,"X",IF(ROUND((SUMIFS(Tracker[Net],Tracker[Money %],"&gt;="&amp;$BG14,Tracker[Money %],"&lt;"&amp;$BG15,Tracker[Bet Type Drill Down],BR$1))/COUNTIFS(Tracker[Money %],"&gt;="&amp;$BG14,Tracker[Money %],"&lt;"&amp;$BG15,Tracker[Bet Type Drill Down],BR$1),2)&lt;-0.15,"O","")),"")</f>
        <v>X</v>
      </c>
      <c r="BT14" s="153">
        <f t="shared" si="5"/>
        <v>0.6</v>
      </c>
      <c r="BU14" s="154" t="str">
        <f t="shared" ref="BU14" si="20">ROUND(BT14*100,0)&amp;"  to  "&amp;ROUND(BT15*100,0)&amp;"%"</f>
        <v>60  to  65%</v>
      </c>
      <c r="BV14" t="str">
        <f>IFERROR(COUNTIFS(Tracker[Bet %],"&gt;="&amp;BT14,Tracker[Bet %],"&lt;"&amp;BT15,Tracker[Result],"W")&amp;"-"&amp;COUNTIFS(Tracker[Bet %],"&gt;="&amp;BT14,Tracker[Bet %],"&lt;"&amp;BT15,Tracker[Result],"L")&amp;"-"&amp;COUNTIFS(Tracker[Bet %],"&gt;="&amp;BT14,Tracker[Bet %],"&lt;"&amp;BT15,Tracker[Result],"Push")&amp;" ("&amp;ROUND(COUNTIFS(Tracker[Bet %],"&gt;="&amp;BT14,Tracker[Bet %],"&lt;"&amp;BT15,Tracker[Result],"W")/(COUNTIFS(Tracker[Bet %],"&gt;="&amp;BT14,Tracker[Bet %],"&lt;"&amp;BT15,Tracker[Result],"L")+COUNTIFS(Tracker[Bet %],"&gt;="&amp;BT14,Tracker[Bet %],"&lt;"&amp;BT15,Tracker[Result],"W"))*100,2)&amp;"%)","No Bets")</f>
        <v>6-8-0 (42.86%)</v>
      </c>
      <c r="BW14">
        <f>SUMIFS(Tracker[Net],Tracker[Bet %],"&gt;="&amp;BT14,Tracker[Bet %],"&lt;"&amp;BT15)</f>
        <v>-2.545454545454545</v>
      </c>
      <c r="BX14" s="24" t="str">
        <f>IFERROR(IF(ROUND((SUMIFS(Tracker[Net],Tracker[Bet %],"&gt;="&amp;$BG14,Tracker[Bet %],"&lt;"&amp;$BG15,Tracker[Bet Type],BX$1))/COUNTIFS(Tracker[Bet %],"&gt;="&amp;$BG14,Tracker[Bet %],"&lt;"&amp;$BG15,Tracker[Bet Type],BX$1),2)&gt;0.05,"X",IF(ROUND((SUMIFS(Tracker[Net],Tracker[Bet %],"&gt;="&amp;$BG14,Tracker[Bet %],"&lt;"&amp;$BG15,Tracker[Bet Type],BX$1))/COUNTIFS(Tracker[Bet %],"&gt;="&amp;$BG14,Tracker[Bet %],"&lt;"&amp;$BG15,Tracker[Bet Type],BX$1),2)&lt;-0.15,"O","")),"")</f>
        <v/>
      </c>
      <c r="BY14" s="24" t="str">
        <f>IFERROR(IF(ROUND((SUMIFS(Tracker[Net],Tracker[Bet %],"&gt;="&amp;$BG14,Tracker[Bet %],"&lt;"&amp;$BG15,Tracker[Bet Type],BY$1))/COUNTIFS(Tracker[Bet %],"&gt;="&amp;$BG14,Tracker[Bet %],"&lt;"&amp;$BG15,Tracker[Bet Type],BY$1),2)&gt;0.05,"X",IF(ROUND((SUMIFS(Tracker[Net],Tracker[Bet %],"&gt;="&amp;$BG14,Tracker[Bet %],"&lt;"&amp;$BG15,Tracker[Bet Type],BY$1))/COUNTIFS(Tracker[Bet %],"&gt;="&amp;$BG14,Tracker[Bet %],"&lt;"&amp;$BG15,Tracker[Bet Type],BY$1),2)&lt;-0.15,"O","")),"")</f>
        <v>O</v>
      </c>
      <c r="BZ14" s="24" t="str">
        <f>IFERROR(IF(ROUND((SUMIFS(Tracker[Net],Tracker[Bet %],"&gt;="&amp;$BG14,Tracker[Bet %],"&lt;"&amp;$BG15,Tracker[Bet Type],BZ$1))/COUNTIFS(Tracker[Bet %],"&gt;="&amp;$BG14,Tracker[Bet %],"&lt;"&amp;$BG15,Tracker[Bet Type],BZ$1),2)&gt;0.05,"X",IF(ROUND((SUMIFS(Tracker[Net],Tracker[Bet %],"&gt;="&amp;$BG14,Tracker[Bet %],"&lt;"&amp;$BG15,Tracker[Bet Type],BZ$1))/COUNTIFS(Tracker[Bet %],"&gt;="&amp;$BG14,Tracker[Bet %],"&lt;"&amp;$BG15,Tracker[Bet Type],BZ$1),2)&lt;-0.15,"O","")),"")</f>
        <v>O</v>
      </c>
      <c r="CA14" s="24" t="str">
        <f>IFERROR(IF(ROUND((SUMIFS(Tracker[Net],Tracker[Bet %],"&gt;="&amp;$BG14,Tracker[Bet %],"&lt;"&amp;$BG15,Tracker[Bet Type],CA$1))/COUNTIFS(Tracker[Bet %],"&gt;="&amp;$BG14,Tracker[Bet %],"&lt;"&amp;$BG15,Tracker[Bet Type],CA$1),2)&gt;0.05,"X",IF(ROUND((SUMIFS(Tracker[Net],Tracker[Bet %],"&gt;="&amp;$BG14,Tracker[Bet %],"&lt;"&amp;$BG15,Tracker[Bet Type],CA$1))/COUNTIFS(Tracker[Bet %],"&gt;="&amp;$BG14,Tracker[Bet %],"&lt;"&amp;$BG15,Tracker[Bet Type],CA$1),2)&lt;-0.15,"O","")),"")</f>
        <v>X</v>
      </c>
      <c r="CB14" s="24" t="str">
        <f>IFERROR(IF(ROUND((SUMIFS(Tracker[Net],Tracker[Bet %],"&gt;="&amp;$BG14,Tracker[Bet %],"&lt;"&amp;$BG15,Tracker[Bet Type Drill Down],CB$1))/COUNTIFS(Tracker[Bet %],"&gt;="&amp;$BG14,Tracker[Bet %],"&lt;"&amp;$BG15,Tracker[Bet Type Drill Down],CB$1),2)&gt;0.05,"X",IF(ROUND((SUMIFS(Tracker[Net],Tracker[Bet %],"&gt;="&amp;$BG14,Tracker[Bet %],"&lt;"&amp;$BG15,Tracker[Bet Type Drill Down],CB$1))/COUNTIFS(Tracker[Bet %],"&gt;="&amp;$BG14,Tracker[Bet %],"&lt;"&amp;$BG15,Tracker[Bet Type Drill Down],CB$1),2)&lt;-0.15,"O","")),"")</f>
        <v>X</v>
      </c>
      <c r="CC14" s="24" t="str">
        <f>IFERROR(IF(ROUND((SUMIFS(Tracker[Net],Tracker[Bet %],"&gt;="&amp;$BG14,Tracker[Bet %],"&lt;"&amp;$BG15,Tracker[Bet Type Drill Down],CC$1))/COUNTIFS(Tracker[Bet %],"&gt;="&amp;$BG14,Tracker[Bet %],"&lt;"&amp;$BG15,Tracker[Bet Type Drill Down],CC$1),2)&gt;0.05,"X",IF(ROUND((SUMIFS(Tracker[Net],Tracker[Bet %],"&gt;="&amp;$BG14,Tracker[Bet %],"&lt;"&amp;$BG15,Tracker[Bet Type Drill Down],CC$1))/COUNTIFS(Tracker[Bet %],"&gt;="&amp;$BG14,Tracker[Bet %],"&lt;"&amp;$BG15,Tracker[Bet Type Drill Down],CC$1),2)&lt;-0.15,"O","")),"")</f>
        <v/>
      </c>
      <c r="CD14" s="24" t="str">
        <f>IFERROR(IF(ROUND((SUMIFS(Tracker[Net],Tracker[Bet %],"&gt;="&amp;$BG14,Tracker[Bet %],"&lt;"&amp;$BG15,Tracker[Bet Type Drill Down],CD$1))/COUNTIFS(Tracker[Bet %],"&gt;="&amp;$BG14,Tracker[Bet %],"&lt;"&amp;$BG15,Tracker[Bet Type Drill Down],CD$1),2)&gt;0.05,"X",IF(ROUND((SUMIFS(Tracker[Net],Tracker[Bet %],"&gt;="&amp;$BG14,Tracker[Bet %],"&lt;"&amp;$BG15,Tracker[Bet Type Drill Down],CD$1))/COUNTIFS(Tracker[Bet %],"&gt;="&amp;$BG14,Tracker[Bet %],"&lt;"&amp;$BG15,Tracker[Bet Type Drill Down],CD$1),2)&lt;-0.15,"O","")),"")</f>
        <v>O</v>
      </c>
      <c r="CE14" s="24" t="str">
        <f>IFERROR(IF(ROUND((SUMIFS(Tracker[Net],Tracker[Bet %],"&gt;="&amp;$BG14,Tracker[Bet %],"&lt;"&amp;$BG15,Tracker[Bet Type Drill Down],CE$1))/COUNTIFS(Tracker[Bet %],"&gt;="&amp;$BG14,Tracker[Bet %],"&lt;"&amp;$BG15,Tracker[Bet Type Drill Down],CE$1),2)&gt;0.05,"X",IF(ROUND((SUMIFS(Tracker[Net],Tracker[Bet %],"&gt;="&amp;$BG14,Tracker[Bet %],"&lt;"&amp;$BG15,Tracker[Bet Type Drill Down],CE$1))/COUNTIFS(Tracker[Bet %],"&gt;="&amp;$BG14,Tracker[Bet %],"&lt;"&amp;$BG15,Tracker[Bet Type Drill Down],CE$1),2)&lt;-0.15,"O","")),"")</f>
        <v/>
      </c>
    </row>
    <row r="15" spans="1:83" x14ac:dyDescent="0.25">
      <c r="A15" s="36">
        <f t="shared" si="9"/>
        <v>1</v>
      </c>
      <c r="B15" s="25">
        <v>43796</v>
      </c>
      <c r="C15" s="25" t="str">
        <f t="shared" si="7"/>
        <v>NBA</v>
      </c>
      <c r="D15" s="26" t="s">
        <v>790</v>
      </c>
      <c r="E15" s="27" t="s">
        <v>791</v>
      </c>
      <c r="F15" s="67">
        <v>0.58522242340624597</v>
      </c>
      <c r="G15" s="29">
        <v>-110</v>
      </c>
      <c r="H15" s="30" t="s">
        <v>57</v>
      </c>
      <c r="I15" s="44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15" s="40" t="str">
        <f>MID(Tracker[[#This Row],[Game]],SEARCH("@",Tracker[[#This Row],[Game]])+2,LEN(Tracker[[#This Row],[Game]]))</f>
        <v>Suns</v>
      </c>
      <c r="L15" s="40" t="str">
        <f>LEFT(Tracker[[#This Row],[Game]],SEARCH("@",Tracker[[#This Row],[Game]])-2)</f>
        <v>Wizards</v>
      </c>
      <c r="M1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15" s="123"/>
      <c r="O15" s="147"/>
      <c r="P15" s="147"/>
      <c r="Q1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5" s="147" t="e">
        <f>IF(AND(Tracker[[#This Row],[Money %]]&lt;&gt;"",Tracker[[#This Row],[Bet %]]&lt;&gt;""),Tracker[[#This Row],[Money %]]-Tracker[[#This Row],[Bet %]],NA())</f>
        <v>#N/A</v>
      </c>
      <c r="S15" s="109"/>
      <c r="T15" s="109"/>
      <c r="U15" s="56">
        <f>IFERROR(INDEX($A$4:$B10011,MATCH(ROW()-3,$A$4:$A$4:$A1011,0),2),0)</f>
        <v>43832</v>
      </c>
      <c r="V15" s="33" t="str">
        <f>COUNTIFS(Tracker[Date],U15,Tracker[Result],"W")&amp;"-"&amp;COUNTIFS(Tracker[Date],U15,Tracker[Result],"L")&amp;IF(COUNTIFS(Tracker[Date],U15,Tracker[Result],"Push")&gt;0,"-"&amp;COUNTIFS(Tracker[Date],U15,Tracker[Result],"Push"),"")</f>
        <v>3-6</v>
      </c>
      <c r="W15" s="34">
        <f>IFERROR(COUNTIFS(Tracker[Date],U15,Tracker[Result],"W")/(COUNTIFS(Tracker[Date],U15,Tracker[Result],"W")+COUNTIFS(Tracker[Date],U15,Tracker[Result],"L")),"")</f>
        <v>0.33333333333333331</v>
      </c>
      <c r="X15" s="61">
        <f>SUMIF(Tracker[Date],U15,Tracker[Net])</f>
        <v>-3.2727272727272725</v>
      </c>
      <c r="Y15" s="35" t="str">
        <f>IFERROR("("&amp;ROUND(SUMIF(Tracker[Date],U15,Tracker[Net])/COUNTIF(Tracker[Date],U15),2)*100&amp;"%)","")</f>
        <v>(-36%)</v>
      </c>
      <c r="AF15" s="36">
        <f t="shared" si="11"/>
        <v>0.6</v>
      </c>
      <c r="AG15" s="66" t="str">
        <f t="shared" si="0"/>
        <v>60-65%</v>
      </c>
      <c r="AH15" s="124" t="str">
        <f>IFERROR(COUNTIFS(Tracker[Cover %],"&gt;="&amp;AF15,Tracker[Cover %],"&lt;"&amp;AF16,Tracker[Result],"W")&amp;"-"&amp;COUNTIFS(Tracker[Cover %],"&gt;="&amp;AF15,Tracker[Cover %],"&lt;"&amp;AF16,Tracker[Result],"L")&amp;"-"&amp;COUNTIFS(Tracker[Cover %],"&gt;="&amp;AF15,Tracker[Cover %],"&lt;"&amp;AF16,Tracker[Result],"Push")&amp;" ("&amp;ROUND(COUNTIFS(Tracker[Cover %],"&gt;="&amp;AF15,Tracker[Cover %],"&lt;"&amp;AF16,Tracker[Result],"W")/(COUNTIFS(Tracker[Cover %],"&gt;="&amp;AF15,Tracker[Cover %],"&lt;"&amp;AF16,Tracker[Result],"L")+COUNTIFS(Tracker[Cover %],"&gt;="&amp;AF15,Tracker[Cover %],"&lt;"&amp;AF16,Tracker[Result],"W"))*100,2)&amp;"%)","No Bets")</f>
        <v>10-7-1 (58.82%)</v>
      </c>
      <c r="AI15" s="72">
        <f>SUMIFS(Tracker[Net],Tracker[Cover %],"&gt;="&amp;AF15,Tracker[Cover %],"&lt;"&amp;AF16)</f>
        <v>2.0909090909090908</v>
      </c>
      <c r="AJ15" s="24" t="str">
        <f>IFERROR(IF(ROUND((SUMIFS(Tracker[Net],Tracker[Cover %],"&gt;="&amp;$AF15,Tracker[Cover %],"&lt;"&amp;$AF16,Tracker[Bet Type],AJ$2))/COUNTIFS(Tracker[Cover %],"&gt;="&amp;$AF15,Tracker[Cover %],"&lt;"&amp;$AF16,Tracker[Bet Type],AJ$2),2)&gt;0.05,"X",IF(ROUND((SUMIFS(Tracker[Net],Tracker[Cover %],"&gt;="&amp;$AF15,Tracker[Cover %],"&lt;"&amp;$AF16,Tracker[Bet Type],AJ$2))/COUNTIFS(Tracker[Cover %],"&gt;="&amp;$AF15,Tracker[Cover %],"&lt;"&amp;$AF16,Tracker[Bet Type],AJ$2),2)&lt;-0.15,"O","")),"")</f>
        <v>O</v>
      </c>
      <c r="AK15" s="24" t="str">
        <f>IFERROR(IF(ROUND((SUMIFS(Tracker[Net],Tracker[Cover %],"&gt;="&amp;$AF15,Tracker[Cover %],"&lt;"&amp;$AF16,Tracker[Bet Type],AK$2))/COUNTIFS(Tracker[Cover %],"&gt;="&amp;$AF15,Tracker[Cover %],"&lt;"&amp;$AF16,Tracker[Bet Type],AK$2),2)&gt;0.05,"X",IF(ROUND((SUMIFS(Tracker[Net],Tracker[Cover %],"&gt;="&amp;$AF15,Tracker[Cover %],"&lt;"&amp;$AF16,Tracker[Bet Type],AK$2))/COUNTIFS(Tracker[Cover %],"&gt;="&amp;$AF15,Tracker[Cover %],"&lt;"&amp;$AF16,Tracker[Bet Type],AK$2),2)&lt;-0.15,"O","")),"")</f>
        <v/>
      </c>
      <c r="AL15" s="24" t="str">
        <f>IFERROR(IF(ROUND((SUMIFS(Tracker[Net],Tracker[Cover %],"&gt;="&amp;$AF15,Tracker[Cover %],"&lt;"&amp;$AF16,Tracker[Bet Type],AL$2))/COUNTIFS(Tracker[Cover %],"&gt;="&amp;$AF15,Tracker[Cover %],"&lt;"&amp;$AF16,Tracker[Bet Type],AL$2),2)&gt;0.05,"X",IF(ROUND((SUMIFS(Tracker[Net],Tracker[Cover %],"&gt;="&amp;$AF15,Tracker[Cover %],"&lt;"&amp;$AF16,Tracker[Bet Type],AL$2))/COUNTIFS(Tracker[Cover %],"&gt;="&amp;$AF15,Tracker[Cover %],"&lt;"&amp;$AF16,Tracker[Bet Type],AL$2),2)&lt;-0.15,"O","")),"")</f>
        <v>X</v>
      </c>
      <c r="AM15" s="24" t="str">
        <f>IFERROR(IF(ROUND((SUMIFS(Tracker[Net],Tracker[Cover %],"&gt;="&amp;$AF15,Tracker[Cover %],"&lt;"&amp;$AF16,Tracker[Bet Type],AM$2))/COUNTIFS(Tracker[Cover %],"&gt;="&amp;$AF15,Tracker[Cover %],"&lt;"&amp;$AF16,Tracker[Bet Type],AM$2),2)&gt;0.05,"X",IF(ROUND((SUMIFS(Tracker[Net],Tracker[Cover %],"&gt;="&amp;$AF15,Tracker[Cover %],"&lt;"&amp;$AF16,Tracker[Bet Type],AM$2))/COUNTIFS(Tracker[Cover %],"&gt;="&amp;$AF15,Tracker[Cover %],"&lt;"&amp;$AF16,Tracker[Bet Type],AM$2),2)&lt;-0.15,"O","")),"")</f>
        <v>O</v>
      </c>
      <c r="AN15" s="24" t="str">
        <f>IFERROR(IF(ROUND((SUMIFS(Tracker[Net],Tracker[Cover %],"&gt;="&amp;$AF15,Tracker[Cover %],"&lt;"&amp;$AF16,Tracker[Bet Type Drill Down],AN$2))/COUNTIFS(Tracker[Cover %],"&gt;="&amp;$AF15,Tracker[Cover %],"&lt;"&amp;$AF16,Tracker[Bet Type Drill Down],AN$2),2)&gt;0.05,"X",IF(ROUND((SUMIFS(Tracker[Net],Tracker[Cover %],"&gt;="&amp;$AF15,Tracker[Cover %],"&lt;"&amp;$AF16,Tracker[Bet Type Drill Down],AN$2))/COUNTIFS(Tracker[Cover %],"&gt;="&amp;$AF15,Tracker[Cover %],"&lt;"&amp;$AF16,Tracker[Bet Type Drill Down],AN$2),2)&lt;-0.15,"O","")),"")</f>
        <v>O</v>
      </c>
      <c r="AO15" s="24" t="str">
        <f>IFERROR(IF(ROUND((SUMIFS(Tracker[Net],Tracker[Cover %],"&gt;="&amp;$AF15,Tracker[Cover %],"&lt;"&amp;$AF16,Tracker[Bet Type Drill Down],AO$2))/COUNTIFS(Tracker[Cover %],"&gt;="&amp;$AF15,Tracker[Cover %],"&lt;"&amp;$AF16,Tracker[Bet Type Drill Down],AO$2),2)&gt;0.05,"X",IF(ROUND((SUMIFS(Tracker[Net],Tracker[Cover %],"&gt;="&amp;$AF15,Tracker[Cover %],"&lt;"&amp;$AF16,Tracker[Bet Type Drill Down],AO$2))/COUNTIFS(Tracker[Cover %],"&gt;="&amp;$AF15,Tracker[Cover %],"&lt;"&amp;$AF16,Tracker[Bet Type Drill Down],AO$2),2)&lt;-0.15,"O","")),"")</f>
        <v>X</v>
      </c>
      <c r="AP15" s="24" t="str">
        <f>IFERROR(IF(ROUND((SUMIFS(Tracker[Net],Tracker[Cover %],"&gt;="&amp;$AF15,Tracker[Cover %],"&lt;"&amp;$AF16,Tracker[Bet Type Drill Down],AP$2))/COUNTIFS(Tracker[Cover %],"&gt;="&amp;$AF15,Tracker[Cover %],"&lt;"&amp;$AF16,Tracker[Bet Type Drill Down],AP$2),2)&gt;0.05,"X",IF(ROUND((SUMIFS(Tracker[Net],Tracker[Cover %],"&gt;="&amp;$AF15,Tracker[Cover %],"&lt;"&amp;$AF16,Tracker[Bet Type Drill Down],AP$2))/COUNTIFS(Tracker[Cover %],"&gt;="&amp;$AF15,Tracker[Cover %],"&lt;"&amp;$AF16,Tracker[Bet Type Drill Down],AP$2),2)&lt;-0.15,"O","")),"")</f>
        <v>X</v>
      </c>
      <c r="AQ15" s="24" t="str">
        <f>IFERROR(IF(ROUND((SUMIFS(Tracker[Net],Tracker[Cover %],"&gt;="&amp;$AF15,Tracker[Cover %],"&lt;"&amp;$AF16,Tracker[Bet Type Drill Down],AQ$2))/COUNTIFS(Tracker[Cover %],"&gt;="&amp;$AF15,Tracker[Cover %],"&lt;"&amp;$AF16,Tracker[Bet Type Drill Down],AQ$2),2)&gt;0.05,"X",IF(ROUND((SUMIFS(Tracker[Net],Tracker[Cover %],"&gt;="&amp;$AF15,Tracker[Cover %],"&lt;"&amp;$AF16,Tracker[Bet Type Drill Down],AQ$2))/COUNTIFS(Tracker[Cover %],"&gt;="&amp;$AF15,Tracker[Cover %],"&lt;"&amp;$AF16,Tracker[Bet Type Drill Down],AQ$2),2)&lt;-0.15,"O","")),"")</f>
        <v>X</v>
      </c>
      <c r="AT15" s="153">
        <f t="shared" si="1"/>
        <v>-0.34999999999999964</v>
      </c>
      <c r="AU15" s="39" t="str">
        <f t="shared" si="2"/>
        <v>-35  to  -30%</v>
      </c>
      <c r="AV15" t="str">
        <f>IFERROR(COUNTIFS(Tracker[Money Discrepency],"&gt;="&amp;AT15,Tracker[Money Discrepency],"&lt;"&amp;AT16,Tracker[Result],"W")&amp;"-"&amp;COUNTIFS(Tracker[Money Discrepency],"&gt;="&amp;AT15,Tracker[Money Discrepency],"&lt;"&amp;AT16,Tracker[Result],"L")&amp;"-"&amp;COUNTIFS(Tracker[Money Discrepency],"&gt;="&amp;AT15,Tracker[Money Discrepency],"&lt;"&amp;AT16,Tracker[Result],"Push")&amp;" ("&amp;ROUND(COUNTIFS(Tracker[Money Discrepency],"&gt;="&amp;AT15,Tracker[Money Discrepency],"&lt;"&amp;AT16,Tracker[Result],"W")/(COUNTIFS(Tracker[Money Discrepency],"&gt;="&amp;AT15,Tracker[Money Discrepency],"&lt;"&amp;AT16,Tracker[Result],"L")+COUNTIFS(Tracker[Money Discrepency],"&gt;="&amp;AT15,Tracker[Money Discrepency],"&lt;"&amp;AT16,Tracker[Result],"W"))*100,2)&amp;"%)","No Bets")</f>
        <v>2-7-0 (22.22%)</v>
      </c>
      <c r="AW15">
        <f>SUMIFS(Tracker[Net],Tracker[Money Discrepency],"&gt;="&amp;AT15,Tracker[Money Discrepency],"&lt;"&amp;AT16)</f>
        <v>-5.1818181818181817</v>
      </c>
      <c r="AX15" s="24" t="str">
        <f>IFERROR(IF(ROUND((SUMIFS(Tracker[Net],Tracker[Money Discrepency],"&gt;="&amp;$AT15,Tracker[Money Discrepency],"&lt;"&amp;$AT16,Tracker[Bet Type],AX$1))/COUNTIFS(Tracker[Money Discrepency],"&gt;="&amp;$AT15,Tracker[Money Discrepency],"&lt;"&amp;$AT16,Tracker[Bet Type],AX$1),2)&gt;0.05,"X",IF(ROUND((SUMIFS(Tracker[Net],Tracker[Money Discrepency],"&gt;="&amp;$AT15,Tracker[Money Discrepency],"&lt;"&amp;$AT16,Tracker[Bet Type],AX$1))/COUNTIFS(Tracker[Money Discrepency],"&gt;="&amp;$AT15,Tracker[Money Discrepency],"&lt;"&amp;$AT16,Tracker[Bet Type],AX$1),2)&lt;-0.15,"O","")),"")</f>
        <v>O</v>
      </c>
      <c r="AY15" s="24" t="str">
        <f>IFERROR(IF(ROUND((SUMIFS(Tracker[Net],Tracker[Money Discrepency],"&gt;="&amp;$AT15,Tracker[Money Discrepency],"&lt;"&amp;$AT16,Tracker[Bet Type],AY$1))/COUNTIFS(Tracker[Money Discrepency],"&gt;="&amp;$AT15,Tracker[Money Discrepency],"&lt;"&amp;$AT16,Tracker[Bet Type],AY$1),2)&gt;0.05,"X",IF(ROUND((SUMIFS(Tracker[Net],Tracker[Money Discrepency],"&gt;="&amp;$AT15,Tracker[Money Discrepency],"&lt;"&amp;$AT16,Tracker[Bet Type],AY$1))/COUNTIFS(Tracker[Money Discrepency],"&gt;="&amp;$AT15,Tracker[Money Discrepency],"&lt;"&amp;$AT16,Tracker[Bet Type],AY$1),2)&lt;-0.15,"O","")),"")</f>
        <v>O</v>
      </c>
      <c r="AZ15" s="24" t="str">
        <f>IFERROR(IF(ROUND((SUMIFS(Tracker[Net],Tracker[Money Discrepency],"&gt;="&amp;$AT15,Tracker[Money Discrepency],"&lt;"&amp;$AT16,Tracker[Bet Type],AZ$1))/COUNTIFS(Tracker[Money Discrepency],"&gt;="&amp;$AT15,Tracker[Money Discrepency],"&lt;"&amp;$AT16,Tracker[Bet Type],AZ$1),2)&gt;0.05,"X",IF(ROUND((SUMIFS(Tracker[Net],Tracker[Money Discrepency],"&gt;="&amp;$AT15,Tracker[Money Discrepency],"&lt;"&amp;$AT16,Tracker[Bet Type],AZ$1))/COUNTIFS(Tracker[Money Discrepency],"&gt;="&amp;$AT15,Tracker[Money Discrepency],"&lt;"&amp;$AT16,Tracker[Bet Type],AZ$1),2)&lt;-0.15,"O","")),"")</f>
        <v>O</v>
      </c>
      <c r="BA15" s="24" t="str">
        <f>IFERROR(IF(ROUND((SUMIFS(Tracker[Net],Tracker[Money Discrepency],"&gt;="&amp;$AT15,Tracker[Money Discrepency],"&lt;"&amp;$AT16,Tracker[Bet Type],BA$1))/COUNTIFS(Tracker[Money Discrepency],"&gt;="&amp;$AT15,Tracker[Money Discrepency],"&lt;"&amp;$AT16,Tracker[Bet Type],BA$1),2)&gt;0.05,"X",IF(ROUND((SUMIFS(Tracker[Net],Tracker[Money Discrepency],"&gt;="&amp;$AT15,Tracker[Money Discrepency],"&lt;"&amp;$AT16,Tracker[Bet Type],BA$1))/COUNTIFS(Tracker[Money Discrepency],"&gt;="&amp;$AT15,Tracker[Money Discrepency],"&lt;"&amp;$AT16,Tracker[Bet Type],BA$1),2)&lt;-0.15,"O","")),"")</f>
        <v>X</v>
      </c>
      <c r="BB15" s="24" t="str">
        <f>IFERROR(IF(ROUND((SUMIFS(Tracker[Net],Tracker[Money Discrepency],"&gt;="&amp;$AT15,Tracker[Money Discrepency],"&lt;"&amp;$AT16,Tracker[Bet Type Drill Down],BB$1))/COUNTIFS(Tracker[Money Discrepency],"&gt;="&amp;$AT15,Tracker[Money Discrepency],"&lt;"&amp;$AT16,Tracker[Bet Type Drill Down],BB$1),2)&gt;0.05,"X",IF(ROUND((SUMIFS(Tracker[Net],Tracker[Money Discrepency],"&gt;="&amp;$AT15,Tracker[Money Discrepency],"&lt;"&amp;$AT16,Tracker[Bet Type Drill Down],BB$1))/COUNTIFS(Tracker[Money Discrepency],"&gt;="&amp;$AT15,Tracker[Money Discrepency],"&lt;"&amp;$AT16,Tracker[Bet Type Drill Down],BB$1),2)&lt;-0.15,"O","")),"")</f>
        <v>X</v>
      </c>
      <c r="BC15" s="24" t="str">
        <f>IFERROR(IF(ROUND((SUMIFS(Tracker[Net],Tracker[Money Discrepency],"&gt;="&amp;$AT15,Tracker[Money Discrepency],"&lt;"&amp;$AT16,Tracker[Bet Type Drill Down],BC$1))/COUNTIFS(Tracker[Money Discrepency],"&gt;="&amp;$AT15,Tracker[Money Discrepency],"&lt;"&amp;$AT16,Tracker[Bet Type Drill Down],BC$1),2)&gt;0.05,"X",IF(ROUND((SUMIFS(Tracker[Net],Tracker[Money Discrepency],"&gt;="&amp;$AT15,Tracker[Money Discrepency],"&lt;"&amp;$AT16,Tracker[Bet Type Drill Down],BC$1))/COUNTIFS(Tracker[Money Discrepency],"&gt;="&amp;$AT15,Tracker[Money Discrepency],"&lt;"&amp;$AT16,Tracker[Bet Type Drill Down],BC$1),2)&lt;-0.15,"O","")),"")</f>
        <v/>
      </c>
      <c r="BD15" s="24" t="str">
        <f>IFERROR(IF(ROUND((SUMIFS(Tracker[Net],Tracker[Money Discrepency],"&gt;="&amp;$AT15,Tracker[Money Discrepency],"&lt;"&amp;$AT16,Tracker[Bet Type Drill Down],BD$1))/COUNTIFS(Tracker[Money Discrepency],"&gt;="&amp;$AT15,Tracker[Money Discrepency],"&lt;"&amp;$AT16,Tracker[Bet Type Drill Down],BD$1),2)&gt;0.05,"X",IF(ROUND((SUMIFS(Tracker[Net],Tracker[Money Discrepency],"&gt;="&amp;$AT15,Tracker[Money Discrepency],"&lt;"&amp;$AT16,Tracker[Bet Type Drill Down],BD$1))/COUNTIFS(Tracker[Money Discrepency],"&gt;="&amp;$AT15,Tracker[Money Discrepency],"&lt;"&amp;$AT16,Tracker[Bet Type Drill Down],BD$1),2)&lt;-0.15,"O","")),"")</f>
        <v>O</v>
      </c>
      <c r="BE15" s="24" t="str">
        <f>IFERROR(IF(ROUND((SUMIFS(Tracker[Net],Tracker[Money Discrepency],"&gt;="&amp;$AT15,Tracker[Money Discrepency],"&lt;"&amp;$AT16,Tracker[Bet Type Drill Down],BE$1))/COUNTIFS(Tracker[Money Discrepency],"&gt;="&amp;$AT15,Tracker[Money Discrepency],"&lt;"&amp;$AT16,Tracker[Bet Type Drill Down],BE$1),2)&gt;0.05,"X",IF(ROUND((SUMIFS(Tracker[Net],Tracker[Money Discrepency],"&gt;="&amp;$AT15,Tracker[Money Discrepency],"&lt;"&amp;$AT16,Tracker[Bet Type Drill Down],BE$1))/COUNTIFS(Tracker[Money Discrepency],"&gt;="&amp;$AT15,Tracker[Money Discrepency],"&lt;"&amp;$AT16,Tracker[Bet Type Drill Down],BE$1),2)&lt;-0.15,"O","")),"")</f>
        <v>O</v>
      </c>
      <c r="BG15" s="153">
        <f t="shared" si="3"/>
        <v>0.65</v>
      </c>
      <c r="BH15" s="154" t="str">
        <f t="shared" si="4"/>
        <v>65  to  70%</v>
      </c>
      <c r="BI15" t="str">
        <f>IFERROR(COUNTIFS(Tracker[Money %],"&gt;="&amp;BG15,Tracker[Money %],"&lt;"&amp;BG16,Tracker[Result],"W")&amp;"-"&amp;COUNTIFS(Tracker[Money %],"&gt;="&amp;BG15,Tracker[Money %],"&lt;"&amp;BG16,Tracker[Result],"L")&amp;"-"&amp;COUNTIFS(Tracker[Money %],"&gt;="&amp;BG15,Tracker[Money %],"&lt;"&amp;BG16,Tracker[Result],"Push")&amp;" ("&amp;ROUND(COUNTIFS(Tracker[Money %],"&gt;="&amp;BG15,Tracker[Money %],"&lt;"&amp;BG16,Tracker[Result],"W")/(COUNTIFS(Tracker[Money %],"&gt;="&amp;BG15,Tracker[Money %],"&lt;"&amp;BG16,Tracker[Result],"L")+COUNTIFS(Tracker[Money %],"&gt;="&amp;BG15,Tracker[Money %],"&lt;"&amp;BG16,Tracker[Result],"W"))*100,2)&amp;"%)","No Bets")</f>
        <v>5-7-2 (41.67%)</v>
      </c>
      <c r="BJ15">
        <f>SUMIFS(Tracker[Net],Tracker[Money %],"&gt;="&amp;BG15,Tracker[Money %],"&lt;"&amp;BG16)</f>
        <v>-2.4545454545454541</v>
      </c>
      <c r="BK15" s="24" t="str">
        <f>IFERROR(IF(ROUND((SUMIFS(Tracker[Net],Tracker[Money %],"&gt;="&amp;$BG15,Tracker[Money %],"&lt;"&amp;$BG16,Tracker[Bet Type],BK$1))/COUNTIFS(Tracker[Money %],"&gt;="&amp;$BG15,Tracker[Money %],"&lt;"&amp;$BG16,Tracker[Bet Type],BK$1),2)&gt;0.05,"X",IF(ROUND((SUMIFS(Tracker[Net],Tracker[Money %],"&gt;="&amp;$BG15,Tracker[Money %],"&lt;"&amp;$BG16,Tracker[Bet Type],BK$1))/COUNTIFS(Tracker[Money %],"&gt;="&amp;$BG15,Tracker[Money %],"&lt;"&amp;$BG16,Tracker[Bet Type],BK$1),2)&lt;-0.15,"O","")),"")</f>
        <v/>
      </c>
      <c r="BL15" s="24" t="str">
        <f>IFERROR(IF(ROUND((SUMIFS(Tracker[Net],Tracker[Money %],"&gt;="&amp;$BG15,Tracker[Money %],"&lt;"&amp;$BG16,Tracker[Bet Type],BL$1))/COUNTIFS(Tracker[Money %],"&gt;="&amp;$BG15,Tracker[Money %],"&lt;"&amp;$BG16,Tracker[Bet Type],BL$1),2)&gt;0.05,"X",IF(ROUND((SUMIFS(Tracker[Net],Tracker[Money %],"&gt;="&amp;$BG15,Tracker[Money %],"&lt;"&amp;$BG16,Tracker[Bet Type],BL$1))/COUNTIFS(Tracker[Money %],"&gt;="&amp;$BG15,Tracker[Money %],"&lt;"&amp;$BG16,Tracker[Bet Type],BL$1),2)&lt;-0.15,"O","")),"")</f>
        <v>X</v>
      </c>
      <c r="BM15" s="24" t="str">
        <f>IFERROR(IF(ROUND((SUMIFS(Tracker[Net],Tracker[Money %],"&gt;="&amp;$BG15,Tracker[Money %],"&lt;"&amp;$BG16,Tracker[Bet Type],BM$1))/COUNTIFS(Tracker[Money %],"&gt;="&amp;$BG15,Tracker[Money %],"&lt;"&amp;$BG16,Tracker[Bet Type],BM$1),2)&gt;0.05,"X",IF(ROUND((SUMIFS(Tracker[Net],Tracker[Money %],"&gt;="&amp;$BG15,Tracker[Money %],"&lt;"&amp;$BG16,Tracker[Bet Type],BM$1))/COUNTIFS(Tracker[Money %],"&gt;="&amp;$BG15,Tracker[Money %],"&lt;"&amp;$BG16,Tracker[Bet Type],BM$1),2)&lt;-0.15,"O","")),"")</f>
        <v>O</v>
      </c>
      <c r="BN15" s="24" t="str">
        <f>IFERROR(IF(ROUND((SUMIFS(Tracker[Net],Tracker[Money %],"&gt;="&amp;$BG15,Tracker[Money %],"&lt;"&amp;$BG16,Tracker[Bet Type],BN$1))/COUNTIFS(Tracker[Money %],"&gt;="&amp;$BG15,Tracker[Money %],"&lt;"&amp;$BG16,Tracker[Bet Type],BN$1),2)&gt;0.05,"X",IF(ROUND((SUMIFS(Tracker[Net],Tracker[Money %],"&gt;="&amp;$BG15,Tracker[Money %],"&lt;"&amp;$BG16,Tracker[Bet Type],BN$1))/COUNTIFS(Tracker[Money %],"&gt;="&amp;$BG15,Tracker[Money %],"&lt;"&amp;$BG16,Tracker[Bet Type],BN$1),2)&lt;-0.15,"O","")),"")</f>
        <v>O</v>
      </c>
      <c r="BO15" s="24" t="str">
        <f>IFERROR(IF(ROUND((SUMIFS(Tracker[Net],Tracker[Money %],"&gt;="&amp;$BG15,Tracker[Money %],"&lt;"&amp;$BG16,Tracker[Bet Type Drill Down],BO$1))/COUNTIFS(Tracker[Money %],"&gt;="&amp;$BG15,Tracker[Money %],"&lt;"&amp;$BG16,Tracker[Bet Type Drill Down],BO$1),2)&gt;0.05,"X",IF(ROUND((SUMIFS(Tracker[Net],Tracker[Money %],"&gt;="&amp;$BG15,Tracker[Money %],"&lt;"&amp;$BG16,Tracker[Bet Type Drill Down],BO$1))/COUNTIFS(Tracker[Money %],"&gt;="&amp;$BG15,Tracker[Money %],"&lt;"&amp;$BG16,Tracker[Bet Type Drill Down],BO$1),2)&lt;-0.15,"O","")),"")</f>
        <v>O</v>
      </c>
      <c r="BP15" s="24" t="str">
        <f>IFERROR(IF(ROUND((SUMIFS(Tracker[Net],Tracker[Money %],"&gt;="&amp;$BG15,Tracker[Money %],"&lt;"&amp;$BG16,Tracker[Bet Type Drill Down],BP$1))/COUNTIFS(Tracker[Money %],"&gt;="&amp;$BG15,Tracker[Money %],"&lt;"&amp;$BG16,Tracker[Bet Type Drill Down],BP$1),2)&gt;0.05,"X",IF(ROUND((SUMIFS(Tracker[Net],Tracker[Money %],"&gt;="&amp;$BG15,Tracker[Money %],"&lt;"&amp;$BG16,Tracker[Bet Type Drill Down],BP$1))/COUNTIFS(Tracker[Money %],"&gt;="&amp;$BG15,Tracker[Money %],"&lt;"&amp;$BG16,Tracker[Bet Type Drill Down],BP$1),2)&lt;-0.15,"O","")),"")</f>
        <v/>
      </c>
      <c r="BQ15" s="24" t="str">
        <f>IFERROR(IF(ROUND((SUMIFS(Tracker[Net],Tracker[Money %],"&gt;="&amp;$BG15,Tracker[Money %],"&lt;"&amp;$BG16,Tracker[Bet Type Drill Down],BQ$1))/COUNTIFS(Tracker[Money %],"&gt;="&amp;$BG15,Tracker[Money %],"&lt;"&amp;$BG16,Tracker[Bet Type Drill Down],BQ$1),2)&gt;0.05,"X",IF(ROUND((SUMIFS(Tracker[Net],Tracker[Money %],"&gt;="&amp;$BG15,Tracker[Money %],"&lt;"&amp;$BG16,Tracker[Bet Type Drill Down],BQ$1))/COUNTIFS(Tracker[Money %],"&gt;="&amp;$BG15,Tracker[Money %],"&lt;"&amp;$BG16,Tracker[Bet Type Drill Down],BQ$1),2)&lt;-0.15,"O","")),"")</f>
        <v>O</v>
      </c>
      <c r="BR15" s="24" t="str">
        <f>IFERROR(IF(ROUND((SUMIFS(Tracker[Net],Tracker[Money %],"&gt;="&amp;$BG15,Tracker[Money %],"&lt;"&amp;$BG16,Tracker[Bet Type Drill Down],BR$1))/COUNTIFS(Tracker[Money %],"&gt;="&amp;$BG15,Tracker[Money %],"&lt;"&amp;$BG16,Tracker[Bet Type Drill Down],BR$1),2)&gt;0.05,"X",IF(ROUND((SUMIFS(Tracker[Net],Tracker[Money %],"&gt;="&amp;$BG15,Tracker[Money %],"&lt;"&amp;$BG16,Tracker[Bet Type Drill Down],BR$1))/COUNTIFS(Tracker[Money %],"&gt;="&amp;$BG15,Tracker[Money %],"&lt;"&amp;$BG16,Tracker[Bet Type Drill Down],BR$1),2)&lt;-0.15,"O","")),"")</f>
        <v>X</v>
      </c>
      <c r="BT15" s="153">
        <f t="shared" si="5"/>
        <v>0.65</v>
      </c>
      <c r="BU15" s="154" t="str">
        <f t="shared" ref="BU15" si="21">ROUND(BT15*100,0)&amp;"  to  "&amp;ROUND(BT16*100,0)&amp;"%"</f>
        <v>65  to  70%</v>
      </c>
      <c r="BV15" t="str">
        <f>IFERROR(COUNTIFS(Tracker[Bet %],"&gt;="&amp;BT15,Tracker[Bet %],"&lt;"&amp;BT16,Tracker[Result],"W")&amp;"-"&amp;COUNTIFS(Tracker[Bet %],"&gt;="&amp;BT15,Tracker[Bet %],"&lt;"&amp;BT16,Tracker[Result],"L")&amp;"-"&amp;COUNTIFS(Tracker[Bet %],"&gt;="&amp;BT15,Tracker[Bet %],"&lt;"&amp;BT16,Tracker[Result],"Push")&amp;" ("&amp;ROUND(COUNTIFS(Tracker[Bet %],"&gt;="&amp;BT15,Tracker[Bet %],"&lt;"&amp;BT16,Tracker[Result],"W")/(COUNTIFS(Tracker[Bet %],"&gt;="&amp;BT15,Tracker[Bet %],"&lt;"&amp;BT16,Tracker[Result],"L")+COUNTIFS(Tracker[Bet %],"&gt;="&amp;BT15,Tracker[Bet %],"&lt;"&amp;BT16,Tracker[Result],"W"))*100,2)&amp;"%)","No Bets")</f>
        <v>4-5-1 (44.44%)</v>
      </c>
      <c r="BW15">
        <f>SUMIFS(Tracker[Net],Tracker[Bet %],"&gt;="&amp;BT15,Tracker[Bet %],"&lt;"&amp;BT16)</f>
        <v>-1.3636363636363633</v>
      </c>
      <c r="BX15" s="24" t="str">
        <f>IFERROR(IF(ROUND((SUMIFS(Tracker[Net],Tracker[Bet %],"&gt;="&amp;$BG15,Tracker[Bet %],"&lt;"&amp;$BG16,Tracker[Bet Type],BX$1))/COUNTIFS(Tracker[Bet %],"&gt;="&amp;$BG15,Tracker[Bet %],"&lt;"&amp;$BG16,Tracker[Bet Type],BX$1),2)&gt;0.05,"X",IF(ROUND((SUMIFS(Tracker[Net],Tracker[Bet %],"&gt;="&amp;$BG15,Tracker[Bet %],"&lt;"&amp;$BG16,Tracker[Bet Type],BX$1))/COUNTIFS(Tracker[Bet %],"&gt;="&amp;$BG15,Tracker[Bet %],"&lt;"&amp;$BG16,Tracker[Bet Type],BX$1),2)&lt;-0.15,"O","")),"")</f>
        <v>O</v>
      </c>
      <c r="BY15" s="24" t="str">
        <f>IFERROR(IF(ROUND((SUMIFS(Tracker[Net],Tracker[Bet %],"&gt;="&amp;$BG15,Tracker[Bet %],"&lt;"&amp;$BG16,Tracker[Bet Type],BY$1))/COUNTIFS(Tracker[Bet %],"&gt;="&amp;$BG15,Tracker[Bet %],"&lt;"&amp;$BG16,Tracker[Bet Type],BY$1),2)&gt;0.05,"X",IF(ROUND((SUMIFS(Tracker[Net],Tracker[Bet %],"&gt;="&amp;$BG15,Tracker[Bet %],"&lt;"&amp;$BG16,Tracker[Bet Type],BY$1))/COUNTIFS(Tracker[Bet %],"&gt;="&amp;$BG15,Tracker[Bet %],"&lt;"&amp;$BG16,Tracker[Bet Type],BY$1),2)&lt;-0.15,"O","")),"")</f>
        <v>X</v>
      </c>
      <c r="BZ15" s="24" t="str">
        <f>IFERROR(IF(ROUND((SUMIFS(Tracker[Net],Tracker[Bet %],"&gt;="&amp;$BG15,Tracker[Bet %],"&lt;"&amp;$BG16,Tracker[Bet Type],BZ$1))/COUNTIFS(Tracker[Bet %],"&gt;="&amp;$BG15,Tracker[Bet %],"&lt;"&amp;$BG16,Tracker[Bet Type],BZ$1),2)&gt;0.05,"X",IF(ROUND((SUMIFS(Tracker[Net],Tracker[Bet %],"&gt;="&amp;$BG15,Tracker[Bet %],"&lt;"&amp;$BG16,Tracker[Bet Type],BZ$1))/COUNTIFS(Tracker[Bet %],"&gt;="&amp;$BG15,Tracker[Bet %],"&lt;"&amp;$BG16,Tracker[Bet Type],BZ$1),2)&lt;-0.15,"O","")),"")</f>
        <v/>
      </c>
      <c r="CA15" s="24" t="str">
        <f>IFERROR(IF(ROUND((SUMIFS(Tracker[Net],Tracker[Bet %],"&gt;="&amp;$BG15,Tracker[Bet %],"&lt;"&amp;$BG16,Tracker[Bet Type],CA$1))/COUNTIFS(Tracker[Bet %],"&gt;="&amp;$BG15,Tracker[Bet %],"&lt;"&amp;$BG16,Tracker[Bet Type],CA$1),2)&gt;0.05,"X",IF(ROUND((SUMIFS(Tracker[Net],Tracker[Bet %],"&gt;="&amp;$BG15,Tracker[Bet %],"&lt;"&amp;$BG16,Tracker[Bet Type],CA$1))/COUNTIFS(Tracker[Bet %],"&gt;="&amp;$BG15,Tracker[Bet %],"&lt;"&amp;$BG16,Tracker[Bet Type],CA$1),2)&lt;-0.15,"O","")),"")</f>
        <v/>
      </c>
      <c r="CB15" s="24" t="str">
        <f>IFERROR(IF(ROUND((SUMIFS(Tracker[Net],Tracker[Bet %],"&gt;="&amp;$BG15,Tracker[Bet %],"&lt;"&amp;$BG16,Tracker[Bet Type Drill Down],CB$1))/COUNTIFS(Tracker[Bet %],"&gt;="&amp;$BG15,Tracker[Bet %],"&lt;"&amp;$BG16,Tracker[Bet Type Drill Down],CB$1),2)&gt;0.05,"X",IF(ROUND((SUMIFS(Tracker[Net],Tracker[Bet %],"&gt;="&amp;$BG15,Tracker[Bet %],"&lt;"&amp;$BG16,Tracker[Bet Type Drill Down],CB$1))/COUNTIFS(Tracker[Bet %],"&gt;="&amp;$BG15,Tracker[Bet %],"&lt;"&amp;$BG16,Tracker[Bet Type Drill Down],CB$1),2)&lt;-0.15,"O","")),"")</f>
        <v/>
      </c>
      <c r="CC15" s="24" t="str">
        <f>IFERROR(IF(ROUND((SUMIFS(Tracker[Net],Tracker[Bet %],"&gt;="&amp;$BG15,Tracker[Bet %],"&lt;"&amp;$BG16,Tracker[Bet Type Drill Down],CC$1))/COUNTIFS(Tracker[Bet %],"&gt;="&amp;$BG15,Tracker[Bet %],"&lt;"&amp;$BG16,Tracker[Bet Type Drill Down],CC$1),2)&gt;0.05,"X",IF(ROUND((SUMIFS(Tracker[Net],Tracker[Bet %],"&gt;="&amp;$BG15,Tracker[Bet %],"&lt;"&amp;$BG16,Tracker[Bet Type Drill Down],CC$1))/COUNTIFS(Tracker[Bet %],"&gt;="&amp;$BG15,Tracker[Bet %],"&lt;"&amp;$BG16,Tracker[Bet Type Drill Down],CC$1),2)&lt;-0.15,"O","")),"")</f>
        <v/>
      </c>
      <c r="CD15" s="24" t="str">
        <f>IFERROR(IF(ROUND((SUMIFS(Tracker[Net],Tracker[Bet %],"&gt;="&amp;$BG15,Tracker[Bet %],"&lt;"&amp;$BG16,Tracker[Bet Type Drill Down],CD$1))/COUNTIFS(Tracker[Bet %],"&gt;="&amp;$BG15,Tracker[Bet %],"&lt;"&amp;$BG16,Tracker[Bet Type Drill Down],CD$1),2)&gt;0.05,"X",IF(ROUND((SUMIFS(Tracker[Net],Tracker[Bet %],"&gt;="&amp;$BG15,Tracker[Bet %],"&lt;"&amp;$BG16,Tracker[Bet Type Drill Down],CD$1))/COUNTIFS(Tracker[Bet %],"&gt;="&amp;$BG15,Tracker[Bet %],"&lt;"&amp;$BG16,Tracker[Bet Type Drill Down],CD$1),2)&lt;-0.15,"O","")),"")</f>
        <v>O</v>
      </c>
      <c r="CE15" s="24" t="str">
        <f>IFERROR(IF(ROUND((SUMIFS(Tracker[Net],Tracker[Bet %],"&gt;="&amp;$BG15,Tracker[Bet %],"&lt;"&amp;$BG16,Tracker[Bet Type Drill Down],CE$1))/COUNTIFS(Tracker[Bet %],"&gt;="&amp;$BG15,Tracker[Bet %],"&lt;"&amp;$BG16,Tracker[Bet Type Drill Down],CE$1),2)&gt;0.05,"X",IF(ROUND((SUMIFS(Tracker[Net],Tracker[Bet %],"&gt;="&amp;$BG15,Tracker[Bet %],"&lt;"&amp;$BG16,Tracker[Bet Type Drill Down],CE$1))/COUNTIFS(Tracker[Bet %],"&gt;="&amp;$BG15,Tracker[Bet %],"&lt;"&amp;$BG16,Tracker[Bet Type Drill Down],CE$1),2)&lt;-0.15,"O","")),"")</f>
        <v>X</v>
      </c>
    </row>
    <row r="16" spans="1:83" x14ac:dyDescent="0.25">
      <c r="A16" s="36">
        <f t="shared" si="9"/>
        <v>1</v>
      </c>
      <c r="B16" s="25">
        <v>43796</v>
      </c>
      <c r="C16" s="25" t="str">
        <f t="shared" si="7"/>
        <v>NBA</v>
      </c>
      <c r="D16" s="26" t="s">
        <v>792</v>
      </c>
      <c r="E16" s="27" t="s">
        <v>793</v>
      </c>
      <c r="F16" s="67">
        <v>0.58426781298333896</v>
      </c>
      <c r="G16" s="29">
        <v>-110</v>
      </c>
      <c r="H16" s="30" t="s">
        <v>57</v>
      </c>
      <c r="I16" s="44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6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16" s="32" t="str">
        <f>MID(Tracker[[#This Row],[Game]],SEARCH("@",Tracker[[#This Row],[Game]])+2,LEN(Tracker[[#This Row],[Game]]))</f>
        <v>Pelicans</v>
      </c>
      <c r="L16" s="32" t="str">
        <f>LEFT(Tracker[[#This Row],[Game]],SEARCH("@",Tracker[[#This Row],[Game]])-2)</f>
        <v>Lakers</v>
      </c>
      <c r="M1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16" s="123"/>
      <c r="O16" s="147"/>
      <c r="P16" s="147"/>
      <c r="Q16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6" s="147" t="e">
        <f>IF(AND(Tracker[[#This Row],[Money %]]&lt;&gt;"",Tracker[[#This Row],[Bet %]]&lt;&gt;""),Tracker[[#This Row],[Money %]]-Tracker[[#This Row],[Bet %]],NA())</f>
        <v>#N/A</v>
      </c>
      <c r="S16" s="109"/>
      <c r="T16" s="109"/>
      <c r="U16" s="56">
        <f>IFERROR(INDEX($A$4:$B10012,MATCH(ROW()-3,$A$4:$A$4:$A1012,0),2),0)</f>
        <v>43833</v>
      </c>
      <c r="V16" s="33" t="str">
        <f>COUNTIFS(Tracker[Date],U16,Tracker[Result],"W")&amp;"-"&amp;COUNTIFS(Tracker[Date],U16,Tracker[Result],"L")&amp;IF(COUNTIFS(Tracker[Date],U16,Tracker[Result],"Push")&gt;0,"-"&amp;COUNTIFS(Tracker[Date],U16,Tracker[Result],"Push"),"")</f>
        <v>1-5</v>
      </c>
      <c r="W16" s="34">
        <f>IFERROR(COUNTIFS(Tracker[Date],U16,Tracker[Result],"W")/(COUNTIFS(Tracker[Date],U16,Tracker[Result],"W")+COUNTIFS(Tracker[Date],U16,Tracker[Result],"L")),"")</f>
        <v>0.16666666666666666</v>
      </c>
      <c r="X16" s="61">
        <f>SUMIF(Tracker[Date],U16,Tracker[Net])</f>
        <v>-4.0909090909090908</v>
      </c>
      <c r="Y16" s="35" t="str">
        <f>IFERROR("("&amp;ROUND(SUMIF(Tracker[Date],U16,Tracker[Net])/COUNTIF(Tracker[Date],U16),2)*100&amp;"%)","")</f>
        <v>(-68%)</v>
      </c>
      <c r="AF16" s="36">
        <f t="shared" si="11"/>
        <v>0.65</v>
      </c>
      <c r="AG16" s="66" t="str">
        <f t="shared" si="0"/>
        <v>65-70%</v>
      </c>
      <c r="AH16" s="124" t="str">
        <f>IFERROR(COUNTIFS(Tracker[Cover %],"&gt;="&amp;AF16,Tracker[Cover %],"&lt;"&amp;AF17,Tracker[Result],"W")&amp;"-"&amp;COUNTIFS(Tracker[Cover %],"&gt;="&amp;AF16,Tracker[Cover %],"&lt;"&amp;AF17,Tracker[Result],"L")&amp;"-"&amp;COUNTIFS(Tracker[Cover %],"&gt;="&amp;AF16,Tracker[Cover %],"&lt;"&amp;AF17,Tracker[Result],"Push")&amp;" ("&amp;ROUND(COUNTIFS(Tracker[Cover %],"&gt;="&amp;AF16,Tracker[Cover %],"&lt;"&amp;AF17,Tracker[Result],"W")/(COUNTIFS(Tracker[Cover %],"&gt;="&amp;AF16,Tracker[Cover %],"&lt;"&amp;AF17,Tracker[Result],"L")+COUNTIFS(Tracker[Cover %],"&gt;="&amp;AF16,Tracker[Cover %],"&lt;"&amp;AF17,Tracker[Result],"W"))*100,2)&amp;"%)","No Bets")</f>
        <v>3-2-1 (60%)</v>
      </c>
      <c r="AI16" s="72">
        <f>SUMIFS(Tracker[Net],Tracker[Cover %],"&gt;="&amp;AF16,Tracker[Cover %],"&lt;"&amp;AF17)</f>
        <v>0.72727272727272718</v>
      </c>
      <c r="AJ16" s="24" t="str">
        <f>IFERROR(IF(ROUND((SUMIFS(Tracker[Net],Tracker[Cover %],"&gt;="&amp;$AF16,Tracker[Cover %],"&lt;"&amp;$AF17,Tracker[Bet Type],AJ$2))/COUNTIFS(Tracker[Cover %],"&gt;="&amp;$AF16,Tracker[Cover %],"&lt;"&amp;$AF17,Tracker[Bet Type],AJ$2),2)&gt;0.05,"X",IF(ROUND((SUMIFS(Tracker[Net],Tracker[Cover %],"&gt;="&amp;$AF16,Tracker[Cover %],"&lt;"&amp;$AF17,Tracker[Bet Type],AJ$2))/COUNTIFS(Tracker[Cover %],"&gt;="&amp;$AF16,Tracker[Cover %],"&lt;"&amp;$AF17,Tracker[Bet Type],AJ$2),2)&lt;-0.15,"O","")),"")</f>
        <v/>
      </c>
      <c r="AK16" s="24" t="str">
        <f>IFERROR(IF(ROUND((SUMIFS(Tracker[Net],Tracker[Cover %],"&gt;="&amp;$AF16,Tracker[Cover %],"&lt;"&amp;$AF17,Tracker[Bet Type],AK$2))/COUNTIFS(Tracker[Cover %],"&gt;="&amp;$AF16,Tracker[Cover %],"&lt;"&amp;$AF17,Tracker[Bet Type],AK$2),2)&gt;0.05,"X",IF(ROUND((SUMIFS(Tracker[Net],Tracker[Cover %],"&gt;="&amp;$AF16,Tracker[Cover %],"&lt;"&amp;$AF17,Tracker[Bet Type],AK$2))/COUNTIFS(Tracker[Cover %],"&gt;="&amp;$AF16,Tracker[Cover %],"&lt;"&amp;$AF17,Tracker[Bet Type],AK$2),2)&lt;-0.15,"O","")),"")</f>
        <v/>
      </c>
      <c r="AL16" s="24" t="str">
        <f>IFERROR(IF(ROUND((SUMIFS(Tracker[Net],Tracker[Cover %],"&gt;="&amp;$AF16,Tracker[Cover %],"&lt;"&amp;$AF17,Tracker[Bet Type],AL$2))/COUNTIFS(Tracker[Cover %],"&gt;="&amp;$AF16,Tracker[Cover %],"&lt;"&amp;$AF17,Tracker[Bet Type],AL$2),2)&gt;0.05,"X",IF(ROUND((SUMIFS(Tracker[Net],Tracker[Cover %],"&gt;="&amp;$AF16,Tracker[Cover %],"&lt;"&amp;$AF17,Tracker[Bet Type],AL$2))/COUNTIFS(Tracker[Cover %],"&gt;="&amp;$AF16,Tracker[Cover %],"&lt;"&amp;$AF17,Tracker[Bet Type],AL$2),2)&lt;-0.15,"O","")),"")</f>
        <v/>
      </c>
      <c r="AM16" s="24" t="str">
        <f>IFERROR(IF(ROUND((SUMIFS(Tracker[Net],Tracker[Cover %],"&gt;="&amp;$AF16,Tracker[Cover %],"&lt;"&amp;$AF17,Tracker[Bet Type],AM$2))/COUNTIFS(Tracker[Cover %],"&gt;="&amp;$AF16,Tracker[Cover %],"&lt;"&amp;$AF17,Tracker[Bet Type],AM$2),2)&gt;0.05,"X",IF(ROUND((SUMIFS(Tracker[Net],Tracker[Cover %],"&gt;="&amp;$AF16,Tracker[Cover %],"&lt;"&amp;$AF17,Tracker[Bet Type],AM$2))/COUNTIFS(Tracker[Cover %],"&gt;="&amp;$AF16,Tracker[Cover %],"&lt;"&amp;$AF17,Tracker[Bet Type],AM$2),2)&lt;-0.15,"O","")),"")</f>
        <v>X</v>
      </c>
      <c r="AN16" s="24" t="str">
        <f>IFERROR(IF(ROUND((SUMIFS(Tracker[Net],Tracker[Cover %],"&gt;="&amp;$AF16,Tracker[Cover %],"&lt;"&amp;$AF17,Tracker[Bet Type Drill Down],AN$2))/COUNTIFS(Tracker[Cover %],"&gt;="&amp;$AF16,Tracker[Cover %],"&lt;"&amp;$AF17,Tracker[Bet Type Drill Down],AN$2),2)&gt;0.05,"X",IF(ROUND((SUMIFS(Tracker[Net],Tracker[Cover %],"&gt;="&amp;$AF16,Tracker[Cover %],"&lt;"&amp;$AF17,Tracker[Bet Type Drill Down],AN$2))/COUNTIFS(Tracker[Cover %],"&gt;="&amp;$AF16,Tracker[Cover %],"&lt;"&amp;$AF17,Tracker[Bet Type Drill Down],AN$2),2)&lt;-0.15,"O","")),"")</f>
        <v>X</v>
      </c>
      <c r="AO16" s="24" t="str">
        <f>IFERROR(IF(ROUND((SUMIFS(Tracker[Net],Tracker[Cover %],"&gt;="&amp;$AF16,Tracker[Cover %],"&lt;"&amp;$AF17,Tracker[Bet Type Drill Down],AO$2))/COUNTIFS(Tracker[Cover %],"&gt;="&amp;$AF16,Tracker[Cover %],"&lt;"&amp;$AF17,Tracker[Bet Type Drill Down],AO$2),2)&gt;0.05,"X",IF(ROUND((SUMIFS(Tracker[Net],Tracker[Cover %],"&gt;="&amp;$AF16,Tracker[Cover %],"&lt;"&amp;$AF17,Tracker[Bet Type Drill Down],AO$2))/COUNTIFS(Tracker[Cover %],"&gt;="&amp;$AF16,Tracker[Cover %],"&lt;"&amp;$AF17,Tracker[Bet Type Drill Down],AO$2),2)&lt;-0.15,"O","")),"")</f>
        <v/>
      </c>
      <c r="AP16" s="24" t="str">
        <f>IFERROR(IF(ROUND((SUMIFS(Tracker[Net],Tracker[Cover %],"&gt;="&amp;$AF16,Tracker[Cover %],"&lt;"&amp;$AF17,Tracker[Bet Type Drill Down],AP$2))/COUNTIFS(Tracker[Cover %],"&gt;="&amp;$AF16,Tracker[Cover %],"&lt;"&amp;$AF17,Tracker[Bet Type Drill Down],AP$2),2)&gt;0.05,"X",IF(ROUND((SUMIFS(Tracker[Net],Tracker[Cover %],"&gt;="&amp;$AF16,Tracker[Cover %],"&lt;"&amp;$AF17,Tracker[Bet Type Drill Down],AP$2))/COUNTIFS(Tracker[Cover %],"&gt;="&amp;$AF16,Tracker[Cover %],"&lt;"&amp;$AF17,Tracker[Bet Type Drill Down],AP$2),2)&lt;-0.15,"O","")),"")</f>
        <v/>
      </c>
      <c r="AQ16" s="24" t="str">
        <f>IFERROR(IF(ROUND((SUMIFS(Tracker[Net],Tracker[Cover %],"&gt;="&amp;$AF16,Tracker[Cover %],"&lt;"&amp;$AF17,Tracker[Bet Type Drill Down],AQ$2))/COUNTIFS(Tracker[Cover %],"&gt;="&amp;$AF16,Tracker[Cover %],"&lt;"&amp;$AF17,Tracker[Bet Type Drill Down],AQ$2),2)&gt;0.05,"X",IF(ROUND((SUMIFS(Tracker[Net],Tracker[Cover %],"&gt;="&amp;$AF16,Tracker[Cover %],"&lt;"&amp;$AF17,Tracker[Bet Type Drill Down],AQ$2))/COUNTIFS(Tracker[Cover %],"&gt;="&amp;$AF16,Tracker[Cover %],"&lt;"&amp;$AF17,Tracker[Bet Type Drill Down],AQ$2),2)&lt;-0.15,"O","")),"")</f>
        <v/>
      </c>
      <c r="AT16" s="153">
        <f t="shared" si="1"/>
        <v>-0.29999999999999966</v>
      </c>
      <c r="AU16" s="39" t="str">
        <f t="shared" si="2"/>
        <v>-30  to  -25%</v>
      </c>
      <c r="AV16" t="str">
        <f>IFERROR(COUNTIFS(Tracker[Money Discrepency],"&gt;="&amp;AT16,Tracker[Money Discrepency],"&lt;"&amp;AT17,Tracker[Result],"W")&amp;"-"&amp;COUNTIFS(Tracker[Money Discrepency],"&gt;="&amp;AT16,Tracker[Money Discrepency],"&lt;"&amp;AT17,Tracker[Result],"L")&amp;"-"&amp;COUNTIFS(Tracker[Money Discrepency],"&gt;="&amp;AT16,Tracker[Money Discrepency],"&lt;"&amp;AT17,Tracker[Result],"Push")&amp;" ("&amp;ROUND(COUNTIFS(Tracker[Money Discrepency],"&gt;="&amp;AT16,Tracker[Money Discrepency],"&lt;"&amp;AT17,Tracker[Result],"W")/(COUNTIFS(Tracker[Money Discrepency],"&gt;="&amp;AT16,Tracker[Money Discrepency],"&lt;"&amp;AT17,Tracker[Result],"L")+COUNTIFS(Tracker[Money Discrepency],"&gt;="&amp;AT16,Tracker[Money Discrepency],"&lt;"&amp;AT17,Tracker[Result],"W"))*100,2)&amp;"%)","No Bets")</f>
        <v>0-1-0 (0%)</v>
      </c>
      <c r="AW16">
        <f>SUMIFS(Tracker[Net],Tracker[Money Discrepency],"&gt;="&amp;AT16,Tracker[Money Discrepency],"&lt;"&amp;AT17)</f>
        <v>-1</v>
      </c>
      <c r="AX16" s="24" t="str">
        <f>IFERROR(IF(ROUND((SUMIFS(Tracker[Net],Tracker[Money Discrepency],"&gt;="&amp;$AT16,Tracker[Money Discrepency],"&lt;"&amp;$AT17,Tracker[Bet Type],AX$1))/COUNTIFS(Tracker[Money Discrepency],"&gt;="&amp;$AT16,Tracker[Money Discrepency],"&lt;"&amp;$AT17,Tracker[Bet Type],AX$1),2)&gt;0.05,"X",IF(ROUND((SUMIFS(Tracker[Net],Tracker[Money Discrepency],"&gt;="&amp;$AT16,Tracker[Money Discrepency],"&lt;"&amp;$AT17,Tracker[Bet Type],AX$1))/COUNTIFS(Tracker[Money Discrepency],"&gt;="&amp;$AT16,Tracker[Money Discrepency],"&lt;"&amp;$AT17,Tracker[Bet Type],AX$1),2)&lt;-0.15,"O","")),"")</f>
        <v/>
      </c>
      <c r="AY16" s="24" t="str">
        <f>IFERROR(IF(ROUND((SUMIFS(Tracker[Net],Tracker[Money Discrepency],"&gt;="&amp;$AT16,Tracker[Money Discrepency],"&lt;"&amp;$AT17,Tracker[Bet Type],AY$1))/COUNTIFS(Tracker[Money Discrepency],"&gt;="&amp;$AT16,Tracker[Money Discrepency],"&lt;"&amp;$AT17,Tracker[Bet Type],AY$1),2)&gt;0.05,"X",IF(ROUND((SUMIFS(Tracker[Net],Tracker[Money Discrepency],"&gt;="&amp;$AT16,Tracker[Money Discrepency],"&lt;"&amp;$AT17,Tracker[Bet Type],AY$1))/COUNTIFS(Tracker[Money Discrepency],"&gt;="&amp;$AT16,Tracker[Money Discrepency],"&lt;"&amp;$AT17,Tracker[Bet Type],AY$1),2)&lt;-0.15,"O","")),"")</f>
        <v/>
      </c>
      <c r="AZ16" s="24" t="str">
        <f>IFERROR(IF(ROUND((SUMIFS(Tracker[Net],Tracker[Money Discrepency],"&gt;="&amp;$AT16,Tracker[Money Discrepency],"&lt;"&amp;$AT17,Tracker[Bet Type],AZ$1))/COUNTIFS(Tracker[Money Discrepency],"&gt;="&amp;$AT16,Tracker[Money Discrepency],"&lt;"&amp;$AT17,Tracker[Bet Type],AZ$1),2)&gt;0.05,"X",IF(ROUND((SUMIFS(Tracker[Net],Tracker[Money Discrepency],"&gt;="&amp;$AT16,Tracker[Money Discrepency],"&lt;"&amp;$AT17,Tracker[Bet Type],AZ$1))/COUNTIFS(Tracker[Money Discrepency],"&gt;="&amp;$AT16,Tracker[Money Discrepency],"&lt;"&amp;$AT17,Tracker[Bet Type],AZ$1),2)&lt;-0.15,"O","")),"")</f>
        <v/>
      </c>
      <c r="BA16" s="24" t="str">
        <f>IFERROR(IF(ROUND((SUMIFS(Tracker[Net],Tracker[Money Discrepency],"&gt;="&amp;$AT16,Tracker[Money Discrepency],"&lt;"&amp;$AT17,Tracker[Bet Type],BA$1))/COUNTIFS(Tracker[Money Discrepency],"&gt;="&amp;$AT16,Tracker[Money Discrepency],"&lt;"&amp;$AT17,Tracker[Bet Type],BA$1),2)&gt;0.05,"X",IF(ROUND((SUMIFS(Tracker[Net],Tracker[Money Discrepency],"&gt;="&amp;$AT16,Tracker[Money Discrepency],"&lt;"&amp;$AT17,Tracker[Bet Type],BA$1))/COUNTIFS(Tracker[Money Discrepency],"&gt;="&amp;$AT16,Tracker[Money Discrepency],"&lt;"&amp;$AT17,Tracker[Bet Type],BA$1),2)&lt;-0.15,"O","")),"")</f>
        <v>O</v>
      </c>
      <c r="BB16" s="24" t="str">
        <f>IFERROR(IF(ROUND((SUMIFS(Tracker[Net],Tracker[Money Discrepency],"&gt;="&amp;$AT16,Tracker[Money Discrepency],"&lt;"&amp;$AT17,Tracker[Bet Type Drill Down],BB$1))/COUNTIFS(Tracker[Money Discrepency],"&gt;="&amp;$AT16,Tracker[Money Discrepency],"&lt;"&amp;$AT17,Tracker[Bet Type Drill Down],BB$1),2)&gt;0.05,"X",IF(ROUND((SUMIFS(Tracker[Net],Tracker[Money Discrepency],"&gt;="&amp;$AT16,Tracker[Money Discrepency],"&lt;"&amp;$AT17,Tracker[Bet Type Drill Down],BB$1))/COUNTIFS(Tracker[Money Discrepency],"&gt;="&amp;$AT16,Tracker[Money Discrepency],"&lt;"&amp;$AT17,Tracker[Bet Type Drill Down],BB$1),2)&lt;-0.15,"O","")),"")</f>
        <v>O</v>
      </c>
      <c r="BC16" s="24" t="str">
        <f>IFERROR(IF(ROUND((SUMIFS(Tracker[Net],Tracker[Money Discrepency],"&gt;="&amp;$AT16,Tracker[Money Discrepency],"&lt;"&amp;$AT17,Tracker[Bet Type Drill Down],BC$1))/COUNTIFS(Tracker[Money Discrepency],"&gt;="&amp;$AT16,Tracker[Money Discrepency],"&lt;"&amp;$AT17,Tracker[Bet Type Drill Down],BC$1),2)&gt;0.05,"X",IF(ROUND((SUMIFS(Tracker[Net],Tracker[Money Discrepency],"&gt;="&amp;$AT16,Tracker[Money Discrepency],"&lt;"&amp;$AT17,Tracker[Bet Type Drill Down],BC$1))/COUNTIFS(Tracker[Money Discrepency],"&gt;="&amp;$AT16,Tracker[Money Discrepency],"&lt;"&amp;$AT17,Tracker[Bet Type Drill Down],BC$1),2)&lt;-0.15,"O","")),"")</f>
        <v/>
      </c>
      <c r="BD16" s="24" t="str">
        <f>IFERROR(IF(ROUND((SUMIFS(Tracker[Net],Tracker[Money Discrepency],"&gt;="&amp;$AT16,Tracker[Money Discrepency],"&lt;"&amp;$AT17,Tracker[Bet Type Drill Down],BD$1))/COUNTIFS(Tracker[Money Discrepency],"&gt;="&amp;$AT16,Tracker[Money Discrepency],"&lt;"&amp;$AT17,Tracker[Bet Type Drill Down],BD$1),2)&gt;0.05,"X",IF(ROUND((SUMIFS(Tracker[Net],Tracker[Money Discrepency],"&gt;="&amp;$AT16,Tracker[Money Discrepency],"&lt;"&amp;$AT17,Tracker[Bet Type Drill Down],BD$1))/COUNTIFS(Tracker[Money Discrepency],"&gt;="&amp;$AT16,Tracker[Money Discrepency],"&lt;"&amp;$AT17,Tracker[Bet Type Drill Down],BD$1),2)&lt;-0.15,"O","")),"")</f>
        <v/>
      </c>
      <c r="BE16" s="24" t="str">
        <f>IFERROR(IF(ROUND((SUMIFS(Tracker[Net],Tracker[Money Discrepency],"&gt;="&amp;$AT16,Tracker[Money Discrepency],"&lt;"&amp;$AT17,Tracker[Bet Type Drill Down],BE$1))/COUNTIFS(Tracker[Money Discrepency],"&gt;="&amp;$AT16,Tracker[Money Discrepency],"&lt;"&amp;$AT17,Tracker[Bet Type Drill Down],BE$1),2)&gt;0.05,"X",IF(ROUND((SUMIFS(Tracker[Net],Tracker[Money Discrepency],"&gt;="&amp;$AT16,Tracker[Money Discrepency],"&lt;"&amp;$AT17,Tracker[Bet Type Drill Down],BE$1))/COUNTIFS(Tracker[Money Discrepency],"&gt;="&amp;$AT16,Tracker[Money Discrepency],"&lt;"&amp;$AT17,Tracker[Bet Type Drill Down],BE$1),2)&lt;-0.15,"O","")),"")</f>
        <v/>
      </c>
      <c r="BG16" s="153">
        <f t="shared" si="3"/>
        <v>0.70000000000000007</v>
      </c>
      <c r="BH16" s="154" t="str">
        <f t="shared" si="4"/>
        <v>70  to  75%</v>
      </c>
      <c r="BI16" t="str">
        <f>IFERROR(COUNTIFS(Tracker[Money %],"&gt;="&amp;BG16,Tracker[Money %],"&lt;"&amp;BG17,Tracker[Result],"W")&amp;"-"&amp;COUNTIFS(Tracker[Money %],"&gt;="&amp;BG16,Tracker[Money %],"&lt;"&amp;BG17,Tracker[Result],"L")&amp;"-"&amp;COUNTIFS(Tracker[Money %],"&gt;="&amp;BG16,Tracker[Money %],"&lt;"&amp;BG17,Tracker[Result],"Push")&amp;" ("&amp;ROUND(COUNTIFS(Tracker[Money %],"&gt;="&amp;BG16,Tracker[Money %],"&lt;"&amp;BG17,Tracker[Result],"W")/(COUNTIFS(Tracker[Money %],"&gt;="&amp;BG16,Tracker[Money %],"&lt;"&amp;BG17,Tracker[Result],"L")+COUNTIFS(Tracker[Money %],"&gt;="&amp;BG16,Tracker[Money %],"&lt;"&amp;BG17,Tracker[Result],"W"))*100,2)&amp;"%)","No Bets")</f>
        <v>4-6-0 (40%)</v>
      </c>
      <c r="BJ16">
        <f>SUMIFS(Tracker[Net],Tracker[Money %],"&gt;="&amp;BG16,Tracker[Money %],"&lt;"&amp;BG17)</f>
        <v>-2.3636363636363638</v>
      </c>
      <c r="BK16" s="24" t="str">
        <f>IFERROR(IF(ROUND((SUMIFS(Tracker[Net],Tracker[Money %],"&gt;="&amp;$BG16,Tracker[Money %],"&lt;"&amp;$BG17,Tracker[Bet Type],BK$1))/COUNTIFS(Tracker[Money %],"&gt;="&amp;$BG16,Tracker[Money %],"&lt;"&amp;$BG17,Tracker[Bet Type],BK$1),2)&gt;0.05,"X",IF(ROUND((SUMIFS(Tracker[Net],Tracker[Money %],"&gt;="&amp;$BG16,Tracker[Money %],"&lt;"&amp;$BG17,Tracker[Bet Type],BK$1))/COUNTIFS(Tracker[Money %],"&gt;="&amp;$BG16,Tracker[Money %],"&lt;"&amp;$BG17,Tracker[Bet Type],BK$1),2)&lt;-0.15,"O","")),"")</f>
        <v>O</v>
      </c>
      <c r="BL16" s="24" t="str">
        <f>IFERROR(IF(ROUND((SUMIFS(Tracker[Net],Tracker[Money %],"&gt;="&amp;$BG16,Tracker[Money %],"&lt;"&amp;$BG17,Tracker[Bet Type],BL$1))/COUNTIFS(Tracker[Money %],"&gt;="&amp;$BG16,Tracker[Money %],"&lt;"&amp;$BG17,Tracker[Bet Type],BL$1),2)&gt;0.05,"X",IF(ROUND((SUMIFS(Tracker[Net],Tracker[Money %],"&gt;="&amp;$BG16,Tracker[Money %],"&lt;"&amp;$BG17,Tracker[Bet Type],BL$1))/COUNTIFS(Tracker[Money %],"&gt;="&amp;$BG16,Tracker[Money %],"&lt;"&amp;$BG17,Tracker[Bet Type],BL$1),2)&lt;-0.15,"O","")),"")</f>
        <v>O</v>
      </c>
      <c r="BM16" s="24" t="str">
        <f>IFERROR(IF(ROUND((SUMIFS(Tracker[Net],Tracker[Money %],"&gt;="&amp;$BG16,Tracker[Money %],"&lt;"&amp;$BG17,Tracker[Bet Type],BM$1))/COUNTIFS(Tracker[Money %],"&gt;="&amp;$BG16,Tracker[Money %],"&lt;"&amp;$BG17,Tracker[Bet Type],BM$1),2)&gt;0.05,"X",IF(ROUND((SUMIFS(Tracker[Net],Tracker[Money %],"&gt;="&amp;$BG16,Tracker[Money %],"&lt;"&amp;$BG17,Tracker[Bet Type],BM$1))/COUNTIFS(Tracker[Money %],"&gt;="&amp;$BG16,Tracker[Money %],"&lt;"&amp;$BG17,Tracker[Bet Type],BM$1),2)&lt;-0.15,"O","")),"")</f>
        <v>X</v>
      </c>
      <c r="BN16" s="24" t="str">
        <f>IFERROR(IF(ROUND((SUMIFS(Tracker[Net],Tracker[Money %],"&gt;="&amp;$BG16,Tracker[Money %],"&lt;"&amp;$BG17,Tracker[Bet Type],BN$1))/COUNTIFS(Tracker[Money %],"&gt;="&amp;$BG16,Tracker[Money %],"&lt;"&amp;$BG17,Tracker[Bet Type],BN$1),2)&gt;0.05,"X",IF(ROUND((SUMIFS(Tracker[Net],Tracker[Money %],"&gt;="&amp;$BG16,Tracker[Money %],"&lt;"&amp;$BG17,Tracker[Bet Type],BN$1))/COUNTIFS(Tracker[Money %],"&gt;="&amp;$BG16,Tracker[Money %],"&lt;"&amp;$BG17,Tracker[Bet Type],BN$1),2)&lt;-0.15,"O","")),"")</f>
        <v/>
      </c>
      <c r="BO16" s="24" t="str">
        <f>IFERROR(IF(ROUND((SUMIFS(Tracker[Net],Tracker[Money %],"&gt;="&amp;$BG16,Tracker[Money %],"&lt;"&amp;$BG17,Tracker[Bet Type Drill Down],BO$1))/COUNTIFS(Tracker[Money %],"&gt;="&amp;$BG16,Tracker[Money %],"&lt;"&amp;$BG17,Tracker[Bet Type Drill Down],BO$1),2)&gt;0.05,"X",IF(ROUND((SUMIFS(Tracker[Net],Tracker[Money %],"&gt;="&amp;$BG16,Tracker[Money %],"&lt;"&amp;$BG17,Tracker[Bet Type Drill Down],BO$1))/COUNTIFS(Tracker[Money %],"&gt;="&amp;$BG16,Tracker[Money %],"&lt;"&amp;$BG17,Tracker[Bet Type Drill Down],BO$1),2)&lt;-0.15,"O","")),"")</f>
        <v/>
      </c>
      <c r="BP16" s="24" t="str">
        <f>IFERROR(IF(ROUND((SUMIFS(Tracker[Net],Tracker[Money %],"&gt;="&amp;$BG16,Tracker[Money %],"&lt;"&amp;$BG17,Tracker[Bet Type Drill Down],BP$1))/COUNTIFS(Tracker[Money %],"&gt;="&amp;$BG16,Tracker[Money %],"&lt;"&amp;$BG17,Tracker[Bet Type Drill Down],BP$1),2)&gt;0.05,"X",IF(ROUND((SUMIFS(Tracker[Net],Tracker[Money %],"&gt;="&amp;$BG16,Tracker[Money %],"&lt;"&amp;$BG17,Tracker[Bet Type Drill Down],BP$1))/COUNTIFS(Tracker[Money %],"&gt;="&amp;$BG16,Tracker[Money %],"&lt;"&amp;$BG17,Tracker[Bet Type Drill Down],BP$1),2)&lt;-0.15,"O","")),"")</f>
        <v/>
      </c>
      <c r="BQ16" s="24" t="str">
        <f>IFERROR(IF(ROUND((SUMIFS(Tracker[Net],Tracker[Money %],"&gt;="&amp;$BG16,Tracker[Money %],"&lt;"&amp;$BG17,Tracker[Bet Type Drill Down],BQ$1))/COUNTIFS(Tracker[Money %],"&gt;="&amp;$BG16,Tracker[Money %],"&lt;"&amp;$BG17,Tracker[Bet Type Drill Down],BQ$1),2)&gt;0.05,"X",IF(ROUND((SUMIFS(Tracker[Net],Tracker[Money %],"&gt;="&amp;$BG16,Tracker[Money %],"&lt;"&amp;$BG17,Tracker[Bet Type Drill Down],BQ$1))/COUNTIFS(Tracker[Money %],"&gt;="&amp;$BG16,Tracker[Money %],"&lt;"&amp;$BG17,Tracker[Bet Type Drill Down],BQ$1),2)&lt;-0.15,"O","")),"")</f>
        <v>X</v>
      </c>
      <c r="BR16" s="24" t="str">
        <f>IFERROR(IF(ROUND((SUMIFS(Tracker[Net],Tracker[Money %],"&gt;="&amp;$BG16,Tracker[Money %],"&lt;"&amp;$BG17,Tracker[Bet Type Drill Down],BR$1))/COUNTIFS(Tracker[Money %],"&gt;="&amp;$BG16,Tracker[Money %],"&lt;"&amp;$BG17,Tracker[Bet Type Drill Down],BR$1),2)&gt;0.05,"X",IF(ROUND((SUMIFS(Tracker[Net],Tracker[Money %],"&gt;="&amp;$BG16,Tracker[Money %],"&lt;"&amp;$BG17,Tracker[Bet Type Drill Down],BR$1))/COUNTIFS(Tracker[Money %],"&gt;="&amp;$BG16,Tracker[Money %],"&lt;"&amp;$BG17,Tracker[Bet Type Drill Down],BR$1),2)&lt;-0.15,"O","")),"")</f>
        <v/>
      </c>
      <c r="BT16" s="153">
        <f t="shared" si="5"/>
        <v>0.70000000000000007</v>
      </c>
      <c r="BU16" s="154" t="str">
        <f t="shared" ref="BU16" si="22">ROUND(BT16*100,0)&amp;"  to  "&amp;ROUND(BT17*100,0)&amp;"%"</f>
        <v>70  to  75%</v>
      </c>
      <c r="BV16" t="str">
        <f>IFERROR(COUNTIFS(Tracker[Bet %],"&gt;="&amp;BT16,Tracker[Bet %],"&lt;"&amp;BT17,Tracker[Result],"W")&amp;"-"&amp;COUNTIFS(Tracker[Bet %],"&gt;="&amp;BT16,Tracker[Bet %],"&lt;"&amp;BT17,Tracker[Result],"L")&amp;"-"&amp;COUNTIFS(Tracker[Bet %],"&gt;="&amp;BT16,Tracker[Bet %],"&lt;"&amp;BT17,Tracker[Result],"Push")&amp;" ("&amp;ROUND(COUNTIFS(Tracker[Bet %],"&gt;="&amp;BT16,Tracker[Bet %],"&lt;"&amp;BT17,Tracker[Result],"W")/(COUNTIFS(Tracker[Bet %],"&gt;="&amp;BT16,Tracker[Bet %],"&lt;"&amp;BT17,Tracker[Result],"L")+COUNTIFS(Tracker[Bet %],"&gt;="&amp;BT16,Tracker[Bet %],"&lt;"&amp;BT17,Tracker[Result],"W"))*100,2)&amp;"%)","No Bets")</f>
        <v>2-7-1 (22.22%)</v>
      </c>
      <c r="BW16">
        <f>SUMIFS(Tracker[Net],Tracker[Bet %],"&gt;="&amp;BT16,Tracker[Bet %],"&lt;"&amp;BT17)</f>
        <v>-5.1818181818181817</v>
      </c>
      <c r="BX16" s="24" t="str">
        <f>IFERROR(IF(ROUND((SUMIFS(Tracker[Net],Tracker[Bet %],"&gt;="&amp;$BG16,Tracker[Bet %],"&lt;"&amp;$BG17,Tracker[Bet Type],BX$1))/COUNTIFS(Tracker[Bet %],"&gt;="&amp;$BG16,Tracker[Bet %],"&lt;"&amp;$BG17,Tracker[Bet Type],BX$1),2)&gt;0.05,"X",IF(ROUND((SUMIFS(Tracker[Net],Tracker[Bet %],"&gt;="&amp;$BG16,Tracker[Bet %],"&lt;"&amp;$BG17,Tracker[Bet Type],BX$1))/COUNTIFS(Tracker[Bet %],"&gt;="&amp;$BG16,Tracker[Bet %],"&lt;"&amp;$BG17,Tracker[Bet Type],BX$1),2)&lt;-0.15,"O","")),"")</f>
        <v>O</v>
      </c>
      <c r="BY16" s="24" t="str">
        <f>IFERROR(IF(ROUND((SUMIFS(Tracker[Net],Tracker[Bet %],"&gt;="&amp;$BG16,Tracker[Bet %],"&lt;"&amp;$BG17,Tracker[Bet Type],BY$1))/COUNTIFS(Tracker[Bet %],"&gt;="&amp;$BG16,Tracker[Bet %],"&lt;"&amp;$BG17,Tracker[Bet Type],BY$1),2)&gt;0.05,"X",IF(ROUND((SUMIFS(Tracker[Net],Tracker[Bet %],"&gt;="&amp;$BG16,Tracker[Bet %],"&lt;"&amp;$BG17,Tracker[Bet Type],BY$1))/COUNTIFS(Tracker[Bet %],"&gt;="&amp;$BG16,Tracker[Bet %],"&lt;"&amp;$BG17,Tracker[Bet Type],BY$1),2)&lt;-0.15,"O","")),"")</f>
        <v>O</v>
      </c>
      <c r="BZ16" s="24" t="str">
        <f>IFERROR(IF(ROUND((SUMIFS(Tracker[Net],Tracker[Bet %],"&gt;="&amp;$BG16,Tracker[Bet %],"&lt;"&amp;$BG17,Tracker[Bet Type],BZ$1))/COUNTIFS(Tracker[Bet %],"&gt;="&amp;$BG16,Tracker[Bet %],"&lt;"&amp;$BG17,Tracker[Bet Type],BZ$1),2)&gt;0.05,"X",IF(ROUND((SUMIFS(Tracker[Net],Tracker[Bet %],"&gt;="&amp;$BG16,Tracker[Bet %],"&lt;"&amp;$BG17,Tracker[Bet Type],BZ$1))/COUNTIFS(Tracker[Bet %],"&gt;="&amp;$BG16,Tracker[Bet %],"&lt;"&amp;$BG17,Tracker[Bet Type],BZ$1),2)&lt;-0.15,"O","")),"")</f>
        <v>O</v>
      </c>
      <c r="CA16" s="24" t="str">
        <f>IFERROR(IF(ROUND((SUMIFS(Tracker[Net],Tracker[Bet %],"&gt;="&amp;$BG16,Tracker[Bet %],"&lt;"&amp;$BG17,Tracker[Bet Type],CA$1))/COUNTIFS(Tracker[Bet %],"&gt;="&amp;$BG16,Tracker[Bet %],"&lt;"&amp;$BG17,Tracker[Bet Type],CA$1),2)&gt;0.05,"X",IF(ROUND((SUMIFS(Tracker[Net],Tracker[Bet %],"&gt;="&amp;$BG16,Tracker[Bet %],"&lt;"&amp;$BG17,Tracker[Bet Type],CA$1))/COUNTIFS(Tracker[Bet %],"&gt;="&amp;$BG16,Tracker[Bet %],"&lt;"&amp;$BG17,Tracker[Bet Type],CA$1),2)&lt;-0.15,"O","")),"")</f>
        <v>O</v>
      </c>
      <c r="CB16" s="24" t="str">
        <f>IFERROR(IF(ROUND((SUMIFS(Tracker[Net],Tracker[Bet %],"&gt;="&amp;$BG16,Tracker[Bet %],"&lt;"&amp;$BG17,Tracker[Bet Type Drill Down],CB$1))/COUNTIFS(Tracker[Bet %],"&gt;="&amp;$BG16,Tracker[Bet %],"&lt;"&amp;$BG17,Tracker[Bet Type Drill Down],CB$1),2)&gt;0.05,"X",IF(ROUND((SUMIFS(Tracker[Net],Tracker[Bet %],"&gt;="&amp;$BG16,Tracker[Bet %],"&lt;"&amp;$BG17,Tracker[Bet Type Drill Down],CB$1))/COUNTIFS(Tracker[Bet %],"&gt;="&amp;$BG16,Tracker[Bet %],"&lt;"&amp;$BG17,Tracker[Bet Type Drill Down],CB$1),2)&lt;-0.15,"O","")),"")</f>
        <v>O</v>
      </c>
      <c r="CC16" s="24" t="str">
        <f>IFERROR(IF(ROUND((SUMIFS(Tracker[Net],Tracker[Bet %],"&gt;="&amp;$BG16,Tracker[Bet %],"&lt;"&amp;$BG17,Tracker[Bet Type Drill Down],CC$1))/COUNTIFS(Tracker[Bet %],"&gt;="&amp;$BG16,Tracker[Bet %],"&lt;"&amp;$BG17,Tracker[Bet Type Drill Down],CC$1),2)&gt;0.05,"X",IF(ROUND((SUMIFS(Tracker[Net],Tracker[Bet %],"&gt;="&amp;$BG16,Tracker[Bet %],"&lt;"&amp;$BG17,Tracker[Bet Type Drill Down],CC$1))/COUNTIFS(Tracker[Bet %],"&gt;="&amp;$BG16,Tracker[Bet %],"&lt;"&amp;$BG17,Tracker[Bet Type Drill Down],CC$1),2)&lt;-0.15,"O","")),"")</f>
        <v/>
      </c>
      <c r="CD16" s="24" t="str">
        <f>IFERROR(IF(ROUND((SUMIFS(Tracker[Net],Tracker[Bet %],"&gt;="&amp;$BG16,Tracker[Bet %],"&lt;"&amp;$BG17,Tracker[Bet Type Drill Down],CD$1))/COUNTIFS(Tracker[Bet %],"&gt;="&amp;$BG16,Tracker[Bet %],"&lt;"&amp;$BG17,Tracker[Bet Type Drill Down],CD$1),2)&gt;0.05,"X",IF(ROUND((SUMIFS(Tracker[Net],Tracker[Bet %],"&gt;="&amp;$BG16,Tracker[Bet %],"&lt;"&amp;$BG17,Tracker[Bet Type Drill Down],CD$1))/COUNTIFS(Tracker[Bet %],"&gt;="&amp;$BG16,Tracker[Bet %],"&lt;"&amp;$BG17,Tracker[Bet Type Drill Down],CD$1),2)&lt;-0.15,"O","")),"")</f>
        <v/>
      </c>
      <c r="CE16" s="24" t="str">
        <f>IFERROR(IF(ROUND((SUMIFS(Tracker[Net],Tracker[Bet %],"&gt;="&amp;$BG16,Tracker[Bet %],"&lt;"&amp;$BG17,Tracker[Bet Type Drill Down],CE$1))/COUNTIFS(Tracker[Bet %],"&gt;="&amp;$BG16,Tracker[Bet %],"&lt;"&amp;$BG17,Tracker[Bet Type Drill Down],CE$1),2)&gt;0.05,"X",IF(ROUND((SUMIFS(Tracker[Net],Tracker[Bet %],"&gt;="&amp;$BG16,Tracker[Bet %],"&lt;"&amp;$BG17,Tracker[Bet Type Drill Down],CE$1))/COUNTIFS(Tracker[Bet %],"&gt;="&amp;$BG16,Tracker[Bet %],"&lt;"&amp;$BG17,Tracker[Bet Type Drill Down],CE$1),2)&lt;-0.15,"O","")),"")</f>
        <v>O</v>
      </c>
    </row>
    <row r="17" spans="1:83" x14ac:dyDescent="0.25">
      <c r="A17" s="36">
        <f t="shared" si="9"/>
        <v>1</v>
      </c>
      <c r="B17" s="25">
        <v>43796</v>
      </c>
      <c r="C17" s="25" t="str">
        <f t="shared" si="7"/>
        <v>NBA</v>
      </c>
      <c r="D17" s="26" t="s">
        <v>792</v>
      </c>
      <c r="E17" s="27" t="s">
        <v>794</v>
      </c>
      <c r="F17" s="67">
        <v>0.6113597653744729</v>
      </c>
      <c r="G17" s="29">
        <v>-110</v>
      </c>
      <c r="H17" s="30" t="s">
        <v>56</v>
      </c>
      <c r="I17" s="44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7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17" s="32" t="str">
        <f>MID(Tracker[[#This Row],[Game]],SEARCH("@",Tracker[[#This Row],[Game]])+2,LEN(Tracker[[#This Row],[Game]]))</f>
        <v>Pelicans</v>
      </c>
      <c r="L17" s="32" t="str">
        <f>LEFT(Tracker[[#This Row],[Game]],SEARCH("@",Tracker[[#This Row],[Game]])-2)</f>
        <v>Lakers</v>
      </c>
      <c r="M1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17" s="123"/>
      <c r="O17" s="147"/>
      <c r="P17" s="147"/>
      <c r="Q17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7" s="147" t="e">
        <f>IF(AND(Tracker[[#This Row],[Money %]]&lt;&gt;"",Tracker[[#This Row],[Bet %]]&lt;&gt;""),Tracker[[#This Row],[Money %]]-Tracker[[#This Row],[Bet %]],NA())</f>
        <v>#N/A</v>
      </c>
      <c r="S17" s="109"/>
      <c r="T17" s="109"/>
      <c r="U17" s="56">
        <f>IFERROR(INDEX($A$4:$B10013,MATCH(ROW()-3,$A$4:$A$4:$A1013,0),2),0)</f>
        <v>43836</v>
      </c>
      <c r="V17" s="33" t="str">
        <f>COUNTIFS(Tracker[Date],U17,Tracker[Result],"W")&amp;"-"&amp;COUNTIFS(Tracker[Date],U17,Tracker[Result],"L")&amp;IF(COUNTIFS(Tracker[Date],U17,Tracker[Result],"Push")&gt;0,"-"&amp;COUNTIFS(Tracker[Date],U17,Tracker[Result],"Push"),"")</f>
        <v>4-7-1</v>
      </c>
      <c r="W17" s="34">
        <f>IFERROR(COUNTIFS(Tracker[Date],U17,Tracker[Result],"W")/(COUNTIFS(Tracker[Date],U17,Tracker[Result],"W")+COUNTIFS(Tracker[Date],U17,Tracker[Result],"L")),"")</f>
        <v>0.36363636363636365</v>
      </c>
      <c r="X17" s="61">
        <f>SUMIF(Tracker[Date],U17,Tracker[Net])</f>
        <v>-3.3636363636363642</v>
      </c>
      <c r="Y17" s="35" t="str">
        <f>IFERROR("("&amp;ROUND(SUMIF(Tracker[Date],U17,Tracker[Net])/COUNTIF(Tracker[Date],U17),2)*100&amp;"%)","")</f>
        <v>(-28%)</v>
      </c>
      <c r="AA17" s="37" t="s">
        <v>237</v>
      </c>
      <c r="AB17" s="62">
        <f ca="1">SUMIF(Tracker[Date],"&lt;"&amp;TODAY(),Tracker[Confidence])</f>
        <v>346.67983774443786</v>
      </c>
      <c r="AF17" s="36">
        <f t="shared" si="11"/>
        <v>0.70000000000000007</v>
      </c>
      <c r="AG17" s="66" t="str">
        <f t="shared" si="0"/>
        <v>70-75%</v>
      </c>
      <c r="AH17" s="124" t="str">
        <f>IFERROR(COUNTIFS(Tracker[Cover %],"&gt;="&amp;AF17,Tracker[Cover %],"&lt;"&amp;AF18,Tracker[Result],"W")&amp;"-"&amp;COUNTIFS(Tracker[Cover %],"&gt;="&amp;AF17,Tracker[Cover %],"&lt;"&amp;AF18,Tracker[Result],"L")&amp;"-"&amp;COUNTIFS(Tracker[Cover %],"&gt;="&amp;AF17,Tracker[Cover %],"&lt;"&amp;AF18,Tracker[Result],"Push")&amp;" ("&amp;ROUND(COUNTIFS(Tracker[Cover %],"&gt;="&amp;AF17,Tracker[Cover %],"&lt;"&amp;AF18,Tracker[Result],"W")/(COUNTIFS(Tracker[Cover %],"&gt;="&amp;AF17,Tracker[Cover %],"&lt;"&amp;AF18,Tracker[Result],"L")+COUNTIFS(Tracker[Cover %],"&gt;="&amp;AF17,Tracker[Cover %],"&lt;"&amp;AF18,Tracker[Result],"W"))*100,2)&amp;"%)","No Bets")</f>
        <v>1-1-0 (50%)</v>
      </c>
      <c r="AI17" s="72">
        <f>SUMIFS(Tracker[Net],Tracker[Cover %],"&gt;="&amp;AF17,Tracker[Cover %],"&lt;"&amp;AF18)</f>
        <v>-9.0909090909090939E-2</v>
      </c>
      <c r="AJ17" s="24" t="str">
        <f>IFERROR(IF(ROUND((SUMIFS(Tracker[Net],Tracker[Cover %],"&gt;="&amp;$AF17,Tracker[Cover %],"&lt;"&amp;$AF18,Tracker[Bet Type],AJ$2))/COUNTIFS(Tracker[Cover %],"&gt;="&amp;$AF17,Tracker[Cover %],"&lt;"&amp;$AF18,Tracker[Bet Type],AJ$2),2)&gt;0.05,"X",IF(ROUND((SUMIFS(Tracker[Net],Tracker[Cover %],"&gt;="&amp;$AF17,Tracker[Cover %],"&lt;"&amp;$AF18,Tracker[Bet Type],AJ$2))/COUNTIFS(Tracker[Cover %],"&gt;="&amp;$AF17,Tracker[Cover %],"&lt;"&amp;$AF18,Tracker[Bet Type],AJ$2),2)&lt;-0.15,"O","")),"")</f>
        <v/>
      </c>
      <c r="AK17" s="24" t="str">
        <f>IFERROR(IF(ROUND((SUMIFS(Tracker[Net],Tracker[Cover %],"&gt;="&amp;$AF17,Tracker[Cover %],"&lt;"&amp;$AF18,Tracker[Bet Type],AK$2))/COUNTIFS(Tracker[Cover %],"&gt;="&amp;$AF17,Tracker[Cover %],"&lt;"&amp;$AF18,Tracker[Bet Type],AK$2),2)&gt;0.05,"X",IF(ROUND((SUMIFS(Tracker[Net],Tracker[Cover %],"&gt;="&amp;$AF17,Tracker[Cover %],"&lt;"&amp;$AF18,Tracker[Bet Type],AK$2))/COUNTIFS(Tracker[Cover %],"&gt;="&amp;$AF17,Tracker[Cover %],"&lt;"&amp;$AF18,Tracker[Bet Type],AK$2),2)&lt;-0.15,"O","")),"")</f>
        <v/>
      </c>
      <c r="AL17" s="24" t="str">
        <f>IFERROR(IF(ROUND((SUMIFS(Tracker[Net],Tracker[Cover %],"&gt;="&amp;$AF17,Tracker[Cover %],"&lt;"&amp;$AF18,Tracker[Bet Type],AL$2))/COUNTIFS(Tracker[Cover %],"&gt;="&amp;$AF17,Tracker[Cover %],"&lt;"&amp;$AF18,Tracker[Bet Type],AL$2),2)&gt;0.05,"X",IF(ROUND((SUMIFS(Tracker[Net],Tracker[Cover %],"&gt;="&amp;$AF17,Tracker[Cover %],"&lt;"&amp;$AF18,Tracker[Bet Type],AL$2))/COUNTIFS(Tracker[Cover %],"&gt;="&amp;$AF17,Tracker[Cover %],"&lt;"&amp;$AF18,Tracker[Bet Type],AL$2),2)&lt;-0.15,"O","")),"")</f>
        <v>O</v>
      </c>
      <c r="AM17" s="24" t="str">
        <f>IFERROR(IF(ROUND((SUMIFS(Tracker[Net],Tracker[Cover %],"&gt;="&amp;$AF17,Tracker[Cover %],"&lt;"&amp;$AF18,Tracker[Bet Type],AM$2))/COUNTIFS(Tracker[Cover %],"&gt;="&amp;$AF17,Tracker[Cover %],"&lt;"&amp;$AF18,Tracker[Bet Type],AM$2),2)&gt;0.05,"X",IF(ROUND((SUMIFS(Tracker[Net],Tracker[Cover %],"&gt;="&amp;$AF17,Tracker[Cover %],"&lt;"&amp;$AF18,Tracker[Bet Type],AM$2))/COUNTIFS(Tracker[Cover %],"&gt;="&amp;$AF17,Tracker[Cover %],"&lt;"&amp;$AF18,Tracker[Bet Type],AM$2),2)&lt;-0.15,"O","")),"")</f>
        <v>X</v>
      </c>
      <c r="AN17" s="24" t="str">
        <f>IFERROR(IF(ROUND((SUMIFS(Tracker[Net],Tracker[Cover %],"&gt;="&amp;$AF17,Tracker[Cover %],"&lt;"&amp;$AF18,Tracker[Bet Type Drill Down],AN$2))/COUNTIFS(Tracker[Cover %],"&gt;="&amp;$AF17,Tracker[Cover %],"&lt;"&amp;$AF18,Tracker[Bet Type Drill Down],AN$2),2)&gt;0.05,"X",IF(ROUND((SUMIFS(Tracker[Net],Tracker[Cover %],"&gt;="&amp;$AF17,Tracker[Cover %],"&lt;"&amp;$AF18,Tracker[Bet Type Drill Down],AN$2))/COUNTIFS(Tracker[Cover %],"&gt;="&amp;$AF17,Tracker[Cover %],"&lt;"&amp;$AF18,Tracker[Bet Type Drill Down],AN$2),2)&lt;-0.15,"O","")),"")</f>
        <v/>
      </c>
      <c r="AO17" s="24" t="str">
        <f>IFERROR(IF(ROUND((SUMIFS(Tracker[Net],Tracker[Cover %],"&gt;="&amp;$AF17,Tracker[Cover %],"&lt;"&amp;$AF18,Tracker[Bet Type Drill Down],AO$2))/COUNTIFS(Tracker[Cover %],"&gt;="&amp;$AF17,Tracker[Cover %],"&lt;"&amp;$AF18,Tracker[Bet Type Drill Down],AO$2),2)&gt;0.05,"X",IF(ROUND((SUMIFS(Tracker[Net],Tracker[Cover %],"&gt;="&amp;$AF17,Tracker[Cover %],"&lt;"&amp;$AF18,Tracker[Bet Type Drill Down],AO$2))/COUNTIFS(Tracker[Cover %],"&gt;="&amp;$AF17,Tracker[Cover %],"&lt;"&amp;$AF18,Tracker[Bet Type Drill Down],AO$2),2)&lt;-0.15,"O","")),"")</f>
        <v>X</v>
      </c>
      <c r="AP17" s="24" t="str">
        <f>IFERROR(IF(ROUND((SUMIFS(Tracker[Net],Tracker[Cover %],"&gt;="&amp;$AF17,Tracker[Cover %],"&lt;"&amp;$AF18,Tracker[Bet Type Drill Down],AP$2))/COUNTIFS(Tracker[Cover %],"&gt;="&amp;$AF17,Tracker[Cover %],"&lt;"&amp;$AF18,Tracker[Bet Type Drill Down],AP$2),2)&gt;0.05,"X",IF(ROUND((SUMIFS(Tracker[Net],Tracker[Cover %],"&gt;="&amp;$AF17,Tracker[Cover %],"&lt;"&amp;$AF18,Tracker[Bet Type Drill Down],AP$2))/COUNTIFS(Tracker[Cover %],"&gt;="&amp;$AF17,Tracker[Cover %],"&lt;"&amp;$AF18,Tracker[Bet Type Drill Down],AP$2),2)&lt;-0.15,"O","")),"")</f>
        <v>O</v>
      </c>
      <c r="AQ17" s="24" t="str">
        <f>IFERROR(IF(ROUND((SUMIFS(Tracker[Net],Tracker[Cover %],"&gt;="&amp;$AF17,Tracker[Cover %],"&lt;"&amp;$AF18,Tracker[Bet Type Drill Down],AQ$2))/COUNTIFS(Tracker[Cover %],"&gt;="&amp;$AF17,Tracker[Cover %],"&lt;"&amp;$AF18,Tracker[Bet Type Drill Down],AQ$2),2)&gt;0.05,"X",IF(ROUND((SUMIFS(Tracker[Net],Tracker[Cover %],"&gt;="&amp;$AF17,Tracker[Cover %],"&lt;"&amp;$AF18,Tracker[Bet Type Drill Down],AQ$2))/COUNTIFS(Tracker[Cover %],"&gt;="&amp;$AF17,Tracker[Cover %],"&lt;"&amp;$AF18,Tracker[Bet Type Drill Down],AQ$2),2)&lt;-0.15,"O","")),"")</f>
        <v/>
      </c>
      <c r="AT17" s="153">
        <f t="shared" si="1"/>
        <v>-0.24999999999999967</v>
      </c>
      <c r="AU17" s="39" t="str">
        <f t="shared" si="2"/>
        <v>-25  to  -20%</v>
      </c>
      <c r="AV17" t="str">
        <f>IFERROR(COUNTIFS(Tracker[Money Discrepency],"&gt;="&amp;AT17,Tracker[Money Discrepency],"&lt;"&amp;AT18,Tracker[Result],"W")&amp;"-"&amp;COUNTIFS(Tracker[Money Discrepency],"&gt;="&amp;AT17,Tracker[Money Discrepency],"&lt;"&amp;AT18,Tracker[Result],"L")&amp;"-"&amp;COUNTIFS(Tracker[Money Discrepency],"&gt;="&amp;AT17,Tracker[Money Discrepency],"&lt;"&amp;AT18,Tracker[Result],"Push")&amp;" ("&amp;ROUND(COUNTIFS(Tracker[Money Discrepency],"&gt;="&amp;AT17,Tracker[Money Discrepency],"&lt;"&amp;AT18,Tracker[Result],"W")/(COUNTIFS(Tracker[Money Discrepency],"&gt;="&amp;AT17,Tracker[Money Discrepency],"&lt;"&amp;AT18,Tracker[Result],"L")+COUNTIFS(Tracker[Money Discrepency],"&gt;="&amp;AT17,Tracker[Money Discrepency],"&lt;"&amp;AT18,Tracker[Result],"W"))*100,2)&amp;"%)","No Bets")</f>
        <v>6-4-0 (60%)</v>
      </c>
      <c r="AW17">
        <f>SUMIFS(Tracker[Net],Tracker[Money Discrepency],"&gt;="&amp;AT17,Tracker[Money Discrepency],"&lt;"&amp;AT18)</f>
        <v>1.4545454545454544</v>
      </c>
      <c r="AX17" s="24" t="str">
        <f>IFERROR(IF(ROUND((SUMIFS(Tracker[Net],Tracker[Money Discrepency],"&gt;="&amp;$AT17,Tracker[Money Discrepency],"&lt;"&amp;$AT18,Tracker[Bet Type],AX$1))/COUNTIFS(Tracker[Money Discrepency],"&gt;="&amp;$AT17,Tracker[Money Discrepency],"&lt;"&amp;$AT18,Tracker[Bet Type],AX$1),2)&gt;0.05,"X",IF(ROUND((SUMIFS(Tracker[Net],Tracker[Money Discrepency],"&gt;="&amp;$AT17,Tracker[Money Discrepency],"&lt;"&amp;$AT18,Tracker[Bet Type],AX$1))/COUNTIFS(Tracker[Money Discrepency],"&gt;="&amp;$AT17,Tracker[Money Discrepency],"&lt;"&amp;$AT18,Tracker[Bet Type],AX$1),2)&lt;-0.15,"O","")),"")</f>
        <v/>
      </c>
      <c r="AY17" s="24" t="str">
        <f>IFERROR(IF(ROUND((SUMIFS(Tracker[Net],Tracker[Money Discrepency],"&gt;="&amp;$AT17,Tracker[Money Discrepency],"&lt;"&amp;$AT18,Tracker[Bet Type],AY$1))/COUNTIFS(Tracker[Money Discrepency],"&gt;="&amp;$AT17,Tracker[Money Discrepency],"&lt;"&amp;$AT18,Tracker[Bet Type],AY$1),2)&gt;0.05,"X",IF(ROUND((SUMIFS(Tracker[Net],Tracker[Money Discrepency],"&gt;="&amp;$AT17,Tracker[Money Discrepency],"&lt;"&amp;$AT18,Tracker[Bet Type],AY$1))/COUNTIFS(Tracker[Money Discrepency],"&gt;="&amp;$AT17,Tracker[Money Discrepency],"&lt;"&amp;$AT18,Tracker[Bet Type],AY$1),2)&lt;-0.15,"O","")),"")</f>
        <v>X</v>
      </c>
      <c r="AZ17" s="24" t="str">
        <f>IFERROR(IF(ROUND((SUMIFS(Tracker[Net],Tracker[Money Discrepency],"&gt;="&amp;$AT17,Tracker[Money Discrepency],"&lt;"&amp;$AT18,Tracker[Bet Type],AZ$1))/COUNTIFS(Tracker[Money Discrepency],"&gt;="&amp;$AT17,Tracker[Money Discrepency],"&lt;"&amp;$AT18,Tracker[Bet Type],AZ$1),2)&gt;0.05,"X",IF(ROUND((SUMIFS(Tracker[Net],Tracker[Money Discrepency],"&gt;="&amp;$AT17,Tracker[Money Discrepency],"&lt;"&amp;$AT18,Tracker[Bet Type],AZ$1))/COUNTIFS(Tracker[Money Discrepency],"&gt;="&amp;$AT17,Tracker[Money Discrepency],"&lt;"&amp;$AT18,Tracker[Bet Type],AZ$1),2)&lt;-0.15,"O","")),"")</f>
        <v>O</v>
      </c>
      <c r="BA17" s="24" t="str">
        <f>IFERROR(IF(ROUND((SUMIFS(Tracker[Net],Tracker[Money Discrepency],"&gt;="&amp;$AT17,Tracker[Money Discrepency],"&lt;"&amp;$AT18,Tracker[Bet Type],BA$1))/COUNTIFS(Tracker[Money Discrepency],"&gt;="&amp;$AT17,Tracker[Money Discrepency],"&lt;"&amp;$AT18,Tracker[Bet Type],BA$1),2)&gt;0.05,"X",IF(ROUND((SUMIFS(Tracker[Net],Tracker[Money Discrepency],"&gt;="&amp;$AT17,Tracker[Money Discrepency],"&lt;"&amp;$AT18,Tracker[Bet Type],BA$1))/COUNTIFS(Tracker[Money Discrepency],"&gt;="&amp;$AT17,Tracker[Money Discrepency],"&lt;"&amp;$AT18,Tracker[Bet Type],BA$1),2)&lt;-0.15,"O","")),"")</f>
        <v>X</v>
      </c>
      <c r="BB17" s="24" t="str">
        <f>IFERROR(IF(ROUND((SUMIFS(Tracker[Net],Tracker[Money Discrepency],"&gt;="&amp;$AT17,Tracker[Money Discrepency],"&lt;"&amp;$AT18,Tracker[Bet Type Drill Down],BB$1))/COUNTIFS(Tracker[Money Discrepency],"&gt;="&amp;$AT17,Tracker[Money Discrepency],"&lt;"&amp;$AT18,Tracker[Bet Type Drill Down],BB$1),2)&gt;0.05,"X",IF(ROUND((SUMIFS(Tracker[Net],Tracker[Money Discrepency],"&gt;="&amp;$AT17,Tracker[Money Discrepency],"&lt;"&amp;$AT18,Tracker[Bet Type Drill Down],BB$1))/COUNTIFS(Tracker[Money Discrepency],"&gt;="&amp;$AT17,Tracker[Money Discrepency],"&lt;"&amp;$AT18,Tracker[Bet Type Drill Down],BB$1),2)&lt;-0.15,"O","")),"")</f>
        <v>X</v>
      </c>
      <c r="BC17" s="24" t="str">
        <f>IFERROR(IF(ROUND((SUMIFS(Tracker[Net],Tracker[Money Discrepency],"&gt;="&amp;$AT17,Tracker[Money Discrepency],"&lt;"&amp;$AT18,Tracker[Bet Type Drill Down],BC$1))/COUNTIFS(Tracker[Money Discrepency],"&gt;="&amp;$AT17,Tracker[Money Discrepency],"&lt;"&amp;$AT18,Tracker[Bet Type Drill Down],BC$1),2)&gt;0.05,"X",IF(ROUND((SUMIFS(Tracker[Net],Tracker[Money Discrepency],"&gt;="&amp;$AT17,Tracker[Money Discrepency],"&lt;"&amp;$AT18,Tracker[Bet Type Drill Down],BC$1))/COUNTIFS(Tracker[Money Discrepency],"&gt;="&amp;$AT17,Tracker[Money Discrepency],"&lt;"&amp;$AT18,Tracker[Bet Type Drill Down],BC$1),2)&lt;-0.15,"O","")),"")</f>
        <v/>
      </c>
      <c r="BD17" s="24" t="str">
        <f>IFERROR(IF(ROUND((SUMIFS(Tracker[Net],Tracker[Money Discrepency],"&gt;="&amp;$AT17,Tracker[Money Discrepency],"&lt;"&amp;$AT18,Tracker[Bet Type Drill Down],BD$1))/COUNTIFS(Tracker[Money Discrepency],"&gt;="&amp;$AT17,Tracker[Money Discrepency],"&lt;"&amp;$AT18,Tracker[Bet Type Drill Down],BD$1),2)&gt;0.05,"X",IF(ROUND((SUMIFS(Tracker[Net],Tracker[Money Discrepency],"&gt;="&amp;$AT17,Tracker[Money Discrepency],"&lt;"&amp;$AT18,Tracker[Bet Type Drill Down],BD$1))/COUNTIFS(Tracker[Money Discrepency],"&gt;="&amp;$AT17,Tracker[Money Discrepency],"&lt;"&amp;$AT18,Tracker[Bet Type Drill Down],BD$1),2)&lt;-0.15,"O","")),"")</f>
        <v/>
      </c>
      <c r="BE17" s="24" t="str">
        <f>IFERROR(IF(ROUND((SUMIFS(Tracker[Net],Tracker[Money Discrepency],"&gt;="&amp;$AT17,Tracker[Money Discrepency],"&lt;"&amp;$AT18,Tracker[Bet Type Drill Down],BE$1))/COUNTIFS(Tracker[Money Discrepency],"&gt;="&amp;$AT17,Tracker[Money Discrepency],"&lt;"&amp;$AT18,Tracker[Bet Type Drill Down],BE$1),2)&gt;0.05,"X",IF(ROUND((SUMIFS(Tracker[Net],Tracker[Money Discrepency],"&gt;="&amp;$AT17,Tracker[Money Discrepency],"&lt;"&amp;$AT18,Tracker[Bet Type Drill Down],BE$1))/COUNTIFS(Tracker[Money Discrepency],"&gt;="&amp;$AT17,Tracker[Money Discrepency],"&lt;"&amp;$AT18,Tracker[Bet Type Drill Down],BE$1),2)&lt;-0.15,"O","")),"")</f>
        <v>O</v>
      </c>
      <c r="BG17" s="153">
        <f t="shared" si="3"/>
        <v>0.75000000000000011</v>
      </c>
      <c r="BH17" s="154" t="str">
        <f t="shared" si="4"/>
        <v>75  to  80%</v>
      </c>
      <c r="BI17" t="str">
        <f>IFERROR(COUNTIFS(Tracker[Money %],"&gt;="&amp;BG17,Tracker[Money %],"&lt;"&amp;BG18,Tracker[Result],"W")&amp;"-"&amp;COUNTIFS(Tracker[Money %],"&gt;="&amp;BG17,Tracker[Money %],"&lt;"&amp;BG18,Tracker[Result],"L")&amp;"-"&amp;COUNTIFS(Tracker[Money %],"&gt;="&amp;BG17,Tracker[Money %],"&lt;"&amp;BG18,Tracker[Result],"Push")&amp;" ("&amp;ROUND(COUNTIFS(Tracker[Money %],"&gt;="&amp;BG17,Tracker[Money %],"&lt;"&amp;BG18,Tracker[Result],"W")/(COUNTIFS(Tracker[Money %],"&gt;="&amp;BG17,Tracker[Money %],"&lt;"&amp;BG18,Tracker[Result],"L")+COUNTIFS(Tracker[Money %],"&gt;="&amp;BG17,Tracker[Money %],"&lt;"&amp;BG18,Tracker[Result],"W"))*100,2)&amp;"%)","No Bets")</f>
        <v>4-5-0 (44.44%)</v>
      </c>
      <c r="BJ17">
        <f>SUMIFS(Tracker[Net],Tracker[Money %],"&gt;="&amp;BG17,Tracker[Money %],"&lt;"&amp;BG18)</f>
        <v>-1.3636363636363633</v>
      </c>
      <c r="BK17" s="24" t="str">
        <f>IFERROR(IF(ROUND((SUMIFS(Tracker[Net],Tracker[Money %],"&gt;="&amp;$BG17,Tracker[Money %],"&lt;"&amp;$BG18,Tracker[Bet Type],BK$1))/COUNTIFS(Tracker[Money %],"&gt;="&amp;$BG17,Tracker[Money %],"&lt;"&amp;$BG18,Tracker[Bet Type],BK$1),2)&gt;0.05,"X",IF(ROUND((SUMIFS(Tracker[Net],Tracker[Money %],"&gt;="&amp;$BG17,Tracker[Money %],"&lt;"&amp;$BG18,Tracker[Bet Type],BK$1))/COUNTIFS(Tracker[Money %],"&gt;="&amp;$BG17,Tracker[Money %],"&lt;"&amp;$BG18,Tracker[Bet Type],BK$1),2)&lt;-0.15,"O","")),"")</f>
        <v>X</v>
      </c>
      <c r="BL17" s="24" t="str">
        <f>IFERROR(IF(ROUND((SUMIFS(Tracker[Net],Tracker[Money %],"&gt;="&amp;$BG17,Tracker[Money %],"&lt;"&amp;$BG18,Tracker[Bet Type],BL$1))/COUNTIFS(Tracker[Money %],"&gt;="&amp;$BG17,Tracker[Money %],"&lt;"&amp;$BG18,Tracker[Bet Type],BL$1),2)&gt;0.05,"X",IF(ROUND((SUMIFS(Tracker[Net],Tracker[Money %],"&gt;="&amp;$BG17,Tracker[Money %],"&lt;"&amp;$BG18,Tracker[Bet Type],BL$1))/COUNTIFS(Tracker[Money %],"&gt;="&amp;$BG17,Tracker[Money %],"&lt;"&amp;$BG18,Tracker[Bet Type],BL$1),2)&lt;-0.15,"O","")),"")</f>
        <v/>
      </c>
      <c r="BM17" s="24" t="str">
        <f>IFERROR(IF(ROUND((SUMIFS(Tracker[Net],Tracker[Money %],"&gt;="&amp;$BG17,Tracker[Money %],"&lt;"&amp;$BG18,Tracker[Bet Type],BM$1))/COUNTIFS(Tracker[Money %],"&gt;="&amp;$BG17,Tracker[Money %],"&lt;"&amp;$BG18,Tracker[Bet Type],BM$1),2)&gt;0.05,"X",IF(ROUND((SUMIFS(Tracker[Net],Tracker[Money %],"&gt;="&amp;$BG17,Tracker[Money %],"&lt;"&amp;$BG18,Tracker[Bet Type],BM$1))/COUNTIFS(Tracker[Money %],"&gt;="&amp;$BG17,Tracker[Money %],"&lt;"&amp;$BG18,Tracker[Bet Type],BM$1),2)&lt;-0.15,"O","")),"")</f>
        <v>O</v>
      </c>
      <c r="BN17" s="24" t="str">
        <f>IFERROR(IF(ROUND((SUMIFS(Tracker[Net],Tracker[Money %],"&gt;="&amp;$BG17,Tracker[Money %],"&lt;"&amp;$BG18,Tracker[Bet Type],BN$1))/COUNTIFS(Tracker[Money %],"&gt;="&amp;$BG17,Tracker[Money %],"&lt;"&amp;$BG18,Tracker[Bet Type],BN$1),2)&gt;0.05,"X",IF(ROUND((SUMIFS(Tracker[Net],Tracker[Money %],"&gt;="&amp;$BG17,Tracker[Money %],"&lt;"&amp;$BG18,Tracker[Bet Type],BN$1))/COUNTIFS(Tracker[Money %],"&gt;="&amp;$BG17,Tracker[Money %],"&lt;"&amp;$BG18,Tracker[Bet Type],BN$1),2)&lt;-0.15,"O","")),"")</f>
        <v/>
      </c>
      <c r="BO17" s="24" t="str">
        <f>IFERROR(IF(ROUND((SUMIFS(Tracker[Net],Tracker[Money %],"&gt;="&amp;$BG17,Tracker[Money %],"&lt;"&amp;$BG18,Tracker[Bet Type Drill Down],BO$1))/COUNTIFS(Tracker[Money %],"&gt;="&amp;$BG17,Tracker[Money %],"&lt;"&amp;$BG18,Tracker[Bet Type Drill Down],BO$1),2)&gt;0.05,"X",IF(ROUND((SUMIFS(Tracker[Net],Tracker[Money %],"&gt;="&amp;$BG17,Tracker[Money %],"&lt;"&amp;$BG18,Tracker[Bet Type Drill Down],BO$1))/COUNTIFS(Tracker[Money %],"&gt;="&amp;$BG17,Tracker[Money %],"&lt;"&amp;$BG18,Tracker[Bet Type Drill Down],BO$1),2)&lt;-0.15,"O","")),"")</f>
        <v/>
      </c>
      <c r="BP17" s="24" t="str">
        <f>IFERROR(IF(ROUND((SUMIFS(Tracker[Net],Tracker[Money %],"&gt;="&amp;$BG17,Tracker[Money %],"&lt;"&amp;$BG18,Tracker[Bet Type Drill Down],BP$1))/COUNTIFS(Tracker[Money %],"&gt;="&amp;$BG17,Tracker[Money %],"&lt;"&amp;$BG18,Tracker[Bet Type Drill Down],BP$1),2)&gt;0.05,"X",IF(ROUND((SUMIFS(Tracker[Net],Tracker[Money %],"&gt;="&amp;$BG17,Tracker[Money %],"&lt;"&amp;$BG18,Tracker[Bet Type Drill Down],BP$1))/COUNTIFS(Tracker[Money %],"&gt;="&amp;$BG17,Tracker[Money %],"&lt;"&amp;$BG18,Tracker[Bet Type Drill Down],BP$1),2)&lt;-0.15,"O","")),"")</f>
        <v/>
      </c>
      <c r="BQ17" s="24" t="str">
        <f>IFERROR(IF(ROUND((SUMIFS(Tracker[Net],Tracker[Money %],"&gt;="&amp;$BG17,Tracker[Money %],"&lt;"&amp;$BG18,Tracker[Bet Type Drill Down],BQ$1))/COUNTIFS(Tracker[Money %],"&gt;="&amp;$BG17,Tracker[Money %],"&lt;"&amp;$BG18,Tracker[Bet Type Drill Down],BQ$1),2)&gt;0.05,"X",IF(ROUND((SUMIFS(Tracker[Net],Tracker[Money %],"&gt;="&amp;$BG17,Tracker[Money %],"&lt;"&amp;$BG18,Tracker[Bet Type Drill Down],BQ$1))/COUNTIFS(Tracker[Money %],"&gt;="&amp;$BG17,Tracker[Money %],"&lt;"&amp;$BG18,Tracker[Bet Type Drill Down],BQ$1),2)&lt;-0.15,"O","")),"")</f>
        <v>O</v>
      </c>
      <c r="BR17" s="24" t="str">
        <f>IFERROR(IF(ROUND((SUMIFS(Tracker[Net],Tracker[Money %],"&gt;="&amp;$BG17,Tracker[Money %],"&lt;"&amp;$BG18,Tracker[Bet Type Drill Down],BR$1))/COUNTIFS(Tracker[Money %],"&gt;="&amp;$BG17,Tracker[Money %],"&lt;"&amp;$BG18,Tracker[Bet Type Drill Down],BR$1),2)&gt;0.05,"X",IF(ROUND((SUMIFS(Tracker[Net],Tracker[Money %],"&gt;="&amp;$BG17,Tracker[Money %],"&lt;"&amp;$BG18,Tracker[Bet Type Drill Down],BR$1))/COUNTIFS(Tracker[Money %],"&gt;="&amp;$BG17,Tracker[Money %],"&lt;"&amp;$BG18,Tracker[Bet Type Drill Down],BR$1),2)&lt;-0.15,"O","")),"")</f>
        <v>O</v>
      </c>
      <c r="BT17" s="153">
        <f t="shared" si="5"/>
        <v>0.75000000000000011</v>
      </c>
      <c r="BU17" s="154" t="str">
        <f t="shared" ref="BU17" si="23">ROUND(BT17*100,0)&amp;"  to  "&amp;ROUND(BT18*100,0)&amp;"%"</f>
        <v>75  to  80%</v>
      </c>
      <c r="BV17" t="str">
        <f>IFERROR(COUNTIFS(Tracker[Bet %],"&gt;="&amp;BT17,Tracker[Bet %],"&lt;"&amp;BT18,Tracker[Result],"W")&amp;"-"&amp;COUNTIFS(Tracker[Bet %],"&gt;="&amp;BT17,Tracker[Bet %],"&lt;"&amp;BT18,Tracker[Result],"L")&amp;"-"&amp;COUNTIFS(Tracker[Bet %],"&gt;="&amp;BT17,Tracker[Bet %],"&lt;"&amp;BT18,Tracker[Result],"Push")&amp;" ("&amp;ROUND(COUNTIFS(Tracker[Bet %],"&gt;="&amp;BT17,Tracker[Bet %],"&lt;"&amp;BT18,Tracker[Result],"W")/(COUNTIFS(Tracker[Bet %],"&gt;="&amp;BT17,Tracker[Bet %],"&lt;"&amp;BT18,Tracker[Result],"L")+COUNTIFS(Tracker[Bet %],"&gt;="&amp;BT17,Tracker[Bet %],"&lt;"&amp;BT18,Tracker[Result],"W"))*100,2)&amp;"%)","No Bets")</f>
        <v>7-5-1 (58.33%)</v>
      </c>
      <c r="BW17">
        <f>SUMIFS(Tracker[Net],Tracker[Bet %],"&gt;="&amp;BT17,Tracker[Bet %],"&lt;"&amp;BT18)</f>
        <v>1.3636363636363638</v>
      </c>
      <c r="BX17" s="24" t="str">
        <f>IFERROR(IF(ROUND((SUMIFS(Tracker[Net],Tracker[Bet %],"&gt;="&amp;$BG17,Tracker[Bet %],"&lt;"&amp;$BG18,Tracker[Bet Type],BX$1))/COUNTIFS(Tracker[Bet %],"&gt;="&amp;$BG17,Tracker[Bet %],"&lt;"&amp;$BG18,Tracker[Bet Type],BX$1),2)&gt;0.05,"X",IF(ROUND((SUMIFS(Tracker[Net],Tracker[Bet %],"&gt;="&amp;$BG17,Tracker[Bet %],"&lt;"&amp;$BG18,Tracker[Bet Type],BX$1))/COUNTIFS(Tracker[Bet %],"&gt;="&amp;$BG17,Tracker[Bet %],"&lt;"&amp;$BG18,Tracker[Bet Type],BX$1),2)&lt;-0.15,"O","")),"")</f>
        <v>X</v>
      </c>
      <c r="BY17" s="24" t="str">
        <f>IFERROR(IF(ROUND((SUMIFS(Tracker[Net],Tracker[Bet %],"&gt;="&amp;$BG17,Tracker[Bet %],"&lt;"&amp;$BG18,Tracker[Bet Type],BY$1))/COUNTIFS(Tracker[Bet %],"&gt;="&amp;$BG17,Tracker[Bet %],"&lt;"&amp;$BG18,Tracker[Bet Type],BY$1),2)&gt;0.05,"X",IF(ROUND((SUMIFS(Tracker[Net],Tracker[Bet %],"&gt;="&amp;$BG17,Tracker[Bet %],"&lt;"&amp;$BG18,Tracker[Bet Type],BY$1))/COUNTIFS(Tracker[Bet %],"&gt;="&amp;$BG17,Tracker[Bet %],"&lt;"&amp;$BG18,Tracker[Bet Type],BY$1),2)&lt;-0.15,"O","")),"")</f>
        <v/>
      </c>
      <c r="BZ17" s="24" t="str">
        <f>IFERROR(IF(ROUND((SUMIFS(Tracker[Net],Tracker[Bet %],"&gt;="&amp;$BG17,Tracker[Bet %],"&lt;"&amp;$BG18,Tracker[Bet Type],BZ$1))/COUNTIFS(Tracker[Bet %],"&gt;="&amp;$BG17,Tracker[Bet %],"&lt;"&amp;$BG18,Tracker[Bet Type],BZ$1),2)&gt;0.05,"X",IF(ROUND((SUMIFS(Tracker[Net],Tracker[Bet %],"&gt;="&amp;$BG17,Tracker[Bet %],"&lt;"&amp;$BG18,Tracker[Bet Type],BZ$1))/COUNTIFS(Tracker[Bet %],"&gt;="&amp;$BG17,Tracker[Bet %],"&lt;"&amp;$BG18,Tracker[Bet Type],BZ$1),2)&lt;-0.15,"O","")),"")</f>
        <v/>
      </c>
      <c r="CA17" s="24" t="str">
        <f>IFERROR(IF(ROUND((SUMIFS(Tracker[Net],Tracker[Bet %],"&gt;="&amp;$BG17,Tracker[Bet %],"&lt;"&amp;$BG18,Tracker[Bet Type],CA$1))/COUNTIFS(Tracker[Bet %],"&gt;="&amp;$BG17,Tracker[Bet %],"&lt;"&amp;$BG18,Tracker[Bet Type],CA$1),2)&gt;0.05,"X",IF(ROUND((SUMIFS(Tracker[Net],Tracker[Bet %],"&gt;="&amp;$BG17,Tracker[Bet %],"&lt;"&amp;$BG18,Tracker[Bet Type],CA$1))/COUNTIFS(Tracker[Bet %],"&gt;="&amp;$BG17,Tracker[Bet %],"&lt;"&amp;$BG18,Tracker[Bet Type],CA$1),2)&lt;-0.15,"O","")),"")</f>
        <v>X</v>
      </c>
      <c r="CB17" s="24" t="str">
        <f>IFERROR(IF(ROUND((SUMIFS(Tracker[Net],Tracker[Bet %],"&gt;="&amp;$BG17,Tracker[Bet %],"&lt;"&amp;$BG18,Tracker[Bet Type Drill Down],CB$1))/COUNTIFS(Tracker[Bet %],"&gt;="&amp;$BG17,Tracker[Bet %],"&lt;"&amp;$BG18,Tracker[Bet Type Drill Down],CB$1),2)&gt;0.05,"X",IF(ROUND((SUMIFS(Tracker[Net],Tracker[Bet %],"&gt;="&amp;$BG17,Tracker[Bet %],"&lt;"&amp;$BG18,Tracker[Bet Type Drill Down],CB$1))/COUNTIFS(Tracker[Bet %],"&gt;="&amp;$BG17,Tracker[Bet %],"&lt;"&amp;$BG18,Tracker[Bet Type Drill Down],CB$1),2)&lt;-0.15,"O","")),"")</f>
        <v>X</v>
      </c>
      <c r="CC17" s="24" t="str">
        <f>IFERROR(IF(ROUND((SUMIFS(Tracker[Net],Tracker[Bet %],"&gt;="&amp;$BG17,Tracker[Bet %],"&lt;"&amp;$BG18,Tracker[Bet Type Drill Down],CC$1))/COUNTIFS(Tracker[Bet %],"&gt;="&amp;$BG17,Tracker[Bet %],"&lt;"&amp;$BG18,Tracker[Bet Type Drill Down],CC$1),2)&gt;0.05,"X",IF(ROUND((SUMIFS(Tracker[Net],Tracker[Bet %],"&gt;="&amp;$BG17,Tracker[Bet %],"&lt;"&amp;$BG18,Tracker[Bet Type Drill Down],CC$1))/COUNTIFS(Tracker[Bet %],"&gt;="&amp;$BG17,Tracker[Bet %],"&lt;"&amp;$BG18,Tracker[Bet Type Drill Down],CC$1),2)&lt;-0.15,"O","")),"")</f>
        <v/>
      </c>
      <c r="CD17" s="24" t="str">
        <f>IFERROR(IF(ROUND((SUMIFS(Tracker[Net],Tracker[Bet %],"&gt;="&amp;$BG17,Tracker[Bet %],"&lt;"&amp;$BG18,Tracker[Bet Type Drill Down],CD$1))/COUNTIFS(Tracker[Bet %],"&gt;="&amp;$BG17,Tracker[Bet %],"&lt;"&amp;$BG18,Tracker[Bet Type Drill Down],CD$1),2)&gt;0.05,"X",IF(ROUND((SUMIFS(Tracker[Net],Tracker[Bet %],"&gt;="&amp;$BG17,Tracker[Bet %],"&lt;"&amp;$BG18,Tracker[Bet Type Drill Down],CD$1))/COUNTIFS(Tracker[Bet %],"&gt;="&amp;$BG17,Tracker[Bet %],"&lt;"&amp;$BG18,Tracker[Bet Type Drill Down],CD$1),2)&lt;-0.15,"O","")),"")</f>
        <v/>
      </c>
      <c r="CE17" s="24" t="str">
        <f>IFERROR(IF(ROUND((SUMIFS(Tracker[Net],Tracker[Bet %],"&gt;="&amp;$BG17,Tracker[Bet %],"&lt;"&amp;$BG18,Tracker[Bet Type Drill Down],CE$1))/COUNTIFS(Tracker[Bet %],"&gt;="&amp;$BG17,Tracker[Bet %],"&lt;"&amp;$BG18,Tracker[Bet Type Drill Down],CE$1),2)&gt;0.05,"X",IF(ROUND((SUMIFS(Tracker[Net],Tracker[Bet %],"&gt;="&amp;$BG17,Tracker[Bet %],"&lt;"&amp;$BG18,Tracker[Bet Type Drill Down],CE$1))/COUNTIFS(Tracker[Bet %],"&gt;="&amp;$BG17,Tracker[Bet %],"&lt;"&amp;$BG18,Tracker[Bet Type Drill Down],CE$1),2)&lt;-0.15,"O","")),"")</f>
        <v/>
      </c>
    </row>
    <row r="18" spans="1:83" x14ac:dyDescent="0.25">
      <c r="A18" s="36">
        <f t="shared" si="9"/>
        <v>1</v>
      </c>
      <c r="B18" s="25">
        <v>43796</v>
      </c>
      <c r="C18" s="25" t="str">
        <f t="shared" si="7"/>
        <v>NBA</v>
      </c>
      <c r="D18" s="26" t="s">
        <v>795</v>
      </c>
      <c r="E18" s="27" t="s">
        <v>796</v>
      </c>
      <c r="F18" s="67">
        <v>0.60895858890326193</v>
      </c>
      <c r="G18" s="29">
        <v>-110</v>
      </c>
      <c r="H18" s="30" t="s">
        <v>57</v>
      </c>
      <c r="I18" s="44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8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18" s="32" t="str">
        <f>MID(Tracker[[#This Row],[Game]],SEARCH("@",Tracker[[#This Row],[Game]])+2,LEN(Tracker[[#This Row],[Game]]))</f>
        <v>Trail Blazers</v>
      </c>
      <c r="L18" s="32" t="str">
        <f>LEFT(Tracker[[#This Row],[Game]],SEARCH("@",Tracker[[#This Row],[Game]])-2)</f>
        <v>Thunder</v>
      </c>
      <c r="M1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18" s="123"/>
      <c r="O18" s="147"/>
      <c r="P18" s="147"/>
      <c r="Q18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8" s="147" t="e">
        <f>IF(AND(Tracker[[#This Row],[Money %]]&lt;&gt;"",Tracker[[#This Row],[Bet %]]&lt;&gt;""),Tracker[[#This Row],[Money %]]-Tracker[[#This Row],[Bet %]],NA())</f>
        <v>#N/A</v>
      </c>
      <c r="S18" s="109"/>
      <c r="T18" s="109"/>
      <c r="U18" s="56">
        <f>IFERROR(INDEX($A$4:$B10014,MATCH(ROW()-3,$A$4:$A$4:$A1014,0),2),0)</f>
        <v>43837</v>
      </c>
      <c r="V18" s="33" t="str">
        <f>COUNTIFS(Tracker[Date],U18,Tracker[Result],"W")&amp;"-"&amp;COUNTIFS(Tracker[Date],U18,Tracker[Result],"L")&amp;IF(COUNTIFS(Tracker[Date],U18,Tracker[Result],"Push")&gt;0,"-"&amp;COUNTIFS(Tracker[Date],U18,Tracker[Result],"Push"),"")</f>
        <v>6-4</v>
      </c>
      <c r="W18" s="34">
        <f>IFERROR(COUNTIFS(Tracker[Date],U18,Tracker[Result],"W")/(COUNTIFS(Tracker[Date],U18,Tracker[Result],"W")+COUNTIFS(Tracker[Date],U18,Tracker[Result],"L")),"")</f>
        <v>0.6</v>
      </c>
      <c r="X18" s="61">
        <f>SUMIF(Tracker[Date],U18,Tracker[Net])</f>
        <v>1.4545454545454546</v>
      </c>
      <c r="Y18" s="35" t="str">
        <f>IFERROR("("&amp;ROUND(SUMIF(Tracker[Date],U18,Tracker[Net])/COUNTIF(Tracker[Date],U18),2)*100&amp;"%)","")</f>
        <v>(15%)</v>
      </c>
      <c r="AA18" s="37" t="s">
        <v>258</v>
      </c>
      <c r="AB18" s="63">
        <f>SUM(Tracker[Net])</f>
        <v>-11.699090909090961</v>
      </c>
      <c r="AF18" s="36">
        <f t="shared" si="11"/>
        <v>0.75000000000000011</v>
      </c>
      <c r="AG18" s="66" t="str">
        <f t="shared" si="0"/>
        <v>75-80%</v>
      </c>
      <c r="AH18" s="124" t="str">
        <f>IFERROR(COUNTIFS(Tracker[Cover %],"&gt;="&amp;AF18,Tracker[Cover %],"&lt;"&amp;AF19,Tracker[Result],"W")&amp;"-"&amp;COUNTIFS(Tracker[Cover %],"&gt;="&amp;AF18,Tracker[Cover %],"&lt;"&amp;AF19,Tracker[Result],"L")&amp;"-"&amp;COUNTIFS(Tracker[Cover %],"&gt;="&amp;AF18,Tracker[Cover %],"&lt;"&amp;AF19,Tracker[Result],"Push")&amp;" ("&amp;ROUND(COUNTIFS(Tracker[Cover %],"&gt;="&amp;AF18,Tracker[Cover %],"&lt;"&amp;AF19,Tracker[Result],"W")/(COUNTIFS(Tracker[Cover %],"&gt;="&amp;AF18,Tracker[Cover %],"&lt;"&amp;AF19,Tracker[Result],"L")+COUNTIFS(Tracker[Cover %],"&gt;="&amp;AF18,Tracker[Cover %],"&lt;"&amp;AF19,Tracker[Result],"W"))*100,2)&amp;"%)","No Bets")</f>
        <v>1-0-0 (100%)</v>
      </c>
      <c r="AI18" s="72">
        <f>SUMIFS(Tracker[Net],Tracker[Cover %],"&gt;="&amp;AF18,Tracker[Cover %],"&lt;"&amp;AF19)</f>
        <v>0.90909090909090906</v>
      </c>
      <c r="AJ18" s="24" t="str">
        <f>IFERROR(IF(ROUND((SUMIFS(Tracker[Net],Tracker[Cover %],"&gt;="&amp;$AF18,Tracker[Cover %],"&lt;"&amp;$AF19,Tracker[Bet Type],AJ$2))/COUNTIFS(Tracker[Cover %],"&gt;="&amp;$AF18,Tracker[Cover %],"&lt;"&amp;$AF19,Tracker[Bet Type],AJ$2),2)&gt;0.05,"X",IF(ROUND((SUMIFS(Tracker[Net],Tracker[Cover %],"&gt;="&amp;$AF18,Tracker[Cover %],"&lt;"&amp;$AF19,Tracker[Bet Type],AJ$2))/COUNTIFS(Tracker[Cover %],"&gt;="&amp;$AF18,Tracker[Cover %],"&lt;"&amp;$AF19,Tracker[Bet Type],AJ$2),2)&lt;-0.15,"O","")),"")</f>
        <v/>
      </c>
      <c r="AK18" s="24" t="str">
        <f>IFERROR(IF(ROUND((SUMIFS(Tracker[Net],Tracker[Cover %],"&gt;="&amp;$AF18,Tracker[Cover %],"&lt;"&amp;$AF19,Tracker[Bet Type],AK$2))/COUNTIFS(Tracker[Cover %],"&gt;="&amp;$AF18,Tracker[Cover %],"&lt;"&amp;$AF19,Tracker[Bet Type],AK$2),2)&gt;0.05,"X",IF(ROUND((SUMIFS(Tracker[Net],Tracker[Cover %],"&gt;="&amp;$AF18,Tracker[Cover %],"&lt;"&amp;$AF19,Tracker[Bet Type],AK$2))/COUNTIFS(Tracker[Cover %],"&gt;="&amp;$AF18,Tracker[Cover %],"&lt;"&amp;$AF19,Tracker[Bet Type],AK$2),2)&lt;-0.15,"O","")),"")</f>
        <v/>
      </c>
      <c r="AL18" s="24" t="str">
        <f>IFERROR(IF(ROUND((SUMIFS(Tracker[Net],Tracker[Cover %],"&gt;="&amp;$AF18,Tracker[Cover %],"&lt;"&amp;$AF19,Tracker[Bet Type],AL$2))/COUNTIFS(Tracker[Cover %],"&gt;="&amp;$AF18,Tracker[Cover %],"&lt;"&amp;$AF19,Tracker[Bet Type],AL$2),2)&gt;0.05,"X",IF(ROUND((SUMIFS(Tracker[Net],Tracker[Cover %],"&gt;="&amp;$AF18,Tracker[Cover %],"&lt;"&amp;$AF19,Tracker[Bet Type],AL$2))/COUNTIFS(Tracker[Cover %],"&gt;="&amp;$AF18,Tracker[Cover %],"&lt;"&amp;$AF19,Tracker[Bet Type],AL$2),2)&lt;-0.15,"O","")),"")</f>
        <v>X</v>
      </c>
      <c r="AM18" s="24" t="str">
        <f>IFERROR(IF(ROUND((SUMIFS(Tracker[Net],Tracker[Cover %],"&gt;="&amp;$AF18,Tracker[Cover %],"&lt;"&amp;$AF19,Tracker[Bet Type],AM$2))/COUNTIFS(Tracker[Cover %],"&gt;="&amp;$AF18,Tracker[Cover %],"&lt;"&amp;$AF19,Tracker[Bet Type],AM$2),2)&gt;0.05,"X",IF(ROUND((SUMIFS(Tracker[Net],Tracker[Cover %],"&gt;="&amp;$AF18,Tracker[Cover %],"&lt;"&amp;$AF19,Tracker[Bet Type],AM$2))/COUNTIFS(Tracker[Cover %],"&gt;="&amp;$AF18,Tracker[Cover %],"&lt;"&amp;$AF19,Tracker[Bet Type],AM$2),2)&lt;-0.15,"O","")),"")</f>
        <v/>
      </c>
      <c r="AN18" s="24" t="str">
        <f>IFERROR(IF(ROUND((SUMIFS(Tracker[Net],Tracker[Cover %],"&gt;="&amp;$AF18,Tracker[Cover %],"&lt;"&amp;$AF19,Tracker[Bet Type Drill Down],AN$2))/COUNTIFS(Tracker[Cover %],"&gt;="&amp;$AF18,Tracker[Cover %],"&lt;"&amp;$AF19,Tracker[Bet Type Drill Down],AN$2),2)&gt;0.05,"X",IF(ROUND((SUMIFS(Tracker[Net],Tracker[Cover %],"&gt;="&amp;$AF18,Tracker[Cover %],"&lt;"&amp;$AF19,Tracker[Bet Type Drill Down],AN$2))/COUNTIFS(Tracker[Cover %],"&gt;="&amp;$AF18,Tracker[Cover %],"&lt;"&amp;$AF19,Tracker[Bet Type Drill Down],AN$2),2)&lt;-0.15,"O","")),"")</f>
        <v/>
      </c>
      <c r="AO18" s="24" t="str">
        <f>IFERROR(IF(ROUND((SUMIFS(Tracker[Net],Tracker[Cover %],"&gt;="&amp;$AF18,Tracker[Cover %],"&lt;"&amp;$AF19,Tracker[Bet Type Drill Down],AO$2))/COUNTIFS(Tracker[Cover %],"&gt;="&amp;$AF18,Tracker[Cover %],"&lt;"&amp;$AF19,Tracker[Bet Type Drill Down],AO$2),2)&gt;0.05,"X",IF(ROUND((SUMIFS(Tracker[Net],Tracker[Cover %],"&gt;="&amp;$AF18,Tracker[Cover %],"&lt;"&amp;$AF19,Tracker[Bet Type Drill Down],AO$2))/COUNTIFS(Tracker[Cover %],"&gt;="&amp;$AF18,Tracker[Cover %],"&lt;"&amp;$AF19,Tracker[Bet Type Drill Down],AO$2),2)&lt;-0.15,"O","")),"")</f>
        <v/>
      </c>
      <c r="AP18" s="24" t="str">
        <f>IFERROR(IF(ROUND((SUMIFS(Tracker[Net],Tracker[Cover %],"&gt;="&amp;$AF18,Tracker[Cover %],"&lt;"&amp;$AF19,Tracker[Bet Type Drill Down],AP$2))/COUNTIFS(Tracker[Cover %],"&gt;="&amp;$AF18,Tracker[Cover %],"&lt;"&amp;$AF19,Tracker[Bet Type Drill Down],AP$2),2)&gt;0.05,"X",IF(ROUND((SUMIFS(Tracker[Net],Tracker[Cover %],"&gt;="&amp;$AF18,Tracker[Cover %],"&lt;"&amp;$AF19,Tracker[Bet Type Drill Down],AP$2))/COUNTIFS(Tracker[Cover %],"&gt;="&amp;$AF18,Tracker[Cover %],"&lt;"&amp;$AF19,Tracker[Bet Type Drill Down],AP$2),2)&lt;-0.15,"O","")),"")</f>
        <v>X</v>
      </c>
      <c r="AQ18" s="24" t="str">
        <f>IFERROR(IF(ROUND((SUMIFS(Tracker[Net],Tracker[Cover %],"&gt;="&amp;$AF18,Tracker[Cover %],"&lt;"&amp;$AF19,Tracker[Bet Type Drill Down],AQ$2))/COUNTIFS(Tracker[Cover %],"&gt;="&amp;$AF18,Tracker[Cover %],"&lt;"&amp;$AF19,Tracker[Bet Type Drill Down],AQ$2),2)&gt;0.05,"X",IF(ROUND((SUMIFS(Tracker[Net],Tracker[Cover %],"&gt;="&amp;$AF18,Tracker[Cover %],"&lt;"&amp;$AF19,Tracker[Bet Type Drill Down],AQ$2))/COUNTIFS(Tracker[Cover %],"&gt;="&amp;$AF18,Tracker[Cover %],"&lt;"&amp;$AF19,Tracker[Bet Type Drill Down],AQ$2),2)&lt;-0.15,"O","")),"")</f>
        <v/>
      </c>
      <c r="AT18" s="153">
        <f t="shared" si="1"/>
        <v>-0.19999999999999968</v>
      </c>
      <c r="AU18" s="39" t="str">
        <f t="shared" si="2"/>
        <v>-20  to  -15%</v>
      </c>
      <c r="AV18" t="str">
        <f>IFERROR(COUNTIFS(Tracker[Money Discrepency],"&gt;="&amp;AT18,Tracker[Money Discrepency],"&lt;"&amp;AT19,Tracker[Result],"W")&amp;"-"&amp;COUNTIFS(Tracker[Money Discrepency],"&gt;="&amp;AT18,Tracker[Money Discrepency],"&lt;"&amp;AT19,Tracker[Result],"L")&amp;"-"&amp;COUNTIFS(Tracker[Money Discrepency],"&gt;="&amp;AT18,Tracker[Money Discrepency],"&lt;"&amp;AT19,Tracker[Result],"Push")&amp;" ("&amp;ROUND(COUNTIFS(Tracker[Money Discrepency],"&gt;="&amp;AT18,Tracker[Money Discrepency],"&lt;"&amp;AT19,Tracker[Result],"W")/(COUNTIFS(Tracker[Money Discrepency],"&gt;="&amp;AT18,Tracker[Money Discrepency],"&lt;"&amp;AT19,Tracker[Result],"L")+COUNTIFS(Tracker[Money Discrepency],"&gt;="&amp;AT18,Tracker[Money Discrepency],"&lt;"&amp;AT19,Tracker[Result],"W"))*100,2)&amp;"%)","No Bets")</f>
        <v>8-3-0 (72.73%)</v>
      </c>
      <c r="AW18">
        <f>SUMIFS(Tracker[Net],Tracker[Money Discrepency],"&gt;="&amp;AT18,Tracker[Money Discrepency],"&lt;"&amp;AT19)</f>
        <v>4.2727272727272725</v>
      </c>
      <c r="AX18" s="24" t="str">
        <f>IFERROR(IF(ROUND((SUMIFS(Tracker[Net],Tracker[Money Discrepency],"&gt;="&amp;$AT18,Tracker[Money Discrepency],"&lt;"&amp;$AT19,Tracker[Bet Type],AX$1))/COUNTIFS(Tracker[Money Discrepency],"&gt;="&amp;$AT18,Tracker[Money Discrepency],"&lt;"&amp;$AT19,Tracker[Bet Type],AX$1),2)&gt;0.05,"X",IF(ROUND((SUMIFS(Tracker[Net],Tracker[Money Discrepency],"&gt;="&amp;$AT18,Tracker[Money Discrepency],"&lt;"&amp;$AT19,Tracker[Bet Type],AX$1))/COUNTIFS(Tracker[Money Discrepency],"&gt;="&amp;$AT18,Tracker[Money Discrepency],"&lt;"&amp;$AT19,Tracker[Bet Type],AX$1),2)&lt;-0.15,"O","")),"")</f>
        <v/>
      </c>
      <c r="AY18" s="24" t="str">
        <f>IFERROR(IF(ROUND((SUMIFS(Tracker[Net],Tracker[Money Discrepency],"&gt;="&amp;$AT18,Tracker[Money Discrepency],"&lt;"&amp;$AT19,Tracker[Bet Type],AY$1))/COUNTIFS(Tracker[Money Discrepency],"&gt;="&amp;$AT18,Tracker[Money Discrepency],"&lt;"&amp;$AT19,Tracker[Bet Type],AY$1),2)&gt;0.05,"X",IF(ROUND((SUMIFS(Tracker[Net],Tracker[Money Discrepency],"&gt;="&amp;$AT18,Tracker[Money Discrepency],"&lt;"&amp;$AT19,Tracker[Bet Type],AY$1))/COUNTIFS(Tracker[Money Discrepency],"&gt;="&amp;$AT18,Tracker[Money Discrepency],"&lt;"&amp;$AT19,Tracker[Bet Type],AY$1),2)&lt;-0.15,"O","")),"")</f>
        <v>X</v>
      </c>
      <c r="AZ18" s="24" t="str">
        <f>IFERROR(IF(ROUND((SUMIFS(Tracker[Net],Tracker[Money Discrepency],"&gt;="&amp;$AT18,Tracker[Money Discrepency],"&lt;"&amp;$AT19,Tracker[Bet Type],AZ$1))/COUNTIFS(Tracker[Money Discrepency],"&gt;="&amp;$AT18,Tracker[Money Discrepency],"&lt;"&amp;$AT19,Tracker[Bet Type],AZ$1),2)&gt;0.05,"X",IF(ROUND((SUMIFS(Tracker[Net],Tracker[Money Discrepency],"&gt;="&amp;$AT18,Tracker[Money Discrepency],"&lt;"&amp;$AT19,Tracker[Bet Type],AZ$1))/COUNTIFS(Tracker[Money Discrepency],"&gt;="&amp;$AT18,Tracker[Money Discrepency],"&lt;"&amp;$AT19,Tracker[Bet Type],AZ$1),2)&lt;-0.15,"O","")),"")</f>
        <v>X</v>
      </c>
      <c r="BA18" s="24" t="str">
        <f>IFERROR(IF(ROUND((SUMIFS(Tracker[Net],Tracker[Money Discrepency],"&gt;="&amp;$AT18,Tracker[Money Discrepency],"&lt;"&amp;$AT19,Tracker[Bet Type],BA$1))/COUNTIFS(Tracker[Money Discrepency],"&gt;="&amp;$AT18,Tracker[Money Discrepency],"&lt;"&amp;$AT19,Tracker[Bet Type],BA$1),2)&gt;0.05,"X",IF(ROUND((SUMIFS(Tracker[Net],Tracker[Money Discrepency],"&gt;="&amp;$AT18,Tracker[Money Discrepency],"&lt;"&amp;$AT19,Tracker[Bet Type],BA$1))/COUNTIFS(Tracker[Money Discrepency],"&gt;="&amp;$AT18,Tracker[Money Discrepency],"&lt;"&amp;$AT19,Tracker[Bet Type],BA$1),2)&lt;-0.15,"O","")),"")</f>
        <v>X</v>
      </c>
      <c r="BB18" s="24" t="str">
        <f>IFERROR(IF(ROUND((SUMIFS(Tracker[Net],Tracker[Money Discrepency],"&gt;="&amp;$AT18,Tracker[Money Discrepency],"&lt;"&amp;$AT19,Tracker[Bet Type Drill Down],BB$1))/COUNTIFS(Tracker[Money Discrepency],"&gt;="&amp;$AT18,Tracker[Money Discrepency],"&lt;"&amp;$AT19,Tracker[Bet Type Drill Down],BB$1),2)&gt;0.05,"X",IF(ROUND((SUMIFS(Tracker[Net],Tracker[Money Discrepency],"&gt;="&amp;$AT18,Tracker[Money Discrepency],"&lt;"&amp;$AT19,Tracker[Bet Type Drill Down],BB$1))/COUNTIFS(Tracker[Money Discrepency],"&gt;="&amp;$AT18,Tracker[Money Discrepency],"&lt;"&amp;$AT19,Tracker[Bet Type Drill Down],BB$1),2)&lt;-0.15,"O","")),"")</f>
        <v>X</v>
      </c>
      <c r="BC18" s="24" t="str">
        <f>IFERROR(IF(ROUND((SUMIFS(Tracker[Net],Tracker[Money Discrepency],"&gt;="&amp;$AT18,Tracker[Money Discrepency],"&lt;"&amp;$AT19,Tracker[Bet Type Drill Down],BC$1))/COUNTIFS(Tracker[Money Discrepency],"&gt;="&amp;$AT18,Tracker[Money Discrepency],"&lt;"&amp;$AT19,Tracker[Bet Type Drill Down],BC$1),2)&gt;0.05,"X",IF(ROUND((SUMIFS(Tracker[Net],Tracker[Money Discrepency],"&gt;="&amp;$AT18,Tracker[Money Discrepency],"&lt;"&amp;$AT19,Tracker[Bet Type Drill Down],BC$1))/COUNTIFS(Tracker[Money Discrepency],"&gt;="&amp;$AT18,Tracker[Money Discrepency],"&lt;"&amp;$AT19,Tracker[Bet Type Drill Down],BC$1),2)&lt;-0.15,"O","")),"")</f>
        <v>O</v>
      </c>
      <c r="BD18" s="24" t="str">
        <f>IFERROR(IF(ROUND((SUMIFS(Tracker[Net],Tracker[Money Discrepency],"&gt;="&amp;$AT18,Tracker[Money Discrepency],"&lt;"&amp;$AT19,Tracker[Bet Type Drill Down],BD$1))/COUNTIFS(Tracker[Money Discrepency],"&gt;="&amp;$AT18,Tracker[Money Discrepency],"&lt;"&amp;$AT19,Tracker[Bet Type Drill Down],BD$1),2)&gt;0.05,"X",IF(ROUND((SUMIFS(Tracker[Net],Tracker[Money Discrepency],"&gt;="&amp;$AT18,Tracker[Money Discrepency],"&lt;"&amp;$AT19,Tracker[Bet Type Drill Down],BD$1))/COUNTIFS(Tracker[Money Discrepency],"&gt;="&amp;$AT18,Tracker[Money Discrepency],"&lt;"&amp;$AT19,Tracker[Bet Type Drill Down],BD$1),2)&lt;-0.15,"O","")),"")</f>
        <v>X</v>
      </c>
      <c r="BE18" s="24" t="str">
        <f>IFERROR(IF(ROUND((SUMIFS(Tracker[Net],Tracker[Money Discrepency],"&gt;="&amp;$AT18,Tracker[Money Discrepency],"&lt;"&amp;$AT19,Tracker[Bet Type Drill Down],BE$1))/COUNTIFS(Tracker[Money Discrepency],"&gt;="&amp;$AT18,Tracker[Money Discrepency],"&lt;"&amp;$AT19,Tracker[Bet Type Drill Down],BE$1),2)&gt;0.05,"X",IF(ROUND((SUMIFS(Tracker[Net],Tracker[Money Discrepency],"&gt;="&amp;$AT18,Tracker[Money Discrepency],"&lt;"&amp;$AT19,Tracker[Bet Type Drill Down],BE$1))/COUNTIFS(Tracker[Money Discrepency],"&gt;="&amp;$AT18,Tracker[Money Discrepency],"&lt;"&amp;$AT19,Tracker[Bet Type Drill Down],BE$1),2)&lt;-0.15,"O","")),"")</f>
        <v/>
      </c>
      <c r="BG18" s="153">
        <f t="shared" si="3"/>
        <v>0.80000000000000016</v>
      </c>
      <c r="BH18" s="154" t="str">
        <f t="shared" si="4"/>
        <v>80  to  85%</v>
      </c>
      <c r="BI18" t="str">
        <f>IFERROR(COUNTIFS(Tracker[Money %],"&gt;="&amp;BG18,Tracker[Money %],"&lt;"&amp;BG19,Tracker[Result],"W")&amp;"-"&amp;COUNTIFS(Tracker[Money %],"&gt;="&amp;BG18,Tracker[Money %],"&lt;"&amp;BG19,Tracker[Result],"L")&amp;"-"&amp;COUNTIFS(Tracker[Money %],"&gt;="&amp;BG18,Tracker[Money %],"&lt;"&amp;BG19,Tracker[Result],"Push")&amp;" ("&amp;ROUND(COUNTIFS(Tracker[Money %],"&gt;="&amp;BG18,Tracker[Money %],"&lt;"&amp;BG19,Tracker[Result],"W")/(COUNTIFS(Tracker[Money %],"&gt;="&amp;BG18,Tracker[Money %],"&lt;"&amp;BG19,Tracker[Result],"L")+COUNTIFS(Tracker[Money %],"&gt;="&amp;BG18,Tracker[Money %],"&lt;"&amp;BG19,Tracker[Result],"W"))*100,2)&amp;"%)","No Bets")</f>
        <v>6-1-0 (85.71%)</v>
      </c>
      <c r="BJ18">
        <f>SUMIFS(Tracker[Net],Tracker[Money %],"&gt;="&amp;BG18,Tracker[Money %],"&lt;"&amp;BG19)</f>
        <v>4.4545454545454541</v>
      </c>
      <c r="BK18" s="24" t="str">
        <f>IFERROR(IF(ROUND((SUMIFS(Tracker[Net],Tracker[Money %],"&gt;="&amp;$BG18,Tracker[Money %],"&lt;"&amp;$BG19,Tracker[Bet Type],BK$1))/COUNTIFS(Tracker[Money %],"&gt;="&amp;$BG18,Tracker[Money %],"&lt;"&amp;$BG19,Tracker[Bet Type],BK$1),2)&gt;0.05,"X",IF(ROUND((SUMIFS(Tracker[Net],Tracker[Money %],"&gt;="&amp;$BG18,Tracker[Money %],"&lt;"&amp;$BG19,Tracker[Bet Type],BK$1))/COUNTIFS(Tracker[Money %],"&gt;="&amp;$BG18,Tracker[Money %],"&lt;"&amp;$BG19,Tracker[Bet Type],BK$1),2)&lt;-0.15,"O","")),"")</f>
        <v>X</v>
      </c>
      <c r="BL18" s="24" t="str">
        <f>IFERROR(IF(ROUND((SUMIFS(Tracker[Net],Tracker[Money %],"&gt;="&amp;$BG18,Tracker[Money %],"&lt;"&amp;$BG19,Tracker[Bet Type],BL$1))/COUNTIFS(Tracker[Money %],"&gt;="&amp;$BG18,Tracker[Money %],"&lt;"&amp;$BG19,Tracker[Bet Type],BL$1),2)&gt;0.05,"X",IF(ROUND((SUMIFS(Tracker[Net],Tracker[Money %],"&gt;="&amp;$BG18,Tracker[Money %],"&lt;"&amp;$BG19,Tracker[Bet Type],BL$1))/COUNTIFS(Tracker[Money %],"&gt;="&amp;$BG18,Tracker[Money %],"&lt;"&amp;$BG19,Tracker[Bet Type],BL$1),2)&lt;-0.15,"O","")),"")</f>
        <v>X</v>
      </c>
      <c r="BM18" s="24" t="str">
        <f>IFERROR(IF(ROUND((SUMIFS(Tracker[Net],Tracker[Money %],"&gt;="&amp;$BG18,Tracker[Money %],"&lt;"&amp;$BG19,Tracker[Bet Type],BM$1))/COUNTIFS(Tracker[Money %],"&gt;="&amp;$BG18,Tracker[Money %],"&lt;"&amp;$BG19,Tracker[Bet Type],BM$1),2)&gt;0.05,"X",IF(ROUND((SUMIFS(Tracker[Net],Tracker[Money %],"&gt;="&amp;$BG18,Tracker[Money %],"&lt;"&amp;$BG19,Tracker[Bet Type],BM$1))/COUNTIFS(Tracker[Money %],"&gt;="&amp;$BG18,Tracker[Money %],"&lt;"&amp;$BG19,Tracker[Bet Type],BM$1),2)&lt;-0.15,"O","")),"")</f>
        <v>X</v>
      </c>
      <c r="BN18" s="24" t="str">
        <f>IFERROR(IF(ROUND((SUMIFS(Tracker[Net],Tracker[Money %],"&gt;="&amp;$BG18,Tracker[Money %],"&lt;"&amp;$BG19,Tracker[Bet Type],BN$1))/COUNTIFS(Tracker[Money %],"&gt;="&amp;$BG18,Tracker[Money %],"&lt;"&amp;$BG19,Tracker[Bet Type],BN$1),2)&gt;0.05,"X",IF(ROUND((SUMIFS(Tracker[Net],Tracker[Money %],"&gt;="&amp;$BG18,Tracker[Money %],"&lt;"&amp;$BG19,Tracker[Bet Type],BN$1))/COUNTIFS(Tracker[Money %],"&gt;="&amp;$BG18,Tracker[Money %],"&lt;"&amp;$BG19,Tracker[Bet Type],BN$1),2)&lt;-0.15,"O","")),"")</f>
        <v>X</v>
      </c>
      <c r="BO18" s="24" t="str">
        <f>IFERROR(IF(ROUND((SUMIFS(Tracker[Net],Tracker[Money %],"&gt;="&amp;$BG18,Tracker[Money %],"&lt;"&amp;$BG19,Tracker[Bet Type Drill Down],BO$1))/COUNTIFS(Tracker[Money %],"&gt;="&amp;$BG18,Tracker[Money %],"&lt;"&amp;$BG19,Tracker[Bet Type Drill Down],BO$1),2)&gt;0.05,"X",IF(ROUND((SUMIFS(Tracker[Net],Tracker[Money %],"&gt;="&amp;$BG18,Tracker[Money %],"&lt;"&amp;$BG19,Tracker[Bet Type Drill Down],BO$1))/COUNTIFS(Tracker[Money %],"&gt;="&amp;$BG18,Tracker[Money %],"&lt;"&amp;$BG19,Tracker[Bet Type Drill Down],BO$1),2)&lt;-0.15,"O","")),"")</f>
        <v>X</v>
      </c>
      <c r="BP18" s="24" t="str">
        <f>IFERROR(IF(ROUND((SUMIFS(Tracker[Net],Tracker[Money %],"&gt;="&amp;$BG18,Tracker[Money %],"&lt;"&amp;$BG19,Tracker[Bet Type Drill Down],BP$1))/COUNTIFS(Tracker[Money %],"&gt;="&amp;$BG18,Tracker[Money %],"&lt;"&amp;$BG19,Tracker[Bet Type Drill Down],BP$1),2)&gt;0.05,"X",IF(ROUND((SUMIFS(Tracker[Net],Tracker[Money %],"&gt;="&amp;$BG18,Tracker[Money %],"&lt;"&amp;$BG19,Tracker[Bet Type Drill Down],BP$1))/COUNTIFS(Tracker[Money %],"&gt;="&amp;$BG18,Tracker[Money %],"&lt;"&amp;$BG19,Tracker[Bet Type Drill Down],BP$1),2)&lt;-0.15,"O","")),"")</f>
        <v/>
      </c>
      <c r="BQ18" s="24" t="str">
        <f>IFERROR(IF(ROUND((SUMIFS(Tracker[Net],Tracker[Money %],"&gt;="&amp;$BG18,Tracker[Money %],"&lt;"&amp;$BG19,Tracker[Bet Type Drill Down],BQ$1))/COUNTIFS(Tracker[Money %],"&gt;="&amp;$BG18,Tracker[Money %],"&lt;"&amp;$BG19,Tracker[Bet Type Drill Down],BQ$1),2)&gt;0.05,"X",IF(ROUND((SUMIFS(Tracker[Net],Tracker[Money %],"&gt;="&amp;$BG18,Tracker[Money %],"&lt;"&amp;$BG19,Tracker[Bet Type Drill Down],BQ$1))/COUNTIFS(Tracker[Money %],"&gt;="&amp;$BG18,Tracker[Money %],"&lt;"&amp;$BG19,Tracker[Bet Type Drill Down],BQ$1),2)&lt;-0.15,"O","")),"")</f>
        <v>X</v>
      </c>
      <c r="BR18" s="24" t="str">
        <f>IFERROR(IF(ROUND((SUMIFS(Tracker[Net],Tracker[Money %],"&gt;="&amp;$BG18,Tracker[Money %],"&lt;"&amp;$BG19,Tracker[Bet Type Drill Down],BR$1))/COUNTIFS(Tracker[Money %],"&gt;="&amp;$BG18,Tracker[Money %],"&lt;"&amp;$BG19,Tracker[Bet Type Drill Down],BR$1),2)&gt;0.05,"X",IF(ROUND((SUMIFS(Tracker[Net],Tracker[Money %],"&gt;="&amp;$BG18,Tracker[Money %],"&lt;"&amp;$BG19,Tracker[Bet Type Drill Down],BR$1))/COUNTIFS(Tracker[Money %],"&gt;="&amp;$BG18,Tracker[Money %],"&lt;"&amp;$BG19,Tracker[Bet Type Drill Down],BR$1),2)&lt;-0.15,"O","")),"")</f>
        <v>O</v>
      </c>
      <c r="BT18" s="153">
        <f t="shared" si="5"/>
        <v>0.80000000000000016</v>
      </c>
      <c r="BU18" s="154" t="str">
        <f t="shared" ref="BU18" si="24">ROUND(BT18*100,0)&amp;"  to  "&amp;ROUND(BT19*100,0)&amp;"%"</f>
        <v>80  to  85%</v>
      </c>
      <c r="BV18" t="str">
        <f>IFERROR(COUNTIFS(Tracker[Bet %],"&gt;="&amp;BT18,Tracker[Bet %],"&lt;"&amp;BT19,Tracker[Result],"W")&amp;"-"&amp;COUNTIFS(Tracker[Bet %],"&gt;="&amp;BT18,Tracker[Bet %],"&lt;"&amp;BT19,Tracker[Result],"L")&amp;"-"&amp;COUNTIFS(Tracker[Bet %],"&gt;="&amp;BT18,Tracker[Bet %],"&lt;"&amp;BT19,Tracker[Result],"Push")&amp;" ("&amp;ROUND(COUNTIFS(Tracker[Bet %],"&gt;="&amp;BT18,Tracker[Bet %],"&lt;"&amp;BT19,Tracker[Result],"W")/(COUNTIFS(Tracker[Bet %],"&gt;="&amp;BT18,Tracker[Bet %],"&lt;"&amp;BT19,Tracker[Result],"L")+COUNTIFS(Tracker[Bet %],"&gt;="&amp;BT18,Tracker[Bet %],"&lt;"&amp;BT19,Tracker[Result],"W"))*100,2)&amp;"%)","No Bets")</f>
        <v>3-4-1 (42.86%)</v>
      </c>
      <c r="BW18">
        <f>SUMIFS(Tracker[Net],Tracker[Bet %],"&gt;="&amp;BT18,Tracker[Bet %],"&lt;"&amp;BT19)</f>
        <v>-1.2727272727272725</v>
      </c>
      <c r="BX18" s="24" t="str">
        <f>IFERROR(IF(ROUND((SUMIFS(Tracker[Net],Tracker[Bet %],"&gt;="&amp;$BG18,Tracker[Bet %],"&lt;"&amp;$BG19,Tracker[Bet Type],BX$1))/COUNTIFS(Tracker[Bet %],"&gt;="&amp;$BG18,Tracker[Bet %],"&lt;"&amp;$BG19,Tracker[Bet Type],BX$1),2)&gt;0.05,"X",IF(ROUND((SUMIFS(Tracker[Net],Tracker[Bet %],"&gt;="&amp;$BG18,Tracker[Bet %],"&lt;"&amp;$BG19,Tracker[Bet Type],BX$1))/COUNTIFS(Tracker[Bet %],"&gt;="&amp;$BG18,Tracker[Bet %],"&lt;"&amp;$BG19,Tracker[Bet Type],BX$1),2)&lt;-0.15,"O","")),"")</f>
        <v>X</v>
      </c>
      <c r="BY18" s="24" t="str">
        <f>IFERROR(IF(ROUND((SUMIFS(Tracker[Net],Tracker[Bet %],"&gt;="&amp;$BG18,Tracker[Bet %],"&lt;"&amp;$BG19,Tracker[Bet Type],BY$1))/COUNTIFS(Tracker[Bet %],"&gt;="&amp;$BG18,Tracker[Bet %],"&lt;"&amp;$BG19,Tracker[Bet Type],BY$1),2)&gt;0.05,"X",IF(ROUND((SUMIFS(Tracker[Net],Tracker[Bet %],"&gt;="&amp;$BG18,Tracker[Bet %],"&lt;"&amp;$BG19,Tracker[Bet Type],BY$1))/COUNTIFS(Tracker[Bet %],"&gt;="&amp;$BG18,Tracker[Bet %],"&lt;"&amp;$BG19,Tracker[Bet Type],BY$1),2)&lt;-0.15,"O","")),"")</f>
        <v>O</v>
      </c>
      <c r="BZ18" s="24" t="str">
        <f>IFERROR(IF(ROUND((SUMIFS(Tracker[Net],Tracker[Bet %],"&gt;="&amp;$BG18,Tracker[Bet %],"&lt;"&amp;$BG19,Tracker[Bet Type],BZ$1))/COUNTIFS(Tracker[Bet %],"&gt;="&amp;$BG18,Tracker[Bet %],"&lt;"&amp;$BG19,Tracker[Bet Type],BZ$1),2)&gt;0.05,"X",IF(ROUND((SUMIFS(Tracker[Net],Tracker[Bet %],"&gt;="&amp;$BG18,Tracker[Bet %],"&lt;"&amp;$BG19,Tracker[Bet Type],BZ$1))/COUNTIFS(Tracker[Bet %],"&gt;="&amp;$BG18,Tracker[Bet %],"&lt;"&amp;$BG19,Tracker[Bet Type],BZ$1),2)&lt;-0.15,"O","")),"")</f>
        <v>O</v>
      </c>
      <c r="CA18" s="24" t="str">
        <f>IFERROR(IF(ROUND((SUMIFS(Tracker[Net],Tracker[Bet %],"&gt;="&amp;$BG18,Tracker[Bet %],"&lt;"&amp;$BG19,Tracker[Bet Type],CA$1))/COUNTIFS(Tracker[Bet %],"&gt;="&amp;$BG18,Tracker[Bet %],"&lt;"&amp;$BG19,Tracker[Bet Type],CA$1),2)&gt;0.05,"X",IF(ROUND((SUMIFS(Tracker[Net],Tracker[Bet %],"&gt;="&amp;$BG18,Tracker[Bet %],"&lt;"&amp;$BG19,Tracker[Bet Type],CA$1))/COUNTIFS(Tracker[Bet %],"&gt;="&amp;$BG18,Tracker[Bet %],"&lt;"&amp;$BG19,Tracker[Bet Type],CA$1),2)&lt;-0.15,"O","")),"")</f>
        <v/>
      </c>
      <c r="CB18" s="24" t="str">
        <f>IFERROR(IF(ROUND((SUMIFS(Tracker[Net],Tracker[Bet %],"&gt;="&amp;$BG18,Tracker[Bet %],"&lt;"&amp;$BG19,Tracker[Bet Type Drill Down],CB$1))/COUNTIFS(Tracker[Bet %],"&gt;="&amp;$BG18,Tracker[Bet %],"&lt;"&amp;$BG19,Tracker[Bet Type Drill Down],CB$1),2)&gt;0.05,"X",IF(ROUND((SUMIFS(Tracker[Net],Tracker[Bet %],"&gt;="&amp;$BG18,Tracker[Bet %],"&lt;"&amp;$BG19,Tracker[Bet Type Drill Down],CB$1))/COUNTIFS(Tracker[Bet %],"&gt;="&amp;$BG18,Tracker[Bet %],"&lt;"&amp;$BG19,Tracker[Bet Type Drill Down],CB$1),2)&lt;-0.15,"O","")),"")</f>
        <v/>
      </c>
      <c r="CC18" s="24" t="str">
        <f>IFERROR(IF(ROUND((SUMIFS(Tracker[Net],Tracker[Bet %],"&gt;="&amp;$BG18,Tracker[Bet %],"&lt;"&amp;$BG19,Tracker[Bet Type Drill Down],CC$1))/COUNTIFS(Tracker[Bet %],"&gt;="&amp;$BG18,Tracker[Bet %],"&lt;"&amp;$BG19,Tracker[Bet Type Drill Down],CC$1),2)&gt;0.05,"X",IF(ROUND((SUMIFS(Tracker[Net],Tracker[Bet %],"&gt;="&amp;$BG18,Tracker[Bet %],"&lt;"&amp;$BG19,Tracker[Bet Type Drill Down],CC$1))/COUNTIFS(Tracker[Bet %],"&gt;="&amp;$BG18,Tracker[Bet %],"&lt;"&amp;$BG19,Tracker[Bet Type Drill Down],CC$1),2)&lt;-0.15,"O","")),"")</f>
        <v/>
      </c>
      <c r="CD18" s="24" t="str">
        <f>IFERROR(IF(ROUND((SUMIFS(Tracker[Net],Tracker[Bet %],"&gt;="&amp;$BG18,Tracker[Bet %],"&lt;"&amp;$BG19,Tracker[Bet Type Drill Down],CD$1))/COUNTIFS(Tracker[Bet %],"&gt;="&amp;$BG18,Tracker[Bet %],"&lt;"&amp;$BG19,Tracker[Bet Type Drill Down],CD$1),2)&gt;0.05,"X",IF(ROUND((SUMIFS(Tracker[Net],Tracker[Bet %],"&gt;="&amp;$BG18,Tracker[Bet %],"&lt;"&amp;$BG19,Tracker[Bet Type Drill Down],CD$1))/COUNTIFS(Tracker[Bet %],"&gt;="&amp;$BG18,Tracker[Bet %],"&lt;"&amp;$BG19,Tracker[Bet Type Drill Down],CD$1),2)&lt;-0.15,"O","")),"")</f>
        <v/>
      </c>
      <c r="CE18" s="24" t="str">
        <f>IFERROR(IF(ROUND((SUMIFS(Tracker[Net],Tracker[Bet %],"&gt;="&amp;$BG18,Tracker[Bet %],"&lt;"&amp;$BG19,Tracker[Bet Type Drill Down],CE$1))/COUNTIFS(Tracker[Bet %],"&gt;="&amp;$BG18,Tracker[Bet %],"&lt;"&amp;$BG19,Tracker[Bet Type Drill Down],CE$1),2)&gt;0.05,"X",IF(ROUND((SUMIFS(Tracker[Net],Tracker[Bet %],"&gt;="&amp;$BG18,Tracker[Bet %],"&lt;"&amp;$BG19,Tracker[Bet Type Drill Down],CE$1))/COUNTIFS(Tracker[Bet %],"&gt;="&amp;$BG18,Tracker[Bet %],"&lt;"&amp;$BG19,Tracker[Bet Type Drill Down],CE$1),2)&lt;-0.15,"O","")),"")</f>
        <v>O</v>
      </c>
    </row>
    <row r="19" spans="1:83" x14ac:dyDescent="0.25">
      <c r="A19" s="36">
        <f t="shared" si="9"/>
        <v>1</v>
      </c>
      <c r="B19" s="25">
        <v>43796</v>
      </c>
      <c r="C19" s="25" t="str">
        <f t="shared" si="7"/>
        <v>NBA</v>
      </c>
      <c r="D19" s="26" t="s">
        <v>797</v>
      </c>
      <c r="E19" s="27" t="s">
        <v>263</v>
      </c>
      <c r="F19" s="67">
        <v>0.55041306233265264</v>
      </c>
      <c r="G19" s="29">
        <v>-110</v>
      </c>
      <c r="H19" s="30" t="s">
        <v>57</v>
      </c>
      <c r="I19" s="44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9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19" s="32" t="str">
        <f>MID(Tracker[[#This Row],[Game]],SEARCH("@",Tracker[[#This Row],[Game]])+2,LEN(Tracker[[#This Row],[Game]]))</f>
        <v>Warriors</v>
      </c>
      <c r="L19" s="32" t="str">
        <f>LEFT(Tracker[[#This Row],[Game]],SEARCH("@",Tracker[[#This Row],[Game]])-2)</f>
        <v>Bulls</v>
      </c>
      <c r="M1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19" s="123"/>
      <c r="O19" s="147"/>
      <c r="P19" s="147"/>
      <c r="Q19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9" s="147" t="e">
        <f>IF(AND(Tracker[[#This Row],[Money %]]&lt;&gt;"",Tracker[[#This Row],[Bet %]]&lt;&gt;""),Tracker[[#This Row],[Money %]]-Tracker[[#This Row],[Bet %]],NA())</f>
        <v>#N/A</v>
      </c>
      <c r="S19" s="109"/>
      <c r="T19" s="109"/>
      <c r="U19" s="56">
        <f>IFERROR(INDEX($A$4:$B10015,MATCH(ROW()-3,$A$4:$A$4:$A1015,0),2),0)</f>
        <v>43838</v>
      </c>
      <c r="V19" s="33" t="str">
        <f>COUNTIFS(Tracker[Date],U19,Tracker[Result],"W")&amp;"-"&amp;COUNTIFS(Tracker[Date],U19,Tracker[Result],"L")&amp;IF(COUNTIFS(Tracker[Date],U19,Tracker[Result],"Push")&gt;0,"-"&amp;COUNTIFS(Tracker[Date],U19,Tracker[Result],"Push"),"")</f>
        <v>2-9-1</v>
      </c>
      <c r="W19" s="34">
        <f>IFERROR(COUNTIFS(Tracker[Date],U19,Tracker[Result],"W")/(COUNTIFS(Tracker[Date],U19,Tracker[Result],"W")+COUNTIFS(Tracker[Date],U19,Tracker[Result],"L")),"")</f>
        <v>0.18181818181818182</v>
      </c>
      <c r="X19" s="61">
        <f>SUMIF(Tracker[Date],U19,Tracker[Net])</f>
        <v>-7.1818181818181817</v>
      </c>
      <c r="Y19" s="35" t="str">
        <f>IFERROR("("&amp;ROUND(SUMIF(Tracker[Date],U19,Tracker[Net])/COUNTIF(Tracker[Date],U19),2)*100&amp;"%)","")</f>
        <v>(-60%)</v>
      </c>
      <c r="AA19" s="37" t="s">
        <v>259</v>
      </c>
      <c r="AB19" s="41">
        <f ca="1">AB18/AB17</f>
        <v>-3.3746095490315722E-2</v>
      </c>
      <c r="AF19" s="36">
        <f t="shared" si="11"/>
        <v>0.80000000000000016</v>
      </c>
      <c r="AG19" s="66" t="str">
        <f t="shared" si="0"/>
        <v>80-85%</v>
      </c>
      <c r="AH19" s="124" t="str">
        <f>IFERROR(COUNTIFS(Tracker[Cover %],"&gt;="&amp;AF19,Tracker[Cover %],"&lt;"&amp;AF20,Tracker[Result],"W")&amp;"-"&amp;COUNTIFS(Tracker[Cover %],"&gt;="&amp;AF19,Tracker[Cover %],"&lt;"&amp;AF20,Tracker[Result],"L")&amp;"-"&amp;COUNTIFS(Tracker[Cover %],"&gt;="&amp;AF19,Tracker[Cover %],"&lt;"&amp;AF20,Tracker[Result],"Push")&amp;" ("&amp;ROUND(COUNTIFS(Tracker[Cover %],"&gt;="&amp;AF19,Tracker[Cover %],"&lt;"&amp;AF20,Tracker[Result],"W")/(COUNTIFS(Tracker[Cover %],"&gt;="&amp;AF19,Tracker[Cover %],"&lt;"&amp;AF20,Tracker[Result],"L")+COUNTIFS(Tracker[Cover %],"&gt;="&amp;AF19,Tracker[Cover %],"&lt;"&amp;AF20,Tracker[Result],"W"))*100,2)&amp;"%)","No Bets")</f>
        <v>0-1-0 (0%)</v>
      </c>
      <c r="AI19" s="72">
        <f>SUMIFS(Tracker[Net],Tracker[Cover %],"&gt;="&amp;AF19,Tracker[Cover %],"&lt;"&amp;AF20)</f>
        <v>-1</v>
      </c>
      <c r="AJ19" s="24" t="str">
        <f>IFERROR(IF(ROUND((SUMIFS(Tracker[Net],Tracker[Cover %],"&gt;="&amp;$AF19,Tracker[Cover %],"&lt;"&amp;$AF20,Tracker[Bet Type],AJ$2))/COUNTIFS(Tracker[Cover %],"&gt;="&amp;$AF19,Tracker[Cover %],"&lt;"&amp;$AF20,Tracker[Bet Type],AJ$2),2)&gt;0.05,"X",IF(ROUND((SUMIFS(Tracker[Net],Tracker[Cover %],"&gt;="&amp;$AF19,Tracker[Cover %],"&lt;"&amp;$AF20,Tracker[Bet Type],AJ$2))/COUNTIFS(Tracker[Cover %],"&gt;="&amp;$AF19,Tracker[Cover %],"&lt;"&amp;$AF20,Tracker[Bet Type],AJ$2),2)&lt;-0.15,"O","")),"")</f>
        <v/>
      </c>
      <c r="AK19" s="24" t="str">
        <f>IFERROR(IF(ROUND((SUMIFS(Tracker[Net],Tracker[Cover %],"&gt;="&amp;$AF19,Tracker[Cover %],"&lt;"&amp;$AF20,Tracker[Bet Type],AK$2))/COUNTIFS(Tracker[Cover %],"&gt;="&amp;$AF19,Tracker[Cover %],"&lt;"&amp;$AF20,Tracker[Bet Type],AK$2),2)&gt;0.05,"X",IF(ROUND((SUMIFS(Tracker[Net],Tracker[Cover %],"&gt;="&amp;$AF19,Tracker[Cover %],"&lt;"&amp;$AF20,Tracker[Bet Type],AK$2))/COUNTIFS(Tracker[Cover %],"&gt;="&amp;$AF19,Tracker[Cover %],"&lt;"&amp;$AF20,Tracker[Bet Type],AK$2),2)&lt;-0.15,"O","")),"")</f>
        <v/>
      </c>
      <c r="AL19" s="24" t="str">
        <f>IFERROR(IF(ROUND((SUMIFS(Tracker[Net],Tracker[Cover %],"&gt;="&amp;$AF19,Tracker[Cover %],"&lt;"&amp;$AF20,Tracker[Bet Type],AL$2))/COUNTIFS(Tracker[Cover %],"&gt;="&amp;$AF19,Tracker[Cover %],"&lt;"&amp;$AF20,Tracker[Bet Type],AL$2),2)&gt;0.05,"X",IF(ROUND((SUMIFS(Tracker[Net],Tracker[Cover %],"&gt;="&amp;$AF19,Tracker[Cover %],"&lt;"&amp;$AF20,Tracker[Bet Type],AL$2))/COUNTIFS(Tracker[Cover %],"&gt;="&amp;$AF19,Tracker[Cover %],"&lt;"&amp;$AF20,Tracker[Bet Type],AL$2),2)&lt;-0.15,"O","")),"")</f>
        <v>O</v>
      </c>
      <c r="AM19" s="24" t="str">
        <f>IFERROR(IF(ROUND((SUMIFS(Tracker[Net],Tracker[Cover %],"&gt;="&amp;$AF19,Tracker[Cover %],"&lt;"&amp;$AF20,Tracker[Bet Type],AM$2))/COUNTIFS(Tracker[Cover %],"&gt;="&amp;$AF19,Tracker[Cover %],"&lt;"&amp;$AF20,Tracker[Bet Type],AM$2),2)&gt;0.05,"X",IF(ROUND((SUMIFS(Tracker[Net],Tracker[Cover %],"&gt;="&amp;$AF19,Tracker[Cover %],"&lt;"&amp;$AF20,Tracker[Bet Type],AM$2))/COUNTIFS(Tracker[Cover %],"&gt;="&amp;$AF19,Tracker[Cover %],"&lt;"&amp;$AF20,Tracker[Bet Type],AM$2),2)&lt;-0.15,"O","")),"")</f>
        <v/>
      </c>
      <c r="AN19" s="24" t="str">
        <f>IFERROR(IF(ROUND((SUMIFS(Tracker[Net],Tracker[Cover %],"&gt;="&amp;$AF19,Tracker[Cover %],"&lt;"&amp;$AF20,Tracker[Bet Type Drill Down],AN$2))/COUNTIFS(Tracker[Cover %],"&gt;="&amp;$AF19,Tracker[Cover %],"&lt;"&amp;$AF20,Tracker[Bet Type Drill Down],AN$2),2)&gt;0.05,"X",IF(ROUND((SUMIFS(Tracker[Net],Tracker[Cover %],"&gt;="&amp;$AF19,Tracker[Cover %],"&lt;"&amp;$AF20,Tracker[Bet Type Drill Down],AN$2))/COUNTIFS(Tracker[Cover %],"&gt;="&amp;$AF19,Tracker[Cover %],"&lt;"&amp;$AF20,Tracker[Bet Type Drill Down],AN$2),2)&lt;-0.15,"O","")),"")</f>
        <v/>
      </c>
      <c r="AO19" s="24" t="str">
        <f>IFERROR(IF(ROUND((SUMIFS(Tracker[Net],Tracker[Cover %],"&gt;="&amp;$AF19,Tracker[Cover %],"&lt;"&amp;$AF20,Tracker[Bet Type Drill Down],AO$2))/COUNTIFS(Tracker[Cover %],"&gt;="&amp;$AF19,Tracker[Cover %],"&lt;"&amp;$AF20,Tracker[Bet Type Drill Down],AO$2),2)&gt;0.05,"X",IF(ROUND((SUMIFS(Tracker[Net],Tracker[Cover %],"&gt;="&amp;$AF19,Tracker[Cover %],"&lt;"&amp;$AF20,Tracker[Bet Type Drill Down],AO$2))/COUNTIFS(Tracker[Cover %],"&gt;="&amp;$AF19,Tracker[Cover %],"&lt;"&amp;$AF20,Tracker[Bet Type Drill Down],AO$2),2)&lt;-0.15,"O","")),"")</f>
        <v/>
      </c>
      <c r="AP19" s="24" t="str">
        <f>IFERROR(IF(ROUND((SUMIFS(Tracker[Net],Tracker[Cover %],"&gt;="&amp;$AF19,Tracker[Cover %],"&lt;"&amp;$AF20,Tracker[Bet Type Drill Down],AP$2))/COUNTIFS(Tracker[Cover %],"&gt;="&amp;$AF19,Tracker[Cover %],"&lt;"&amp;$AF20,Tracker[Bet Type Drill Down],AP$2),2)&gt;0.05,"X",IF(ROUND((SUMIFS(Tracker[Net],Tracker[Cover %],"&gt;="&amp;$AF19,Tracker[Cover %],"&lt;"&amp;$AF20,Tracker[Bet Type Drill Down],AP$2))/COUNTIFS(Tracker[Cover %],"&gt;="&amp;$AF19,Tracker[Cover %],"&lt;"&amp;$AF20,Tracker[Bet Type Drill Down],AP$2),2)&lt;-0.15,"O","")),"")</f>
        <v>O</v>
      </c>
      <c r="AQ19" s="24" t="str">
        <f>IFERROR(IF(ROUND((SUMIFS(Tracker[Net],Tracker[Cover %],"&gt;="&amp;$AF19,Tracker[Cover %],"&lt;"&amp;$AF20,Tracker[Bet Type Drill Down],AQ$2))/COUNTIFS(Tracker[Cover %],"&gt;="&amp;$AF19,Tracker[Cover %],"&lt;"&amp;$AF20,Tracker[Bet Type Drill Down],AQ$2),2)&gt;0.05,"X",IF(ROUND((SUMIFS(Tracker[Net],Tracker[Cover %],"&gt;="&amp;$AF19,Tracker[Cover %],"&lt;"&amp;$AF20,Tracker[Bet Type Drill Down],AQ$2))/COUNTIFS(Tracker[Cover %],"&gt;="&amp;$AF19,Tracker[Cover %],"&lt;"&amp;$AF20,Tracker[Bet Type Drill Down],AQ$2),2)&lt;-0.15,"O","")),"")</f>
        <v/>
      </c>
      <c r="AT19" s="153">
        <f t="shared" si="1"/>
        <v>-0.14999999999999969</v>
      </c>
      <c r="AU19" s="39" t="str">
        <f t="shared" si="2"/>
        <v>-15  to  -10%</v>
      </c>
      <c r="AV19" t="str">
        <f>IFERROR(COUNTIFS(Tracker[Money Discrepency],"&gt;="&amp;AT19,Tracker[Money Discrepency],"&lt;"&amp;AT20,Tracker[Result],"W")&amp;"-"&amp;COUNTIFS(Tracker[Money Discrepency],"&gt;="&amp;AT19,Tracker[Money Discrepency],"&lt;"&amp;AT20,Tracker[Result],"L")&amp;"-"&amp;COUNTIFS(Tracker[Money Discrepency],"&gt;="&amp;AT19,Tracker[Money Discrepency],"&lt;"&amp;AT20,Tracker[Result],"Push")&amp;" ("&amp;ROUND(COUNTIFS(Tracker[Money Discrepency],"&gt;="&amp;AT19,Tracker[Money Discrepency],"&lt;"&amp;AT20,Tracker[Result],"W")/(COUNTIFS(Tracker[Money Discrepency],"&gt;="&amp;AT19,Tracker[Money Discrepency],"&lt;"&amp;AT20,Tracker[Result],"L")+COUNTIFS(Tracker[Money Discrepency],"&gt;="&amp;AT19,Tracker[Money Discrepency],"&lt;"&amp;AT20,Tracker[Result],"W"))*100,2)&amp;"%)","No Bets")</f>
        <v>11-8-0 (57.89%)</v>
      </c>
      <c r="AW19">
        <f>SUMIFS(Tracker[Net],Tracker[Money Discrepency],"&gt;="&amp;AT19,Tracker[Money Discrepency],"&lt;"&amp;AT20)</f>
        <v>1.9999999999999996</v>
      </c>
      <c r="AX19" s="24" t="str">
        <f>IFERROR(IF(ROUND((SUMIFS(Tracker[Net],Tracker[Money Discrepency],"&gt;="&amp;$AT19,Tracker[Money Discrepency],"&lt;"&amp;$AT20,Tracker[Bet Type],AX$1))/COUNTIFS(Tracker[Money Discrepency],"&gt;="&amp;$AT19,Tracker[Money Discrepency],"&lt;"&amp;$AT20,Tracker[Bet Type],AX$1),2)&gt;0.05,"X",IF(ROUND((SUMIFS(Tracker[Net],Tracker[Money Discrepency],"&gt;="&amp;$AT19,Tracker[Money Discrepency],"&lt;"&amp;$AT20,Tracker[Bet Type],AX$1))/COUNTIFS(Tracker[Money Discrepency],"&gt;="&amp;$AT19,Tracker[Money Discrepency],"&lt;"&amp;$AT20,Tracker[Bet Type],AX$1),2)&lt;-0.15,"O","")),"")</f>
        <v>X</v>
      </c>
      <c r="AY19" s="24" t="str">
        <f>IFERROR(IF(ROUND((SUMIFS(Tracker[Net],Tracker[Money Discrepency],"&gt;="&amp;$AT19,Tracker[Money Discrepency],"&lt;"&amp;$AT20,Tracker[Bet Type],AY$1))/COUNTIFS(Tracker[Money Discrepency],"&gt;="&amp;$AT19,Tracker[Money Discrepency],"&lt;"&amp;$AT20,Tracker[Bet Type],AY$1),2)&gt;0.05,"X",IF(ROUND((SUMIFS(Tracker[Net],Tracker[Money Discrepency],"&gt;="&amp;$AT19,Tracker[Money Discrepency],"&lt;"&amp;$AT20,Tracker[Bet Type],AY$1))/COUNTIFS(Tracker[Money Discrepency],"&gt;="&amp;$AT19,Tracker[Money Discrepency],"&lt;"&amp;$AT20,Tracker[Bet Type],AY$1),2)&lt;-0.15,"O","")),"")</f>
        <v>O</v>
      </c>
      <c r="AZ19" s="24" t="str">
        <f>IFERROR(IF(ROUND((SUMIFS(Tracker[Net],Tracker[Money Discrepency],"&gt;="&amp;$AT19,Tracker[Money Discrepency],"&lt;"&amp;$AT20,Tracker[Bet Type],AZ$1))/COUNTIFS(Tracker[Money Discrepency],"&gt;="&amp;$AT19,Tracker[Money Discrepency],"&lt;"&amp;$AT20,Tracker[Bet Type],AZ$1),2)&gt;0.05,"X",IF(ROUND((SUMIFS(Tracker[Net],Tracker[Money Discrepency],"&gt;="&amp;$AT19,Tracker[Money Discrepency],"&lt;"&amp;$AT20,Tracker[Bet Type],AZ$1))/COUNTIFS(Tracker[Money Discrepency],"&gt;="&amp;$AT19,Tracker[Money Discrepency],"&lt;"&amp;$AT20,Tracker[Bet Type],AZ$1),2)&lt;-0.15,"O","")),"")</f>
        <v>X</v>
      </c>
      <c r="BA19" s="24" t="str">
        <f>IFERROR(IF(ROUND((SUMIFS(Tracker[Net],Tracker[Money Discrepency],"&gt;="&amp;$AT19,Tracker[Money Discrepency],"&lt;"&amp;$AT20,Tracker[Bet Type],BA$1))/COUNTIFS(Tracker[Money Discrepency],"&gt;="&amp;$AT19,Tracker[Money Discrepency],"&lt;"&amp;$AT20,Tracker[Bet Type],BA$1),2)&gt;0.05,"X",IF(ROUND((SUMIFS(Tracker[Net],Tracker[Money Discrepency],"&gt;="&amp;$AT19,Tracker[Money Discrepency],"&lt;"&amp;$AT20,Tracker[Bet Type],BA$1))/COUNTIFS(Tracker[Money Discrepency],"&gt;="&amp;$AT19,Tracker[Money Discrepency],"&lt;"&amp;$AT20,Tracker[Bet Type],BA$1),2)&lt;-0.15,"O","")),"")</f>
        <v>X</v>
      </c>
      <c r="BB19" s="24" t="str">
        <f>IFERROR(IF(ROUND((SUMIFS(Tracker[Net],Tracker[Money Discrepency],"&gt;="&amp;$AT19,Tracker[Money Discrepency],"&lt;"&amp;$AT20,Tracker[Bet Type Drill Down],BB$1))/COUNTIFS(Tracker[Money Discrepency],"&gt;="&amp;$AT19,Tracker[Money Discrepency],"&lt;"&amp;$AT20,Tracker[Bet Type Drill Down],BB$1),2)&gt;0.05,"X",IF(ROUND((SUMIFS(Tracker[Net],Tracker[Money Discrepency],"&gt;="&amp;$AT19,Tracker[Money Discrepency],"&lt;"&amp;$AT20,Tracker[Bet Type Drill Down],BB$1))/COUNTIFS(Tracker[Money Discrepency],"&gt;="&amp;$AT19,Tracker[Money Discrepency],"&lt;"&amp;$AT20,Tracker[Bet Type Drill Down],BB$1),2)&lt;-0.15,"O","")),"")</f>
        <v/>
      </c>
      <c r="BC19" s="24" t="str">
        <f>IFERROR(IF(ROUND((SUMIFS(Tracker[Net],Tracker[Money Discrepency],"&gt;="&amp;$AT19,Tracker[Money Discrepency],"&lt;"&amp;$AT20,Tracker[Bet Type Drill Down],BC$1))/COUNTIFS(Tracker[Money Discrepency],"&gt;="&amp;$AT19,Tracker[Money Discrepency],"&lt;"&amp;$AT20,Tracker[Bet Type Drill Down],BC$1),2)&gt;0.05,"X",IF(ROUND((SUMIFS(Tracker[Net],Tracker[Money Discrepency],"&gt;="&amp;$AT19,Tracker[Money Discrepency],"&lt;"&amp;$AT20,Tracker[Bet Type Drill Down],BC$1))/COUNTIFS(Tracker[Money Discrepency],"&gt;="&amp;$AT19,Tracker[Money Discrepency],"&lt;"&amp;$AT20,Tracker[Bet Type Drill Down],BC$1),2)&lt;-0.15,"O","")),"")</f>
        <v>X</v>
      </c>
      <c r="BD19" s="24" t="str">
        <f>IFERROR(IF(ROUND((SUMIFS(Tracker[Net],Tracker[Money Discrepency],"&gt;="&amp;$AT19,Tracker[Money Discrepency],"&lt;"&amp;$AT20,Tracker[Bet Type Drill Down],BD$1))/COUNTIFS(Tracker[Money Discrepency],"&gt;="&amp;$AT19,Tracker[Money Discrepency],"&lt;"&amp;$AT20,Tracker[Bet Type Drill Down],BD$1),2)&gt;0.05,"X",IF(ROUND((SUMIFS(Tracker[Net],Tracker[Money Discrepency],"&gt;="&amp;$AT19,Tracker[Money Discrepency],"&lt;"&amp;$AT20,Tracker[Bet Type Drill Down],BD$1))/COUNTIFS(Tracker[Money Discrepency],"&gt;="&amp;$AT19,Tracker[Money Discrepency],"&lt;"&amp;$AT20,Tracker[Bet Type Drill Down],BD$1),2)&lt;-0.15,"O","")),"")</f>
        <v>X</v>
      </c>
      <c r="BE19" s="24" t="str">
        <f>IFERROR(IF(ROUND((SUMIFS(Tracker[Net],Tracker[Money Discrepency],"&gt;="&amp;$AT19,Tracker[Money Discrepency],"&lt;"&amp;$AT20,Tracker[Bet Type Drill Down],BE$1))/COUNTIFS(Tracker[Money Discrepency],"&gt;="&amp;$AT19,Tracker[Money Discrepency],"&lt;"&amp;$AT20,Tracker[Bet Type Drill Down],BE$1),2)&gt;0.05,"X",IF(ROUND((SUMIFS(Tracker[Net],Tracker[Money Discrepency],"&gt;="&amp;$AT19,Tracker[Money Discrepency],"&lt;"&amp;$AT20,Tracker[Bet Type Drill Down],BE$1))/COUNTIFS(Tracker[Money Discrepency],"&gt;="&amp;$AT19,Tracker[Money Discrepency],"&lt;"&amp;$AT20,Tracker[Bet Type Drill Down],BE$1),2)&lt;-0.15,"O","")),"")</f>
        <v>X</v>
      </c>
      <c r="BG19" s="153">
        <f t="shared" si="3"/>
        <v>0.8500000000000002</v>
      </c>
      <c r="BH19" s="154" t="str">
        <f t="shared" si="4"/>
        <v>85  to  90%</v>
      </c>
      <c r="BI19" t="str">
        <f>IFERROR(COUNTIFS(Tracker[Money %],"&gt;="&amp;BG19,Tracker[Money %],"&lt;"&amp;BG20,Tracker[Result],"W")&amp;"-"&amp;COUNTIFS(Tracker[Money %],"&gt;="&amp;BG19,Tracker[Money %],"&lt;"&amp;BG20,Tracker[Result],"L")&amp;"-"&amp;COUNTIFS(Tracker[Money %],"&gt;="&amp;BG19,Tracker[Money %],"&lt;"&amp;BG20,Tracker[Result],"Push")&amp;" ("&amp;ROUND(COUNTIFS(Tracker[Money %],"&gt;="&amp;BG19,Tracker[Money %],"&lt;"&amp;BG20,Tracker[Result],"W")/(COUNTIFS(Tracker[Money %],"&gt;="&amp;BG19,Tracker[Money %],"&lt;"&amp;BG20,Tracker[Result],"L")+COUNTIFS(Tracker[Money %],"&gt;="&amp;BG19,Tracker[Money %],"&lt;"&amp;BG20,Tracker[Result],"W"))*100,2)&amp;"%)","No Bets")</f>
        <v>3-10-4 (23.08%)</v>
      </c>
      <c r="BJ19">
        <f>SUMIFS(Tracker[Net],Tracker[Money %],"&gt;="&amp;BG19,Tracker[Money %],"&lt;"&amp;BG20)</f>
        <v>-7.2727272727272725</v>
      </c>
      <c r="BK19" s="24" t="str">
        <f>IFERROR(IF(ROUND((SUMIFS(Tracker[Net],Tracker[Money %],"&gt;="&amp;$BG19,Tracker[Money %],"&lt;"&amp;$BG20,Tracker[Bet Type],BK$1))/COUNTIFS(Tracker[Money %],"&gt;="&amp;$BG19,Tracker[Money %],"&lt;"&amp;$BG20,Tracker[Bet Type],BK$1),2)&gt;0.05,"X",IF(ROUND((SUMIFS(Tracker[Net],Tracker[Money %],"&gt;="&amp;$BG19,Tracker[Money %],"&lt;"&amp;$BG20,Tracker[Bet Type],BK$1))/COUNTIFS(Tracker[Money %],"&gt;="&amp;$BG19,Tracker[Money %],"&lt;"&amp;$BG20,Tracker[Bet Type],BK$1),2)&lt;-0.15,"O","")),"")</f>
        <v/>
      </c>
      <c r="BL19" s="24" t="str">
        <f>IFERROR(IF(ROUND((SUMIFS(Tracker[Net],Tracker[Money %],"&gt;="&amp;$BG19,Tracker[Money %],"&lt;"&amp;$BG20,Tracker[Bet Type],BL$1))/COUNTIFS(Tracker[Money %],"&gt;="&amp;$BG19,Tracker[Money %],"&lt;"&amp;$BG20,Tracker[Bet Type],BL$1),2)&gt;0.05,"X",IF(ROUND((SUMIFS(Tracker[Net],Tracker[Money %],"&gt;="&amp;$BG19,Tracker[Money %],"&lt;"&amp;$BG20,Tracker[Bet Type],BL$1))/COUNTIFS(Tracker[Money %],"&gt;="&amp;$BG19,Tracker[Money %],"&lt;"&amp;$BG20,Tracker[Bet Type],BL$1),2)&lt;-0.15,"O","")),"")</f>
        <v>O</v>
      </c>
      <c r="BM19" s="24" t="str">
        <f>IFERROR(IF(ROUND((SUMIFS(Tracker[Net],Tracker[Money %],"&gt;="&amp;$BG19,Tracker[Money %],"&lt;"&amp;$BG20,Tracker[Bet Type],BM$1))/COUNTIFS(Tracker[Money %],"&gt;="&amp;$BG19,Tracker[Money %],"&lt;"&amp;$BG20,Tracker[Bet Type],BM$1),2)&gt;0.05,"X",IF(ROUND((SUMIFS(Tracker[Net],Tracker[Money %],"&gt;="&amp;$BG19,Tracker[Money %],"&lt;"&amp;$BG20,Tracker[Bet Type],BM$1))/COUNTIFS(Tracker[Money %],"&gt;="&amp;$BG19,Tracker[Money %],"&lt;"&amp;$BG20,Tracker[Bet Type],BM$1),2)&lt;-0.15,"O","")),"")</f>
        <v>O</v>
      </c>
      <c r="BN19" s="24" t="str">
        <f>IFERROR(IF(ROUND((SUMIFS(Tracker[Net],Tracker[Money %],"&gt;="&amp;$BG19,Tracker[Money %],"&lt;"&amp;$BG20,Tracker[Bet Type],BN$1))/COUNTIFS(Tracker[Money %],"&gt;="&amp;$BG19,Tracker[Money %],"&lt;"&amp;$BG20,Tracker[Bet Type],BN$1),2)&gt;0.05,"X",IF(ROUND((SUMIFS(Tracker[Net],Tracker[Money %],"&gt;="&amp;$BG19,Tracker[Money %],"&lt;"&amp;$BG20,Tracker[Bet Type],BN$1))/COUNTIFS(Tracker[Money %],"&gt;="&amp;$BG19,Tracker[Money %],"&lt;"&amp;$BG20,Tracker[Bet Type],BN$1),2)&lt;-0.15,"O","")),"")</f>
        <v>O</v>
      </c>
      <c r="BO19" s="24" t="str">
        <f>IFERROR(IF(ROUND((SUMIFS(Tracker[Net],Tracker[Money %],"&gt;="&amp;$BG19,Tracker[Money %],"&lt;"&amp;$BG20,Tracker[Bet Type Drill Down],BO$1))/COUNTIFS(Tracker[Money %],"&gt;="&amp;$BG19,Tracker[Money %],"&lt;"&amp;$BG20,Tracker[Bet Type Drill Down],BO$1),2)&gt;0.05,"X",IF(ROUND((SUMIFS(Tracker[Net],Tracker[Money %],"&gt;="&amp;$BG19,Tracker[Money %],"&lt;"&amp;$BG20,Tracker[Bet Type Drill Down],BO$1))/COUNTIFS(Tracker[Money %],"&gt;="&amp;$BG19,Tracker[Money %],"&lt;"&amp;$BG20,Tracker[Bet Type Drill Down],BO$1),2)&lt;-0.15,"O","")),"")</f>
        <v>O</v>
      </c>
      <c r="BP19" s="24" t="str">
        <f>IFERROR(IF(ROUND((SUMIFS(Tracker[Net],Tracker[Money %],"&gt;="&amp;$BG19,Tracker[Money %],"&lt;"&amp;$BG20,Tracker[Bet Type Drill Down],BP$1))/COUNTIFS(Tracker[Money %],"&gt;="&amp;$BG19,Tracker[Money %],"&lt;"&amp;$BG20,Tracker[Bet Type Drill Down],BP$1),2)&gt;0.05,"X",IF(ROUND((SUMIFS(Tracker[Net],Tracker[Money %],"&gt;="&amp;$BG19,Tracker[Money %],"&lt;"&amp;$BG20,Tracker[Bet Type Drill Down],BP$1))/COUNTIFS(Tracker[Money %],"&gt;="&amp;$BG19,Tracker[Money %],"&lt;"&amp;$BG20,Tracker[Bet Type Drill Down],BP$1),2)&lt;-0.15,"O","")),"")</f>
        <v/>
      </c>
      <c r="BQ19" s="24" t="str">
        <f>IFERROR(IF(ROUND((SUMIFS(Tracker[Net],Tracker[Money %],"&gt;="&amp;$BG19,Tracker[Money %],"&lt;"&amp;$BG20,Tracker[Bet Type Drill Down],BQ$1))/COUNTIFS(Tracker[Money %],"&gt;="&amp;$BG19,Tracker[Money %],"&lt;"&amp;$BG20,Tracker[Bet Type Drill Down],BQ$1),2)&gt;0.05,"X",IF(ROUND((SUMIFS(Tracker[Net],Tracker[Money %],"&gt;="&amp;$BG19,Tracker[Money %],"&lt;"&amp;$BG20,Tracker[Bet Type Drill Down],BQ$1))/COUNTIFS(Tracker[Money %],"&gt;="&amp;$BG19,Tracker[Money %],"&lt;"&amp;$BG20,Tracker[Bet Type Drill Down],BQ$1),2)&lt;-0.15,"O","")),"")</f>
        <v>O</v>
      </c>
      <c r="BR19" s="24" t="str">
        <f>IFERROR(IF(ROUND((SUMIFS(Tracker[Net],Tracker[Money %],"&gt;="&amp;$BG19,Tracker[Money %],"&lt;"&amp;$BG20,Tracker[Bet Type Drill Down],BR$1))/COUNTIFS(Tracker[Money %],"&gt;="&amp;$BG19,Tracker[Money %],"&lt;"&amp;$BG20,Tracker[Bet Type Drill Down],BR$1),2)&gt;0.05,"X",IF(ROUND((SUMIFS(Tracker[Net],Tracker[Money %],"&gt;="&amp;$BG19,Tracker[Money %],"&lt;"&amp;$BG20,Tracker[Bet Type Drill Down],BR$1))/COUNTIFS(Tracker[Money %],"&gt;="&amp;$BG19,Tracker[Money %],"&lt;"&amp;$BG20,Tracker[Bet Type Drill Down],BR$1),2)&lt;-0.15,"O","")),"")</f>
        <v>O</v>
      </c>
      <c r="BT19" s="153">
        <f t="shared" si="5"/>
        <v>0.8500000000000002</v>
      </c>
      <c r="BU19" s="154" t="str">
        <f t="shared" ref="BU19" si="25">ROUND(BT19*100,0)&amp;"  to  "&amp;ROUND(BT20*100,0)&amp;"%"</f>
        <v>85  to  90%</v>
      </c>
      <c r="BV19" t="str">
        <f>IFERROR(COUNTIFS(Tracker[Bet %],"&gt;="&amp;BT19,Tracker[Bet %],"&lt;"&amp;BT20,Tracker[Result],"W")&amp;"-"&amp;COUNTIFS(Tracker[Bet %],"&gt;="&amp;BT19,Tracker[Bet %],"&lt;"&amp;BT20,Tracker[Result],"L")&amp;"-"&amp;COUNTIFS(Tracker[Bet %],"&gt;="&amp;BT19,Tracker[Bet %],"&lt;"&amp;BT20,Tracker[Result],"Push")&amp;" ("&amp;ROUND(COUNTIFS(Tracker[Bet %],"&gt;="&amp;BT19,Tracker[Bet %],"&lt;"&amp;BT20,Tracker[Result],"W")/(COUNTIFS(Tracker[Bet %],"&gt;="&amp;BT19,Tracker[Bet %],"&lt;"&amp;BT20,Tracker[Result],"L")+COUNTIFS(Tracker[Bet %],"&gt;="&amp;BT19,Tracker[Bet %],"&lt;"&amp;BT20,Tracker[Result],"W"))*100,2)&amp;"%)","No Bets")</f>
        <v>3-4-0 (42.86%)</v>
      </c>
      <c r="BW19">
        <f>SUMIFS(Tracker[Net],Tracker[Bet %],"&gt;="&amp;BT19,Tracker[Bet %],"&lt;"&amp;BT20)</f>
        <v>-1.2727272727272729</v>
      </c>
      <c r="BX19" s="24" t="str">
        <f>IFERROR(IF(ROUND((SUMIFS(Tracker[Net],Tracker[Bet %],"&gt;="&amp;$BG19,Tracker[Bet %],"&lt;"&amp;$BG20,Tracker[Bet Type],BX$1))/COUNTIFS(Tracker[Bet %],"&gt;="&amp;$BG19,Tracker[Bet %],"&lt;"&amp;$BG20,Tracker[Bet Type],BX$1),2)&gt;0.05,"X",IF(ROUND((SUMIFS(Tracker[Net],Tracker[Bet %],"&gt;="&amp;$BG19,Tracker[Bet %],"&lt;"&amp;$BG20,Tracker[Bet Type],BX$1))/COUNTIFS(Tracker[Bet %],"&gt;="&amp;$BG19,Tracker[Bet %],"&lt;"&amp;$BG20,Tracker[Bet Type],BX$1),2)&lt;-0.15,"O","")),"")</f>
        <v>O</v>
      </c>
      <c r="BY19" s="24" t="str">
        <f>IFERROR(IF(ROUND((SUMIFS(Tracker[Net],Tracker[Bet %],"&gt;="&amp;$BG19,Tracker[Bet %],"&lt;"&amp;$BG20,Tracker[Bet Type],BY$1))/COUNTIFS(Tracker[Bet %],"&gt;="&amp;$BG19,Tracker[Bet %],"&lt;"&amp;$BG20,Tracker[Bet Type],BY$1),2)&gt;0.05,"X",IF(ROUND((SUMIFS(Tracker[Net],Tracker[Bet %],"&gt;="&amp;$BG19,Tracker[Bet %],"&lt;"&amp;$BG20,Tracker[Bet Type],BY$1))/COUNTIFS(Tracker[Bet %],"&gt;="&amp;$BG19,Tracker[Bet %],"&lt;"&amp;$BG20,Tracker[Bet Type],BY$1),2)&lt;-0.15,"O","")),"")</f>
        <v/>
      </c>
      <c r="BZ19" s="24" t="str">
        <f>IFERROR(IF(ROUND((SUMIFS(Tracker[Net],Tracker[Bet %],"&gt;="&amp;$BG19,Tracker[Bet %],"&lt;"&amp;$BG20,Tracker[Bet Type],BZ$1))/COUNTIFS(Tracker[Bet %],"&gt;="&amp;$BG19,Tracker[Bet %],"&lt;"&amp;$BG20,Tracker[Bet Type],BZ$1),2)&gt;0.05,"X",IF(ROUND((SUMIFS(Tracker[Net],Tracker[Bet %],"&gt;="&amp;$BG19,Tracker[Bet %],"&lt;"&amp;$BG20,Tracker[Bet Type],BZ$1))/COUNTIFS(Tracker[Bet %],"&gt;="&amp;$BG19,Tracker[Bet %],"&lt;"&amp;$BG20,Tracker[Bet Type],BZ$1),2)&lt;-0.15,"O","")),"")</f>
        <v>X</v>
      </c>
      <c r="CA19" s="24" t="str">
        <f>IFERROR(IF(ROUND((SUMIFS(Tracker[Net],Tracker[Bet %],"&gt;="&amp;$BG19,Tracker[Bet %],"&lt;"&amp;$BG20,Tracker[Bet Type],CA$1))/COUNTIFS(Tracker[Bet %],"&gt;="&amp;$BG19,Tracker[Bet %],"&lt;"&amp;$BG20,Tracker[Bet Type],CA$1),2)&gt;0.05,"X",IF(ROUND((SUMIFS(Tracker[Net],Tracker[Bet %],"&gt;="&amp;$BG19,Tracker[Bet %],"&lt;"&amp;$BG20,Tracker[Bet Type],CA$1))/COUNTIFS(Tracker[Bet %],"&gt;="&amp;$BG19,Tracker[Bet %],"&lt;"&amp;$BG20,Tracker[Bet Type],CA$1),2)&lt;-0.15,"O","")),"")</f>
        <v/>
      </c>
      <c r="CB19" s="24" t="str">
        <f>IFERROR(IF(ROUND((SUMIFS(Tracker[Net],Tracker[Bet %],"&gt;="&amp;$BG19,Tracker[Bet %],"&lt;"&amp;$BG20,Tracker[Bet Type Drill Down],CB$1))/COUNTIFS(Tracker[Bet %],"&gt;="&amp;$BG19,Tracker[Bet %],"&lt;"&amp;$BG20,Tracker[Bet Type Drill Down],CB$1),2)&gt;0.05,"X",IF(ROUND((SUMIFS(Tracker[Net],Tracker[Bet %],"&gt;="&amp;$BG19,Tracker[Bet %],"&lt;"&amp;$BG20,Tracker[Bet Type Drill Down],CB$1))/COUNTIFS(Tracker[Bet %],"&gt;="&amp;$BG19,Tracker[Bet %],"&lt;"&amp;$BG20,Tracker[Bet Type Drill Down],CB$1),2)&lt;-0.15,"O","")),"")</f>
        <v/>
      </c>
      <c r="CC19" s="24" t="str">
        <f>IFERROR(IF(ROUND((SUMIFS(Tracker[Net],Tracker[Bet %],"&gt;="&amp;$BG19,Tracker[Bet %],"&lt;"&amp;$BG20,Tracker[Bet Type Drill Down],CC$1))/COUNTIFS(Tracker[Bet %],"&gt;="&amp;$BG19,Tracker[Bet %],"&lt;"&amp;$BG20,Tracker[Bet Type Drill Down],CC$1),2)&gt;0.05,"X",IF(ROUND((SUMIFS(Tracker[Net],Tracker[Bet %],"&gt;="&amp;$BG19,Tracker[Bet %],"&lt;"&amp;$BG20,Tracker[Bet Type Drill Down],CC$1))/COUNTIFS(Tracker[Bet %],"&gt;="&amp;$BG19,Tracker[Bet %],"&lt;"&amp;$BG20,Tracker[Bet Type Drill Down],CC$1),2)&lt;-0.15,"O","")),"")</f>
        <v/>
      </c>
      <c r="CD19" s="24" t="str">
        <f>IFERROR(IF(ROUND((SUMIFS(Tracker[Net],Tracker[Bet %],"&gt;="&amp;$BG19,Tracker[Bet %],"&lt;"&amp;$BG20,Tracker[Bet Type Drill Down],CD$1))/COUNTIFS(Tracker[Bet %],"&gt;="&amp;$BG19,Tracker[Bet %],"&lt;"&amp;$BG20,Tracker[Bet Type Drill Down],CD$1),2)&gt;0.05,"X",IF(ROUND((SUMIFS(Tracker[Net],Tracker[Bet %],"&gt;="&amp;$BG19,Tracker[Bet %],"&lt;"&amp;$BG20,Tracker[Bet Type Drill Down],CD$1))/COUNTIFS(Tracker[Bet %],"&gt;="&amp;$BG19,Tracker[Bet %],"&lt;"&amp;$BG20,Tracker[Bet Type Drill Down],CD$1),2)&lt;-0.15,"O","")),"")</f>
        <v>X</v>
      </c>
      <c r="CE19" s="24" t="str">
        <f>IFERROR(IF(ROUND((SUMIFS(Tracker[Net],Tracker[Bet %],"&gt;="&amp;$BG19,Tracker[Bet %],"&lt;"&amp;$BG20,Tracker[Bet Type Drill Down],CE$1))/COUNTIFS(Tracker[Bet %],"&gt;="&amp;$BG19,Tracker[Bet %],"&lt;"&amp;$BG20,Tracker[Bet Type Drill Down],CE$1),2)&gt;0.05,"X",IF(ROUND((SUMIFS(Tracker[Net],Tracker[Bet %],"&gt;="&amp;$BG19,Tracker[Bet %],"&lt;"&amp;$BG20,Tracker[Bet Type Drill Down],CE$1))/COUNTIFS(Tracker[Bet %],"&gt;="&amp;$BG19,Tracker[Bet %],"&lt;"&amp;$BG20,Tracker[Bet Type Drill Down],CE$1),2)&lt;-0.15,"O","")),"")</f>
        <v>O</v>
      </c>
    </row>
    <row r="20" spans="1:83" x14ac:dyDescent="0.25">
      <c r="A20" s="36">
        <f t="shared" si="9"/>
        <v>2</v>
      </c>
      <c r="B20" s="25">
        <v>43804</v>
      </c>
      <c r="C20" s="25" t="str">
        <f t="shared" si="7"/>
        <v>NBA</v>
      </c>
      <c r="D20" s="26" t="s">
        <v>808</v>
      </c>
      <c r="E20" s="27" t="s">
        <v>809</v>
      </c>
      <c r="F20" s="67">
        <v>0.57482660022500465</v>
      </c>
      <c r="G20" s="29">
        <v>-110</v>
      </c>
      <c r="H20" s="30" t="s">
        <v>56</v>
      </c>
      <c r="I20" s="44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0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20" s="32" t="str">
        <f>MID(Tracker[[#This Row],[Game]],SEARCH("@",Tracker[[#This Row],[Game]])+2,LEN(Tracker[[#This Row],[Game]]))</f>
        <v>Knicks</v>
      </c>
      <c r="L20" s="32" t="str">
        <f>LEFT(Tracker[[#This Row],[Game]],SEARCH("@",Tracker[[#This Row],[Game]])-2)</f>
        <v>Nuggets</v>
      </c>
      <c r="M2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20" s="123"/>
      <c r="O20" s="147"/>
      <c r="P20" s="147"/>
      <c r="Q20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0" s="147" t="e">
        <f>IF(AND(Tracker[[#This Row],[Money %]]&lt;&gt;"",Tracker[[#This Row],[Bet %]]&lt;&gt;""),Tracker[[#This Row],[Money %]]-Tracker[[#This Row],[Bet %]],NA())</f>
        <v>#N/A</v>
      </c>
      <c r="S20" s="109"/>
      <c r="T20" s="109"/>
      <c r="U20" s="56">
        <f>IFERROR(INDEX($A$4:$B10016,MATCH(ROW()-3,$A$4:$A$4:$A1016,0),2),0)</f>
        <v>43839</v>
      </c>
      <c r="V20" s="33" t="str">
        <f>COUNTIFS(Tracker[Date],U20,Tracker[Result],"W")&amp;"-"&amp;COUNTIFS(Tracker[Date],U20,Tracker[Result],"L")&amp;IF(COUNTIFS(Tracker[Date],U20,Tracker[Result],"Push")&gt;0,"-"&amp;COUNTIFS(Tracker[Date],U20,Tracker[Result],"Push"),"")</f>
        <v>1-2</v>
      </c>
      <c r="W20" s="34">
        <f>IFERROR(COUNTIFS(Tracker[Date],U20,Tracker[Result],"W")/(COUNTIFS(Tracker[Date],U20,Tracker[Result],"W")+COUNTIFS(Tracker[Date],U20,Tracker[Result],"L")),"")</f>
        <v>0.33333333333333331</v>
      </c>
      <c r="X20" s="61">
        <f>SUMIF(Tracker[Date],U20,Tracker[Net])</f>
        <v>-1.0909090909090908</v>
      </c>
      <c r="Y20" s="35" t="str">
        <f>IFERROR("("&amp;ROUND(SUMIF(Tracker[Date],U20,Tracker[Net])/COUNTIF(Tracker[Date],U20),2)*100&amp;"%)","")</f>
        <v>(-36%)</v>
      </c>
      <c r="AA20" s="37" t="s">
        <v>241</v>
      </c>
      <c r="AB20" s="42" t="str">
        <f>COUNTIFS(Tracker[Result],"W")&amp;"-"&amp;COUNTIFS(Tracker[Result],"L")&amp;IF(COUNTIFS(Tracker[Result],"Push")&gt;0,"-"&amp;COUNTIFS(Tracker[Result],"Push"),"")</f>
        <v>276-264-15</v>
      </c>
      <c r="AF20" s="36">
        <f t="shared" si="11"/>
        <v>0.8500000000000002</v>
      </c>
      <c r="AG20" s="66" t="str">
        <f t="shared" si="0"/>
        <v>85-90%</v>
      </c>
      <c r="AH20" s="124" t="str">
        <f>IFERROR(COUNTIFS(Tracker[Cover %],"&gt;="&amp;AF20,Tracker[Cover %],"&lt;"&amp;AF21,Tracker[Result],"W")&amp;"-"&amp;COUNTIFS(Tracker[Cover %],"&gt;="&amp;AF20,Tracker[Cover %],"&lt;"&amp;AF21,Tracker[Result],"L")&amp;"-"&amp;COUNTIFS(Tracker[Cover %],"&gt;="&amp;AF20,Tracker[Cover %],"&lt;"&amp;AF21,Tracker[Result],"Push")&amp;" ("&amp;ROUND(COUNTIFS(Tracker[Cover %],"&gt;="&amp;AF20,Tracker[Cover %],"&lt;"&amp;AF21,Tracker[Result],"W")/(COUNTIFS(Tracker[Cover %],"&gt;="&amp;AF20,Tracker[Cover %],"&lt;"&amp;AF21,Tracker[Result],"L")+COUNTIFS(Tracker[Cover %],"&gt;="&amp;AF20,Tracker[Cover %],"&lt;"&amp;AF21,Tracker[Result],"W"))*100,2)&amp;"%)","No Bets")</f>
        <v>No Bets</v>
      </c>
      <c r="AI20" s="72">
        <f>SUMIFS(Tracker[Net],Tracker[Cover %],"&gt;="&amp;AF20,Tracker[Cover %],"&lt;"&amp;AF21)</f>
        <v>0</v>
      </c>
      <c r="AJ20" s="24" t="str">
        <f>IFERROR(IF(ROUND((SUMIFS(Tracker[Net],Tracker[Cover %],"&gt;="&amp;$AF20,Tracker[Cover %],"&lt;"&amp;$AF21,Tracker[Bet Type],AJ$2))/COUNTIFS(Tracker[Cover %],"&gt;="&amp;$AF20,Tracker[Cover %],"&lt;"&amp;$AF21,Tracker[Bet Type],AJ$2),2)&gt;0.05,"X",IF(ROUND((SUMIFS(Tracker[Net],Tracker[Cover %],"&gt;="&amp;$AF20,Tracker[Cover %],"&lt;"&amp;$AF21,Tracker[Bet Type],AJ$2))/COUNTIFS(Tracker[Cover %],"&gt;="&amp;$AF20,Tracker[Cover %],"&lt;"&amp;$AF21,Tracker[Bet Type],AJ$2),2)&lt;-0.15,"O","")),"")</f>
        <v/>
      </c>
      <c r="AK20" s="24" t="str">
        <f>IFERROR(IF(ROUND((SUMIFS(Tracker[Net],Tracker[Cover %],"&gt;="&amp;$AF20,Tracker[Cover %],"&lt;"&amp;$AF21,Tracker[Bet Type],AK$2))/COUNTIFS(Tracker[Cover %],"&gt;="&amp;$AF20,Tracker[Cover %],"&lt;"&amp;$AF21,Tracker[Bet Type],AK$2),2)&gt;0.05,"X",IF(ROUND((SUMIFS(Tracker[Net],Tracker[Cover %],"&gt;="&amp;$AF20,Tracker[Cover %],"&lt;"&amp;$AF21,Tracker[Bet Type],AK$2))/COUNTIFS(Tracker[Cover %],"&gt;="&amp;$AF20,Tracker[Cover %],"&lt;"&amp;$AF21,Tracker[Bet Type],AK$2),2)&lt;-0.15,"O","")),"")</f>
        <v/>
      </c>
      <c r="AL20" s="24" t="str">
        <f>IFERROR(IF(ROUND((SUMIFS(Tracker[Net],Tracker[Cover %],"&gt;="&amp;$AF20,Tracker[Cover %],"&lt;"&amp;$AF21,Tracker[Bet Type],AL$2))/COUNTIFS(Tracker[Cover %],"&gt;="&amp;$AF20,Tracker[Cover %],"&lt;"&amp;$AF21,Tracker[Bet Type],AL$2),2)&gt;0.05,"X",IF(ROUND((SUMIFS(Tracker[Net],Tracker[Cover %],"&gt;="&amp;$AF20,Tracker[Cover %],"&lt;"&amp;$AF21,Tracker[Bet Type],AL$2))/COUNTIFS(Tracker[Cover %],"&gt;="&amp;$AF20,Tracker[Cover %],"&lt;"&amp;$AF21,Tracker[Bet Type],AL$2),2)&lt;-0.15,"O","")),"")</f>
        <v/>
      </c>
      <c r="AM20" s="24" t="str">
        <f>IFERROR(IF(ROUND((SUMIFS(Tracker[Net],Tracker[Cover %],"&gt;="&amp;$AF20,Tracker[Cover %],"&lt;"&amp;$AF21,Tracker[Bet Type],AM$2))/COUNTIFS(Tracker[Cover %],"&gt;="&amp;$AF20,Tracker[Cover %],"&lt;"&amp;$AF21,Tracker[Bet Type],AM$2),2)&gt;0.05,"X",IF(ROUND((SUMIFS(Tracker[Net],Tracker[Cover %],"&gt;="&amp;$AF20,Tracker[Cover %],"&lt;"&amp;$AF21,Tracker[Bet Type],AM$2))/COUNTIFS(Tracker[Cover %],"&gt;="&amp;$AF20,Tracker[Cover %],"&lt;"&amp;$AF21,Tracker[Bet Type],AM$2),2)&lt;-0.15,"O","")),"")</f>
        <v/>
      </c>
      <c r="AN20" s="24" t="str">
        <f>IFERROR(IF(ROUND((SUMIFS(Tracker[Net],Tracker[Cover %],"&gt;="&amp;$AF20,Tracker[Cover %],"&lt;"&amp;$AF21,Tracker[Bet Type Drill Down],AN$2))/COUNTIFS(Tracker[Cover %],"&gt;="&amp;$AF20,Tracker[Cover %],"&lt;"&amp;$AF21,Tracker[Bet Type Drill Down],AN$2),2)&gt;0.05,"X",IF(ROUND((SUMIFS(Tracker[Net],Tracker[Cover %],"&gt;="&amp;$AF20,Tracker[Cover %],"&lt;"&amp;$AF21,Tracker[Bet Type Drill Down],AN$2))/COUNTIFS(Tracker[Cover %],"&gt;="&amp;$AF20,Tracker[Cover %],"&lt;"&amp;$AF21,Tracker[Bet Type Drill Down],AN$2),2)&lt;-0.15,"O","")),"")</f>
        <v/>
      </c>
      <c r="AO20" s="24" t="str">
        <f>IFERROR(IF(ROUND((SUMIFS(Tracker[Net],Tracker[Cover %],"&gt;="&amp;$AF20,Tracker[Cover %],"&lt;"&amp;$AF21,Tracker[Bet Type Drill Down],AO$2))/COUNTIFS(Tracker[Cover %],"&gt;="&amp;$AF20,Tracker[Cover %],"&lt;"&amp;$AF21,Tracker[Bet Type Drill Down],AO$2),2)&gt;0.05,"X",IF(ROUND((SUMIFS(Tracker[Net],Tracker[Cover %],"&gt;="&amp;$AF20,Tracker[Cover %],"&lt;"&amp;$AF21,Tracker[Bet Type Drill Down],AO$2))/COUNTIFS(Tracker[Cover %],"&gt;="&amp;$AF20,Tracker[Cover %],"&lt;"&amp;$AF21,Tracker[Bet Type Drill Down],AO$2),2)&lt;-0.15,"O","")),"")</f>
        <v/>
      </c>
      <c r="AP20" s="24" t="str">
        <f>IFERROR(IF(ROUND((SUMIFS(Tracker[Net],Tracker[Cover %],"&gt;="&amp;$AF20,Tracker[Cover %],"&lt;"&amp;$AF21,Tracker[Bet Type Drill Down],AP$2))/COUNTIFS(Tracker[Cover %],"&gt;="&amp;$AF20,Tracker[Cover %],"&lt;"&amp;$AF21,Tracker[Bet Type Drill Down],AP$2),2)&gt;0.05,"X",IF(ROUND((SUMIFS(Tracker[Net],Tracker[Cover %],"&gt;="&amp;$AF20,Tracker[Cover %],"&lt;"&amp;$AF21,Tracker[Bet Type Drill Down],AP$2))/COUNTIFS(Tracker[Cover %],"&gt;="&amp;$AF20,Tracker[Cover %],"&lt;"&amp;$AF21,Tracker[Bet Type Drill Down],AP$2),2)&lt;-0.15,"O","")),"")</f>
        <v/>
      </c>
      <c r="AQ20" s="24" t="str">
        <f>IFERROR(IF(ROUND((SUMIFS(Tracker[Net],Tracker[Cover %],"&gt;="&amp;$AF20,Tracker[Cover %],"&lt;"&amp;$AF21,Tracker[Bet Type Drill Down],AQ$2))/COUNTIFS(Tracker[Cover %],"&gt;="&amp;$AF20,Tracker[Cover %],"&lt;"&amp;$AF21,Tracker[Bet Type Drill Down],AQ$2),2)&gt;0.05,"X",IF(ROUND((SUMIFS(Tracker[Net],Tracker[Cover %],"&gt;="&amp;$AF20,Tracker[Cover %],"&lt;"&amp;$AF21,Tracker[Bet Type Drill Down],AQ$2))/COUNTIFS(Tracker[Cover %],"&gt;="&amp;$AF20,Tracker[Cover %],"&lt;"&amp;$AF21,Tracker[Bet Type Drill Down],AQ$2),2)&lt;-0.15,"O","")),"")</f>
        <v/>
      </c>
      <c r="AT20" s="153">
        <f t="shared" si="1"/>
        <v>-9.9999999999999686E-2</v>
      </c>
      <c r="AU20" s="39" t="str">
        <f t="shared" si="2"/>
        <v>-10  to  -5%</v>
      </c>
      <c r="AV20" t="str">
        <f>IFERROR(COUNTIFS(Tracker[Money Discrepency],"&gt;="&amp;AT20,Tracker[Money Discrepency],"&lt;"&amp;AT21,Tracker[Result],"W")&amp;"-"&amp;COUNTIFS(Tracker[Money Discrepency],"&gt;="&amp;AT20,Tracker[Money Discrepency],"&lt;"&amp;AT21,Tracker[Result],"L")&amp;"-"&amp;COUNTIFS(Tracker[Money Discrepency],"&gt;="&amp;AT20,Tracker[Money Discrepency],"&lt;"&amp;AT21,Tracker[Result],"Push")&amp;" ("&amp;ROUND(COUNTIFS(Tracker[Money Discrepency],"&gt;="&amp;AT20,Tracker[Money Discrepency],"&lt;"&amp;AT21,Tracker[Result],"W")/(COUNTIFS(Tracker[Money Discrepency],"&gt;="&amp;AT20,Tracker[Money Discrepency],"&lt;"&amp;AT21,Tracker[Result],"L")+COUNTIFS(Tracker[Money Discrepency],"&gt;="&amp;AT20,Tracker[Money Discrepency],"&lt;"&amp;AT21,Tracker[Result],"W"))*100,2)&amp;"%)","No Bets")</f>
        <v>12-14-0 (46.15%)</v>
      </c>
      <c r="AW20">
        <f>SUMIFS(Tracker[Net],Tracker[Money Discrepency],"&gt;="&amp;AT20,Tracker[Money Discrepency],"&lt;"&amp;AT21)</f>
        <v>-3.0909090909090899</v>
      </c>
      <c r="AX20" s="24" t="str">
        <f>IFERROR(IF(ROUND((SUMIFS(Tracker[Net],Tracker[Money Discrepency],"&gt;="&amp;$AT20,Tracker[Money Discrepency],"&lt;"&amp;$AT21,Tracker[Bet Type],AX$1))/COUNTIFS(Tracker[Money Discrepency],"&gt;="&amp;$AT20,Tracker[Money Discrepency],"&lt;"&amp;$AT21,Tracker[Bet Type],AX$1),2)&gt;0.05,"X",IF(ROUND((SUMIFS(Tracker[Net],Tracker[Money Discrepency],"&gt;="&amp;$AT20,Tracker[Money Discrepency],"&lt;"&amp;$AT21,Tracker[Bet Type],AX$1))/COUNTIFS(Tracker[Money Discrepency],"&gt;="&amp;$AT20,Tracker[Money Discrepency],"&lt;"&amp;$AT21,Tracker[Bet Type],AX$1),2)&lt;-0.15,"O","")),"")</f>
        <v>X</v>
      </c>
      <c r="AY20" s="24" t="str">
        <f>IFERROR(IF(ROUND((SUMIFS(Tracker[Net],Tracker[Money Discrepency],"&gt;="&amp;$AT20,Tracker[Money Discrepency],"&lt;"&amp;$AT21,Tracker[Bet Type],AY$1))/COUNTIFS(Tracker[Money Discrepency],"&gt;="&amp;$AT20,Tracker[Money Discrepency],"&lt;"&amp;$AT21,Tracker[Bet Type],AY$1),2)&gt;0.05,"X",IF(ROUND((SUMIFS(Tracker[Net],Tracker[Money Discrepency],"&gt;="&amp;$AT20,Tracker[Money Discrepency],"&lt;"&amp;$AT21,Tracker[Bet Type],AY$1))/COUNTIFS(Tracker[Money Discrepency],"&gt;="&amp;$AT20,Tracker[Money Discrepency],"&lt;"&amp;$AT21,Tracker[Bet Type],AY$1),2)&lt;-0.15,"O","")),"")</f>
        <v>O</v>
      </c>
      <c r="AZ20" s="24" t="str">
        <f>IFERROR(IF(ROUND((SUMIFS(Tracker[Net],Tracker[Money Discrepency],"&gt;="&amp;$AT20,Tracker[Money Discrepency],"&lt;"&amp;$AT21,Tracker[Bet Type],AZ$1))/COUNTIFS(Tracker[Money Discrepency],"&gt;="&amp;$AT20,Tracker[Money Discrepency],"&lt;"&amp;$AT21,Tracker[Bet Type],AZ$1),2)&gt;0.05,"X",IF(ROUND((SUMIFS(Tracker[Net],Tracker[Money Discrepency],"&gt;="&amp;$AT20,Tracker[Money Discrepency],"&lt;"&amp;$AT21,Tracker[Bet Type],AZ$1))/COUNTIFS(Tracker[Money Discrepency],"&gt;="&amp;$AT20,Tracker[Money Discrepency],"&lt;"&amp;$AT21,Tracker[Bet Type],AZ$1),2)&lt;-0.15,"O","")),"")</f>
        <v>O</v>
      </c>
      <c r="BA20" s="24" t="str">
        <f>IFERROR(IF(ROUND((SUMIFS(Tracker[Net],Tracker[Money Discrepency],"&gt;="&amp;$AT20,Tracker[Money Discrepency],"&lt;"&amp;$AT21,Tracker[Bet Type],BA$1))/COUNTIFS(Tracker[Money Discrepency],"&gt;="&amp;$AT20,Tracker[Money Discrepency],"&lt;"&amp;$AT21,Tracker[Bet Type],BA$1),2)&gt;0.05,"X",IF(ROUND((SUMIFS(Tracker[Net],Tracker[Money Discrepency],"&gt;="&amp;$AT20,Tracker[Money Discrepency],"&lt;"&amp;$AT21,Tracker[Bet Type],BA$1))/COUNTIFS(Tracker[Money Discrepency],"&gt;="&amp;$AT20,Tracker[Money Discrepency],"&lt;"&amp;$AT21,Tracker[Bet Type],BA$1),2)&lt;-0.15,"O","")),"")</f>
        <v/>
      </c>
      <c r="BB20" s="24" t="str">
        <f>IFERROR(IF(ROUND((SUMIFS(Tracker[Net],Tracker[Money Discrepency],"&gt;="&amp;$AT20,Tracker[Money Discrepency],"&lt;"&amp;$AT21,Tracker[Bet Type Drill Down],BB$1))/COUNTIFS(Tracker[Money Discrepency],"&gt;="&amp;$AT20,Tracker[Money Discrepency],"&lt;"&amp;$AT21,Tracker[Bet Type Drill Down],BB$1),2)&gt;0.05,"X",IF(ROUND((SUMIFS(Tracker[Net],Tracker[Money Discrepency],"&gt;="&amp;$AT20,Tracker[Money Discrepency],"&lt;"&amp;$AT21,Tracker[Bet Type Drill Down],BB$1))/COUNTIFS(Tracker[Money Discrepency],"&gt;="&amp;$AT20,Tracker[Money Discrepency],"&lt;"&amp;$AT21,Tracker[Bet Type Drill Down],BB$1),2)&lt;-0.15,"O","")),"")</f>
        <v/>
      </c>
      <c r="BC20" s="24" t="str">
        <f>IFERROR(IF(ROUND((SUMIFS(Tracker[Net],Tracker[Money Discrepency],"&gt;="&amp;$AT20,Tracker[Money Discrepency],"&lt;"&amp;$AT21,Tracker[Bet Type Drill Down],BC$1))/COUNTIFS(Tracker[Money Discrepency],"&gt;="&amp;$AT20,Tracker[Money Discrepency],"&lt;"&amp;$AT21,Tracker[Bet Type Drill Down],BC$1),2)&gt;0.05,"X",IF(ROUND((SUMIFS(Tracker[Net],Tracker[Money Discrepency],"&gt;="&amp;$AT20,Tracker[Money Discrepency],"&lt;"&amp;$AT21,Tracker[Bet Type Drill Down],BC$1))/COUNTIFS(Tracker[Money Discrepency],"&gt;="&amp;$AT20,Tracker[Money Discrepency],"&lt;"&amp;$AT21,Tracker[Bet Type Drill Down],BC$1),2)&lt;-0.15,"O","")),"")</f>
        <v/>
      </c>
      <c r="BD20" s="24" t="str">
        <f>IFERROR(IF(ROUND((SUMIFS(Tracker[Net],Tracker[Money Discrepency],"&gt;="&amp;$AT20,Tracker[Money Discrepency],"&lt;"&amp;$AT21,Tracker[Bet Type Drill Down],BD$1))/COUNTIFS(Tracker[Money Discrepency],"&gt;="&amp;$AT20,Tracker[Money Discrepency],"&lt;"&amp;$AT21,Tracker[Bet Type Drill Down],BD$1),2)&gt;0.05,"X",IF(ROUND((SUMIFS(Tracker[Net],Tracker[Money Discrepency],"&gt;="&amp;$AT20,Tracker[Money Discrepency],"&lt;"&amp;$AT21,Tracker[Bet Type Drill Down],BD$1))/COUNTIFS(Tracker[Money Discrepency],"&gt;="&amp;$AT20,Tracker[Money Discrepency],"&lt;"&amp;$AT21,Tracker[Bet Type Drill Down],BD$1),2)&lt;-0.15,"O","")),"")</f>
        <v>O</v>
      </c>
      <c r="BE20" s="24" t="str">
        <f>IFERROR(IF(ROUND((SUMIFS(Tracker[Net],Tracker[Money Discrepency],"&gt;="&amp;$AT20,Tracker[Money Discrepency],"&lt;"&amp;$AT21,Tracker[Bet Type Drill Down],BE$1))/COUNTIFS(Tracker[Money Discrepency],"&gt;="&amp;$AT20,Tracker[Money Discrepency],"&lt;"&amp;$AT21,Tracker[Bet Type Drill Down],BE$1),2)&gt;0.05,"X",IF(ROUND((SUMIFS(Tracker[Net],Tracker[Money Discrepency],"&gt;="&amp;$AT20,Tracker[Money Discrepency],"&lt;"&amp;$AT21,Tracker[Bet Type Drill Down],BE$1))/COUNTIFS(Tracker[Money Discrepency],"&gt;="&amp;$AT20,Tracker[Money Discrepency],"&lt;"&amp;$AT21,Tracker[Bet Type Drill Down],BE$1),2)&lt;-0.15,"O","")),"")</f>
        <v>O</v>
      </c>
      <c r="BG20" s="153">
        <f t="shared" si="3"/>
        <v>0.90000000000000024</v>
      </c>
      <c r="BH20" s="154" t="str">
        <f t="shared" si="4"/>
        <v>90  to  95%</v>
      </c>
      <c r="BI20" t="str">
        <f>IFERROR(COUNTIFS(Tracker[Money %],"&gt;="&amp;BG20,Tracker[Money %],"&lt;"&amp;BG21,Tracker[Result],"W")&amp;"-"&amp;COUNTIFS(Tracker[Money %],"&gt;="&amp;BG20,Tracker[Money %],"&lt;"&amp;BG21,Tracker[Result],"L")&amp;"-"&amp;COUNTIFS(Tracker[Money %],"&gt;="&amp;BG20,Tracker[Money %],"&lt;"&amp;BG21,Tracker[Result],"Push")&amp;" ("&amp;ROUND(COUNTIFS(Tracker[Money %],"&gt;="&amp;BG20,Tracker[Money %],"&lt;"&amp;BG21,Tracker[Result],"W")/(COUNTIFS(Tracker[Money %],"&gt;="&amp;BG20,Tracker[Money %],"&lt;"&amp;BG21,Tracker[Result],"L")+COUNTIFS(Tracker[Money %],"&gt;="&amp;BG20,Tracker[Money %],"&lt;"&amp;BG21,Tracker[Result],"W"))*100,2)&amp;"%)","No Bets")</f>
        <v>6-5-0 (54.55%)</v>
      </c>
      <c r="BJ20">
        <f>SUMIFS(Tracker[Net],Tracker[Money %],"&gt;="&amp;BG20,Tracker[Money %],"&lt;"&amp;BG21)</f>
        <v>0.45454545454545459</v>
      </c>
      <c r="BK20" s="24" t="str">
        <f>IFERROR(IF(ROUND((SUMIFS(Tracker[Net],Tracker[Money %],"&gt;="&amp;$BG20,Tracker[Money %],"&lt;"&amp;$BG21,Tracker[Bet Type],BK$1))/COUNTIFS(Tracker[Money %],"&gt;="&amp;$BG20,Tracker[Money %],"&lt;"&amp;$BG21,Tracker[Bet Type],BK$1),2)&gt;0.05,"X",IF(ROUND((SUMIFS(Tracker[Net],Tracker[Money %],"&gt;="&amp;$BG20,Tracker[Money %],"&lt;"&amp;$BG21,Tracker[Bet Type],BK$1))/COUNTIFS(Tracker[Money %],"&gt;="&amp;$BG20,Tracker[Money %],"&lt;"&amp;$BG21,Tracker[Bet Type],BK$1),2)&lt;-0.15,"O","")),"")</f>
        <v/>
      </c>
      <c r="BL20" s="24" t="str">
        <f>IFERROR(IF(ROUND((SUMIFS(Tracker[Net],Tracker[Money %],"&gt;="&amp;$BG20,Tracker[Money %],"&lt;"&amp;$BG21,Tracker[Bet Type],BL$1))/COUNTIFS(Tracker[Money %],"&gt;="&amp;$BG20,Tracker[Money %],"&lt;"&amp;$BG21,Tracker[Bet Type],BL$1),2)&gt;0.05,"X",IF(ROUND((SUMIFS(Tracker[Net],Tracker[Money %],"&gt;="&amp;$BG20,Tracker[Money %],"&lt;"&amp;$BG21,Tracker[Bet Type],BL$1))/COUNTIFS(Tracker[Money %],"&gt;="&amp;$BG20,Tracker[Money %],"&lt;"&amp;$BG21,Tracker[Bet Type],BL$1),2)&lt;-0.15,"O","")),"")</f>
        <v/>
      </c>
      <c r="BM20" s="24" t="str">
        <f>IFERROR(IF(ROUND((SUMIFS(Tracker[Net],Tracker[Money %],"&gt;="&amp;$BG20,Tracker[Money %],"&lt;"&amp;$BG21,Tracker[Bet Type],BM$1))/COUNTIFS(Tracker[Money %],"&gt;="&amp;$BG20,Tracker[Money %],"&lt;"&amp;$BG21,Tracker[Bet Type],BM$1),2)&gt;0.05,"X",IF(ROUND((SUMIFS(Tracker[Net],Tracker[Money %],"&gt;="&amp;$BG20,Tracker[Money %],"&lt;"&amp;$BG21,Tracker[Bet Type],BM$1))/COUNTIFS(Tracker[Money %],"&gt;="&amp;$BG20,Tracker[Money %],"&lt;"&amp;$BG21,Tracker[Bet Type],BM$1),2)&lt;-0.15,"O","")),"")</f>
        <v>X</v>
      </c>
      <c r="BN20" s="24" t="str">
        <f>IFERROR(IF(ROUND((SUMIFS(Tracker[Net],Tracker[Money %],"&gt;="&amp;$BG20,Tracker[Money %],"&lt;"&amp;$BG21,Tracker[Bet Type],BN$1))/COUNTIFS(Tracker[Money %],"&gt;="&amp;$BG20,Tracker[Money %],"&lt;"&amp;$BG21,Tracker[Bet Type],BN$1),2)&gt;0.05,"X",IF(ROUND((SUMIFS(Tracker[Net],Tracker[Money %],"&gt;="&amp;$BG20,Tracker[Money %],"&lt;"&amp;$BG21,Tracker[Bet Type],BN$1))/COUNTIFS(Tracker[Money %],"&gt;="&amp;$BG20,Tracker[Money %],"&lt;"&amp;$BG21,Tracker[Bet Type],BN$1),2)&lt;-0.15,"O","")),"")</f>
        <v/>
      </c>
      <c r="BO20" s="24" t="str">
        <f>IFERROR(IF(ROUND((SUMIFS(Tracker[Net],Tracker[Money %],"&gt;="&amp;$BG20,Tracker[Money %],"&lt;"&amp;$BG21,Tracker[Bet Type Drill Down],BO$1))/COUNTIFS(Tracker[Money %],"&gt;="&amp;$BG20,Tracker[Money %],"&lt;"&amp;$BG21,Tracker[Bet Type Drill Down],BO$1),2)&gt;0.05,"X",IF(ROUND((SUMIFS(Tracker[Net],Tracker[Money %],"&gt;="&amp;$BG20,Tracker[Money %],"&lt;"&amp;$BG21,Tracker[Bet Type Drill Down],BO$1))/COUNTIFS(Tracker[Money %],"&gt;="&amp;$BG20,Tracker[Money %],"&lt;"&amp;$BG21,Tracker[Bet Type Drill Down],BO$1),2)&lt;-0.15,"O","")),"")</f>
        <v/>
      </c>
      <c r="BP20" s="24" t="str">
        <f>IFERROR(IF(ROUND((SUMIFS(Tracker[Net],Tracker[Money %],"&gt;="&amp;$BG20,Tracker[Money %],"&lt;"&amp;$BG21,Tracker[Bet Type Drill Down],BP$1))/COUNTIFS(Tracker[Money %],"&gt;="&amp;$BG20,Tracker[Money %],"&lt;"&amp;$BG21,Tracker[Bet Type Drill Down],BP$1),2)&gt;0.05,"X",IF(ROUND((SUMIFS(Tracker[Net],Tracker[Money %],"&gt;="&amp;$BG20,Tracker[Money %],"&lt;"&amp;$BG21,Tracker[Bet Type Drill Down],BP$1))/COUNTIFS(Tracker[Money %],"&gt;="&amp;$BG20,Tracker[Money %],"&lt;"&amp;$BG21,Tracker[Bet Type Drill Down],BP$1),2)&lt;-0.15,"O","")),"")</f>
        <v/>
      </c>
      <c r="BQ20" s="24" t="str">
        <f>IFERROR(IF(ROUND((SUMIFS(Tracker[Net],Tracker[Money %],"&gt;="&amp;$BG20,Tracker[Money %],"&lt;"&amp;$BG21,Tracker[Bet Type Drill Down],BQ$1))/COUNTIFS(Tracker[Money %],"&gt;="&amp;$BG20,Tracker[Money %],"&lt;"&amp;$BG21,Tracker[Bet Type Drill Down],BQ$1),2)&gt;0.05,"X",IF(ROUND((SUMIFS(Tracker[Net],Tracker[Money %],"&gt;="&amp;$BG20,Tracker[Money %],"&lt;"&amp;$BG21,Tracker[Bet Type Drill Down],BQ$1))/COUNTIFS(Tracker[Money %],"&gt;="&amp;$BG20,Tracker[Money %],"&lt;"&amp;$BG21,Tracker[Bet Type Drill Down],BQ$1),2)&lt;-0.15,"O","")),"")</f>
        <v>X</v>
      </c>
      <c r="BR20" s="24" t="str">
        <f>IFERROR(IF(ROUND((SUMIFS(Tracker[Net],Tracker[Money %],"&gt;="&amp;$BG20,Tracker[Money %],"&lt;"&amp;$BG21,Tracker[Bet Type Drill Down],BR$1))/COUNTIFS(Tracker[Money %],"&gt;="&amp;$BG20,Tracker[Money %],"&lt;"&amp;$BG21,Tracker[Bet Type Drill Down],BR$1),2)&gt;0.05,"X",IF(ROUND((SUMIFS(Tracker[Net],Tracker[Money %],"&gt;="&amp;$BG20,Tracker[Money %],"&lt;"&amp;$BG21,Tracker[Bet Type Drill Down],BR$1))/COUNTIFS(Tracker[Money %],"&gt;="&amp;$BG20,Tracker[Money %],"&lt;"&amp;$BG21,Tracker[Bet Type Drill Down],BR$1),2)&lt;-0.15,"O","")),"")</f>
        <v/>
      </c>
      <c r="BT20" s="153">
        <f t="shared" si="5"/>
        <v>0.90000000000000024</v>
      </c>
      <c r="BU20" s="154" t="str">
        <f t="shared" ref="BU20" si="26">ROUND(BT20*100,0)&amp;"  to  "&amp;ROUND(BT21*100,0)&amp;"%"</f>
        <v>90  to  95%</v>
      </c>
      <c r="BV20" t="str">
        <f>IFERROR(COUNTIFS(Tracker[Bet %],"&gt;="&amp;BT20,Tracker[Bet %],"&lt;"&amp;BT21,Tracker[Result],"W")&amp;"-"&amp;COUNTIFS(Tracker[Bet %],"&gt;="&amp;BT20,Tracker[Bet %],"&lt;"&amp;BT21,Tracker[Result],"L")&amp;"-"&amp;COUNTIFS(Tracker[Bet %],"&gt;="&amp;BT20,Tracker[Bet %],"&lt;"&amp;BT21,Tracker[Result],"Push")&amp;" ("&amp;ROUND(COUNTIFS(Tracker[Bet %],"&gt;="&amp;BT20,Tracker[Bet %],"&lt;"&amp;BT21,Tracker[Result],"W")/(COUNTIFS(Tracker[Bet %],"&gt;="&amp;BT20,Tracker[Bet %],"&lt;"&amp;BT21,Tracker[Result],"L")+COUNTIFS(Tracker[Bet %],"&gt;="&amp;BT20,Tracker[Bet %],"&lt;"&amp;BT21,Tracker[Result],"W"))*100,2)&amp;"%)","No Bets")</f>
        <v>1-1-0 (50%)</v>
      </c>
      <c r="BW20">
        <f>SUMIFS(Tracker[Net],Tracker[Bet %],"&gt;="&amp;BT20,Tracker[Bet %],"&lt;"&amp;BT21)</f>
        <v>-9.0909090909090939E-2</v>
      </c>
      <c r="BX20" s="24" t="str">
        <f>IFERROR(IF(ROUND((SUMIFS(Tracker[Net],Tracker[Bet %],"&gt;="&amp;$BG20,Tracker[Bet %],"&lt;"&amp;$BG21,Tracker[Bet Type],BX$1))/COUNTIFS(Tracker[Bet %],"&gt;="&amp;$BG20,Tracker[Bet %],"&lt;"&amp;$BG21,Tracker[Bet Type],BX$1),2)&gt;0.05,"X",IF(ROUND((SUMIFS(Tracker[Net],Tracker[Bet %],"&gt;="&amp;$BG20,Tracker[Bet %],"&lt;"&amp;$BG21,Tracker[Bet Type],BX$1))/COUNTIFS(Tracker[Bet %],"&gt;="&amp;$BG20,Tracker[Bet %],"&lt;"&amp;$BG21,Tracker[Bet Type],BX$1),2)&lt;-0.15,"O","")),"")</f>
        <v/>
      </c>
      <c r="BY20" s="24" t="str">
        <f>IFERROR(IF(ROUND((SUMIFS(Tracker[Net],Tracker[Bet %],"&gt;="&amp;$BG20,Tracker[Bet %],"&lt;"&amp;$BG21,Tracker[Bet Type],BY$1))/COUNTIFS(Tracker[Bet %],"&gt;="&amp;$BG20,Tracker[Bet %],"&lt;"&amp;$BG21,Tracker[Bet Type],BY$1),2)&gt;0.05,"X",IF(ROUND((SUMIFS(Tracker[Net],Tracker[Bet %],"&gt;="&amp;$BG20,Tracker[Bet %],"&lt;"&amp;$BG21,Tracker[Bet Type],BY$1))/COUNTIFS(Tracker[Bet %],"&gt;="&amp;$BG20,Tracker[Bet %],"&lt;"&amp;$BG21,Tracker[Bet Type],BY$1),2)&lt;-0.15,"O","")),"")</f>
        <v/>
      </c>
      <c r="BZ20" s="24" t="str">
        <f>IFERROR(IF(ROUND((SUMIFS(Tracker[Net],Tracker[Bet %],"&gt;="&amp;$BG20,Tracker[Bet %],"&lt;"&amp;$BG21,Tracker[Bet Type],BZ$1))/COUNTIFS(Tracker[Bet %],"&gt;="&amp;$BG20,Tracker[Bet %],"&lt;"&amp;$BG21,Tracker[Bet Type],BZ$1),2)&gt;0.05,"X",IF(ROUND((SUMIFS(Tracker[Net],Tracker[Bet %],"&gt;="&amp;$BG20,Tracker[Bet %],"&lt;"&amp;$BG21,Tracker[Bet Type],BZ$1))/COUNTIFS(Tracker[Bet %],"&gt;="&amp;$BG20,Tracker[Bet %],"&lt;"&amp;$BG21,Tracker[Bet Type],BZ$1),2)&lt;-0.15,"O","")),"")</f>
        <v/>
      </c>
      <c r="CA20" s="24" t="str">
        <f>IFERROR(IF(ROUND((SUMIFS(Tracker[Net],Tracker[Bet %],"&gt;="&amp;$BG20,Tracker[Bet %],"&lt;"&amp;$BG21,Tracker[Bet Type],CA$1))/COUNTIFS(Tracker[Bet %],"&gt;="&amp;$BG20,Tracker[Bet %],"&lt;"&amp;$BG21,Tracker[Bet Type],CA$1),2)&gt;0.05,"X",IF(ROUND((SUMIFS(Tracker[Net],Tracker[Bet %],"&gt;="&amp;$BG20,Tracker[Bet %],"&lt;"&amp;$BG21,Tracker[Bet Type],CA$1))/COUNTIFS(Tracker[Bet %],"&gt;="&amp;$BG20,Tracker[Bet %],"&lt;"&amp;$BG21,Tracker[Bet Type],CA$1),2)&lt;-0.15,"O","")),"")</f>
        <v/>
      </c>
      <c r="CB20" s="24" t="str">
        <f>IFERROR(IF(ROUND((SUMIFS(Tracker[Net],Tracker[Bet %],"&gt;="&amp;$BG20,Tracker[Bet %],"&lt;"&amp;$BG21,Tracker[Bet Type Drill Down],CB$1))/COUNTIFS(Tracker[Bet %],"&gt;="&amp;$BG20,Tracker[Bet %],"&lt;"&amp;$BG21,Tracker[Bet Type Drill Down],CB$1),2)&gt;0.05,"X",IF(ROUND((SUMIFS(Tracker[Net],Tracker[Bet %],"&gt;="&amp;$BG20,Tracker[Bet %],"&lt;"&amp;$BG21,Tracker[Bet Type Drill Down],CB$1))/COUNTIFS(Tracker[Bet %],"&gt;="&amp;$BG20,Tracker[Bet %],"&lt;"&amp;$BG21,Tracker[Bet Type Drill Down],CB$1),2)&lt;-0.15,"O","")),"")</f>
        <v/>
      </c>
      <c r="CC20" s="24" t="str">
        <f>IFERROR(IF(ROUND((SUMIFS(Tracker[Net],Tracker[Bet %],"&gt;="&amp;$BG20,Tracker[Bet %],"&lt;"&amp;$BG21,Tracker[Bet Type Drill Down],CC$1))/COUNTIFS(Tracker[Bet %],"&gt;="&amp;$BG20,Tracker[Bet %],"&lt;"&amp;$BG21,Tracker[Bet Type Drill Down],CC$1),2)&gt;0.05,"X",IF(ROUND((SUMIFS(Tracker[Net],Tracker[Bet %],"&gt;="&amp;$BG20,Tracker[Bet %],"&lt;"&amp;$BG21,Tracker[Bet Type Drill Down],CC$1))/COUNTIFS(Tracker[Bet %],"&gt;="&amp;$BG20,Tracker[Bet %],"&lt;"&amp;$BG21,Tracker[Bet Type Drill Down],CC$1),2)&lt;-0.15,"O","")),"")</f>
        <v/>
      </c>
      <c r="CD20" s="24" t="str">
        <f>IFERROR(IF(ROUND((SUMIFS(Tracker[Net],Tracker[Bet %],"&gt;="&amp;$BG20,Tracker[Bet %],"&lt;"&amp;$BG21,Tracker[Bet Type Drill Down],CD$1))/COUNTIFS(Tracker[Bet %],"&gt;="&amp;$BG20,Tracker[Bet %],"&lt;"&amp;$BG21,Tracker[Bet Type Drill Down],CD$1),2)&gt;0.05,"X",IF(ROUND((SUMIFS(Tracker[Net],Tracker[Bet %],"&gt;="&amp;$BG20,Tracker[Bet %],"&lt;"&amp;$BG21,Tracker[Bet Type Drill Down],CD$1))/COUNTIFS(Tracker[Bet %],"&gt;="&amp;$BG20,Tracker[Bet %],"&lt;"&amp;$BG21,Tracker[Bet Type Drill Down],CD$1),2)&lt;-0.15,"O","")),"")</f>
        <v/>
      </c>
      <c r="CE20" s="24" t="str">
        <f>IFERROR(IF(ROUND((SUMIFS(Tracker[Net],Tracker[Bet %],"&gt;="&amp;$BG20,Tracker[Bet %],"&lt;"&amp;$BG21,Tracker[Bet Type Drill Down],CE$1))/COUNTIFS(Tracker[Bet %],"&gt;="&amp;$BG20,Tracker[Bet %],"&lt;"&amp;$BG21,Tracker[Bet Type Drill Down],CE$1),2)&gt;0.05,"X",IF(ROUND((SUMIFS(Tracker[Net],Tracker[Bet %],"&gt;="&amp;$BG20,Tracker[Bet %],"&lt;"&amp;$BG21,Tracker[Bet Type Drill Down],CE$1))/COUNTIFS(Tracker[Bet %],"&gt;="&amp;$BG20,Tracker[Bet %],"&lt;"&amp;$BG21,Tracker[Bet Type Drill Down],CE$1),2)&lt;-0.15,"O","")),"")</f>
        <v/>
      </c>
    </row>
    <row r="21" spans="1:83" x14ac:dyDescent="0.25">
      <c r="A21" s="36">
        <f t="shared" si="9"/>
        <v>2</v>
      </c>
      <c r="B21" s="25">
        <v>43804</v>
      </c>
      <c r="C21" s="25" t="str">
        <f t="shared" si="7"/>
        <v>NBA</v>
      </c>
      <c r="D21" s="26" t="s">
        <v>808</v>
      </c>
      <c r="E21" s="27" t="s">
        <v>810</v>
      </c>
      <c r="F21" s="67">
        <v>0.62709964276573049</v>
      </c>
      <c r="G21" s="29">
        <v>-110</v>
      </c>
      <c r="H21" s="30" t="s">
        <v>56</v>
      </c>
      <c r="I21" s="44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1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21" s="32" t="str">
        <f>MID(Tracker[[#This Row],[Game]],SEARCH("@",Tracker[[#This Row],[Game]])+2,LEN(Tracker[[#This Row],[Game]]))</f>
        <v>Knicks</v>
      </c>
      <c r="L21" s="32" t="str">
        <f>LEFT(Tracker[[#This Row],[Game]],SEARCH("@",Tracker[[#This Row],[Game]])-2)</f>
        <v>Nuggets</v>
      </c>
      <c r="M2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21" s="123"/>
      <c r="O21" s="147"/>
      <c r="P21" s="147"/>
      <c r="Q21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1" s="147" t="e">
        <f>IF(AND(Tracker[[#This Row],[Money %]]&lt;&gt;"",Tracker[[#This Row],[Bet %]]&lt;&gt;""),Tracker[[#This Row],[Money %]]-Tracker[[#This Row],[Bet %]],NA())</f>
        <v>#N/A</v>
      </c>
      <c r="S21" s="109"/>
      <c r="T21" s="109"/>
      <c r="U21" s="56">
        <f>IFERROR(INDEX($A$4:$B10017,MATCH(ROW()-3,$A$4:$A$4:$A1017,0),2),0)</f>
        <v>43840</v>
      </c>
      <c r="V21" s="33" t="str">
        <f>COUNTIFS(Tracker[Date],U21,Tracker[Result],"W")&amp;"-"&amp;COUNTIFS(Tracker[Date],U21,Tracker[Result],"L")&amp;IF(COUNTIFS(Tracker[Date],U21,Tracker[Result],"Push")&gt;0,"-"&amp;COUNTIFS(Tracker[Date],U21,Tracker[Result],"Push"),"")</f>
        <v>7-8</v>
      </c>
      <c r="W21" s="34">
        <f>IFERROR(COUNTIFS(Tracker[Date],U21,Tracker[Result],"W")/(COUNTIFS(Tracker[Date],U21,Tracker[Result],"W")+COUNTIFS(Tracker[Date],U21,Tracker[Result],"L")),"")</f>
        <v>0.46666666666666667</v>
      </c>
      <c r="X21" s="61">
        <f>SUMIF(Tracker[Date],U21,Tracker[Net])</f>
        <v>-1.6363636363636365</v>
      </c>
      <c r="Y21" s="35" t="str">
        <f>IFERROR("("&amp;ROUND(SUMIF(Tracker[Date],U21,Tracker[Net])/COUNTIF(Tracker[Date],U21),2)*100&amp;"%)","")</f>
        <v>(-11%)</v>
      </c>
      <c r="AA21" s="37" t="s">
        <v>260</v>
      </c>
      <c r="AB21" s="43">
        <f>COUNTIFS(Tracker[Result],"W")/(COUNTIFS(Tracker[Result],"L")+COUNTIFS(Tracker[Result],"W"))</f>
        <v>0.51111111111111107</v>
      </c>
      <c r="AF21" s="36">
        <f t="shared" si="11"/>
        <v>0.90000000000000024</v>
      </c>
      <c r="AG21" s="66" t="str">
        <f t="shared" si="0"/>
        <v>90-95%</v>
      </c>
      <c r="AH21" s="124" t="str">
        <f>IFERROR(COUNTIFS(Tracker[Cover %],"&gt;="&amp;AF21,Tracker[Cover %],"&lt;"&amp;AF22,Tracker[Result],"W")&amp;"-"&amp;COUNTIFS(Tracker[Cover %],"&gt;="&amp;AF21,Tracker[Cover %],"&lt;"&amp;AF22,Tracker[Result],"L")&amp;"-"&amp;COUNTIFS(Tracker[Cover %],"&gt;="&amp;AF21,Tracker[Cover %],"&lt;"&amp;AF22,Tracker[Result],"Push")&amp;" ("&amp;ROUND(COUNTIFS(Tracker[Cover %],"&gt;="&amp;AF21,Tracker[Cover %],"&lt;"&amp;AF22,Tracker[Result],"W")/(COUNTIFS(Tracker[Cover %],"&gt;="&amp;AF21,Tracker[Cover %],"&lt;"&amp;AF22,Tracker[Result],"L")+COUNTIFS(Tracker[Cover %],"&gt;="&amp;AF21,Tracker[Cover %],"&lt;"&amp;AF22,Tracker[Result],"W"))*100,2)&amp;"%)","No Bets")</f>
        <v>No Bets</v>
      </c>
      <c r="AI21" s="72">
        <f>SUMIFS(Tracker[Net],Tracker[Cover %],"&gt;="&amp;AF21,Tracker[Cover %],"&lt;"&amp;AF22)</f>
        <v>0</v>
      </c>
      <c r="AJ21" s="24" t="str">
        <f>IFERROR(IF(ROUND((SUMIFS(Tracker[Net],Tracker[Cover %],"&gt;="&amp;$AF21,Tracker[Cover %],"&lt;"&amp;$AF22,Tracker[Bet Type],AJ$2))/COUNTIFS(Tracker[Cover %],"&gt;="&amp;$AF21,Tracker[Cover %],"&lt;"&amp;$AF22,Tracker[Bet Type],AJ$2),2)&gt;0.05,"X",IF(ROUND((SUMIFS(Tracker[Net],Tracker[Cover %],"&gt;="&amp;$AF21,Tracker[Cover %],"&lt;"&amp;$AF22,Tracker[Bet Type],AJ$2))/COUNTIFS(Tracker[Cover %],"&gt;="&amp;$AF21,Tracker[Cover %],"&lt;"&amp;$AF22,Tracker[Bet Type],AJ$2),2)&lt;-0.15,"O","")),"")</f>
        <v/>
      </c>
      <c r="AK21" s="24" t="str">
        <f>IFERROR(IF(ROUND((SUMIFS(Tracker[Net],Tracker[Cover %],"&gt;="&amp;$AF21,Tracker[Cover %],"&lt;"&amp;$AF22,Tracker[Bet Type],AK$2))/COUNTIFS(Tracker[Cover %],"&gt;="&amp;$AF21,Tracker[Cover %],"&lt;"&amp;$AF22,Tracker[Bet Type],AK$2),2)&gt;0.05,"X",IF(ROUND((SUMIFS(Tracker[Net],Tracker[Cover %],"&gt;="&amp;$AF21,Tracker[Cover %],"&lt;"&amp;$AF22,Tracker[Bet Type],AK$2))/COUNTIFS(Tracker[Cover %],"&gt;="&amp;$AF21,Tracker[Cover %],"&lt;"&amp;$AF22,Tracker[Bet Type],AK$2),2)&lt;-0.15,"O","")),"")</f>
        <v/>
      </c>
      <c r="AL21" s="24" t="str">
        <f>IFERROR(IF(ROUND((SUMIFS(Tracker[Net],Tracker[Cover %],"&gt;="&amp;$AF21,Tracker[Cover %],"&lt;"&amp;$AF22,Tracker[Bet Type],AL$2))/COUNTIFS(Tracker[Cover %],"&gt;="&amp;$AF21,Tracker[Cover %],"&lt;"&amp;$AF22,Tracker[Bet Type],AL$2),2)&gt;0.05,"X",IF(ROUND((SUMIFS(Tracker[Net],Tracker[Cover %],"&gt;="&amp;$AF21,Tracker[Cover %],"&lt;"&amp;$AF22,Tracker[Bet Type],AL$2))/COUNTIFS(Tracker[Cover %],"&gt;="&amp;$AF21,Tracker[Cover %],"&lt;"&amp;$AF22,Tracker[Bet Type],AL$2),2)&lt;-0.15,"O","")),"")</f>
        <v/>
      </c>
      <c r="AM21" s="24" t="str">
        <f>IFERROR(IF(ROUND((SUMIFS(Tracker[Net],Tracker[Cover %],"&gt;="&amp;$AF21,Tracker[Cover %],"&lt;"&amp;$AF22,Tracker[Bet Type],AM$2))/COUNTIFS(Tracker[Cover %],"&gt;="&amp;$AF21,Tracker[Cover %],"&lt;"&amp;$AF22,Tracker[Bet Type],AM$2),2)&gt;0.05,"X",IF(ROUND((SUMIFS(Tracker[Net],Tracker[Cover %],"&gt;="&amp;$AF21,Tracker[Cover %],"&lt;"&amp;$AF22,Tracker[Bet Type],AM$2))/COUNTIFS(Tracker[Cover %],"&gt;="&amp;$AF21,Tracker[Cover %],"&lt;"&amp;$AF22,Tracker[Bet Type],AM$2),2)&lt;-0.15,"O","")),"")</f>
        <v/>
      </c>
      <c r="AN21" s="24" t="str">
        <f>IFERROR(IF(ROUND((SUMIFS(Tracker[Net],Tracker[Cover %],"&gt;="&amp;$AF21,Tracker[Cover %],"&lt;"&amp;$AF22,Tracker[Bet Type Drill Down],AN$2))/COUNTIFS(Tracker[Cover %],"&gt;="&amp;$AF21,Tracker[Cover %],"&lt;"&amp;$AF22,Tracker[Bet Type Drill Down],AN$2),2)&gt;0.05,"X",IF(ROUND((SUMIFS(Tracker[Net],Tracker[Cover %],"&gt;="&amp;$AF21,Tracker[Cover %],"&lt;"&amp;$AF22,Tracker[Bet Type Drill Down],AN$2))/COUNTIFS(Tracker[Cover %],"&gt;="&amp;$AF21,Tracker[Cover %],"&lt;"&amp;$AF22,Tracker[Bet Type Drill Down],AN$2),2)&lt;-0.15,"O","")),"")</f>
        <v/>
      </c>
      <c r="AO21" s="24" t="str">
        <f>IFERROR(IF(ROUND((SUMIFS(Tracker[Net],Tracker[Cover %],"&gt;="&amp;$AF21,Tracker[Cover %],"&lt;"&amp;$AF22,Tracker[Bet Type Drill Down],AO$2))/COUNTIFS(Tracker[Cover %],"&gt;="&amp;$AF21,Tracker[Cover %],"&lt;"&amp;$AF22,Tracker[Bet Type Drill Down],AO$2),2)&gt;0.05,"X",IF(ROUND((SUMIFS(Tracker[Net],Tracker[Cover %],"&gt;="&amp;$AF21,Tracker[Cover %],"&lt;"&amp;$AF22,Tracker[Bet Type Drill Down],AO$2))/COUNTIFS(Tracker[Cover %],"&gt;="&amp;$AF21,Tracker[Cover %],"&lt;"&amp;$AF22,Tracker[Bet Type Drill Down],AO$2),2)&lt;-0.15,"O","")),"")</f>
        <v/>
      </c>
      <c r="AP21" s="24" t="str">
        <f>IFERROR(IF(ROUND((SUMIFS(Tracker[Net],Tracker[Cover %],"&gt;="&amp;$AF21,Tracker[Cover %],"&lt;"&amp;$AF22,Tracker[Bet Type Drill Down],AP$2))/COUNTIFS(Tracker[Cover %],"&gt;="&amp;$AF21,Tracker[Cover %],"&lt;"&amp;$AF22,Tracker[Bet Type Drill Down],AP$2),2)&gt;0.05,"X",IF(ROUND((SUMIFS(Tracker[Net],Tracker[Cover %],"&gt;="&amp;$AF21,Tracker[Cover %],"&lt;"&amp;$AF22,Tracker[Bet Type Drill Down],AP$2))/COUNTIFS(Tracker[Cover %],"&gt;="&amp;$AF21,Tracker[Cover %],"&lt;"&amp;$AF22,Tracker[Bet Type Drill Down],AP$2),2)&lt;-0.15,"O","")),"")</f>
        <v/>
      </c>
      <c r="AQ21" s="24" t="str">
        <f>IFERROR(IF(ROUND((SUMIFS(Tracker[Net],Tracker[Cover %],"&gt;="&amp;$AF21,Tracker[Cover %],"&lt;"&amp;$AF22,Tracker[Bet Type Drill Down],AQ$2))/COUNTIFS(Tracker[Cover %],"&gt;="&amp;$AF21,Tracker[Cover %],"&lt;"&amp;$AF22,Tracker[Bet Type Drill Down],AQ$2),2)&gt;0.05,"X",IF(ROUND((SUMIFS(Tracker[Net],Tracker[Cover %],"&gt;="&amp;$AF21,Tracker[Cover %],"&lt;"&amp;$AF22,Tracker[Bet Type Drill Down],AQ$2))/COUNTIFS(Tracker[Cover %],"&gt;="&amp;$AF21,Tracker[Cover %],"&lt;"&amp;$AF22,Tracker[Bet Type Drill Down],AQ$2),2)&lt;-0.15,"O","")),"")</f>
        <v/>
      </c>
      <c r="AT21" s="153">
        <f t="shared" si="1"/>
        <v>-4.9999999999999684E-2</v>
      </c>
      <c r="AU21" s="39" t="str">
        <f t="shared" si="2"/>
        <v>-5  to  0%</v>
      </c>
      <c r="AV21" t="str">
        <f>IFERROR(COUNTIFS(Tracker[Money Discrepency],"&gt;="&amp;AT21,Tracker[Money Discrepency],"&lt;"&amp;AT22,Tracker[Result],"W")&amp;"-"&amp;COUNTIFS(Tracker[Money Discrepency],"&gt;="&amp;AT21,Tracker[Money Discrepency],"&lt;"&amp;AT22,Tracker[Result],"L")&amp;"-"&amp;COUNTIFS(Tracker[Money Discrepency],"&gt;="&amp;AT21,Tracker[Money Discrepency],"&lt;"&amp;AT22,Tracker[Result],"Push")&amp;" ("&amp;ROUND(COUNTIFS(Tracker[Money Discrepency],"&gt;="&amp;AT21,Tracker[Money Discrepency],"&lt;"&amp;AT22,Tracker[Result],"W")/(COUNTIFS(Tracker[Money Discrepency],"&gt;="&amp;AT21,Tracker[Money Discrepency],"&lt;"&amp;AT22,Tracker[Result],"L")+COUNTIFS(Tracker[Money Discrepency],"&gt;="&amp;AT21,Tracker[Money Discrepency],"&lt;"&amp;AT22,Tracker[Result],"W"))*100,2)&amp;"%)","No Bets")</f>
        <v>12-6-0 (66.67%)</v>
      </c>
      <c r="AW21">
        <f>SUMIFS(Tracker[Net],Tracker[Money Discrepency],"&gt;="&amp;AT21,Tracker[Money Discrepency],"&lt;"&amp;AT22)</f>
        <v>4.9090909090909092</v>
      </c>
      <c r="AX21" s="24" t="str">
        <f>IFERROR(IF(ROUND((SUMIFS(Tracker[Net],Tracker[Money Discrepency],"&gt;="&amp;$AT21,Tracker[Money Discrepency],"&lt;"&amp;$AT22,Tracker[Bet Type],AX$1))/COUNTIFS(Tracker[Money Discrepency],"&gt;="&amp;$AT21,Tracker[Money Discrepency],"&lt;"&amp;$AT22,Tracker[Bet Type],AX$1),2)&gt;0.05,"X",IF(ROUND((SUMIFS(Tracker[Net],Tracker[Money Discrepency],"&gt;="&amp;$AT21,Tracker[Money Discrepency],"&lt;"&amp;$AT22,Tracker[Bet Type],AX$1))/COUNTIFS(Tracker[Money Discrepency],"&gt;="&amp;$AT21,Tracker[Money Discrepency],"&lt;"&amp;$AT22,Tracker[Bet Type],AX$1),2)&lt;-0.15,"O","")),"")</f>
        <v>X</v>
      </c>
      <c r="AY21" s="24" t="str">
        <f>IFERROR(IF(ROUND((SUMIFS(Tracker[Net],Tracker[Money Discrepency],"&gt;="&amp;$AT21,Tracker[Money Discrepency],"&lt;"&amp;$AT22,Tracker[Bet Type],AY$1))/COUNTIFS(Tracker[Money Discrepency],"&gt;="&amp;$AT21,Tracker[Money Discrepency],"&lt;"&amp;$AT22,Tracker[Bet Type],AY$1),2)&gt;0.05,"X",IF(ROUND((SUMIFS(Tracker[Net],Tracker[Money Discrepency],"&gt;="&amp;$AT21,Tracker[Money Discrepency],"&lt;"&amp;$AT22,Tracker[Bet Type],AY$1))/COUNTIFS(Tracker[Money Discrepency],"&gt;="&amp;$AT21,Tracker[Money Discrepency],"&lt;"&amp;$AT22,Tracker[Bet Type],AY$1),2)&lt;-0.15,"O","")),"")</f>
        <v/>
      </c>
      <c r="AZ21" s="24" t="str">
        <f>IFERROR(IF(ROUND((SUMIFS(Tracker[Net],Tracker[Money Discrepency],"&gt;="&amp;$AT21,Tracker[Money Discrepency],"&lt;"&amp;$AT22,Tracker[Bet Type],AZ$1))/COUNTIFS(Tracker[Money Discrepency],"&gt;="&amp;$AT21,Tracker[Money Discrepency],"&lt;"&amp;$AT22,Tracker[Bet Type],AZ$1),2)&gt;0.05,"X",IF(ROUND((SUMIFS(Tracker[Net],Tracker[Money Discrepency],"&gt;="&amp;$AT21,Tracker[Money Discrepency],"&lt;"&amp;$AT22,Tracker[Bet Type],AZ$1))/COUNTIFS(Tracker[Money Discrepency],"&gt;="&amp;$AT21,Tracker[Money Discrepency],"&lt;"&amp;$AT22,Tracker[Bet Type],AZ$1),2)&lt;-0.15,"O","")),"")</f>
        <v>X</v>
      </c>
      <c r="BA21" s="24" t="str">
        <f>IFERROR(IF(ROUND((SUMIFS(Tracker[Net],Tracker[Money Discrepency],"&gt;="&amp;$AT21,Tracker[Money Discrepency],"&lt;"&amp;$AT22,Tracker[Bet Type],BA$1))/COUNTIFS(Tracker[Money Discrepency],"&gt;="&amp;$AT21,Tracker[Money Discrepency],"&lt;"&amp;$AT22,Tracker[Bet Type],BA$1),2)&gt;0.05,"X",IF(ROUND((SUMIFS(Tracker[Net],Tracker[Money Discrepency],"&gt;="&amp;$AT21,Tracker[Money Discrepency],"&lt;"&amp;$AT22,Tracker[Bet Type],BA$1))/COUNTIFS(Tracker[Money Discrepency],"&gt;="&amp;$AT21,Tracker[Money Discrepency],"&lt;"&amp;$AT22,Tracker[Bet Type],BA$1),2)&lt;-0.15,"O","")),"")</f>
        <v>X</v>
      </c>
      <c r="BB21" s="24" t="str">
        <f>IFERROR(IF(ROUND((SUMIFS(Tracker[Net],Tracker[Money Discrepency],"&gt;="&amp;$AT21,Tracker[Money Discrepency],"&lt;"&amp;$AT22,Tracker[Bet Type Drill Down],BB$1))/COUNTIFS(Tracker[Money Discrepency],"&gt;="&amp;$AT21,Tracker[Money Discrepency],"&lt;"&amp;$AT22,Tracker[Bet Type Drill Down],BB$1),2)&gt;0.05,"X",IF(ROUND((SUMIFS(Tracker[Net],Tracker[Money Discrepency],"&gt;="&amp;$AT21,Tracker[Money Discrepency],"&lt;"&amp;$AT22,Tracker[Bet Type Drill Down],BB$1))/COUNTIFS(Tracker[Money Discrepency],"&gt;="&amp;$AT21,Tracker[Money Discrepency],"&lt;"&amp;$AT22,Tracker[Bet Type Drill Down],BB$1),2)&lt;-0.15,"O","")),"")</f>
        <v>X</v>
      </c>
      <c r="BC21" s="24" t="str">
        <f>IFERROR(IF(ROUND((SUMIFS(Tracker[Net],Tracker[Money Discrepency],"&gt;="&amp;$AT21,Tracker[Money Discrepency],"&lt;"&amp;$AT22,Tracker[Bet Type Drill Down],BC$1))/COUNTIFS(Tracker[Money Discrepency],"&gt;="&amp;$AT21,Tracker[Money Discrepency],"&lt;"&amp;$AT22,Tracker[Bet Type Drill Down],BC$1),2)&gt;0.05,"X",IF(ROUND((SUMIFS(Tracker[Net],Tracker[Money Discrepency],"&gt;="&amp;$AT21,Tracker[Money Discrepency],"&lt;"&amp;$AT22,Tracker[Bet Type Drill Down],BC$1))/COUNTIFS(Tracker[Money Discrepency],"&gt;="&amp;$AT21,Tracker[Money Discrepency],"&lt;"&amp;$AT22,Tracker[Bet Type Drill Down],BC$1),2)&lt;-0.15,"O","")),"")</f>
        <v/>
      </c>
      <c r="BD21" s="24" t="str">
        <f>IFERROR(IF(ROUND((SUMIFS(Tracker[Net],Tracker[Money Discrepency],"&gt;="&amp;$AT21,Tracker[Money Discrepency],"&lt;"&amp;$AT22,Tracker[Bet Type Drill Down],BD$1))/COUNTIFS(Tracker[Money Discrepency],"&gt;="&amp;$AT21,Tracker[Money Discrepency],"&lt;"&amp;$AT22,Tracker[Bet Type Drill Down],BD$1),2)&gt;0.05,"X",IF(ROUND((SUMIFS(Tracker[Net],Tracker[Money Discrepency],"&gt;="&amp;$AT21,Tracker[Money Discrepency],"&lt;"&amp;$AT22,Tracker[Bet Type Drill Down],BD$1))/COUNTIFS(Tracker[Money Discrepency],"&gt;="&amp;$AT21,Tracker[Money Discrepency],"&lt;"&amp;$AT22,Tracker[Bet Type Drill Down],BD$1),2)&lt;-0.15,"O","")),"")</f>
        <v>X</v>
      </c>
      <c r="BE21" s="24" t="str">
        <f>IFERROR(IF(ROUND((SUMIFS(Tracker[Net],Tracker[Money Discrepency],"&gt;="&amp;$AT21,Tracker[Money Discrepency],"&lt;"&amp;$AT22,Tracker[Bet Type Drill Down],BE$1))/COUNTIFS(Tracker[Money Discrepency],"&gt;="&amp;$AT21,Tracker[Money Discrepency],"&lt;"&amp;$AT22,Tracker[Bet Type Drill Down],BE$1),2)&gt;0.05,"X",IF(ROUND((SUMIFS(Tracker[Net],Tracker[Money Discrepency],"&gt;="&amp;$AT21,Tracker[Money Discrepency],"&lt;"&amp;$AT22,Tracker[Bet Type Drill Down],BE$1))/COUNTIFS(Tracker[Money Discrepency],"&gt;="&amp;$AT21,Tracker[Money Discrepency],"&lt;"&amp;$AT22,Tracker[Bet Type Drill Down],BE$1),2)&lt;-0.15,"O","")),"")</f>
        <v>X</v>
      </c>
      <c r="BG21" s="153">
        <f t="shared" si="3"/>
        <v>0.95000000000000029</v>
      </c>
      <c r="BH21" s="154" t="str">
        <f t="shared" si="4"/>
        <v>95  to  100%</v>
      </c>
      <c r="BI21" t="str">
        <f>IFERROR(COUNTIFS(Tracker[Money %],"&gt;="&amp;BG21,Tracker[Money %],"&lt;"&amp;BG22,Tracker[Result],"W")&amp;"-"&amp;COUNTIFS(Tracker[Money %],"&gt;="&amp;BG21,Tracker[Money %],"&lt;"&amp;BG22,Tracker[Result],"L")&amp;"-"&amp;COUNTIFS(Tracker[Money %],"&gt;="&amp;BG21,Tracker[Money %],"&lt;"&amp;BG22,Tracker[Result],"Push")&amp;" ("&amp;ROUND(COUNTIFS(Tracker[Money %],"&gt;="&amp;BG21,Tracker[Money %],"&lt;"&amp;BG22,Tracker[Result],"W")/(COUNTIFS(Tracker[Money %],"&gt;="&amp;BG21,Tracker[Money %],"&lt;"&amp;BG22,Tracker[Result],"L")+COUNTIFS(Tracker[Money %],"&gt;="&amp;BG21,Tracker[Money %],"&lt;"&amp;BG22,Tracker[Result],"W"))*100,2)&amp;"%)","No Bets")</f>
        <v>4-2-0 (66.67%)</v>
      </c>
      <c r="BJ21">
        <f>SUMIFS(Tracker[Net],Tracker[Money %],"&gt;="&amp;BG21,Tracker[Money %],"&lt;"&amp;BG22)</f>
        <v>1.6363636363636362</v>
      </c>
      <c r="BK21" s="24" t="str">
        <f>IFERROR(IF(ROUND((SUMIFS(Tracker[Net],Tracker[Money %],"&gt;="&amp;$BG21,Tracker[Money %],"&lt;"&amp;$BG22,Tracker[Bet Type],BK$1))/COUNTIFS(Tracker[Money %],"&gt;="&amp;$BG21,Tracker[Money %],"&lt;"&amp;$BG22,Tracker[Bet Type],BK$1),2)&gt;0.05,"X",IF(ROUND((SUMIFS(Tracker[Net],Tracker[Money %],"&gt;="&amp;$BG21,Tracker[Money %],"&lt;"&amp;$BG22,Tracker[Bet Type],BK$1))/COUNTIFS(Tracker[Money %],"&gt;="&amp;$BG21,Tracker[Money %],"&lt;"&amp;$BG22,Tracker[Bet Type],BK$1),2)&lt;-0.15,"O","")),"")</f>
        <v/>
      </c>
      <c r="BL21" s="24" t="str">
        <f>IFERROR(IF(ROUND((SUMIFS(Tracker[Net],Tracker[Money %],"&gt;="&amp;$BG21,Tracker[Money %],"&lt;"&amp;$BG22,Tracker[Bet Type],BL$1))/COUNTIFS(Tracker[Money %],"&gt;="&amp;$BG21,Tracker[Money %],"&lt;"&amp;$BG22,Tracker[Bet Type],BL$1),2)&gt;0.05,"X",IF(ROUND((SUMIFS(Tracker[Net],Tracker[Money %],"&gt;="&amp;$BG21,Tracker[Money %],"&lt;"&amp;$BG22,Tracker[Bet Type],BL$1))/COUNTIFS(Tracker[Money %],"&gt;="&amp;$BG21,Tracker[Money %],"&lt;"&amp;$BG22,Tracker[Bet Type],BL$1),2)&lt;-0.15,"O","")),"")</f>
        <v/>
      </c>
      <c r="BM21" s="24" t="str">
        <f>IFERROR(IF(ROUND((SUMIFS(Tracker[Net],Tracker[Money %],"&gt;="&amp;$BG21,Tracker[Money %],"&lt;"&amp;$BG22,Tracker[Bet Type],BM$1))/COUNTIFS(Tracker[Money %],"&gt;="&amp;$BG21,Tracker[Money %],"&lt;"&amp;$BG22,Tracker[Bet Type],BM$1),2)&gt;0.05,"X",IF(ROUND((SUMIFS(Tracker[Net],Tracker[Money %],"&gt;="&amp;$BG21,Tracker[Money %],"&lt;"&amp;$BG22,Tracker[Bet Type],BM$1))/COUNTIFS(Tracker[Money %],"&gt;="&amp;$BG21,Tracker[Money %],"&lt;"&amp;$BG22,Tracker[Bet Type],BM$1),2)&lt;-0.15,"O","")),"")</f>
        <v>X</v>
      </c>
      <c r="BN21" s="24" t="str">
        <f>IFERROR(IF(ROUND((SUMIFS(Tracker[Net],Tracker[Money %],"&gt;="&amp;$BG21,Tracker[Money %],"&lt;"&amp;$BG22,Tracker[Bet Type],BN$1))/COUNTIFS(Tracker[Money %],"&gt;="&amp;$BG21,Tracker[Money %],"&lt;"&amp;$BG22,Tracker[Bet Type],BN$1),2)&gt;0.05,"X",IF(ROUND((SUMIFS(Tracker[Net],Tracker[Money %],"&gt;="&amp;$BG21,Tracker[Money %],"&lt;"&amp;$BG22,Tracker[Bet Type],BN$1))/COUNTIFS(Tracker[Money %],"&gt;="&amp;$BG21,Tracker[Money %],"&lt;"&amp;$BG22,Tracker[Bet Type],BN$1),2)&lt;-0.15,"O","")),"")</f>
        <v>X</v>
      </c>
      <c r="BO21" s="24" t="str">
        <f>IFERROR(IF(ROUND((SUMIFS(Tracker[Net],Tracker[Money %],"&gt;="&amp;$BG21,Tracker[Money %],"&lt;"&amp;$BG22,Tracker[Bet Type Drill Down],BO$1))/COUNTIFS(Tracker[Money %],"&gt;="&amp;$BG21,Tracker[Money %],"&lt;"&amp;$BG22,Tracker[Bet Type Drill Down],BO$1),2)&gt;0.05,"X",IF(ROUND((SUMIFS(Tracker[Net],Tracker[Money %],"&gt;="&amp;$BG21,Tracker[Money %],"&lt;"&amp;$BG22,Tracker[Bet Type Drill Down],BO$1))/COUNTIFS(Tracker[Money %],"&gt;="&amp;$BG21,Tracker[Money %],"&lt;"&amp;$BG22,Tracker[Bet Type Drill Down],BO$1),2)&lt;-0.15,"O","")),"")</f>
        <v>X</v>
      </c>
      <c r="BP21" s="24" t="str">
        <f>IFERROR(IF(ROUND((SUMIFS(Tracker[Net],Tracker[Money %],"&gt;="&amp;$BG21,Tracker[Money %],"&lt;"&amp;$BG22,Tracker[Bet Type Drill Down],BP$1))/COUNTIFS(Tracker[Money %],"&gt;="&amp;$BG21,Tracker[Money %],"&lt;"&amp;$BG22,Tracker[Bet Type Drill Down],BP$1),2)&gt;0.05,"X",IF(ROUND((SUMIFS(Tracker[Net],Tracker[Money %],"&gt;="&amp;$BG21,Tracker[Money %],"&lt;"&amp;$BG22,Tracker[Bet Type Drill Down],BP$1))/COUNTIFS(Tracker[Money %],"&gt;="&amp;$BG21,Tracker[Money %],"&lt;"&amp;$BG22,Tracker[Bet Type Drill Down],BP$1),2)&lt;-0.15,"O","")),"")</f>
        <v/>
      </c>
      <c r="BQ21" s="24" t="str">
        <f>IFERROR(IF(ROUND((SUMIFS(Tracker[Net],Tracker[Money %],"&gt;="&amp;$BG21,Tracker[Money %],"&lt;"&amp;$BG22,Tracker[Bet Type Drill Down],BQ$1))/COUNTIFS(Tracker[Money %],"&gt;="&amp;$BG21,Tracker[Money %],"&lt;"&amp;$BG22,Tracker[Bet Type Drill Down],BQ$1),2)&gt;0.05,"X",IF(ROUND((SUMIFS(Tracker[Net],Tracker[Money %],"&gt;="&amp;$BG21,Tracker[Money %],"&lt;"&amp;$BG22,Tracker[Bet Type Drill Down],BQ$1))/COUNTIFS(Tracker[Money %],"&gt;="&amp;$BG21,Tracker[Money %],"&lt;"&amp;$BG22,Tracker[Bet Type Drill Down],BQ$1),2)&lt;-0.15,"O","")),"")</f>
        <v>X</v>
      </c>
      <c r="BR21" s="24" t="str">
        <f>IFERROR(IF(ROUND((SUMIFS(Tracker[Net],Tracker[Money %],"&gt;="&amp;$BG21,Tracker[Money %],"&lt;"&amp;$BG22,Tracker[Bet Type Drill Down],BR$1))/COUNTIFS(Tracker[Money %],"&gt;="&amp;$BG21,Tracker[Money %],"&lt;"&amp;$BG22,Tracker[Bet Type Drill Down],BR$1),2)&gt;0.05,"X",IF(ROUND((SUMIFS(Tracker[Net],Tracker[Money %],"&gt;="&amp;$BG21,Tracker[Money %],"&lt;"&amp;$BG22,Tracker[Bet Type Drill Down],BR$1))/COUNTIFS(Tracker[Money %],"&gt;="&amp;$BG21,Tracker[Money %],"&lt;"&amp;$BG22,Tracker[Bet Type Drill Down],BR$1),2)&lt;-0.15,"O","")),"")</f>
        <v/>
      </c>
      <c r="BT21" s="153">
        <f t="shared" si="5"/>
        <v>0.95000000000000029</v>
      </c>
      <c r="BU21" s="154" t="str">
        <f t="shared" ref="BU21" si="27">ROUND(BT21*100,0)&amp;"  to  "&amp;ROUND(BT22*100,0)&amp;"%"</f>
        <v>95  to  100%</v>
      </c>
      <c r="BV21" t="str">
        <f>IFERROR(COUNTIFS(Tracker[Bet %],"&gt;="&amp;BT21,Tracker[Bet %],"&lt;"&amp;BT22,Tracker[Result],"W")&amp;"-"&amp;COUNTIFS(Tracker[Bet %],"&gt;="&amp;BT21,Tracker[Bet %],"&lt;"&amp;BT22,Tracker[Result],"L")&amp;"-"&amp;COUNTIFS(Tracker[Bet %],"&gt;="&amp;BT21,Tracker[Bet %],"&lt;"&amp;BT22,Tracker[Result],"Push")&amp;" ("&amp;ROUND(COUNTIFS(Tracker[Bet %],"&gt;="&amp;BT21,Tracker[Bet %],"&lt;"&amp;BT22,Tracker[Result],"W")/(COUNTIFS(Tracker[Bet %],"&gt;="&amp;BT21,Tracker[Bet %],"&lt;"&amp;BT22,Tracker[Result],"L")+COUNTIFS(Tracker[Bet %],"&gt;="&amp;BT21,Tracker[Bet %],"&lt;"&amp;BT22,Tracker[Result],"W"))*100,2)&amp;"%)","No Bets")</f>
        <v>No Bets</v>
      </c>
      <c r="BW21">
        <f>SUMIFS(Tracker[Net],Tracker[Bet %],"&gt;="&amp;BT21,Tracker[Bet %],"&lt;"&amp;BT22)</f>
        <v>0</v>
      </c>
      <c r="BX21" s="24" t="str">
        <f>IFERROR(IF(ROUND((SUMIFS(Tracker[Net],Tracker[Bet %],"&gt;="&amp;$BG21,Tracker[Bet %],"&lt;"&amp;$BG22,Tracker[Bet Type],BX$1))/COUNTIFS(Tracker[Bet %],"&gt;="&amp;$BG21,Tracker[Bet %],"&lt;"&amp;$BG22,Tracker[Bet Type],BX$1),2)&gt;0.05,"X",IF(ROUND((SUMIFS(Tracker[Net],Tracker[Bet %],"&gt;="&amp;$BG21,Tracker[Bet %],"&lt;"&amp;$BG22,Tracker[Bet Type],BX$1))/COUNTIFS(Tracker[Bet %],"&gt;="&amp;$BG21,Tracker[Bet %],"&lt;"&amp;$BG22,Tracker[Bet Type],BX$1),2)&lt;-0.15,"O","")),"")</f>
        <v/>
      </c>
      <c r="BY21" s="24" t="str">
        <f>IFERROR(IF(ROUND((SUMIFS(Tracker[Net],Tracker[Bet %],"&gt;="&amp;$BG21,Tracker[Bet %],"&lt;"&amp;$BG22,Tracker[Bet Type],BY$1))/COUNTIFS(Tracker[Bet %],"&gt;="&amp;$BG21,Tracker[Bet %],"&lt;"&amp;$BG22,Tracker[Bet Type],BY$1),2)&gt;0.05,"X",IF(ROUND((SUMIFS(Tracker[Net],Tracker[Bet %],"&gt;="&amp;$BG21,Tracker[Bet %],"&lt;"&amp;$BG22,Tracker[Bet Type],BY$1))/COUNTIFS(Tracker[Bet %],"&gt;="&amp;$BG21,Tracker[Bet %],"&lt;"&amp;$BG22,Tracker[Bet Type],BY$1),2)&lt;-0.15,"O","")),"")</f>
        <v/>
      </c>
      <c r="BZ21" s="24" t="str">
        <f>IFERROR(IF(ROUND((SUMIFS(Tracker[Net],Tracker[Bet %],"&gt;="&amp;$BG21,Tracker[Bet %],"&lt;"&amp;$BG22,Tracker[Bet Type],BZ$1))/COUNTIFS(Tracker[Bet %],"&gt;="&amp;$BG21,Tracker[Bet %],"&lt;"&amp;$BG22,Tracker[Bet Type],BZ$1),2)&gt;0.05,"X",IF(ROUND((SUMIFS(Tracker[Net],Tracker[Bet %],"&gt;="&amp;$BG21,Tracker[Bet %],"&lt;"&amp;$BG22,Tracker[Bet Type],BZ$1))/COUNTIFS(Tracker[Bet %],"&gt;="&amp;$BG21,Tracker[Bet %],"&lt;"&amp;$BG22,Tracker[Bet Type],BZ$1),2)&lt;-0.15,"O","")),"")</f>
        <v/>
      </c>
      <c r="CA21" s="24" t="str">
        <f>IFERROR(IF(ROUND((SUMIFS(Tracker[Net],Tracker[Bet %],"&gt;="&amp;$BG21,Tracker[Bet %],"&lt;"&amp;$BG22,Tracker[Bet Type],CA$1))/COUNTIFS(Tracker[Bet %],"&gt;="&amp;$BG21,Tracker[Bet %],"&lt;"&amp;$BG22,Tracker[Bet Type],CA$1),2)&gt;0.05,"X",IF(ROUND((SUMIFS(Tracker[Net],Tracker[Bet %],"&gt;="&amp;$BG21,Tracker[Bet %],"&lt;"&amp;$BG22,Tracker[Bet Type],CA$1))/COUNTIFS(Tracker[Bet %],"&gt;="&amp;$BG21,Tracker[Bet %],"&lt;"&amp;$BG22,Tracker[Bet Type],CA$1),2)&lt;-0.15,"O","")),"")</f>
        <v/>
      </c>
      <c r="CB21" s="24" t="str">
        <f>IFERROR(IF(ROUND((SUMIFS(Tracker[Net],Tracker[Bet %],"&gt;="&amp;$BG21,Tracker[Bet %],"&lt;"&amp;$BG22,Tracker[Bet Type Drill Down],CB$1))/COUNTIFS(Tracker[Bet %],"&gt;="&amp;$BG21,Tracker[Bet %],"&lt;"&amp;$BG22,Tracker[Bet Type Drill Down],CB$1),2)&gt;0.05,"X",IF(ROUND((SUMIFS(Tracker[Net],Tracker[Bet %],"&gt;="&amp;$BG21,Tracker[Bet %],"&lt;"&amp;$BG22,Tracker[Bet Type Drill Down],CB$1))/COUNTIFS(Tracker[Bet %],"&gt;="&amp;$BG21,Tracker[Bet %],"&lt;"&amp;$BG22,Tracker[Bet Type Drill Down],CB$1),2)&lt;-0.15,"O","")),"")</f>
        <v/>
      </c>
      <c r="CC21" s="24" t="str">
        <f>IFERROR(IF(ROUND((SUMIFS(Tracker[Net],Tracker[Bet %],"&gt;="&amp;$BG21,Tracker[Bet %],"&lt;"&amp;$BG22,Tracker[Bet Type Drill Down],CC$1))/COUNTIFS(Tracker[Bet %],"&gt;="&amp;$BG21,Tracker[Bet %],"&lt;"&amp;$BG22,Tracker[Bet Type Drill Down],CC$1),2)&gt;0.05,"X",IF(ROUND((SUMIFS(Tracker[Net],Tracker[Bet %],"&gt;="&amp;$BG21,Tracker[Bet %],"&lt;"&amp;$BG22,Tracker[Bet Type Drill Down],CC$1))/COUNTIFS(Tracker[Bet %],"&gt;="&amp;$BG21,Tracker[Bet %],"&lt;"&amp;$BG22,Tracker[Bet Type Drill Down],CC$1),2)&lt;-0.15,"O","")),"")</f>
        <v/>
      </c>
      <c r="CD21" s="24" t="str">
        <f>IFERROR(IF(ROUND((SUMIFS(Tracker[Net],Tracker[Bet %],"&gt;="&amp;$BG21,Tracker[Bet %],"&lt;"&amp;$BG22,Tracker[Bet Type Drill Down],CD$1))/COUNTIFS(Tracker[Bet %],"&gt;="&amp;$BG21,Tracker[Bet %],"&lt;"&amp;$BG22,Tracker[Bet Type Drill Down],CD$1),2)&gt;0.05,"X",IF(ROUND((SUMIFS(Tracker[Net],Tracker[Bet %],"&gt;="&amp;$BG21,Tracker[Bet %],"&lt;"&amp;$BG22,Tracker[Bet Type Drill Down],CD$1))/COUNTIFS(Tracker[Bet %],"&gt;="&amp;$BG21,Tracker[Bet %],"&lt;"&amp;$BG22,Tracker[Bet Type Drill Down],CD$1),2)&lt;-0.15,"O","")),"")</f>
        <v/>
      </c>
      <c r="CE21" s="24" t="str">
        <f>IFERROR(IF(ROUND((SUMIFS(Tracker[Net],Tracker[Bet %],"&gt;="&amp;$BG21,Tracker[Bet %],"&lt;"&amp;$BG22,Tracker[Bet Type Drill Down],CE$1))/COUNTIFS(Tracker[Bet %],"&gt;="&amp;$BG21,Tracker[Bet %],"&lt;"&amp;$BG22,Tracker[Bet Type Drill Down],CE$1),2)&gt;0.05,"X",IF(ROUND((SUMIFS(Tracker[Net],Tracker[Bet %],"&gt;="&amp;$BG21,Tracker[Bet %],"&lt;"&amp;$BG22,Tracker[Bet Type Drill Down],CE$1))/COUNTIFS(Tracker[Bet %],"&gt;="&amp;$BG21,Tracker[Bet %],"&lt;"&amp;$BG22,Tracker[Bet Type Drill Down],CE$1),2)&lt;-0.15,"O","")),"")</f>
        <v/>
      </c>
    </row>
    <row r="22" spans="1:83" x14ac:dyDescent="0.25">
      <c r="A22" s="36">
        <f t="shared" si="9"/>
        <v>2</v>
      </c>
      <c r="B22" s="25">
        <v>43804</v>
      </c>
      <c r="C22" s="25" t="str">
        <f t="shared" si="7"/>
        <v>NBA</v>
      </c>
      <c r="D22" s="26" t="s">
        <v>811</v>
      </c>
      <c r="E22" s="27" t="s">
        <v>812</v>
      </c>
      <c r="F22" s="67">
        <v>0.64163506689755656</v>
      </c>
      <c r="G22" s="29">
        <v>-110</v>
      </c>
      <c r="H22" s="30" t="s">
        <v>56</v>
      </c>
      <c r="I22" s="44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2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22" s="32" t="str">
        <f>MID(Tracker[[#This Row],[Game]],SEARCH("@",Tracker[[#This Row],[Game]])+2,LEN(Tracker[[#This Row],[Game]]))</f>
        <v>Pelicans</v>
      </c>
      <c r="L22" s="32" t="str">
        <f>LEFT(Tracker[[#This Row],[Game]],SEARCH("@",Tracker[[#This Row],[Game]])-2)</f>
        <v>Suns</v>
      </c>
      <c r="M2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22" s="123"/>
      <c r="O22" s="147"/>
      <c r="P22" s="147"/>
      <c r="Q22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2" s="147" t="e">
        <f>IF(AND(Tracker[[#This Row],[Money %]]&lt;&gt;"",Tracker[[#This Row],[Bet %]]&lt;&gt;""),Tracker[[#This Row],[Money %]]-Tracker[[#This Row],[Bet %]],NA())</f>
        <v>#N/A</v>
      </c>
      <c r="S22" s="109"/>
      <c r="T22" s="109"/>
      <c r="U22" s="56">
        <f>IFERROR(INDEX($A$4:$B10018,MATCH(ROW()-3,$A$4:$A$4:$A1018,0),2),0)</f>
        <v>43843</v>
      </c>
      <c r="V22" s="33" t="str">
        <f>COUNTIFS(Tracker[Date],U22,Tracker[Result],"W")&amp;"-"&amp;COUNTIFS(Tracker[Date],U22,Tracker[Result],"L")&amp;IF(COUNTIFS(Tracker[Date],U22,Tracker[Result],"Push")&gt;0,"-"&amp;COUNTIFS(Tracker[Date],U22,Tracker[Result],"Push"),"")</f>
        <v>6-2</v>
      </c>
      <c r="W22" s="34">
        <f>IFERROR(COUNTIFS(Tracker[Date],U22,Tracker[Result],"W")/(COUNTIFS(Tracker[Date],U22,Tracker[Result],"W")+COUNTIFS(Tracker[Date],U22,Tracker[Result],"L")),"")</f>
        <v>0.75</v>
      </c>
      <c r="X22" s="61">
        <f>SUMIF(Tracker[Date],U22,Tracker[Net])</f>
        <v>3.4545454545454546</v>
      </c>
      <c r="Y22" s="35" t="str">
        <f>IFERROR("("&amp;ROUND(SUMIF(Tracker[Date],U22,Tracker[Net])/COUNTIF(Tracker[Date],U22),2)*100&amp;"%)","")</f>
        <v>(43%)</v>
      </c>
      <c r="Z22" s="36">
        <v>0.5</v>
      </c>
      <c r="AA22" s="45"/>
      <c r="AB22" s="46"/>
      <c r="AF22" s="36">
        <f t="shared" si="11"/>
        <v>0.95000000000000029</v>
      </c>
      <c r="AG22" s="66" t="str">
        <f t="shared" ref="AG22" si="28">AF22*100&amp;"-"&amp;AF23*100&amp;"%"</f>
        <v>95-100%</v>
      </c>
      <c r="AH22" s="126" t="str">
        <f>IFERROR(COUNTIFS(Tracker[Cover %],"&gt;="&amp;AF22,Tracker[Cover %],"&lt;"&amp;AF23,Tracker[Result],"W")&amp;"-"&amp;COUNTIFS(Tracker[Cover %],"&gt;="&amp;AF22,Tracker[Cover %],"&lt;"&amp;AF23,Tracker[Result],"L")&amp;"-"&amp;COUNTIFS(Tracker[Cover %],"&gt;="&amp;AF22,Tracker[Cover %],"&lt;"&amp;AF23,Tracker[Result],"Push")&amp;" ("&amp;ROUND(COUNTIFS(Tracker[Cover %],"&gt;="&amp;AF22,Tracker[Cover %],"&lt;"&amp;AF23,Tracker[Result],"W")/(COUNTIFS(Tracker[Cover %],"&gt;="&amp;AF22,Tracker[Cover %],"&lt;"&amp;AF23,Tracker[Result],"L")+COUNTIFS(Tracker[Cover %],"&gt;="&amp;AF22,Tracker[Cover %],"&lt;"&amp;AF23,Tracker[Result],"W"))*100,2)&amp;"%)","No Bets")</f>
        <v>No Bets</v>
      </c>
      <c r="AI22" s="72">
        <f>SUMIFS(Tracker[Net],Tracker[Cover %],"&gt;="&amp;AF22,Tracker[Cover %],"&lt;"&amp;AF23)</f>
        <v>0</v>
      </c>
      <c r="AJ22" s="24" t="str">
        <f>IFERROR(IF(ROUND((SUMIFS(Tracker[Net],Tracker[Cover %],"&gt;="&amp;$AF22,Tracker[Cover %],"&lt;"&amp;$AF23,Tracker[Bet Type],AJ$2))/COUNTIFS(Tracker[Cover %],"&gt;="&amp;$AF22,Tracker[Cover %],"&lt;"&amp;$AF23,Tracker[Bet Type],AJ$2),2)&gt;0.05,"X",IF(ROUND((SUMIFS(Tracker[Net],Tracker[Cover %],"&gt;="&amp;$AF22,Tracker[Cover %],"&lt;"&amp;$AF23,Tracker[Bet Type],AJ$2))/COUNTIFS(Tracker[Cover %],"&gt;="&amp;$AF22,Tracker[Cover %],"&lt;"&amp;$AF23,Tracker[Bet Type],AJ$2),2)&lt;-0.15,"O","")),"")</f>
        <v/>
      </c>
      <c r="AK22" s="24" t="str">
        <f>IFERROR(IF(ROUND((SUMIFS(Tracker[Net],Tracker[Cover %],"&gt;="&amp;$AF22,Tracker[Cover %],"&lt;"&amp;$AF23,Tracker[Bet Type],AK$2))/COUNTIFS(Tracker[Cover %],"&gt;="&amp;$AF22,Tracker[Cover %],"&lt;"&amp;$AF23,Tracker[Bet Type],AK$2),2)&gt;0.05,"X",IF(ROUND((SUMIFS(Tracker[Net],Tracker[Cover %],"&gt;="&amp;$AF22,Tracker[Cover %],"&lt;"&amp;$AF23,Tracker[Bet Type],AK$2))/COUNTIFS(Tracker[Cover %],"&gt;="&amp;$AF22,Tracker[Cover %],"&lt;"&amp;$AF23,Tracker[Bet Type],AK$2),2)&lt;-0.15,"O","")),"")</f>
        <v/>
      </c>
      <c r="AL22" s="24" t="str">
        <f>IFERROR(IF(ROUND((SUMIFS(Tracker[Net],Tracker[Cover %],"&gt;="&amp;$AF22,Tracker[Cover %],"&lt;"&amp;$AF23,Tracker[Bet Type],AL$2))/COUNTIFS(Tracker[Cover %],"&gt;="&amp;$AF22,Tracker[Cover %],"&lt;"&amp;$AF23,Tracker[Bet Type],AL$2),2)&gt;0.05,"X",IF(ROUND((SUMIFS(Tracker[Net],Tracker[Cover %],"&gt;="&amp;$AF22,Tracker[Cover %],"&lt;"&amp;$AF23,Tracker[Bet Type],AL$2))/COUNTIFS(Tracker[Cover %],"&gt;="&amp;$AF22,Tracker[Cover %],"&lt;"&amp;$AF23,Tracker[Bet Type],AL$2),2)&lt;-0.15,"O","")),"")</f>
        <v/>
      </c>
      <c r="AM22" s="24" t="str">
        <f>IFERROR(IF(ROUND((SUMIFS(Tracker[Net],Tracker[Cover %],"&gt;="&amp;$AF22,Tracker[Cover %],"&lt;"&amp;$AF23,Tracker[Bet Type],AM$2))/COUNTIFS(Tracker[Cover %],"&gt;="&amp;$AF22,Tracker[Cover %],"&lt;"&amp;$AF23,Tracker[Bet Type],AM$2),2)&gt;0.05,"X",IF(ROUND((SUMIFS(Tracker[Net],Tracker[Cover %],"&gt;="&amp;$AF22,Tracker[Cover %],"&lt;"&amp;$AF23,Tracker[Bet Type],AM$2))/COUNTIFS(Tracker[Cover %],"&gt;="&amp;$AF22,Tracker[Cover %],"&lt;"&amp;$AF23,Tracker[Bet Type],AM$2),2)&lt;-0.15,"O","")),"")</f>
        <v/>
      </c>
      <c r="AN22" s="24" t="str">
        <f>IFERROR(IF(ROUND((SUMIFS(Tracker[Net],Tracker[Cover %],"&gt;="&amp;$AF22,Tracker[Cover %],"&lt;"&amp;$AF23,Tracker[Bet Type Drill Down],AN$2))/COUNTIFS(Tracker[Cover %],"&gt;="&amp;$AF22,Tracker[Cover %],"&lt;"&amp;$AF23,Tracker[Bet Type Drill Down],AN$2),2)&gt;0.05,"X",IF(ROUND((SUMIFS(Tracker[Net],Tracker[Cover %],"&gt;="&amp;$AF22,Tracker[Cover %],"&lt;"&amp;$AF23,Tracker[Bet Type Drill Down],AN$2))/COUNTIFS(Tracker[Cover %],"&gt;="&amp;$AF22,Tracker[Cover %],"&lt;"&amp;$AF23,Tracker[Bet Type Drill Down],AN$2),2)&lt;-0.15,"O","")),"")</f>
        <v/>
      </c>
      <c r="AO22" s="24" t="str">
        <f>IFERROR(IF(ROUND((SUMIFS(Tracker[Net],Tracker[Cover %],"&gt;="&amp;$AF22,Tracker[Cover %],"&lt;"&amp;$AF23,Tracker[Bet Type Drill Down],AO$2))/COUNTIFS(Tracker[Cover %],"&gt;="&amp;$AF22,Tracker[Cover %],"&lt;"&amp;$AF23,Tracker[Bet Type Drill Down],AO$2),2)&gt;0.05,"X",IF(ROUND((SUMIFS(Tracker[Net],Tracker[Cover %],"&gt;="&amp;$AF22,Tracker[Cover %],"&lt;"&amp;$AF23,Tracker[Bet Type Drill Down],AO$2))/COUNTIFS(Tracker[Cover %],"&gt;="&amp;$AF22,Tracker[Cover %],"&lt;"&amp;$AF23,Tracker[Bet Type Drill Down],AO$2),2)&lt;-0.15,"O","")),"")</f>
        <v/>
      </c>
      <c r="AP22" s="24" t="str">
        <f>IFERROR(IF(ROUND((SUMIFS(Tracker[Net],Tracker[Cover %],"&gt;="&amp;$AF22,Tracker[Cover %],"&lt;"&amp;$AF23,Tracker[Bet Type Drill Down],AP$2))/COUNTIFS(Tracker[Cover %],"&gt;="&amp;$AF22,Tracker[Cover %],"&lt;"&amp;$AF23,Tracker[Bet Type Drill Down],AP$2),2)&gt;0.05,"X",IF(ROUND((SUMIFS(Tracker[Net],Tracker[Cover %],"&gt;="&amp;$AF22,Tracker[Cover %],"&lt;"&amp;$AF23,Tracker[Bet Type Drill Down],AP$2))/COUNTIFS(Tracker[Cover %],"&gt;="&amp;$AF22,Tracker[Cover %],"&lt;"&amp;$AF23,Tracker[Bet Type Drill Down],AP$2),2)&lt;-0.15,"O","")),"")</f>
        <v/>
      </c>
      <c r="AQ22" s="24" t="str">
        <f>IFERROR(IF(ROUND((SUMIFS(Tracker[Net],Tracker[Cover %],"&gt;="&amp;$AF22,Tracker[Cover %],"&lt;"&amp;$AF23,Tracker[Bet Type Drill Down],AQ$2))/COUNTIFS(Tracker[Cover %],"&gt;="&amp;$AF22,Tracker[Cover %],"&lt;"&amp;$AF23,Tracker[Bet Type Drill Down],AQ$2),2)&gt;0.05,"X",IF(ROUND((SUMIFS(Tracker[Net],Tracker[Cover %],"&gt;="&amp;$AF22,Tracker[Cover %],"&lt;"&amp;$AF23,Tracker[Bet Type Drill Down],AQ$2))/COUNTIFS(Tracker[Cover %],"&gt;="&amp;$AF22,Tracker[Cover %],"&lt;"&amp;$AF23,Tracker[Bet Type Drill Down],AQ$2),2)&lt;-0.15,"O","")),"")</f>
        <v/>
      </c>
      <c r="AT22" s="153">
        <f t="shared" si="1"/>
        <v>3.1918911957973251E-16</v>
      </c>
      <c r="AU22" s="39" t="str">
        <f t="shared" si="2"/>
        <v>0  to  5%</v>
      </c>
      <c r="AV22" t="str">
        <f>IFERROR(COUNTIFS(Tracker[Money Discrepency],"&gt;="&amp;AT22,Tracker[Money Discrepency],"&lt;"&amp;AT23,Tracker[Result],"W")&amp;"-"&amp;COUNTIFS(Tracker[Money Discrepency],"&gt;="&amp;AT22,Tracker[Money Discrepency],"&lt;"&amp;AT23,Tracker[Result],"L")&amp;"-"&amp;COUNTIFS(Tracker[Money Discrepency],"&gt;="&amp;AT22,Tracker[Money Discrepency],"&lt;"&amp;AT23,Tracker[Result],"Push")&amp;" ("&amp;ROUND(COUNTIFS(Tracker[Money Discrepency],"&gt;="&amp;AT22,Tracker[Money Discrepency],"&lt;"&amp;AT23,Tracker[Result],"W")/(COUNTIFS(Tracker[Money Discrepency],"&gt;="&amp;AT22,Tracker[Money Discrepency],"&lt;"&amp;AT23,Tracker[Result],"L")+COUNTIFS(Tracker[Money Discrepency],"&gt;="&amp;AT22,Tracker[Money Discrepency],"&lt;"&amp;AT23,Tracker[Result],"W"))*100,2)&amp;"%)","No Bets")</f>
        <v>9-9-1 (50%)</v>
      </c>
      <c r="AW22">
        <f>SUMIFS(Tracker[Net],Tracker[Money Discrepency],"&gt;="&amp;AT22,Tracker[Money Discrepency],"&lt;"&amp;AT23)</f>
        <v>-0.81818181818181823</v>
      </c>
      <c r="AX22" s="24" t="str">
        <f>IFERROR(IF(ROUND((SUMIFS(Tracker[Net],Tracker[Money Discrepency],"&gt;="&amp;$AT22,Tracker[Money Discrepency],"&lt;"&amp;$AT23,Tracker[Bet Type],AX$1))/COUNTIFS(Tracker[Money Discrepency],"&gt;="&amp;$AT22,Tracker[Money Discrepency],"&lt;"&amp;$AT23,Tracker[Bet Type],AX$1),2)&gt;0.05,"X",IF(ROUND((SUMIFS(Tracker[Net],Tracker[Money Discrepency],"&gt;="&amp;$AT22,Tracker[Money Discrepency],"&lt;"&amp;$AT23,Tracker[Bet Type],AX$1))/COUNTIFS(Tracker[Money Discrepency],"&gt;="&amp;$AT22,Tracker[Money Discrepency],"&lt;"&amp;$AT23,Tracker[Bet Type],AX$1),2)&lt;-0.15,"O","")),"")</f>
        <v>X</v>
      </c>
      <c r="AY22" s="24" t="str">
        <f>IFERROR(IF(ROUND((SUMIFS(Tracker[Net],Tracker[Money Discrepency],"&gt;="&amp;$AT22,Tracker[Money Discrepency],"&lt;"&amp;$AT23,Tracker[Bet Type],AY$1))/COUNTIFS(Tracker[Money Discrepency],"&gt;="&amp;$AT22,Tracker[Money Discrepency],"&lt;"&amp;$AT23,Tracker[Bet Type],AY$1),2)&gt;0.05,"X",IF(ROUND((SUMIFS(Tracker[Net],Tracker[Money Discrepency],"&gt;="&amp;$AT22,Tracker[Money Discrepency],"&lt;"&amp;$AT23,Tracker[Bet Type],AY$1))/COUNTIFS(Tracker[Money Discrepency],"&gt;="&amp;$AT22,Tracker[Money Discrepency],"&lt;"&amp;$AT23,Tracker[Bet Type],AY$1),2)&lt;-0.15,"O","")),"")</f>
        <v>X</v>
      </c>
      <c r="AZ22" s="24" t="str">
        <f>IFERROR(IF(ROUND((SUMIFS(Tracker[Net],Tracker[Money Discrepency],"&gt;="&amp;$AT22,Tracker[Money Discrepency],"&lt;"&amp;$AT23,Tracker[Bet Type],AZ$1))/COUNTIFS(Tracker[Money Discrepency],"&gt;="&amp;$AT22,Tracker[Money Discrepency],"&lt;"&amp;$AT23,Tracker[Bet Type],AZ$1),2)&gt;0.05,"X",IF(ROUND((SUMIFS(Tracker[Net],Tracker[Money Discrepency],"&gt;="&amp;$AT22,Tracker[Money Discrepency],"&lt;"&amp;$AT23,Tracker[Bet Type],AZ$1))/COUNTIFS(Tracker[Money Discrepency],"&gt;="&amp;$AT22,Tracker[Money Discrepency],"&lt;"&amp;$AT23,Tracker[Bet Type],AZ$1),2)&lt;-0.15,"O","")),"")</f>
        <v>O</v>
      </c>
      <c r="BA22" s="24" t="str">
        <f>IFERROR(IF(ROUND((SUMIFS(Tracker[Net],Tracker[Money Discrepency],"&gt;="&amp;$AT22,Tracker[Money Discrepency],"&lt;"&amp;$AT23,Tracker[Bet Type],BA$1))/COUNTIFS(Tracker[Money Discrepency],"&gt;="&amp;$AT22,Tracker[Money Discrepency],"&lt;"&amp;$AT23,Tracker[Bet Type],BA$1),2)&gt;0.05,"X",IF(ROUND((SUMIFS(Tracker[Net],Tracker[Money Discrepency],"&gt;="&amp;$AT22,Tracker[Money Discrepency],"&lt;"&amp;$AT23,Tracker[Bet Type],BA$1))/COUNTIFS(Tracker[Money Discrepency],"&gt;="&amp;$AT22,Tracker[Money Discrepency],"&lt;"&amp;$AT23,Tracker[Bet Type],BA$1),2)&lt;-0.15,"O","")),"")</f>
        <v>O</v>
      </c>
      <c r="BB22" s="24" t="str">
        <f>IFERROR(IF(ROUND((SUMIFS(Tracker[Net],Tracker[Money Discrepency],"&gt;="&amp;$AT22,Tracker[Money Discrepency],"&lt;"&amp;$AT23,Tracker[Bet Type Drill Down],BB$1))/COUNTIFS(Tracker[Money Discrepency],"&gt;="&amp;$AT22,Tracker[Money Discrepency],"&lt;"&amp;$AT23,Tracker[Bet Type Drill Down],BB$1),2)&gt;0.05,"X",IF(ROUND((SUMIFS(Tracker[Net],Tracker[Money Discrepency],"&gt;="&amp;$AT22,Tracker[Money Discrepency],"&lt;"&amp;$AT23,Tracker[Bet Type Drill Down],BB$1))/COUNTIFS(Tracker[Money Discrepency],"&gt;="&amp;$AT22,Tracker[Money Discrepency],"&lt;"&amp;$AT23,Tracker[Bet Type Drill Down],BB$1),2)&lt;-0.15,"O","")),"")</f>
        <v>O</v>
      </c>
      <c r="BC22" s="24" t="str">
        <f>IFERROR(IF(ROUND((SUMIFS(Tracker[Net],Tracker[Money Discrepency],"&gt;="&amp;$AT22,Tracker[Money Discrepency],"&lt;"&amp;$AT23,Tracker[Bet Type Drill Down],BC$1))/COUNTIFS(Tracker[Money Discrepency],"&gt;="&amp;$AT22,Tracker[Money Discrepency],"&lt;"&amp;$AT23,Tracker[Bet Type Drill Down],BC$1),2)&gt;0.05,"X",IF(ROUND((SUMIFS(Tracker[Net],Tracker[Money Discrepency],"&gt;="&amp;$AT22,Tracker[Money Discrepency],"&lt;"&amp;$AT23,Tracker[Bet Type Drill Down],BC$1))/COUNTIFS(Tracker[Money Discrepency],"&gt;="&amp;$AT22,Tracker[Money Discrepency],"&lt;"&amp;$AT23,Tracker[Bet Type Drill Down],BC$1),2)&lt;-0.15,"O","")),"")</f>
        <v>X</v>
      </c>
      <c r="BD22" s="24" t="str">
        <f>IFERROR(IF(ROUND((SUMIFS(Tracker[Net],Tracker[Money Discrepency],"&gt;="&amp;$AT22,Tracker[Money Discrepency],"&lt;"&amp;$AT23,Tracker[Bet Type Drill Down],BD$1))/COUNTIFS(Tracker[Money Discrepency],"&gt;="&amp;$AT22,Tracker[Money Discrepency],"&lt;"&amp;$AT23,Tracker[Bet Type Drill Down],BD$1),2)&gt;0.05,"X",IF(ROUND((SUMIFS(Tracker[Net],Tracker[Money Discrepency],"&gt;="&amp;$AT22,Tracker[Money Discrepency],"&lt;"&amp;$AT23,Tracker[Bet Type Drill Down],BD$1))/COUNTIFS(Tracker[Money Discrepency],"&gt;="&amp;$AT22,Tracker[Money Discrepency],"&lt;"&amp;$AT23,Tracker[Bet Type Drill Down],BD$1),2)&lt;-0.15,"O","")),"")</f>
        <v>O</v>
      </c>
      <c r="BE22" s="24" t="str">
        <f>IFERROR(IF(ROUND((SUMIFS(Tracker[Net],Tracker[Money Discrepency],"&gt;="&amp;$AT22,Tracker[Money Discrepency],"&lt;"&amp;$AT23,Tracker[Bet Type Drill Down],BE$1))/COUNTIFS(Tracker[Money Discrepency],"&gt;="&amp;$AT22,Tracker[Money Discrepency],"&lt;"&amp;$AT23,Tracker[Bet Type Drill Down],BE$1),2)&gt;0.05,"X",IF(ROUND((SUMIFS(Tracker[Net],Tracker[Money Discrepency],"&gt;="&amp;$AT22,Tracker[Money Discrepency],"&lt;"&amp;$AT23,Tracker[Bet Type Drill Down],BE$1))/COUNTIFS(Tracker[Money Discrepency],"&gt;="&amp;$AT22,Tracker[Money Discrepency],"&lt;"&amp;$AT23,Tracker[Bet Type Drill Down],BE$1),2)&lt;-0.15,"O","")),"")</f>
        <v/>
      </c>
      <c r="BG22" s="153">
        <f t="shared" si="3"/>
        <v>1.0000000000000002</v>
      </c>
      <c r="BT22" s="153">
        <f t="shared" si="5"/>
        <v>1.0000000000000002</v>
      </c>
    </row>
    <row r="23" spans="1:83" x14ac:dyDescent="0.25">
      <c r="A23" s="36">
        <f t="shared" si="9"/>
        <v>3</v>
      </c>
      <c r="B23" s="25">
        <v>43808</v>
      </c>
      <c r="C23" s="25" t="str">
        <f t="shared" si="7"/>
        <v>NBA</v>
      </c>
      <c r="D23" s="26" t="s">
        <v>824</v>
      </c>
      <c r="E23" s="27" t="s">
        <v>825</v>
      </c>
      <c r="F23" s="67">
        <v>0.55930634353785325</v>
      </c>
      <c r="G23" s="29">
        <v>-110</v>
      </c>
      <c r="H23" s="67" t="s">
        <v>57</v>
      </c>
      <c r="I23" s="44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3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23" s="32" t="str">
        <f>MID(Tracker[[#This Row],[Game]],SEARCH("@",Tracker[[#This Row],[Game]])+2,LEN(Tracker[[#This Row],[Game]]))</f>
        <v>Pacers</v>
      </c>
      <c r="L23" s="32" t="str">
        <f>LEFT(Tracker[[#This Row],[Game]],SEARCH("@",Tracker[[#This Row],[Game]])-2)</f>
        <v>Clippers</v>
      </c>
      <c r="M2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HD</v>
      </c>
      <c r="N23" s="123"/>
      <c r="O23" s="147"/>
      <c r="P23" s="147"/>
      <c r="Q23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3" s="147" t="e">
        <f>IF(AND(Tracker[[#This Row],[Money %]]&lt;&gt;"",Tracker[[#This Row],[Bet %]]&lt;&gt;""),Tracker[[#This Row],[Money %]]-Tracker[[#This Row],[Bet %]],NA())</f>
        <v>#N/A</v>
      </c>
      <c r="S23" s="109"/>
      <c r="T23" s="109"/>
      <c r="U23" s="56">
        <f>IFERROR(INDEX($A$4:$B10019,MATCH(ROW()-3,$A$4:$A$4:$A1019,0),2),0)</f>
        <v>43846</v>
      </c>
      <c r="V23" s="33" t="str">
        <f>COUNTIFS(Tracker[Date],U23,Tracker[Result],"W")&amp;"-"&amp;COUNTIFS(Tracker[Date],U23,Tracker[Result],"L")&amp;IF(COUNTIFS(Tracker[Date],U23,Tracker[Result],"Push")&gt;0,"-"&amp;COUNTIFS(Tracker[Date],U23,Tracker[Result],"Push"),"")</f>
        <v>2-2-1</v>
      </c>
      <c r="W23" s="34">
        <f>IFERROR(COUNTIFS(Tracker[Date],U23,Tracker[Result],"W")/(COUNTIFS(Tracker[Date],U23,Tracker[Result],"W")+COUNTIFS(Tracker[Date],U23,Tracker[Result],"L")),"")</f>
        <v>0.5</v>
      </c>
      <c r="X23" s="61">
        <f>SUMIF(Tracker[Date],U23,Tracker[Net])</f>
        <v>-0.18181818181818188</v>
      </c>
      <c r="Y23" s="35" t="str">
        <f>IFERROR("("&amp;ROUND(SUMIF(Tracker[Date],U23,Tracker[Net])/COUNTIF(Tracker[Date],U23),2)*100&amp;"%)","")</f>
        <v>(-4%)</v>
      </c>
      <c r="Z23" s="78">
        <f t="shared" ref="Z23:Z70" si="29">Z22+$AB$23</f>
        <v>0.55000000000000004</v>
      </c>
      <c r="AA23" s="45" t="s">
        <v>1077</v>
      </c>
      <c r="AB23" s="39">
        <v>0.05</v>
      </c>
      <c r="AF23" s="36">
        <f t="shared" si="11"/>
        <v>1.0000000000000002</v>
      </c>
      <c r="AT23" s="153">
        <f t="shared" si="1"/>
        <v>5.0000000000000322E-2</v>
      </c>
      <c r="AU23" s="39" t="str">
        <f t="shared" si="2"/>
        <v>5  to  10%</v>
      </c>
      <c r="AV23" t="str">
        <f>IFERROR(COUNTIFS(Tracker[Money Discrepency],"&gt;="&amp;AT23,Tracker[Money Discrepency],"&lt;"&amp;AT24,Tracker[Result],"W")&amp;"-"&amp;COUNTIFS(Tracker[Money Discrepency],"&gt;="&amp;AT23,Tracker[Money Discrepency],"&lt;"&amp;AT24,Tracker[Result],"L")&amp;"-"&amp;COUNTIFS(Tracker[Money Discrepency],"&gt;="&amp;AT23,Tracker[Money Discrepency],"&lt;"&amp;AT24,Tracker[Result],"Push")&amp;" ("&amp;ROUND(COUNTIFS(Tracker[Money Discrepency],"&gt;="&amp;AT23,Tracker[Money Discrepency],"&lt;"&amp;AT24,Tracker[Result],"W")/(COUNTIFS(Tracker[Money Discrepency],"&gt;="&amp;AT23,Tracker[Money Discrepency],"&lt;"&amp;AT24,Tracker[Result],"L")+COUNTIFS(Tracker[Money Discrepency],"&gt;="&amp;AT23,Tracker[Money Discrepency],"&lt;"&amp;AT24,Tracker[Result],"W"))*100,2)&amp;"%)","No Bets")</f>
        <v>3-6-1 (33.33%)</v>
      </c>
      <c r="AW23">
        <f>SUMIFS(Tracker[Net],Tracker[Money Discrepency],"&gt;="&amp;AT23,Tracker[Money Discrepency],"&lt;"&amp;AT24)</f>
        <v>-3.2727272727272725</v>
      </c>
      <c r="AX23" s="24" t="str">
        <f>IFERROR(IF(ROUND((SUMIFS(Tracker[Net],Tracker[Money Discrepency],"&gt;="&amp;$AT23,Tracker[Money Discrepency],"&lt;"&amp;$AT24,Tracker[Bet Type],AX$1))/COUNTIFS(Tracker[Money Discrepency],"&gt;="&amp;$AT23,Tracker[Money Discrepency],"&lt;"&amp;$AT24,Tracker[Bet Type],AX$1),2)&gt;0.05,"X",IF(ROUND((SUMIFS(Tracker[Net],Tracker[Money Discrepency],"&gt;="&amp;$AT23,Tracker[Money Discrepency],"&lt;"&amp;$AT24,Tracker[Bet Type],AX$1))/COUNTIFS(Tracker[Money Discrepency],"&gt;="&amp;$AT23,Tracker[Money Discrepency],"&lt;"&amp;$AT24,Tracker[Bet Type],AX$1),2)&lt;-0.15,"O","")),"")</f>
        <v>O</v>
      </c>
      <c r="AY23" s="24" t="str">
        <f>IFERROR(IF(ROUND((SUMIFS(Tracker[Net],Tracker[Money Discrepency],"&gt;="&amp;$AT23,Tracker[Money Discrepency],"&lt;"&amp;$AT24,Tracker[Bet Type],AY$1))/COUNTIFS(Tracker[Money Discrepency],"&gt;="&amp;$AT23,Tracker[Money Discrepency],"&lt;"&amp;$AT24,Tracker[Bet Type],AY$1),2)&gt;0.05,"X",IF(ROUND((SUMIFS(Tracker[Net],Tracker[Money Discrepency],"&gt;="&amp;$AT23,Tracker[Money Discrepency],"&lt;"&amp;$AT24,Tracker[Bet Type],AY$1))/COUNTIFS(Tracker[Money Discrepency],"&gt;="&amp;$AT23,Tracker[Money Discrepency],"&lt;"&amp;$AT24,Tracker[Bet Type],AY$1),2)&lt;-0.15,"O","")),"")</f>
        <v>O</v>
      </c>
      <c r="AZ23" s="24" t="str">
        <f>IFERROR(IF(ROUND((SUMIFS(Tracker[Net],Tracker[Money Discrepency],"&gt;="&amp;$AT23,Tracker[Money Discrepency],"&lt;"&amp;$AT24,Tracker[Bet Type],AZ$1))/COUNTIFS(Tracker[Money Discrepency],"&gt;="&amp;$AT23,Tracker[Money Discrepency],"&lt;"&amp;$AT24,Tracker[Bet Type],AZ$1),2)&gt;0.05,"X",IF(ROUND((SUMIFS(Tracker[Net],Tracker[Money Discrepency],"&gt;="&amp;$AT23,Tracker[Money Discrepency],"&lt;"&amp;$AT24,Tracker[Bet Type],AZ$1))/COUNTIFS(Tracker[Money Discrepency],"&gt;="&amp;$AT23,Tracker[Money Discrepency],"&lt;"&amp;$AT24,Tracker[Bet Type],AZ$1),2)&lt;-0.15,"O","")),"")</f>
        <v>X</v>
      </c>
      <c r="BA23" s="24" t="str">
        <f>IFERROR(IF(ROUND((SUMIFS(Tracker[Net],Tracker[Money Discrepency],"&gt;="&amp;$AT23,Tracker[Money Discrepency],"&lt;"&amp;$AT24,Tracker[Bet Type],BA$1))/COUNTIFS(Tracker[Money Discrepency],"&gt;="&amp;$AT23,Tracker[Money Discrepency],"&lt;"&amp;$AT24,Tracker[Bet Type],BA$1),2)&gt;0.05,"X",IF(ROUND((SUMIFS(Tracker[Net],Tracker[Money Discrepency],"&gt;="&amp;$AT23,Tracker[Money Discrepency],"&lt;"&amp;$AT24,Tracker[Bet Type],BA$1))/COUNTIFS(Tracker[Money Discrepency],"&gt;="&amp;$AT23,Tracker[Money Discrepency],"&lt;"&amp;$AT24,Tracker[Bet Type],BA$1),2)&lt;-0.15,"O","")),"")</f>
        <v>O</v>
      </c>
      <c r="BB23" s="24" t="str">
        <f>IFERROR(IF(ROUND((SUMIFS(Tracker[Net],Tracker[Money Discrepency],"&gt;="&amp;$AT23,Tracker[Money Discrepency],"&lt;"&amp;$AT24,Tracker[Bet Type Drill Down],BB$1))/COUNTIFS(Tracker[Money Discrepency],"&gt;="&amp;$AT23,Tracker[Money Discrepency],"&lt;"&amp;$AT24,Tracker[Bet Type Drill Down],BB$1),2)&gt;0.05,"X",IF(ROUND((SUMIFS(Tracker[Net],Tracker[Money Discrepency],"&gt;="&amp;$AT23,Tracker[Money Discrepency],"&lt;"&amp;$AT24,Tracker[Bet Type Drill Down],BB$1))/COUNTIFS(Tracker[Money Discrepency],"&gt;="&amp;$AT23,Tracker[Money Discrepency],"&lt;"&amp;$AT24,Tracker[Bet Type Drill Down],BB$1),2)&lt;-0.15,"O","")),"")</f>
        <v>O</v>
      </c>
      <c r="BC23" s="24" t="str">
        <f>IFERROR(IF(ROUND((SUMIFS(Tracker[Net],Tracker[Money Discrepency],"&gt;="&amp;$AT23,Tracker[Money Discrepency],"&lt;"&amp;$AT24,Tracker[Bet Type Drill Down],BC$1))/COUNTIFS(Tracker[Money Discrepency],"&gt;="&amp;$AT23,Tracker[Money Discrepency],"&lt;"&amp;$AT24,Tracker[Bet Type Drill Down],BC$1),2)&gt;0.05,"X",IF(ROUND((SUMIFS(Tracker[Net],Tracker[Money Discrepency],"&gt;="&amp;$AT23,Tracker[Money Discrepency],"&lt;"&amp;$AT24,Tracker[Bet Type Drill Down],BC$1))/COUNTIFS(Tracker[Money Discrepency],"&gt;="&amp;$AT23,Tracker[Money Discrepency],"&lt;"&amp;$AT24,Tracker[Bet Type Drill Down],BC$1),2)&lt;-0.15,"O","")),"")</f>
        <v/>
      </c>
      <c r="BD23" s="24" t="str">
        <f>IFERROR(IF(ROUND((SUMIFS(Tracker[Net],Tracker[Money Discrepency],"&gt;="&amp;$AT23,Tracker[Money Discrepency],"&lt;"&amp;$AT24,Tracker[Bet Type Drill Down],BD$1))/COUNTIFS(Tracker[Money Discrepency],"&gt;="&amp;$AT23,Tracker[Money Discrepency],"&lt;"&amp;$AT24,Tracker[Bet Type Drill Down],BD$1),2)&gt;0.05,"X",IF(ROUND((SUMIFS(Tracker[Net],Tracker[Money Discrepency],"&gt;="&amp;$AT23,Tracker[Money Discrepency],"&lt;"&amp;$AT24,Tracker[Bet Type Drill Down],BD$1))/COUNTIFS(Tracker[Money Discrepency],"&gt;="&amp;$AT23,Tracker[Money Discrepency],"&lt;"&amp;$AT24,Tracker[Bet Type Drill Down],BD$1),2)&lt;-0.15,"O","")),"")</f>
        <v>X</v>
      </c>
      <c r="BE23" s="24" t="str">
        <f>IFERROR(IF(ROUND((SUMIFS(Tracker[Net],Tracker[Money Discrepency],"&gt;="&amp;$AT23,Tracker[Money Discrepency],"&lt;"&amp;$AT24,Tracker[Bet Type Drill Down],BE$1))/COUNTIFS(Tracker[Money Discrepency],"&gt;="&amp;$AT23,Tracker[Money Discrepency],"&lt;"&amp;$AT24,Tracker[Bet Type Drill Down],BE$1),2)&gt;0.05,"X",IF(ROUND((SUMIFS(Tracker[Net],Tracker[Money Discrepency],"&gt;="&amp;$AT23,Tracker[Money Discrepency],"&lt;"&amp;$AT24,Tracker[Bet Type Drill Down],BE$1))/COUNTIFS(Tracker[Money Discrepency],"&gt;="&amp;$AT23,Tracker[Money Discrepency],"&lt;"&amp;$AT24,Tracker[Bet Type Drill Down],BE$1),2)&lt;-0.15,"O","")),"")</f>
        <v>X</v>
      </c>
      <c r="BG23" s="153">
        <f t="shared" si="3"/>
        <v>1.0500000000000003</v>
      </c>
    </row>
    <row r="24" spans="1:83" x14ac:dyDescent="0.25">
      <c r="A24" s="36">
        <f t="shared" si="9"/>
        <v>3</v>
      </c>
      <c r="B24" s="25">
        <v>43808</v>
      </c>
      <c r="C24" s="25" t="str">
        <f t="shared" si="7"/>
        <v>NBA</v>
      </c>
      <c r="D24" s="26" t="s">
        <v>826</v>
      </c>
      <c r="E24" s="27" t="s">
        <v>263</v>
      </c>
      <c r="F24" s="67">
        <v>0.68982477155667954</v>
      </c>
      <c r="G24" s="29">
        <v>-110</v>
      </c>
      <c r="H24" s="67" t="s">
        <v>57</v>
      </c>
      <c r="I24" s="44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4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24" s="32" t="str">
        <f>MID(Tracker[[#This Row],[Game]],SEARCH("@",Tracker[[#This Row],[Game]])+2,LEN(Tracker[[#This Row],[Game]]))</f>
        <v>Celtics</v>
      </c>
      <c r="L24" s="32" t="str">
        <f>LEFT(Tracker[[#This Row],[Game]],SEARCH("@",Tracker[[#This Row],[Game]])-2)</f>
        <v>Cavaliers</v>
      </c>
      <c r="M2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24" s="123"/>
      <c r="O24" s="147"/>
      <c r="P24" s="147"/>
      <c r="Q2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4" s="147" t="e">
        <f>IF(AND(Tracker[[#This Row],[Money %]]&lt;&gt;"",Tracker[[#This Row],[Bet %]]&lt;&gt;""),Tracker[[#This Row],[Money %]]-Tracker[[#This Row],[Bet %]],NA())</f>
        <v>#N/A</v>
      </c>
      <c r="S24" s="109"/>
      <c r="T24" s="109"/>
      <c r="U24" s="56">
        <f>IFERROR(INDEX($A$4:$B10020,MATCH(ROW()-3,$A$4:$A$4:$A1020,0),2),0)</f>
        <v>43847</v>
      </c>
      <c r="V24" s="33" t="str">
        <f>COUNTIFS(Tracker[Date],U24,Tracker[Result],"W")&amp;"-"&amp;COUNTIFS(Tracker[Date],U24,Tracker[Result],"L")&amp;IF(COUNTIFS(Tracker[Date],U24,Tracker[Result],"Push")&gt;0,"-"&amp;COUNTIFS(Tracker[Date],U24,Tracker[Result],"Push"),"")</f>
        <v>9-3</v>
      </c>
      <c r="W24" s="34">
        <f>IFERROR(COUNTIFS(Tracker[Date],U24,Tracker[Result],"W")/(COUNTIFS(Tracker[Date],U24,Tracker[Result],"W")+COUNTIFS(Tracker[Date],U24,Tracker[Result],"L")),"")</f>
        <v>0.75</v>
      </c>
      <c r="X24" s="61">
        <f>SUMIF(Tracker[Date],U24,Tracker[Net])</f>
        <v>5.1818181818181817</v>
      </c>
      <c r="Y24" s="35" t="str">
        <f>IFERROR("("&amp;ROUND(SUMIF(Tracker[Date],U24,Tracker[Net])/COUNTIF(Tracker[Date],U24),2)*100&amp;"%)","")</f>
        <v>(43%)</v>
      </c>
      <c r="Z24" s="78">
        <f t="shared" si="29"/>
        <v>0.60000000000000009</v>
      </c>
      <c r="AA24" s="66" t="s">
        <v>813</v>
      </c>
      <c r="AB24" s="71" t="s">
        <v>241</v>
      </c>
      <c r="AC24" s="71" t="s">
        <v>814</v>
      </c>
      <c r="AD24" s="100" t="s">
        <v>246</v>
      </c>
      <c r="AE24" s="100" t="s">
        <v>244</v>
      </c>
      <c r="AF24" s="100" t="s">
        <v>250</v>
      </c>
      <c r="AG24" s="100" t="s">
        <v>248</v>
      </c>
      <c r="AH24" s="100" t="s">
        <v>1206</v>
      </c>
      <c r="AI24" s="100" t="s">
        <v>1207</v>
      </c>
      <c r="AJ24" s="100" t="s">
        <v>1208</v>
      </c>
      <c r="AK24" s="100" t="s">
        <v>1209</v>
      </c>
      <c r="AT24" s="153">
        <f t="shared" si="1"/>
        <v>0.10000000000000032</v>
      </c>
      <c r="AU24" s="39" t="str">
        <f t="shared" si="2"/>
        <v>10  to  15%</v>
      </c>
      <c r="AV24" t="str">
        <f>IFERROR(COUNTIFS(Tracker[Money Discrepency],"&gt;="&amp;AT24,Tracker[Money Discrepency],"&lt;"&amp;AT25,Tracker[Result],"W")&amp;"-"&amp;COUNTIFS(Tracker[Money Discrepency],"&gt;="&amp;AT24,Tracker[Money Discrepency],"&lt;"&amp;AT25,Tracker[Result],"L")&amp;"-"&amp;COUNTIFS(Tracker[Money Discrepency],"&gt;="&amp;AT24,Tracker[Money Discrepency],"&lt;"&amp;AT25,Tracker[Result],"Push")&amp;" ("&amp;ROUND(COUNTIFS(Tracker[Money Discrepency],"&gt;="&amp;AT24,Tracker[Money Discrepency],"&lt;"&amp;AT25,Tracker[Result],"W")/(COUNTIFS(Tracker[Money Discrepency],"&gt;="&amp;AT24,Tracker[Money Discrepency],"&lt;"&amp;AT25,Tracker[Result],"L")+COUNTIFS(Tracker[Money Discrepency],"&gt;="&amp;AT24,Tracker[Money Discrepency],"&lt;"&amp;AT25,Tracker[Result],"W"))*100,2)&amp;"%)","No Bets")</f>
        <v>4-6-2 (40%)</v>
      </c>
      <c r="AW24">
        <f>SUMIFS(Tracker[Net],Tracker[Money Discrepency],"&gt;="&amp;AT24,Tracker[Money Discrepency],"&lt;"&amp;AT25)</f>
        <v>-2.3636363636363638</v>
      </c>
      <c r="AX24" s="24" t="str">
        <f>IFERROR(IF(ROUND((SUMIFS(Tracker[Net],Tracker[Money Discrepency],"&gt;="&amp;$AT24,Tracker[Money Discrepency],"&lt;"&amp;$AT25,Tracker[Bet Type],AX$1))/COUNTIFS(Tracker[Money Discrepency],"&gt;="&amp;$AT24,Tracker[Money Discrepency],"&lt;"&amp;$AT25,Tracker[Bet Type],AX$1),2)&gt;0.05,"X",IF(ROUND((SUMIFS(Tracker[Net],Tracker[Money Discrepency],"&gt;="&amp;$AT24,Tracker[Money Discrepency],"&lt;"&amp;$AT25,Tracker[Bet Type],AX$1))/COUNTIFS(Tracker[Money Discrepency],"&gt;="&amp;$AT24,Tracker[Money Discrepency],"&lt;"&amp;$AT25,Tracker[Bet Type],AX$1),2)&lt;-0.15,"O","")),"")</f>
        <v/>
      </c>
      <c r="AY24" s="24" t="str">
        <f>IFERROR(IF(ROUND((SUMIFS(Tracker[Net],Tracker[Money Discrepency],"&gt;="&amp;$AT24,Tracker[Money Discrepency],"&lt;"&amp;$AT25,Tracker[Bet Type],AY$1))/COUNTIFS(Tracker[Money Discrepency],"&gt;="&amp;$AT24,Tracker[Money Discrepency],"&lt;"&amp;$AT25,Tracker[Bet Type],AY$1),2)&gt;0.05,"X",IF(ROUND((SUMIFS(Tracker[Net],Tracker[Money Discrepency],"&gt;="&amp;$AT24,Tracker[Money Discrepency],"&lt;"&amp;$AT25,Tracker[Bet Type],AY$1))/COUNTIFS(Tracker[Money Discrepency],"&gt;="&amp;$AT24,Tracker[Money Discrepency],"&lt;"&amp;$AT25,Tracker[Bet Type],AY$1),2)&lt;-0.15,"O","")),"")</f>
        <v>X</v>
      </c>
      <c r="AZ24" s="24" t="str">
        <f>IFERROR(IF(ROUND((SUMIFS(Tracker[Net],Tracker[Money Discrepency],"&gt;="&amp;$AT24,Tracker[Money Discrepency],"&lt;"&amp;$AT25,Tracker[Bet Type],AZ$1))/COUNTIFS(Tracker[Money Discrepency],"&gt;="&amp;$AT24,Tracker[Money Discrepency],"&lt;"&amp;$AT25,Tracker[Bet Type],AZ$1),2)&gt;0.05,"X",IF(ROUND((SUMIFS(Tracker[Net],Tracker[Money Discrepency],"&gt;="&amp;$AT24,Tracker[Money Discrepency],"&lt;"&amp;$AT25,Tracker[Bet Type],AZ$1))/COUNTIFS(Tracker[Money Discrepency],"&gt;="&amp;$AT24,Tracker[Money Discrepency],"&lt;"&amp;$AT25,Tracker[Bet Type],AZ$1),2)&lt;-0.15,"O","")),"")</f>
        <v>O</v>
      </c>
      <c r="BA24" s="24" t="str">
        <f>IFERROR(IF(ROUND((SUMIFS(Tracker[Net],Tracker[Money Discrepency],"&gt;="&amp;$AT24,Tracker[Money Discrepency],"&lt;"&amp;$AT25,Tracker[Bet Type],BA$1))/COUNTIFS(Tracker[Money Discrepency],"&gt;="&amp;$AT24,Tracker[Money Discrepency],"&lt;"&amp;$AT25,Tracker[Bet Type],BA$1),2)&gt;0.05,"X",IF(ROUND((SUMIFS(Tracker[Net],Tracker[Money Discrepency],"&gt;="&amp;$AT24,Tracker[Money Discrepency],"&lt;"&amp;$AT25,Tracker[Bet Type],BA$1))/COUNTIFS(Tracker[Money Discrepency],"&gt;="&amp;$AT24,Tracker[Money Discrepency],"&lt;"&amp;$AT25,Tracker[Bet Type],BA$1),2)&lt;-0.15,"O","")),"")</f>
        <v>O</v>
      </c>
      <c r="BB24" s="24" t="str">
        <f>IFERROR(IF(ROUND((SUMIFS(Tracker[Net],Tracker[Money Discrepency],"&gt;="&amp;$AT24,Tracker[Money Discrepency],"&lt;"&amp;$AT25,Tracker[Bet Type Drill Down],BB$1))/COUNTIFS(Tracker[Money Discrepency],"&gt;="&amp;$AT24,Tracker[Money Discrepency],"&lt;"&amp;$AT25,Tracker[Bet Type Drill Down],BB$1),2)&gt;0.05,"X",IF(ROUND((SUMIFS(Tracker[Net],Tracker[Money Discrepency],"&gt;="&amp;$AT24,Tracker[Money Discrepency],"&lt;"&amp;$AT25,Tracker[Bet Type Drill Down],BB$1))/COUNTIFS(Tracker[Money Discrepency],"&gt;="&amp;$AT24,Tracker[Money Discrepency],"&lt;"&amp;$AT25,Tracker[Bet Type Drill Down],BB$1),2)&lt;-0.15,"O","")),"")</f>
        <v>O</v>
      </c>
      <c r="BC24" s="24" t="str">
        <f>IFERROR(IF(ROUND((SUMIFS(Tracker[Net],Tracker[Money Discrepency],"&gt;="&amp;$AT24,Tracker[Money Discrepency],"&lt;"&amp;$AT25,Tracker[Bet Type Drill Down],BC$1))/COUNTIFS(Tracker[Money Discrepency],"&gt;="&amp;$AT24,Tracker[Money Discrepency],"&lt;"&amp;$AT25,Tracker[Bet Type Drill Down],BC$1),2)&gt;0.05,"X",IF(ROUND((SUMIFS(Tracker[Net],Tracker[Money Discrepency],"&gt;="&amp;$AT24,Tracker[Money Discrepency],"&lt;"&amp;$AT25,Tracker[Bet Type Drill Down],BC$1))/COUNTIFS(Tracker[Money Discrepency],"&gt;="&amp;$AT24,Tracker[Money Discrepency],"&lt;"&amp;$AT25,Tracker[Bet Type Drill Down],BC$1),2)&lt;-0.15,"O","")),"")</f>
        <v/>
      </c>
      <c r="BD24" s="24" t="str">
        <f>IFERROR(IF(ROUND((SUMIFS(Tracker[Net],Tracker[Money Discrepency],"&gt;="&amp;$AT24,Tracker[Money Discrepency],"&lt;"&amp;$AT25,Tracker[Bet Type Drill Down],BD$1))/COUNTIFS(Tracker[Money Discrepency],"&gt;="&amp;$AT24,Tracker[Money Discrepency],"&lt;"&amp;$AT25,Tracker[Bet Type Drill Down],BD$1),2)&gt;0.05,"X",IF(ROUND((SUMIFS(Tracker[Net],Tracker[Money Discrepency],"&gt;="&amp;$AT24,Tracker[Money Discrepency],"&lt;"&amp;$AT25,Tracker[Bet Type Drill Down],BD$1))/COUNTIFS(Tracker[Money Discrepency],"&gt;="&amp;$AT24,Tracker[Money Discrepency],"&lt;"&amp;$AT25,Tracker[Bet Type Drill Down],BD$1),2)&lt;-0.15,"O","")),"")</f>
        <v>O</v>
      </c>
      <c r="BE24" s="24" t="str">
        <f>IFERROR(IF(ROUND((SUMIFS(Tracker[Net],Tracker[Money Discrepency],"&gt;="&amp;$AT24,Tracker[Money Discrepency],"&lt;"&amp;$AT25,Tracker[Bet Type Drill Down],BE$1))/COUNTIFS(Tracker[Money Discrepency],"&gt;="&amp;$AT24,Tracker[Money Discrepency],"&lt;"&amp;$AT25,Tracker[Bet Type Drill Down],BE$1),2)&gt;0.05,"X",IF(ROUND((SUMIFS(Tracker[Net],Tracker[Money Discrepency],"&gt;="&amp;$AT24,Tracker[Money Discrepency],"&lt;"&amp;$AT25,Tracker[Bet Type Drill Down],BE$1))/COUNTIFS(Tracker[Money Discrepency],"&gt;="&amp;$AT24,Tracker[Money Discrepency],"&lt;"&amp;$AT25,Tracker[Bet Type Drill Down],BE$1),2)&lt;-0.15,"O","")),"")</f>
        <v/>
      </c>
      <c r="BG24" s="153">
        <f t="shared" si="3"/>
        <v>1.1000000000000003</v>
      </c>
    </row>
    <row r="25" spans="1:83" x14ac:dyDescent="0.25">
      <c r="A25" s="36">
        <f t="shared" si="9"/>
        <v>3</v>
      </c>
      <c r="B25" s="25">
        <v>43808</v>
      </c>
      <c r="C25" s="25" t="str">
        <f t="shared" si="7"/>
        <v>NBA</v>
      </c>
      <c r="D25" s="26" t="s">
        <v>827</v>
      </c>
      <c r="E25" s="27" t="s">
        <v>828</v>
      </c>
      <c r="F25" s="67">
        <v>0.64154122334814501</v>
      </c>
      <c r="G25" s="29">
        <v>-110</v>
      </c>
      <c r="H25" s="67" t="s">
        <v>56</v>
      </c>
      <c r="I25" s="44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5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25" s="32" t="str">
        <f>MID(Tracker[[#This Row],[Game]],SEARCH("@",Tracker[[#This Row],[Game]])+2,LEN(Tracker[[#This Row],[Game]]))</f>
        <v>Pelicans</v>
      </c>
      <c r="L25" s="32" t="str">
        <f>LEFT(Tracker[[#This Row],[Game]],SEARCH("@",Tracker[[#This Row],[Game]])-2)</f>
        <v>Pistons</v>
      </c>
      <c r="M2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25" s="123"/>
      <c r="O25" s="147"/>
      <c r="P25" s="147"/>
      <c r="Q2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5" s="147" t="e">
        <f>IF(AND(Tracker[[#This Row],[Money %]]&lt;&gt;"",Tracker[[#This Row],[Bet %]]&lt;&gt;""),Tracker[[#This Row],[Money %]]-Tracker[[#This Row],[Bet %]],NA())</f>
        <v>#N/A</v>
      </c>
      <c r="S25" s="109"/>
      <c r="T25" s="109"/>
      <c r="U25" s="56">
        <f>IFERROR(INDEX($A$4:$B10021,MATCH(ROW()-3,$A$4:$A$4:$A1021,0),2),0)</f>
        <v>43850</v>
      </c>
      <c r="V25" s="33" t="str">
        <f>COUNTIFS(Tracker[Date],U25,Tracker[Result],"W")&amp;"-"&amp;COUNTIFS(Tracker[Date],U25,Tracker[Result],"L")&amp;IF(COUNTIFS(Tracker[Date],U25,Tracker[Result],"Push")&gt;0,"-"&amp;COUNTIFS(Tracker[Date],U25,Tracker[Result],"Push"),"")</f>
        <v>11-13</v>
      </c>
      <c r="W25" s="34">
        <f>IFERROR(COUNTIFS(Tracker[Date],U25,Tracker[Result],"W")/(COUNTIFS(Tracker[Date],U25,Tracker[Result],"W")+COUNTIFS(Tracker[Date],U25,Tracker[Result],"L")),"")</f>
        <v>0.45833333333333331</v>
      </c>
      <c r="X25" s="61">
        <f>SUMIF(Tracker[Date],U25,Tracker[Net])</f>
        <v>-2.9999999999999991</v>
      </c>
      <c r="Y25" s="35" t="str">
        <f>IFERROR("("&amp;ROUND(SUMIF(Tracker[Date],U25,Tracker[Net])/COUNTIF(Tracker[Date],U25),2)*100&amp;"%)","")</f>
        <v>(-13%)</v>
      </c>
      <c r="Z25" s="78">
        <f t="shared" si="29"/>
        <v>0.65000000000000013</v>
      </c>
      <c r="AA25" s="66" t="str">
        <f>Z22*100&amp;"-"&amp;Z23*100&amp;"%"</f>
        <v>50-55%</v>
      </c>
      <c r="AB25" s="65" t="str">
        <f>IFERROR(COUNTIFS(Tracker[Confidence],"&gt;"&amp;Z22,Tracker[Confidence],"&lt;"&amp;Z23,Tracker[Result],"W")&amp;"-"&amp;COUNTIFS(Tracker[Confidence],"&gt;"&amp;Z22,Tracker[Confidence],"&lt;"&amp;Z23,Tracker[Result],"L")&amp;"-"&amp;COUNTIFS(Tracker[Confidence],"&gt;"&amp;Z22,Tracker[Confidence],"&lt;"&amp;Z23,Tracker[Result],"Push")&amp;" ("&amp;ROUND(COUNTIFS(Tracker[Confidence],"&gt;"&amp;Z22,Tracker[Confidence],"&lt;"&amp;Z23,Tracker[Result],"W")/(COUNTIFS(Tracker[Confidence],"&gt;"&amp;Z22,Tracker[Confidence],"&lt;"&amp;Z23,Tracker[Result],"L")+COUNTIFS(Tracker[Confidence],"&gt;"&amp;Z22,Tracker[Confidence],"&lt;"&amp;Z23,Tracker[Result],"W"))*100,2)&amp;"%)","No Bets")</f>
        <v>16-18-2 (47.06%)</v>
      </c>
      <c r="AC25" s="72">
        <f>SUMIFS(Tracker[Net],Tracker[Confidence],"&gt;="&amp;Z22,Tracker[Confidence],"&lt;"&amp;Z23)</f>
        <v>-3.4545454545454533</v>
      </c>
      <c r="AD25" s="24" t="str">
        <f>IFERROR(IF(ROUND((SUMIFS(Tracker[Net],Tracker[Confidence],"&gt;="&amp;$Z22,Tracker[Confidence],"&lt;"&amp;$Z23,Tracker[Bet Type],AD$24))/COUNTIFS(Tracker[Confidence],"&gt;="&amp;$Z22,Tracker[Confidence],"&lt;"&amp;$Z23,Tracker[Bet Type],AD$24),2)&gt;0.05,"X",IF(ROUND((SUMIFS(Tracker[Net],Tracker[Confidence],"&gt;="&amp;$Z22,Tracker[Confidence],"&lt;"&amp;$Z23,Tracker[Bet Type],AD$24))/COUNTIFS(Tracker[Confidence],"&gt;="&amp;$Z22,Tracker[Confidence],"&lt;"&amp;$Z23,Tracker[Bet Type],AD$24),2)&lt;-0.15,"O","")),"")</f>
        <v>X</v>
      </c>
      <c r="AE25" s="24" t="str">
        <f>IFERROR(IF(ROUND((SUMIFS(Tracker[Net],Tracker[Confidence],"&gt;="&amp;$Z22,Tracker[Confidence],"&lt;"&amp;$Z23,Tracker[Bet Type],AE$24))/COUNTIFS(Tracker[Confidence],"&gt;="&amp;$Z22,Tracker[Confidence],"&lt;"&amp;$Z23,Tracker[Bet Type],AE$24),2)&gt;0.05,"X",IF(ROUND((SUMIFS(Tracker[Net],Tracker[Confidence],"&gt;="&amp;$Z22,Tracker[Confidence],"&lt;"&amp;$Z23,Tracker[Bet Type],AE$24))/COUNTIFS(Tracker[Confidence],"&gt;="&amp;$Z22,Tracker[Confidence],"&lt;"&amp;$Z23,Tracker[Bet Type],AE$24),2)&lt;-0.15,"O","")),"")</f>
        <v>O</v>
      </c>
      <c r="AF25" s="24" t="str">
        <f>IFERROR(IF(ROUND((SUMIFS(Tracker[Net],Tracker[Confidence],"&gt;="&amp;$Z22,Tracker[Confidence],"&lt;"&amp;$Z23,Tracker[Bet Type],AF$24))/COUNTIFS(Tracker[Confidence],"&gt;="&amp;$Z22,Tracker[Confidence],"&lt;"&amp;$Z23,Tracker[Bet Type],AF$24),2)&gt;0.05,"X",IF(ROUND((SUMIFS(Tracker[Net],Tracker[Confidence],"&gt;="&amp;$Z22,Tracker[Confidence],"&lt;"&amp;$Z23,Tracker[Bet Type],AF$24))/COUNTIFS(Tracker[Confidence],"&gt;="&amp;$Z22,Tracker[Confidence],"&lt;"&amp;$Z23,Tracker[Bet Type],AF$24),2)&lt;-0.15,"O","")),"")</f>
        <v>X</v>
      </c>
      <c r="AG25" s="24" t="str">
        <f>IFERROR(IF(ROUND((SUMIFS(Tracker[Net],Tracker[Confidence],"&gt;="&amp;$Z22,Tracker[Confidence],"&lt;"&amp;$Z23,Tracker[Bet Type],AG$24))/COUNTIFS(Tracker[Confidence],"&gt;="&amp;$Z22,Tracker[Confidence],"&lt;"&amp;$Z23,Tracker[Bet Type],AG$24),2)&gt;0.05,"X",IF(ROUND((SUMIFS(Tracker[Net],Tracker[Confidence],"&gt;="&amp;$Z22,Tracker[Confidence],"&lt;"&amp;$Z23,Tracker[Bet Type],AG$24))/COUNTIFS(Tracker[Confidence],"&gt;="&amp;$Z22,Tracker[Confidence],"&lt;"&amp;$Z23,Tracker[Bet Type],AG$24),2)&lt;-0.15,"O","")),"")</f>
        <v>O</v>
      </c>
      <c r="AH25" s="24" t="str">
        <f>IFERROR(IF(ROUND((SUMIFS(Tracker[Net],Tracker[Confidence],"&gt;="&amp;$Z22,Tracker[Confidence],"&lt;"&amp;$Z23,Tracker[Bet Type Drill Down],AH$24))/COUNTIFS(Tracker[Confidence],"&gt;="&amp;$Z22,Tracker[Confidence],"&lt;"&amp;$Z23,Tracker[Bet Type Drill Down],AH$24),2)&gt;0.05,"X",IF(ROUND((SUMIFS(Tracker[Net],Tracker[Confidence],"&gt;="&amp;$Z22,Tracker[Confidence],"&lt;"&amp;$Z23,Tracker[Bet Type Drill Down],AH$24))/COUNTIFS(Tracker[Confidence],"&gt;="&amp;$Z22,Tracker[Confidence],"&lt;"&amp;$Z23,Tracker[Bet Type Drill Down],AH$24),2)&lt;-0.15,"O","")),"")</f>
        <v>X</v>
      </c>
      <c r="AI25" s="24" t="str">
        <f>IFERROR(IF(ROUND((SUMIFS(Tracker[Net],Tracker[Confidence],"&gt;="&amp;$Z22,Tracker[Confidence],"&lt;"&amp;$Z23,Tracker[Bet Type Drill Down],AI$24))/COUNTIFS(Tracker[Confidence],"&gt;="&amp;$Z22,Tracker[Confidence],"&lt;"&amp;$Z23,Tracker[Bet Type Drill Down],AI$24),2)&gt;0.05,"X",IF(ROUND((SUMIFS(Tracker[Net],Tracker[Confidence],"&gt;="&amp;$Z22,Tracker[Confidence],"&lt;"&amp;$Z23,Tracker[Bet Type Drill Down],AI$24))/COUNTIFS(Tracker[Confidence],"&gt;="&amp;$Z22,Tracker[Confidence],"&lt;"&amp;$Z23,Tracker[Bet Type Drill Down],AI$24),2)&lt;-0.15,"O","")),"")</f>
        <v/>
      </c>
      <c r="AJ25" s="24" t="str">
        <f>IFERROR(IF(ROUND((SUMIFS(Tracker[Net],Tracker[Confidence],"&gt;="&amp;$Z22,Tracker[Confidence],"&lt;"&amp;$Z23,Tracker[Bet Type Drill Down],AJ$24))/COUNTIFS(Tracker[Confidence],"&gt;="&amp;$Z22,Tracker[Confidence],"&lt;"&amp;$Z23,Tracker[Bet Type Drill Down],AJ$24),2)&gt;0.05,"X",IF(ROUND((SUMIFS(Tracker[Net],Tracker[Confidence],"&gt;="&amp;$Z22,Tracker[Confidence],"&lt;"&amp;$Z23,Tracker[Bet Type Drill Down],AJ$24))/COUNTIFS(Tracker[Confidence],"&gt;="&amp;$Z22,Tracker[Confidence],"&lt;"&amp;$Z23,Tracker[Bet Type Drill Down],AJ$24),2)&lt;-0.15,"O","")),"")</f>
        <v/>
      </c>
      <c r="AK25" s="24" t="str">
        <f>IFERROR(IF(ROUND((SUMIFS(Tracker[Net],Tracker[Confidence],"&gt;="&amp;$Z22,Tracker[Confidence],"&lt;"&amp;$Z23,Tracker[Bet Type Drill Down],AK$24))/COUNTIFS(Tracker[Confidence],"&gt;="&amp;$Z22,Tracker[Confidence],"&lt;"&amp;$Z23,Tracker[Bet Type Drill Down],AK$24),2)&gt;0.05,"X",IF(ROUND((SUMIFS(Tracker[Net],Tracker[Confidence],"&gt;="&amp;$Z22,Tracker[Confidence],"&lt;"&amp;$Z23,Tracker[Bet Type Drill Down],AK$24))/COUNTIFS(Tracker[Confidence],"&gt;="&amp;$Z22,Tracker[Confidence],"&lt;"&amp;$Z23,Tracker[Bet Type Drill Down],AK$24),2)&lt;-0.15,"O","")),"")</f>
        <v>O</v>
      </c>
      <c r="AT25" s="153">
        <f t="shared" si="1"/>
        <v>0.15000000000000033</v>
      </c>
      <c r="AU25" s="39" t="str">
        <f t="shared" si="2"/>
        <v>15  to  20%</v>
      </c>
      <c r="AV25" t="str">
        <f>IFERROR(COUNTIFS(Tracker[Money Discrepency],"&gt;="&amp;AT25,Tracker[Money Discrepency],"&lt;"&amp;AT26,Tracker[Result],"W")&amp;"-"&amp;COUNTIFS(Tracker[Money Discrepency],"&gt;="&amp;AT25,Tracker[Money Discrepency],"&lt;"&amp;AT26,Tracker[Result],"L")&amp;"-"&amp;COUNTIFS(Tracker[Money Discrepency],"&gt;="&amp;AT25,Tracker[Money Discrepency],"&lt;"&amp;AT26,Tracker[Result],"Push")&amp;" ("&amp;ROUND(COUNTIFS(Tracker[Money Discrepency],"&gt;="&amp;AT25,Tracker[Money Discrepency],"&lt;"&amp;AT26,Tracker[Result],"W")/(COUNTIFS(Tracker[Money Discrepency],"&gt;="&amp;AT25,Tracker[Money Discrepency],"&lt;"&amp;AT26,Tracker[Result],"L")+COUNTIFS(Tracker[Money Discrepency],"&gt;="&amp;AT25,Tracker[Money Discrepency],"&lt;"&amp;AT26,Tracker[Result],"W"))*100,2)&amp;"%)","No Bets")</f>
        <v>5-8-1 (38.46%)</v>
      </c>
      <c r="AW25">
        <f>SUMIFS(Tracker[Net],Tracker[Money Discrepency],"&gt;="&amp;AT25,Tracker[Money Discrepency],"&lt;"&amp;AT26)</f>
        <v>-3.4545454545454541</v>
      </c>
      <c r="AX25" s="24" t="str">
        <f>IFERROR(IF(ROUND((SUMIFS(Tracker[Net],Tracker[Money Discrepency],"&gt;="&amp;$AT25,Tracker[Money Discrepency],"&lt;"&amp;$AT26,Tracker[Bet Type],AX$1))/COUNTIFS(Tracker[Money Discrepency],"&gt;="&amp;$AT25,Tracker[Money Discrepency],"&lt;"&amp;$AT26,Tracker[Bet Type],AX$1),2)&gt;0.05,"X",IF(ROUND((SUMIFS(Tracker[Net],Tracker[Money Discrepency],"&gt;="&amp;$AT25,Tracker[Money Discrepency],"&lt;"&amp;$AT26,Tracker[Bet Type],AX$1))/COUNTIFS(Tracker[Money Discrepency],"&gt;="&amp;$AT25,Tracker[Money Discrepency],"&lt;"&amp;$AT26,Tracker[Bet Type],AX$1),2)&lt;-0.15,"O","")),"")</f>
        <v/>
      </c>
      <c r="AY25" s="24" t="str">
        <f>IFERROR(IF(ROUND((SUMIFS(Tracker[Net],Tracker[Money Discrepency],"&gt;="&amp;$AT25,Tracker[Money Discrepency],"&lt;"&amp;$AT26,Tracker[Bet Type],AY$1))/COUNTIFS(Tracker[Money Discrepency],"&gt;="&amp;$AT25,Tracker[Money Discrepency],"&lt;"&amp;$AT26,Tracker[Bet Type],AY$1),2)&gt;0.05,"X",IF(ROUND((SUMIFS(Tracker[Net],Tracker[Money Discrepency],"&gt;="&amp;$AT25,Tracker[Money Discrepency],"&lt;"&amp;$AT26,Tracker[Bet Type],AY$1))/COUNTIFS(Tracker[Money Discrepency],"&gt;="&amp;$AT25,Tracker[Money Discrepency],"&lt;"&amp;$AT26,Tracker[Bet Type],AY$1),2)&lt;-0.15,"O","")),"")</f>
        <v>O</v>
      </c>
      <c r="AZ25" s="24" t="str">
        <f>IFERROR(IF(ROUND((SUMIFS(Tracker[Net],Tracker[Money Discrepency],"&gt;="&amp;$AT25,Tracker[Money Discrepency],"&lt;"&amp;$AT26,Tracker[Bet Type],AZ$1))/COUNTIFS(Tracker[Money Discrepency],"&gt;="&amp;$AT25,Tracker[Money Discrepency],"&lt;"&amp;$AT26,Tracker[Bet Type],AZ$1),2)&gt;0.05,"X",IF(ROUND((SUMIFS(Tracker[Net],Tracker[Money Discrepency],"&gt;="&amp;$AT25,Tracker[Money Discrepency],"&lt;"&amp;$AT26,Tracker[Bet Type],AZ$1))/COUNTIFS(Tracker[Money Discrepency],"&gt;="&amp;$AT25,Tracker[Money Discrepency],"&lt;"&amp;$AT26,Tracker[Bet Type],AZ$1),2)&lt;-0.15,"O","")),"")</f>
        <v>X</v>
      </c>
      <c r="BA25" s="24" t="str">
        <f>IFERROR(IF(ROUND((SUMIFS(Tracker[Net],Tracker[Money Discrepency],"&gt;="&amp;$AT25,Tracker[Money Discrepency],"&lt;"&amp;$AT26,Tracker[Bet Type],BA$1))/COUNTIFS(Tracker[Money Discrepency],"&gt;="&amp;$AT25,Tracker[Money Discrepency],"&lt;"&amp;$AT26,Tracker[Bet Type],BA$1),2)&gt;0.05,"X",IF(ROUND((SUMIFS(Tracker[Net],Tracker[Money Discrepency],"&gt;="&amp;$AT25,Tracker[Money Discrepency],"&lt;"&amp;$AT26,Tracker[Bet Type],BA$1))/COUNTIFS(Tracker[Money Discrepency],"&gt;="&amp;$AT25,Tracker[Money Discrepency],"&lt;"&amp;$AT26,Tracker[Bet Type],BA$1),2)&lt;-0.15,"O","")),"")</f>
        <v/>
      </c>
      <c r="BB25" s="24" t="str">
        <f>IFERROR(IF(ROUND((SUMIFS(Tracker[Net],Tracker[Money Discrepency],"&gt;="&amp;$AT25,Tracker[Money Discrepency],"&lt;"&amp;$AT26,Tracker[Bet Type Drill Down],BB$1))/COUNTIFS(Tracker[Money Discrepency],"&gt;="&amp;$AT25,Tracker[Money Discrepency],"&lt;"&amp;$AT26,Tracker[Bet Type Drill Down],BB$1),2)&gt;0.05,"X",IF(ROUND((SUMIFS(Tracker[Net],Tracker[Money Discrepency],"&gt;="&amp;$AT25,Tracker[Money Discrepency],"&lt;"&amp;$AT26,Tracker[Bet Type Drill Down],BB$1))/COUNTIFS(Tracker[Money Discrepency],"&gt;="&amp;$AT25,Tracker[Money Discrepency],"&lt;"&amp;$AT26,Tracker[Bet Type Drill Down],BB$1),2)&lt;-0.15,"O","")),"")</f>
        <v/>
      </c>
      <c r="BC25" s="24" t="str">
        <f>IFERROR(IF(ROUND((SUMIFS(Tracker[Net],Tracker[Money Discrepency],"&gt;="&amp;$AT25,Tracker[Money Discrepency],"&lt;"&amp;$AT26,Tracker[Bet Type Drill Down],BC$1))/COUNTIFS(Tracker[Money Discrepency],"&gt;="&amp;$AT25,Tracker[Money Discrepency],"&lt;"&amp;$AT26,Tracker[Bet Type Drill Down],BC$1),2)&gt;0.05,"X",IF(ROUND((SUMIFS(Tracker[Net],Tracker[Money Discrepency],"&gt;="&amp;$AT25,Tracker[Money Discrepency],"&lt;"&amp;$AT26,Tracker[Bet Type Drill Down],BC$1))/COUNTIFS(Tracker[Money Discrepency],"&gt;="&amp;$AT25,Tracker[Money Discrepency],"&lt;"&amp;$AT26,Tracker[Bet Type Drill Down],BC$1),2)&lt;-0.15,"O","")),"")</f>
        <v/>
      </c>
      <c r="BD25" s="24" t="str">
        <f>IFERROR(IF(ROUND((SUMIFS(Tracker[Net],Tracker[Money Discrepency],"&gt;="&amp;$AT25,Tracker[Money Discrepency],"&lt;"&amp;$AT26,Tracker[Bet Type Drill Down],BD$1))/COUNTIFS(Tracker[Money Discrepency],"&gt;="&amp;$AT25,Tracker[Money Discrepency],"&lt;"&amp;$AT26,Tracker[Bet Type Drill Down],BD$1),2)&gt;0.05,"X",IF(ROUND((SUMIFS(Tracker[Net],Tracker[Money Discrepency],"&gt;="&amp;$AT25,Tracker[Money Discrepency],"&lt;"&amp;$AT26,Tracker[Bet Type Drill Down],BD$1))/COUNTIFS(Tracker[Money Discrepency],"&gt;="&amp;$AT25,Tracker[Money Discrepency],"&lt;"&amp;$AT26,Tracker[Bet Type Drill Down],BD$1),2)&lt;-0.15,"O","")),"")</f>
        <v>X</v>
      </c>
      <c r="BE25" s="24" t="str">
        <f>IFERROR(IF(ROUND((SUMIFS(Tracker[Net],Tracker[Money Discrepency],"&gt;="&amp;$AT25,Tracker[Money Discrepency],"&lt;"&amp;$AT26,Tracker[Bet Type Drill Down],BE$1))/COUNTIFS(Tracker[Money Discrepency],"&gt;="&amp;$AT25,Tracker[Money Discrepency],"&lt;"&amp;$AT26,Tracker[Bet Type Drill Down],BE$1),2)&gt;0.05,"X",IF(ROUND((SUMIFS(Tracker[Net],Tracker[Money Discrepency],"&gt;="&amp;$AT25,Tracker[Money Discrepency],"&lt;"&amp;$AT26,Tracker[Bet Type Drill Down],BE$1))/COUNTIFS(Tracker[Money Discrepency],"&gt;="&amp;$AT25,Tracker[Money Discrepency],"&lt;"&amp;$AT26,Tracker[Bet Type Drill Down],BE$1),2)&lt;-0.15,"O","")),"")</f>
        <v>O</v>
      </c>
      <c r="BG25" s="153">
        <f t="shared" si="3"/>
        <v>1.1500000000000004</v>
      </c>
    </row>
    <row r="26" spans="1:83" x14ac:dyDescent="0.25">
      <c r="A26" s="36">
        <f t="shared" si="9"/>
        <v>3</v>
      </c>
      <c r="B26" s="25">
        <v>43808</v>
      </c>
      <c r="C26" s="25" t="str">
        <f t="shared" si="7"/>
        <v>NBA</v>
      </c>
      <c r="D26" s="26" t="s">
        <v>827</v>
      </c>
      <c r="E26" s="27" t="s">
        <v>829</v>
      </c>
      <c r="F26" s="67">
        <v>0.56319964114062926</v>
      </c>
      <c r="G26" s="29">
        <v>-110</v>
      </c>
      <c r="H26" s="67" t="s">
        <v>57</v>
      </c>
      <c r="I26" s="44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6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26" s="32" t="str">
        <f>MID(Tracker[[#This Row],[Game]],SEARCH("@",Tracker[[#This Row],[Game]])+2,LEN(Tracker[[#This Row],[Game]]))</f>
        <v>Pelicans</v>
      </c>
      <c r="L26" s="32" t="str">
        <f>LEFT(Tracker[[#This Row],[Game]],SEARCH("@",Tracker[[#This Row],[Game]])-2)</f>
        <v>Pistons</v>
      </c>
      <c r="M2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26" s="123"/>
      <c r="O26" s="147"/>
      <c r="P26" s="147"/>
      <c r="Q26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6" s="147" t="e">
        <f>IF(AND(Tracker[[#This Row],[Money %]]&lt;&gt;"",Tracker[[#This Row],[Bet %]]&lt;&gt;""),Tracker[[#This Row],[Money %]]-Tracker[[#This Row],[Bet %]],NA())</f>
        <v>#N/A</v>
      </c>
      <c r="S26" s="109"/>
      <c r="T26" s="109"/>
      <c r="U26" s="56">
        <f>IFERROR(INDEX($A$4:$B10022,MATCH(ROW()-3,$A$4:$A$4:$A1022,0),2),0)</f>
        <v>43851</v>
      </c>
      <c r="V26" s="33" t="str">
        <f>COUNTIFS(Tracker[Date],U26,Tracker[Result],"W")&amp;"-"&amp;COUNTIFS(Tracker[Date],U26,Tracker[Result],"L")&amp;IF(COUNTIFS(Tracker[Date],U26,Tracker[Result],"Push")&gt;0,"-"&amp;COUNTIFS(Tracker[Date],U26,Tracker[Result],"Push"),"")</f>
        <v>1-0</v>
      </c>
      <c r="W26" s="34">
        <f>IFERROR(COUNTIFS(Tracker[Date],U26,Tracker[Result],"W")/(COUNTIFS(Tracker[Date],U26,Tracker[Result],"W")+COUNTIFS(Tracker[Date],U26,Tracker[Result],"L")),"")</f>
        <v>1</v>
      </c>
      <c r="X26" s="61">
        <f>SUMIF(Tracker[Date],U26,Tracker[Net])</f>
        <v>0.90909090909090906</v>
      </c>
      <c r="Y26" s="35" t="str">
        <f>IFERROR("("&amp;ROUND(SUMIF(Tracker[Date],U26,Tracker[Net])/COUNTIF(Tracker[Date],U26),2)*100&amp;"%)","")</f>
        <v>(91%)</v>
      </c>
      <c r="Z26" s="78">
        <f t="shared" si="29"/>
        <v>0.70000000000000018</v>
      </c>
      <c r="AA26" s="66" t="str">
        <f t="shared" ref="AA26:AA34" si="30">Z23*100&amp;"-"&amp;Z24*100&amp;"%"</f>
        <v>55-60%</v>
      </c>
      <c r="AB26" s="70" t="str">
        <f>IFERROR(COUNTIFS(Tracker[Confidence],"&gt;"&amp;Z23,Tracker[Confidence],"&lt;"&amp;Z24,Tracker[Result],"W")&amp;"-"&amp;COUNTIFS(Tracker[Confidence],"&gt;"&amp;Z23,Tracker[Confidence],"&lt;"&amp;Z24,Tracker[Result],"L")&amp;"-"&amp;COUNTIFS(Tracker[Confidence],"&gt;"&amp;Z23,Tracker[Confidence],"&lt;"&amp;Z24,Tracker[Result],"Push")&amp;" ("&amp;ROUND(COUNTIFS(Tracker[Confidence],"&gt;"&amp;Z23,Tracker[Confidence],"&lt;"&amp;Z24,Tracker[Result],"W")/(COUNTIFS(Tracker[Confidence],"&gt;"&amp;Z23,Tracker[Confidence],"&lt;"&amp;Z24,Tracker[Result],"L")+COUNTIFS(Tracker[Confidence],"&gt;"&amp;Z23,Tracker[Confidence],"&lt;"&amp;Z24,Tracker[Result],"W"))*100,2)&amp;"%)","No Bets")</f>
        <v>98-94-9 (51.04%)</v>
      </c>
      <c r="AC26" s="72">
        <f>SUMIFS(Tracker[Net],Tracker[Confidence],"&gt;="&amp;Z23,Tracker[Confidence],"&lt;"&amp;Z24)</f>
        <v>-4.9090909090909056</v>
      </c>
      <c r="AD26" s="24" t="str">
        <f>IFERROR(IF(ROUND((SUMIFS(Tracker[Net],Tracker[Confidence],"&gt;="&amp;$Z23,Tracker[Confidence],"&lt;"&amp;$Z24,Tracker[Bet Type],AD$24))/COUNTIFS(Tracker[Confidence],"&gt;="&amp;$Z23,Tracker[Confidence],"&lt;"&amp;$Z24,Tracker[Bet Type],AD$24),2)&gt;0.05,"X",IF(ROUND((SUMIFS(Tracker[Net],Tracker[Confidence],"&gt;="&amp;$Z23,Tracker[Confidence],"&lt;"&amp;$Z24,Tracker[Bet Type],AD$24))/COUNTIFS(Tracker[Confidence],"&gt;="&amp;$Z23,Tracker[Confidence],"&lt;"&amp;$Z24,Tracker[Bet Type],AD$24),2)&lt;-0.15,"O","")),"")</f>
        <v>X</v>
      </c>
      <c r="AE26" s="24" t="str">
        <f>IFERROR(IF(ROUND((SUMIFS(Tracker[Net],Tracker[Confidence],"&gt;="&amp;$Z23,Tracker[Confidence],"&lt;"&amp;$Z24,Tracker[Bet Type],AE$24))/COUNTIFS(Tracker[Confidence],"&gt;="&amp;$Z23,Tracker[Confidence],"&lt;"&amp;$Z24,Tracker[Bet Type],AE$24),2)&gt;0.05,"X",IF(ROUND((SUMIFS(Tracker[Net],Tracker[Confidence],"&gt;="&amp;$Z23,Tracker[Confidence],"&lt;"&amp;$Z24,Tracker[Bet Type],AE$24))/COUNTIFS(Tracker[Confidence],"&gt;="&amp;$Z23,Tracker[Confidence],"&lt;"&amp;$Z24,Tracker[Bet Type],AE$24),2)&lt;-0.15,"O","")),"")</f>
        <v>O</v>
      </c>
      <c r="AF26" s="24" t="str">
        <f>IFERROR(IF(ROUND((SUMIFS(Tracker[Net],Tracker[Confidence],"&gt;="&amp;$Z23,Tracker[Confidence],"&lt;"&amp;$Z24,Tracker[Bet Type],AF$24))/COUNTIFS(Tracker[Confidence],"&gt;="&amp;$Z23,Tracker[Confidence],"&lt;"&amp;$Z24,Tracker[Bet Type],AF$24),2)&gt;0.05,"X",IF(ROUND((SUMIFS(Tracker[Net],Tracker[Confidence],"&gt;="&amp;$Z23,Tracker[Confidence],"&lt;"&amp;$Z24,Tracker[Bet Type],AF$24))/COUNTIFS(Tracker[Confidence],"&gt;="&amp;$Z23,Tracker[Confidence],"&lt;"&amp;$Z24,Tracker[Bet Type],AF$24),2)&lt;-0.15,"O","")),"")</f>
        <v/>
      </c>
      <c r="AG26" s="24" t="str">
        <f>IFERROR(IF(ROUND((SUMIFS(Tracker[Net],Tracker[Confidence],"&gt;="&amp;$Z23,Tracker[Confidence],"&lt;"&amp;$Z24,Tracker[Bet Type],AG$24))/COUNTIFS(Tracker[Confidence],"&gt;="&amp;$Z23,Tracker[Confidence],"&lt;"&amp;$Z24,Tracker[Bet Type],AG$24),2)&gt;0.05,"X",IF(ROUND((SUMIFS(Tracker[Net],Tracker[Confidence],"&gt;="&amp;$Z23,Tracker[Confidence],"&lt;"&amp;$Z24,Tracker[Bet Type],AG$24))/COUNTIFS(Tracker[Confidence],"&gt;="&amp;$Z23,Tracker[Confidence],"&lt;"&amp;$Z24,Tracker[Bet Type],AG$24),2)&lt;-0.15,"O","")),"")</f>
        <v>X</v>
      </c>
      <c r="AH26" s="24" t="str">
        <f>IFERROR(IF(ROUND((SUMIFS(Tracker[Net],Tracker[Confidence],"&gt;="&amp;$Z23,Tracker[Confidence],"&lt;"&amp;$Z24,Tracker[Bet Type Drill Down],AH$24))/COUNTIFS(Tracker[Confidence],"&gt;="&amp;$Z23,Tracker[Confidence],"&lt;"&amp;$Z24,Tracker[Bet Type Drill Down],AH$24),2)&gt;0.05,"X",IF(ROUND((SUMIFS(Tracker[Net],Tracker[Confidence],"&gt;="&amp;$Z23,Tracker[Confidence],"&lt;"&amp;$Z24,Tracker[Bet Type Drill Down],AH$24))/COUNTIFS(Tracker[Confidence],"&gt;="&amp;$Z23,Tracker[Confidence],"&lt;"&amp;$Z24,Tracker[Bet Type Drill Down],AH$24),2)&lt;-0.15,"O","")),"")</f>
        <v/>
      </c>
      <c r="AI26" s="24" t="str">
        <f>IFERROR(IF(ROUND((SUMIFS(Tracker[Net],Tracker[Confidence],"&gt;="&amp;$Z23,Tracker[Confidence],"&lt;"&amp;$Z24,Tracker[Bet Type Drill Down],AI$24))/COUNTIFS(Tracker[Confidence],"&gt;="&amp;$Z23,Tracker[Confidence],"&lt;"&amp;$Z24,Tracker[Bet Type Drill Down],AI$24),2)&gt;0.05,"X",IF(ROUND((SUMIFS(Tracker[Net],Tracker[Confidence],"&gt;="&amp;$Z23,Tracker[Confidence],"&lt;"&amp;$Z24,Tracker[Bet Type Drill Down],AI$24))/COUNTIFS(Tracker[Confidence],"&gt;="&amp;$Z23,Tracker[Confidence],"&lt;"&amp;$Z24,Tracker[Bet Type Drill Down],AI$24),2)&lt;-0.15,"O","")),"")</f>
        <v>O</v>
      </c>
      <c r="AJ26" s="24" t="str">
        <f>IFERROR(IF(ROUND((SUMIFS(Tracker[Net],Tracker[Confidence],"&gt;="&amp;$Z23,Tracker[Confidence],"&lt;"&amp;$Z24,Tracker[Bet Type Drill Down],AJ$24))/COUNTIFS(Tracker[Confidence],"&gt;="&amp;$Z23,Tracker[Confidence],"&lt;"&amp;$Z24,Tracker[Bet Type Drill Down],AJ$24),2)&gt;0.05,"X",IF(ROUND((SUMIFS(Tracker[Net],Tracker[Confidence],"&gt;="&amp;$Z23,Tracker[Confidence],"&lt;"&amp;$Z24,Tracker[Bet Type Drill Down],AJ$24))/COUNTIFS(Tracker[Confidence],"&gt;="&amp;$Z23,Tracker[Confidence],"&lt;"&amp;$Z24,Tracker[Bet Type Drill Down],AJ$24),2)&lt;-0.15,"O","")),"")</f>
        <v>X</v>
      </c>
      <c r="AK26" s="24" t="str">
        <f>IFERROR(IF(ROUND((SUMIFS(Tracker[Net],Tracker[Confidence],"&gt;="&amp;$Z23,Tracker[Confidence],"&lt;"&amp;$Z24,Tracker[Bet Type Drill Down],AK$24))/COUNTIFS(Tracker[Confidence],"&gt;="&amp;$Z23,Tracker[Confidence],"&lt;"&amp;$Z24,Tracker[Bet Type Drill Down],AK$24),2)&gt;0.05,"X",IF(ROUND((SUMIFS(Tracker[Net],Tracker[Confidence],"&gt;="&amp;$Z23,Tracker[Confidence],"&lt;"&amp;$Z24,Tracker[Bet Type Drill Down],AK$24))/COUNTIFS(Tracker[Confidence],"&gt;="&amp;$Z23,Tracker[Confidence],"&lt;"&amp;$Z24,Tracker[Bet Type Drill Down],AK$24),2)&lt;-0.15,"O","")),"")</f>
        <v>X</v>
      </c>
      <c r="AT26" s="153">
        <f t="shared" si="1"/>
        <v>0.20000000000000034</v>
      </c>
      <c r="AU26" s="39" t="str">
        <f t="shared" si="2"/>
        <v>20  to  25%</v>
      </c>
      <c r="AV26" t="str">
        <f>IFERROR(COUNTIFS(Tracker[Money Discrepency],"&gt;="&amp;AT26,Tracker[Money Discrepency],"&lt;"&amp;AT27,Tracker[Result],"W")&amp;"-"&amp;COUNTIFS(Tracker[Money Discrepency],"&gt;="&amp;AT26,Tracker[Money Discrepency],"&lt;"&amp;AT27,Tracker[Result],"L")&amp;"-"&amp;COUNTIFS(Tracker[Money Discrepency],"&gt;="&amp;AT26,Tracker[Money Discrepency],"&lt;"&amp;AT27,Tracker[Result],"Push")&amp;" ("&amp;ROUND(COUNTIFS(Tracker[Money Discrepency],"&gt;="&amp;AT26,Tracker[Money Discrepency],"&lt;"&amp;AT27,Tracker[Result],"W")/(COUNTIFS(Tracker[Money Discrepency],"&gt;="&amp;AT26,Tracker[Money Discrepency],"&lt;"&amp;AT27,Tracker[Result],"L")+COUNTIFS(Tracker[Money Discrepency],"&gt;="&amp;AT26,Tracker[Money Discrepency],"&lt;"&amp;AT27,Tracker[Result],"W"))*100,2)&amp;"%)","No Bets")</f>
        <v>3-7-1 (30%)</v>
      </c>
      <c r="AW26">
        <f>SUMIFS(Tracker[Net],Tracker[Money Discrepency],"&gt;="&amp;AT26,Tracker[Money Discrepency],"&lt;"&amp;AT27)</f>
        <v>-4.2727272727272725</v>
      </c>
      <c r="AX26" s="24" t="str">
        <f>IFERROR(IF(ROUND((SUMIFS(Tracker[Net],Tracker[Money Discrepency],"&gt;="&amp;$AT26,Tracker[Money Discrepency],"&lt;"&amp;$AT27,Tracker[Bet Type],AX$1))/COUNTIFS(Tracker[Money Discrepency],"&gt;="&amp;$AT26,Tracker[Money Discrepency],"&lt;"&amp;$AT27,Tracker[Bet Type],AX$1),2)&gt;0.05,"X",IF(ROUND((SUMIFS(Tracker[Net],Tracker[Money Discrepency],"&gt;="&amp;$AT26,Tracker[Money Discrepency],"&lt;"&amp;$AT27,Tracker[Bet Type],AX$1))/COUNTIFS(Tracker[Money Discrepency],"&gt;="&amp;$AT26,Tracker[Money Discrepency],"&lt;"&amp;$AT27,Tracker[Bet Type],AX$1),2)&lt;-0.15,"O","")),"")</f>
        <v>O</v>
      </c>
      <c r="AY26" s="24" t="str">
        <f>IFERROR(IF(ROUND((SUMIFS(Tracker[Net],Tracker[Money Discrepency],"&gt;="&amp;$AT26,Tracker[Money Discrepency],"&lt;"&amp;$AT27,Tracker[Bet Type],AY$1))/COUNTIFS(Tracker[Money Discrepency],"&gt;="&amp;$AT26,Tracker[Money Discrepency],"&lt;"&amp;$AT27,Tracker[Bet Type],AY$1),2)&gt;0.05,"X",IF(ROUND((SUMIFS(Tracker[Net],Tracker[Money Discrepency],"&gt;="&amp;$AT26,Tracker[Money Discrepency],"&lt;"&amp;$AT27,Tracker[Bet Type],AY$1))/COUNTIFS(Tracker[Money Discrepency],"&gt;="&amp;$AT26,Tracker[Money Discrepency],"&lt;"&amp;$AT27,Tracker[Bet Type],AY$1),2)&lt;-0.15,"O","")),"")</f>
        <v>O</v>
      </c>
      <c r="AZ26" s="24" t="str">
        <f>IFERROR(IF(ROUND((SUMIFS(Tracker[Net],Tracker[Money Discrepency],"&gt;="&amp;$AT26,Tracker[Money Discrepency],"&lt;"&amp;$AT27,Tracker[Bet Type],AZ$1))/COUNTIFS(Tracker[Money Discrepency],"&gt;="&amp;$AT26,Tracker[Money Discrepency],"&lt;"&amp;$AT27,Tracker[Bet Type],AZ$1),2)&gt;0.05,"X",IF(ROUND((SUMIFS(Tracker[Net],Tracker[Money Discrepency],"&gt;="&amp;$AT26,Tracker[Money Discrepency],"&lt;"&amp;$AT27,Tracker[Bet Type],AZ$1))/COUNTIFS(Tracker[Money Discrepency],"&gt;="&amp;$AT26,Tracker[Money Discrepency],"&lt;"&amp;$AT27,Tracker[Bet Type],AZ$1),2)&lt;-0.15,"O","")),"")</f>
        <v>O</v>
      </c>
      <c r="BA26" s="24" t="str">
        <f>IFERROR(IF(ROUND((SUMIFS(Tracker[Net],Tracker[Money Discrepency],"&gt;="&amp;$AT26,Tracker[Money Discrepency],"&lt;"&amp;$AT27,Tracker[Bet Type],BA$1))/COUNTIFS(Tracker[Money Discrepency],"&gt;="&amp;$AT26,Tracker[Money Discrepency],"&lt;"&amp;$AT27,Tracker[Bet Type],BA$1),2)&gt;0.05,"X",IF(ROUND((SUMIFS(Tracker[Net],Tracker[Money Discrepency],"&gt;="&amp;$AT26,Tracker[Money Discrepency],"&lt;"&amp;$AT27,Tracker[Bet Type],BA$1))/COUNTIFS(Tracker[Money Discrepency],"&gt;="&amp;$AT26,Tracker[Money Discrepency],"&lt;"&amp;$AT27,Tracker[Bet Type],BA$1),2)&lt;-0.15,"O","")),"")</f>
        <v/>
      </c>
      <c r="BB26" s="24" t="str">
        <f>IFERROR(IF(ROUND((SUMIFS(Tracker[Net],Tracker[Money Discrepency],"&gt;="&amp;$AT26,Tracker[Money Discrepency],"&lt;"&amp;$AT27,Tracker[Bet Type Drill Down],BB$1))/COUNTIFS(Tracker[Money Discrepency],"&gt;="&amp;$AT26,Tracker[Money Discrepency],"&lt;"&amp;$AT27,Tracker[Bet Type Drill Down],BB$1),2)&gt;0.05,"X",IF(ROUND((SUMIFS(Tracker[Net],Tracker[Money Discrepency],"&gt;="&amp;$AT26,Tracker[Money Discrepency],"&lt;"&amp;$AT27,Tracker[Bet Type Drill Down],BB$1))/COUNTIFS(Tracker[Money Discrepency],"&gt;="&amp;$AT26,Tracker[Money Discrepency],"&lt;"&amp;$AT27,Tracker[Bet Type Drill Down],BB$1),2)&lt;-0.15,"O","")),"")</f>
        <v/>
      </c>
      <c r="BC26" s="24" t="str">
        <f>IFERROR(IF(ROUND((SUMIFS(Tracker[Net],Tracker[Money Discrepency],"&gt;="&amp;$AT26,Tracker[Money Discrepency],"&lt;"&amp;$AT27,Tracker[Bet Type Drill Down],BC$1))/COUNTIFS(Tracker[Money Discrepency],"&gt;="&amp;$AT26,Tracker[Money Discrepency],"&lt;"&amp;$AT27,Tracker[Bet Type Drill Down],BC$1),2)&gt;0.05,"X",IF(ROUND((SUMIFS(Tracker[Net],Tracker[Money Discrepency],"&gt;="&amp;$AT26,Tracker[Money Discrepency],"&lt;"&amp;$AT27,Tracker[Bet Type Drill Down],BC$1))/COUNTIFS(Tracker[Money Discrepency],"&gt;="&amp;$AT26,Tracker[Money Discrepency],"&lt;"&amp;$AT27,Tracker[Bet Type Drill Down],BC$1),2)&lt;-0.15,"O","")),"")</f>
        <v/>
      </c>
      <c r="BD26" s="24" t="str">
        <f>IFERROR(IF(ROUND((SUMIFS(Tracker[Net],Tracker[Money Discrepency],"&gt;="&amp;$AT26,Tracker[Money Discrepency],"&lt;"&amp;$AT27,Tracker[Bet Type Drill Down],BD$1))/COUNTIFS(Tracker[Money Discrepency],"&gt;="&amp;$AT26,Tracker[Money Discrepency],"&lt;"&amp;$AT27,Tracker[Bet Type Drill Down],BD$1),2)&gt;0.05,"X",IF(ROUND((SUMIFS(Tracker[Net],Tracker[Money Discrepency],"&gt;="&amp;$AT26,Tracker[Money Discrepency],"&lt;"&amp;$AT27,Tracker[Bet Type Drill Down],BD$1))/COUNTIFS(Tracker[Money Discrepency],"&gt;="&amp;$AT26,Tracker[Money Discrepency],"&lt;"&amp;$AT27,Tracker[Bet Type Drill Down],BD$1),2)&lt;-0.15,"O","")),"")</f>
        <v>O</v>
      </c>
      <c r="BE26" s="24" t="str">
        <f>IFERROR(IF(ROUND((SUMIFS(Tracker[Net],Tracker[Money Discrepency],"&gt;="&amp;$AT26,Tracker[Money Discrepency],"&lt;"&amp;$AT27,Tracker[Bet Type Drill Down],BE$1))/COUNTIFS(Tracker[Money Discrepency],"&gt;="&amp;$AT26,Tracker[Money Discrepency],"&lt;"&amp;$AT27,Tracker[Bet Type Drill Down],BE$1),2)&gt;0.05,"X",IF(ROUND((SUMIFS(Tracker[Net],Tracker[Money Discrepency],"&gt;="&amp;$AT26,Tracker[Money Discrepency],"&lt;"&amp;$AT27,Tracker[Bet Type Drill Down],BE$1))/COUNTIFS(Tracker[Money Discrepency],"&gt;="&amp;$AT26,Tracker[Money Discrepency],"&lt;"&amp;$AT27,Tracker[Bet Type Drill Down],BE$1),2)&lt;-0.15,"O","")),"")</f>
        <v/>
      </c>
    </row>
    <row r="27" spans="1:83" x14ac:dyDescent="0.25">
      <c r="A27" s="36">
        <f t="shared" si="9"/>
        <v>3</v>
      </c>
      <c r="B27" s="25">
        <v>43808</v>
      </c>
      <c r="C27" s="25" t="str">
        <f t="shared" si="7"/>
        <v>NBA</v>
      </c>
      <c r="D27" s="26" t="s">
        <v>830</v>
      </c>
      <c r="E27" s="27" t="s">
        <v>831</v>
      </c>
      <c r="F27" s="67">
        <v>0.59032579431033017</v>
      </c>
      <c r="G27" s="29">
        <v>-110</v>
      </c>
      <c r="H27" s="67" t="s">
        <v>56</v>
      </c>
      <c r="I27" s="44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7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27" s="32" t="str">
        <f>MID(Tracker[[#This Row],[Game]],SEARCH("@",Tracker[[#This Row],[Game]])+2,LEN(Tracker[[#This Row],[Game]]))</f>
        <v>Rockets</v>
      </c>
      <c r="L27" s="32" t="str">
        <f>LEFT(Tracker[[#This Row],[Game]],SEARCH("@",Tracker[[#This Row],[Game]])-2)</f>
        <v>Kings</v>
      </c>
      <c r="M2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27" s="123"/>
      <c r="O27" s="147"/>
      <c r="P27" s="147"/>
      <c r="Q27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7" s="147" t="e">
        <f>IF(AND(Tracker[[#This Row],[Money %]]&lt;&gt;"",Tracker[[#This Row],[Bet %]]&lt;&gt;""),Tracker[[#This Row],[Money %]]-Tracker[[#This Row],[Bet %]],NA())</f>
        <v>#N/A</v>
      </c>
      <c r="S27" s="109"/>
      <c r="T27" s="109"/>
      <c r="U27" s="56">
        <f>IFERROR(INDEX($A$4:$B10023,MATCH(ROW()-3,$A$4:$A$4:$A1023,0),2),0)</f>
        <v>43852</v>
      </c>
      <c r="V27" s="33" t="str">
        <f>COUNTIFS(Tracker[Date],U27,Tracker[Result],"W")&amp;"-"&amp;COUNTIFS(Tracker[Date],U27,Tracker[Result],"L")&amp;IF(COUNTIFS(Tracker[Date],U27,Tracker[Result],"Push")&gt;0,"-"&amp;COUNTIFS(Tracker[Date],U27,Tracker[Result],"Push"),"")</f>
        <v>8-8</v>
      </c>
      <c r="W27" s="34">
        <f>IFERROR(COUNTIFS(Tracker[Date],U27,Tracker[Result],"W")/(COUNTIFS(Tracker[Date],U27,Tracker[Result],"W")+COUNTIFS(Tracker[Date],U27,Tracker[Result],"L")),"")</f>
        <v>0.5</v>
      </c>
      <c r="X27" s="61">
        <f>SUMIF(Tracker[Date],U27,Tracker[Net])</f>
        <v>-0.7272727272727274</v>
      </c>
      <c r="Y27" s="35" t="str">
        <f>IFERROR("("&amp;ROUND(SUMIF(Tracker[Date],U27,Tracker[Net])/COUNTIF(Tracker[Date],U27),2)*100&amp;"%)","")</f>
        <v>(-5%)</v>
      </c>
      <c r="Z27" s="78">
        <f t="shared" si="29"/>
        <v>0.75000000000000022</v>
      </c>
      <c r="AA27" s="66" t="str">
        <f t="shared" si="30"/>
        <v>60-65%</v>
      </c>
      <c r="AB27" s="77" t="str">
        <f>IFERROR(COUNTIFS(Tracker[Confidence],"&gt;"&amp;Z24,Tracker[Confidence],"&lt;"&amp;Z25,Tracker[Result],"W")&amp;"-"&amp;COUNTIFS(Tracker[Confidence],"&gt;"&amp;Z24,Tracker[Confidence],"&lt;"&amp;Z25,Tracker[Result],"L")&amp;"-"&amp;COUNTIFS(Tracker[Confidence],"&gt;"&amp;Z24,Tracker[Confidence],"&lt;"&amp;Z25,Tracker[Result],"Push")&amp;" ("&amp;ROUND(COUNTIFS(Tracker[Confidence],"&gt;"&amp;Z24,Tracker[Confidence],"&lt;"&amp;Z25,Tracker[Result],"W")/(COUNTIFS(Tracker[Confidence],"&gt;"&amp;Z24,Tracker[Confidence],"&lt;"&amp;Z25,Tracker[Result],"L")+COUNTIFS(Tracker[Confidence],"&gt;"&amp;Z24,Tracker[Confidence],"&lt;"&amp;Z25,Tracker[Result],"W"))*100,2)&amp;"%)","No Bets")</f>
        <v>78-55-1 (58.65%)</v>
      </c>
      <c r="AC27" s="72">
        <f>SUMIFS(Tracker[Net],Tracker[Confidence],"&gt;="&amp;Z24,Tracker[Confidence],"&lt;"&amp;Z25)</f>
        <v>15.909090909090892</v>
      </c>
      <c r="AD27" s="24" t="str">
        <f>IFERROR(IF(ROUND((SUMIFS(Tracker[Net],Tracker[Confidence],"&gt;="&amp;$Z24,Tracker[Confidence],"&lt;"&amp;$Z25,Tracker[Bet Type],AD$24))/COUNTIFS(Tracker[Confidence],"&gt;="&amp;$Z24,Tracker[Confidence],"&lt;"&amp;$Z25,Tracker[Bet Type],AD$24),2)&gt;0.05,"X",IF(ROUND((SUMIFS(Tracker[Net],Tracker[Confidence],"&gt;="&amp;$Z24,Tracker[Confidence],"&lt;"&amp;$Z25,Tracker[Bet Type],AD$24))/COUNTIFS(Tracker[Confidence],"&gt;="&amp;$Z24,Tracker[Confidence],"&lt;"&amp;$Z25,Tracker[Bet Type],AD$24),2)&lt;-0.15,"O","")),"")</f>
        <v>X</v>
      </c>
      <c r="AE27" s="24" t="str">
        <f>IFERROR(IF(ROUND((SUMIFS(Tracker[Net],Tracker[Confidence],"&gt;="&amp;$Z24,Tracker[Confidence],"&lt;"&amp;$Z25,Tracker[Bet Type],AE$24))/COUNTIFS(Tracker[Confidence],"&gt;="&amp;$Z24,Tracker[Confidence],"&lt;"&amp;$Z25,Tracker[Bet Type],AE$24),2)&gt;0.05,"X",IF(ROUND((SUMIFS(Tracker[Net],Tracker[Confidence],"&gt;="&amp;$Z24,Tracker[Confidence],"&lt;"&amp;$Z25,Tracker[Bet Type],AE$24))/COUNTIFS(Tracker[Confidence],"&gt;="&amp;$Z24,Tracker[Confidence],"&lt;"&amp;$Z25,Tracker[Bet Type],AE$24),2)&lt;-0.15,"O","")),"")</f>
        <v>X</v>
      </c>
      <c r="AF27" s="24" t="str">
        <f>IFERROR(IF(ROUND((SUMIFS(Tracker[Net],Tracker[Confidence],"&gt;="&amp;$Z24,Tracker[Confidence],"&lt;"&amp;$Z25,Tracker[Bet Type],AF$24))/COUNTIFS(Tracker[Confidence],"&gt;="&amp;$Z24,Tracker[Confidence],"&lt;"&amp;$Z25,Tracker[Bet Type],AF$24),2)&gt;0.05,"X",IF(ROUND((SUMIFS(Tracker[Net],Tracker[Confidence],"&gt;="&amp;$Z24,Tracker[Confidence],"&lt;"&amp;$Z25,Tracker[Bet Type],AF$24))/COUNTIFS(Tracker[Confidence],"&gt;="&amp;$Z24,Tracker[Confidence],"&lt;"&amp;$Z25,Tracker[Bet Type],AF$24),2)&lt;-0.15,"O","")),"")</f>
        <v/>
      </c>
      <c r="AG27" s="24" t="str">
        <f>IFERROR(IF(ROUND((SUMIFS(Tracker[Net],Tracker[Confidence],"&gt;="&amp;$Z24,Tracker[Confidence],"&lt;"&amp;$Z25,Tracker[Bet Type],AG$24))/COUNTIFS(Tracker[Confidence],"&gt;="&amp;$Z24,Tracker[Confidence],"&lt;"&amp;$Z25,Tracker[Bet Type],AG$24),2)&gt;0.05,"X",IF(ROUND((SUMIFS(Tracker[Net],Tracker[Confidence],"&gt;="&amp;$Z24,Tracker[Confidence],"&lt;"&amp;$Z25,Tracker[Bet Type],AG$24))/COUNTIFS(Tracker[Confidence],"&gt;="&amp;$Z24,Tracker[Confidence],"&lt;"&amp;$Z25,Tracker[Bet Type],AG$24),2)&lt;-0.15,"O","")),"")</f>
        <v>X</v>
      </c>
      <c r="AH27" s="24" t="str">
        <f>IFERROR(IF(ROUND((SUMIFS(Tracker[Net],Tracker[Confidence],"&gt;="&amp;$Z24,Tracker[Confidence],"&lt;"&amp;$Z25,Tracker[Bet Type Drill Down],AH$24))/COUNTIFS(Tracker[Confidence],"&gt;="&amp;$Z24,Tracker[Confidence],"&lt;"&amp;$Z25,Tracker[Bet Type Drill Down],AH$24),2)&gt;0.05,"X",IF(ROUND((SUMIFS(Tracker[Net],Tracker[Confidence],"&gt;="&amp;$Z24,Tracker[Confidence],"&lt;"&amp;$Z25,Tracker[Bet Type Drill Down],AH$24))/COUNTIFS(Tracker[Confidence],"&gt;="&amp;$Z24,Tracker[Confidence],"&lt;"&amp;$Z25,Tracker[Bet Type Drill Down],AH$24),2)&lt;-0.15,"O","")),"")</f>
        <v/>
      </c>
      <c r="AI27" s="24" t="str">
        <f>IFERROR(IF(ROUND((SUMIFS(Tracker[Net],Tracker[Confidence],"&gt;="&amp;$Z24,Tracker[Confidence],"&lt;"&amp;$Z25,Tracker[Bet Type Drill Down],AI$24))/COUNTIFS(Tracker[Confidence],"&gt;="&amp;$Z24,Tracker[Confidence],"&lt;"&amp;$Z25,Tracker[Bet Type Drill Down],AI$24),2)&gt;0.05,"X",IF(ROUND((SUMIFS(Tracker[Net],Tracker[Confidence],"&gt;="&amp;$Z24,Tracker[Confidence],"&lt;"&amp;$Z25,Tracker[Bet Type Drill Down],AI$24))/COUNTIFS(Tracker[Confidence],"&gt;="&amp;$Z24,Tracker[Confidence],"&lt;"&amp;$Z25,Tracker[Bet Type Drill Down],AI$24),2)&lt;-0.15,"O","")),"")</f>
        <v>X</v>
      </c>
      <c r="AJ27" s="24" t="str">
        <f>IFERROR(IF(ROUND((SUMIFS(Tracker[Net],Tracker[Confidence],"&gt;="&amp;$Z24,Tracker[Confidence],"&lt;"&amp;$Z25,Tracker[Bet Type Drill Down],AJ$24))/COUNTIFS(Tracker[Confidence],"&gt;="&amp;$Z24,Tracker[Confidence],"&lt;"&amp;$Z25,Tracker[Bet Type Drill Down],AJ$24),2)&gt;0.05,"X",IF(ROUND((SUMIFS(Tracker[Net],Tracker[Confidence],"&gt;="&amp;$Z24,Tracker[Confidence],"&lt;"&amp;$Z25,Tracker[Bet Type Drill Down],AJ$24))/COUNTIFS(Tracker[Confidence],"&gt;="&amp;$Z24,Tracker[Confidence],"&lt;"&amp;$Z25,Tracker[Bet Type Drill Down],AJ$24),2)&lt;-0.15,"O","")),"")</f>
        <v/>
      </c>
      <c r="AK27" s="24" t="str">
        <f>IFERROR(IF(ROUND((SUMIFS(Tracker[Net],Tracker[Confidence],"&gt;="&amp;$Z24,Tracker[Confidence],"&lt;"&amp;$Z25,Tracker[Bet Type Drill Down],AK$24))/COUNTIFS(Tracker[Confidence],"&gt;="&amp;$Z24,Tracker[Confidence],"&lt;"&amp;$Z25,Tracker[Bet Type Drill Down],AK$24),2)&gt;0.05,"X",IF(ROUND((SUMIFS(Tracker[Net],Tracker[Confidence],"&gt;="&amp;$Z24,Tracker[Confidence],"&lt;"&amp;$Z25,Tracker[Bet Type Drill Down],AK$24))/COUNTIFS(Tracker[Confidence],"&gt;="&amp;$Z24,Tracker[Confidence],"&lt;"&amp;$Z25,Tracker[Bet Type Drill Down],AK$24),2)&lt;-0.15,"O","")),"")</f>
        <v>X</v>
      </c>
      <c r="AT27" s="153">
        <f t="shared" si="1"/>
        <v>0.25000000000000033</v>
      </c>
      <c r="AU27" s="39" t="str">
        <f t="shared" si="2"/>
        <v>25  to  30%</v>
      </c>
      <c r="AV27" t="str">
        <f>IFERROR(COUNTIFS(Tracker[Money Discrepency],"&gt;="&amp;AT27,Tracker[Money Discrepency],"&lt;"&amp;AT28,Tracker[Result],"W")&amp;"-"&amp;COUNTIFS(Tracker[Money Discrepency],"&gt;="&amp;AT27,Tracker[Money Discrepency],"&lt;"&amp;AT28,Tracker[Result],"L")&amp;"-"&amp;COUNTIFS(Tracker[Money Discrepency],"&gt;="&amp;AT27,Tracker[Money Discrepency],"&lt;"&amp;AT28,Tracker[Result],"Push")&amp;" ("&amp;ROUND(COUNTIFS(Tracker[Money Discrepency],"&gt;="&amp;AT27,Tracker[Money Discrepency],"&lt;"&amp;AT28,Tracker[Result],"W")/(COUNTIFS(Tracker[Money Discrepency],"&gt;="&amp;AT27,Tracker[Money Discrepency],"&lt;"&amp;AT28,Tracker[Result],"L")+COUNTIFS(Tracker[Money Discrepency],"&gt;="&amp;AT27,Tracker[Money Discrepency],"&lt;"&amp;AT28,Tracker[Result],"W"))*100,2)&amp;"%)","No Bets")</f>
        <v>2-2-1 (50%)</v>
      </c>
      <c r="AW27">
        <f>SUMIFS(Tracker[Net],Tracker[Money Discrepency],"&gt;="&amp;AT27,Tracker[Money Discrepency],"&lt;"&amp;AT28)</f>
        <v>-0.18181818181818177</v>
      </c>
      <c r="AX27" s="24" t="str">
        <f>IFERROR(IF(ROUND((SUMIFS(Tracker[Net],Tracker[Money Discrepency],"&gt;="&amp;$AT27,Tracker[Money Discrepency],"&lt;"&amp;$AT28,Tracker[Bet Type],AX$1))/COUNTIFS(Tracker[Money Discrepency],"&gt;="&amp;$AT27,Tracker[Money Discrepency],"&lt;"&amp;$AT28,Tracker[Bet Type],AX$1),2)&gt;0.05,"X",IF(ROUND((SUMIFS(Tracker[Net],Tracker[Money Discrepency],"&gt;="&amp;$AT27,Tracker[Money Discrepency],"&lt;"&amp;$AT28,Tracker[Bet Type],AX$1))/COUNTIFS(Tracker[Money Discrepency],"&gt;="&amp;$AT27,Tracker[Money Discrepency],"&lt;"&amp;$AT28,Tracker[Bet Type],AX$1),2)&lt;-0.15,"O","")),"")</f>
        <v>X</v>
      </c>
      <c r="AY27" s="24" t="str">
        <f>IFERROR(IF(ROUND((SUMIFS(Tracker[Net],Tracker[Money Discrepency],"&gt;="&amp;$AT27,Tracker[Money Discrepency],"&lt;"&amp;$AT28,Tracker[Bet Type],AY$1))/COUNTIFS(Tracker[Money Discrepency],"&gt;="&amp;$AT27,Tracker[Money Discrepency],"&lt;"&amp;$AT28,Tracker[Bet Type],AY$1),2)&gt;0.05,"X",IF(ROUND((SUMIFS(Tracker[Net],Tracker[Money Discrepency],"&gt;="&amp;$AT27,Tracker[Money Discrepency],"&lt;"&amp;$AT28,Tracker[Bet Type],AY$1))/COUNTIFS(Tracker[Money Discrepency],"&gt;="&amp;$AT27,Tracker[Money Discrepency],"&lt;"&amp;$AT28,Tracker[Bet Type],AY$1),2)&lt;-0.15,"O","")),"")</f>
        <v>O</v>
      </c>
      <c r="AZ27" s="24" t="str">
        <f>IFERROR(IF(ROUND((SUMIFS(Tracker[Net],Tracker[Money Discrepency],"&gt;="&amp;$AT27,Tracker[Money Discrepency],"&lt;"&amp;$AT28,Tracker[Bet Type],AZ$1))/COUNTIFS(Tracker[Money Discrepency],"&gt;="&amp;$AT27,Tracker[Money Discrepency],"&lt;"&amp;$AT28,Tracker[Bet Type],AZ$1),2)&gt;0.05,"X",IF(ROUND((SUMIFS(Tracker[Net],Tracker[Money Discrepency],"&gt;="&amp;$AT27,Tracker[Money Discrepency],"&lt;"&amp;$AT28,Tracker[Bet Type],AZ$1))/COUNTIFS(Tracker[Money Discrepency],"&gt;="&amp;$AT27,Tracker[Money Discrepency],"&lt;"&amp;$AT28,Tracker[Bet Type],AZ$1),2)&lt;-0.15,"O","")),"")</f>
        <v/>
      </c>
      <c r="BA27" s="24" t="str">
        <f>IFERROR(IF(ROUND((SUMIFS(Tracker[Net],Tracker[Money Discrepency],"&gt;="&amp;$AT27,Tracker[Money Discrepency],"&lt;"&amp;$AT28,Tracker[Bet Type],BA$1))/COUNTIFS(Tracker[Money Discrepency],"&gt;="&amp;$AT27,Tracker[Money Discrepency],"&lt;"&amp;$AT28,Tracker[Bet Type],BA$1),2)&gt;0.05,"X",IF(ROUND((SUMIFS(Tracker[Net],Tracker[Money Discrepency],"&gt;="&amp;$AT27,Tracker[Money Discrepency],"&lt;"&amp;$AT28,Tracker[Bet Type],BA$1))/COUNTIFS(Tracker[Money Discrepency],"&gt;="&amp;$AT27,Tracker[Money Discrepency],"&lt;"&amp;$AT28,Tracker[Bet Type],BA$1),2)&lt;-0.15,"O","")),"")</f>
        <v/>
      </c>
      <c r="BB27" s="24" t="str">
        <f>IFERROR(IF(ROUND((SUMIFS(Tracker[Net],Tracker[Money Discrepency],"&gt;="&amp;$AT27,Tracker[Money Discrepency],"&lt;"&amp;$AT28,Tracker[Bet Type Drill Down],BB$1))/COUNTIFS(Tracker[Money Discrepency],"&gt;="&amp;$AT27,Tracker[Money Discrepency],"&lt;"&amp;$AT28,Tracker[Bet Type Drill Down],BB$1),2)&gt;0.05,"X",IF(ROUND((SUMIFS(Tracker[Net],Tracker[Money Discrepency],"&gt;="&amp;$AT27,Tracker[Money Discrepency],"&lt;"&amp;$AT28,Tracker[Bet Type Drill Down],BB$1))/COUNTIFS(Tracker[Money Discrepency],"&gt;="&amp;$AT27,Tracker[Money Discrepency],"&lt;"&amp;$AT28,Tracker[Bet Type Drill Down],BB$1),2)&lt;-0.15,"O","")),"")</f>
        <v/>
      </c>
      <c r="BC27" s="24" t="str">
        <f>IFERROR(IF(ROUND((SUMIFS(Tracker[Net],Tracker[Money Discrepency],"&gt;="&amp;$AT27,Tracker[Money Discrepency],"&lt;"&amp;$AT28,Tracker[Bet Type Drill Down],BC$1))/COUNTIFS(Tracker[Money Discrepency],"&gt;="&amp;$AT27,Tracker[Money Discrepency],"&lt;"&amp;$AT28,Tracker[Bet Type Drill Down],BC$1),2)&gt;0.05,"X",IF(ROUND((SUMIFS(Tracker[Net],Tracker[Money Discrepency],"&gt;="&amp;$AT27,Tracker[Money Discrepency],"&lt;"&amp;$AT28,Tracker[Bet Type Drill Down],BC$1))/COUNTIFS(Tracker[Money Discrepency],"&gt;="&amp;$AT27,Tracker[Money Discrepency],"&lt;"&amp;$AT28,Tracker[Bet Type Drill Down],BC$1),2)&lt;-0.15,"O","")),"")</f>
        <v/>
      </c>
      <c r="BD27" s="24" t="str">
        <f>IFERROR(IF(ROUND((SUMIFS(Tracker[Net],Tracker[Money Discrepency],"&gt;="&amp;$AT27,Tracker[Money Discrepency],"&lt;"&amp;$AT28,Tracker[Bet Type Drill Down],BD$1))/COUNTIFS(Tracker[Money Discrepency],"&gt;="&amp;$AT27,Tracker[Money Discrepency],"&lt;"&amp;$AT28,Tracker[Bet Type Drill Down],BD$1),2)&gt;0.05,"X",IF(ROUND((SUMIFS(Tracker[Net],Tracker[Money Discrepency],"&gt;="&amp;$AT27,Tracker[Money Discrepency],"&lt;"&amp;$AT28,Tracker[Bet Type Drill Down],BD$1))/COUNTIFS(Tracker[Money Discrepency],"&gt;="&amp;$AT27,Tracker[Money Discrepency],"&lt;"&amp;$AT28,Tracker[Bet Type Drill Down],BD$1),2)&lt;-0.15,"O","")),"")</f>
        <v/>
      </c>
      <c r="BE27" s="24" t="str">
        <f>IFERROR(IF(ROUND((SUMIFS(Tracker[Net],Tracker[Money Discrepency],"&gt;="&amp;$AT27,Tracker[Money Discrepency],"&lt;"&amp;$AT28,Tracker[Bet Type Drill Down],BE$1))/COUNTIFS(Tracker[Money Discrepency],"&gt;="&amp;$AT27,Tracker[Money Discrepency],"&lt;"&amp;$AT28,Tracker[Bet Type Drill Down],BE$1),2)&gt;0.05,"X",IF(ROUND((SUMIFS(Tracker[Net],Tracker[Money Discrepency],"&gt;="&amp;$AT27,Tracker[Money Discrepency],"&lt;"&amp;$AT28,Tracker[Bet Type Drill Down],BE$1))/COUNTIFS(Tracker[Money Discrepency],"&gt;="&amp;$AT27,Tracker[Money Discrepency],"&lt;"&amp;$AT28,Tracker[Bet Type Drill Down],BE$1),2)&lt;-0.15,"O","")),"")</f>
        <v/>
      </c>
    </row>
    <row r="28" spans="1:83" x14ac:dyDescent="0.25">
      <c r="A28" s="36">
        <f t="shared" si="9"/>
        <v>3</v>
      </c>
      <c r="B28" s="25">
        <v>43808</v>
      </c>
      <c r="C28" s="25" t="str">
        <f t="shared" si="7"/>
        <v>NBA</v>
      </c>
      <c r="D28" s="26" t="s">
        <v>830</v>
      </c>
      <c r="E28" s="27" t="s">
        <v>832</v>
      </c>
      <c r="F28" s="67">
        <v>0.57619509121613888</v>
      </c>
      <c r="G28" s="29">
        <v>-110</v>
      </c>
      <c r="H28" s="67" t="s">
        <v>56</v>
      </c>
      <c r="I28" s="44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8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28" s="32" t="str">
        <f>MID(Tracker[[#This Row],[Game]],SEARCH("@",Tracker[[#This Row],[Game]])+2,LEN(Tracker[[#This Row],[Game]]))</f>
        <v>Rockets</v>
      </c>
      <c r="L28" s="32" t="str">
        <f>LEFT(Tracker[[#This Row],[Game]],SEARCH("@",Tracker[[#This Row],[Game]])-2)</f>
        <v>Kings</v>
      </c>
      <c r="M2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28" s="123"/>
      <c r="O28" s="147"/>
      <c r="P28" s="147"/>
      <c r="Q28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8" s="147" t="e">
        <f>IF(AND(Tracker[[#This Row],[Money %]]&lt;&gt;"",Tracker[[#This Row],[Bet %]]&lt;&gt;""),Tracker[[#This Row],[Money %]]-Tracker[[#This Row],[Bet %]],NA())</f>
        <v>#N/A</v>
      </c>
      <c r="S28" s="109"/>
      <c r="T28" s="109"/>
      <c r="U28" s="56">
        <f>IFERROR(INDEX($A$4:$B10024,MATCH(ROW()-3,$A$4:$A$4:$A1024,0),2),0)</f>
        <v>43853</v>
      </c>
      <c r="V28" s="33" t="str">
        <f>COUNTIFS(Tracker[Date],U28,Tracker[Result],"W")&amp;"-"&amp;COUNTIFS(Tracker[Date],U28,Tracker[Result],"L")&amp;IF(COUNTIFS(Tracker[Date],U28,Tracker[Result],"Push")&gt;0,"-"&amp;COUNTIFS(Tracker[Date],U28,Tracker[Result],"Push"),"")</f>
        <v>2-3</v>
      </c>
      <c r="W28" s="34">
        <f>IFERROR(COUNTIFS(Tracker[Date],U28,Tracker[Result],"W")/(COUNTIFS(Tracker[Date],U28,Tracker[Result],"W")+COUNTIFS(Tracker[Date],U28,Tracker[Result],"L")),"")</f>
        <v>0.4</v>
      </c>
      <c r="X28" s="61">
        <f>SUMIF(Tracker[Date],U28,Tracker[Net])</f>
        <v>-1.1818181818181817</v>
      </c>
      <c r="Y28" s="35" t="str">
        <f>IFERROR("("&amp;ROUND(SUMIF(Tracker[Date],U28,Tracker[Net])/COUNTIF(Tracker[Date],U28),2)*100&amp;"%)","")</f>
        <v>(-24%)</v>
      </c>
      <c r="Z28" s="78">
        <f t="shared" si="29"/>
        <v>0.80000000000000027</v>
      </c>
      <c r="AA28" s="66" t="str">
        <f t="shared" si="30"/>
        <v>65-70%</v>
      </c>
      <c r="AB28" s="77" t="str">
        <f>IFERROR(COUNTIFS(Tracker[Confidence],"&gt;"&amp;Z25,Tracker[Confidence],"&lt;"&amp;Z26,Tracker[Result],"W")&amp;"-"&amp;COUNTIFS(Tracker[Confidence],"&gt;"&amp;Z25,Tracker[Confidence],"&lt;"&amp;Z26,Tracker[Result],"L")&amp;"-"&amp;COUNTIFS(Tracker[Confidence],"&gt;"&amp;Z25,Tracker[Confidence],"&lt;"&amp;Z26,Tracker[Result],"Push")&amp;" ("&amp;ROUND(COUNTIFS(Tracker[Confidence],"&gt;"&amp;Z25,Tracker[Confidence],"&lt;"&amp;Z26,Tracker[Result],"W")/(COUNTIFS(Tracker[Confidence],"&gt;"&amp;Z25,Tracker[Confidence],"&lt;"&amp;Z26,Tracker[Result],"L")+COUNTIFS(Tracker[Confidence],"&gt;"&amp;Z25,Tracker[Confidence],"&lt;"&amp;Z26,Tracker[Result],"W"))*100,2)&amp;"%)","No Bets")</f>
        <v>42-48-2 (46.67%)</v>
      </c>
      <c r="AC28" s="72">
        <f>SUMIFS(Tracker[Net],Tracker[Confidence],"&gt;="&amp;Z25,Tracker[Confidence],"&lt;"&amp;Z26)</f>
        <v>-9.8181818181818201</v>
      </c>
      <c r="AD28" s="24" t="str">
        <f>IFERROR(IF(ROUND((SUMIFS(Tracker[Net],Tracker[Confidence],"&gt;="&amp;$Z25,Tracker[Confidence],"&lt;"&amp;$Z26,Tracker[Bet Type],AD$24))/COUNTIFS(Tracker[Confidence],"&gt;="&amp;$Z25,Tracker[Confidence],"&lt;"&amp;$Z26,Tracker[Bet Type],AD$24),2)&gt;0.05,"X",IF(ROUND((SUMIFS(Tracker[Net],Tracker[Confidence],"&gt;="&amp;$Z25,Tracker[Confidence],"&lt;"&amp;$Z26,Tracker[Bet Type],AD$24))/COUNTIFS(Tracker[Confidence],"&gt;="&amp;$Z25,Tracker[Confidence],"&lt;"&amp;$Z26,Tracker[Bet Type],AD$24),2)&lt;-0.15,"O","")),"")</f>
        <v/>
      </c>
      <c r="AE28" s="24" t="str">
        <f>IFERROR(IF(ROUND((SUMIFS(Tracker[Net],Tracker[Confidence],"&gt;="&amp;$Z25,Tracker[Confidence],"&lt;"&amp;$Z26,Tracker[Bet Type],AE$24))/COUNTIFS(Tracker[Confidence],"&gt;="&amp;$Z25,Tracker[Confidence],"&lt;"&amp;$Z26,Tracker[Bet Type],AE$24),2)&gt;0.05,"X",IF(ROUND((SUMIFS(Tracker[Net],Tracker[Confidence],"&gt;="&amp;$Z25,Tracker[Confidence],"&lt;"&amp;$Z26,Tracker[Bet Type],AE$24))/COUNTIFS(Tracker[Confidence],"&gt;="&amp;$Z25,Tracker[Confidence],"&lt;"&amp;$Z26,Tracker[Bet Type],AE$24),2)&lt;-0.15,"O","")),"")</f>
        <v>O</v>
      </c>
      <c r="AF28" s="24" t="str">
        <f>IFERROR(IF(ROUND((SUMIFS(Tracker[Net],Tracker[Confidence],"&gt;="&amp;$Z25,Tracker[Confidence],"&lt;"&amp;$Z26,Tracker[Bet Type],AF$24))/COUNTIFS(Tracker[Confidence],"&gt;="&amp;$Z25,Tracker[Confidence],"&lt;"&amp;$Z26,Tracker[Bet Type],AF$24),2)&gt;0.05,"X",IF(ROUND((SUMIFS(Tracker[Net],Tracker[Confidence],"&gt;="&amp;$Z25,Tracker[Confidence],"&lt;"&amp;$Z26,Tracker[Bet Type],AF$24))/COUNTIFS(Tracker[Confidence],"&gt;="&amp;$Z25,Tracker[Confidence],"&lt;"&amp;$Z26,Tracker[Bet Type],AF$24),2)&lt;-0.15,"O","")),"")</f>
        <v>X</v>
      </c>
      <c r="AG28" s="24" t="str">
        <f>IFERROR(IF(ROUND((SUMIFS(Tracker[Net],Tracker[Confidence],"&gt;="&amp;$Z25,Tracker[Confidence],"&lt;"&amp;$Z26,Tracker[Bet Type],AG$24))/COUNTIFS(Tracker[Confidence],"&gt;="&amp;$Z25,Tracker[Confidence],"&lt;"&amp;$Z26,Tracker[Bet Type],AG$24),2)&gt;0.05,"X",IF(ROUND((SUMIFS(Tracker[Net],Tracker[Confidence],"&gt;="&amp;$Z25,Tracker[Confidence],"&lt;"&amp;$Z26,Tracker[Bet Type],AG$24))/COUNTIFS(Tracker[Confidence],"&gt;="&amp;$Z25,Tracker[Confidence],"&lt;"&amp;$Z26,Tracker[Bet Type],AG$24),2)&lt;-0.15,"O","")),"")</f>
        <v/>
      </c>
      <c r="AH28" s="24" t="str">
        <f>IFERROR(IF(ROUND((SUMIFS(Tracker[Net],Tracker[Confidence],"&gt;="&amp;$Z25,Tracker[Confidence],"&lt;"&amp;$Z26,Tracker[Bet Type Drill Down],AH$24))/COUNTIFS(Tracker[Confidence],"&gt;="&amp;$Z25,Tracker[Confidence],"&lt;"&amp;$Z26,Tracker[Bet Type Drill Down],AH$24),2)&gt;0.05,"X",IF(ROUND((SUMIFS(Tracker[Net],Tracker[Confidence],"&gt;="&amp;$Z25,Tracker[Confidence],"&lt;"&amp;$Z26,Tracker[Bet Type Drill Down],AH$24))/COUNTIFS(Tracker[Confidence],"&gt;="&amp;$Z25,Tracker[Confidence],"&lt;"&amp;$Z26,Tracker[Bet Type Drill Down],AH$24),2)&lt;-0.15,"O","")),"")</f>
        <v>X</v>
      </c>
      <c r="AI28" s="24" t="str">
        <f>IFERROR(IF(ROUND((SUMIFS(Tracker[Net],Tracker[Confidence],"&gt;="&amp;$Z25,Tracker[Confidence],"&lt;"&amp;$Z26,Tracker[Bet Type Drill Down],AI$24))/COUNTIFS(Tracker[Confidence],"&gt;="&amp;$Z25,Tracker[Confidence],"&lt;"&amp;$Z26,Tracker[Bet Type Drill Down],AI$24),2)&gt;0.05,"X",IF(ROUND((SUMIFS(Tracker[Net],Tracker[Confidence],"&gt;="&amp;$Z25,Tracker[Confidence],"&lt;"&amp;$Z26,Tracker[Bet Type Drill Down],AI$24))/COUNTIFS(Tracker[Confidence],"&gt;="&amp;$Z25,Tracker[Confidence],"&lt;"&amp;$Z26,Tracker[Bet Type Drill Down],AI$24),2)&lt;-0.15,"O","")),"")</f>
        <v>O</v>
      </c>
      <c r="AJ28" s="24" t="str">
        <f>IFERROR(IF(ROUND((SUMIFS(Tracker[Net],Tracker[Confidence],"&gt;="&amp;$Z25,Tracker[Confidence],"&lt;"&amp;$Z26,Tracker[Bet Type Drill Down],AJ$24))/COUNTIFS(Tracker[Confidence],"&gt;="&amp;$Z25,Tracker[Confidence],"&lt;"&amp;$Z26,Tracker[Bet Type Drill Down],AJ$24),2)&gt;0.05,"X",IF(ROUND((SUMIFS(Tracker[Net],Tracker[Confidence],"&gt;="&amp;$Z25,Tracker[Confidence],"&lt;"&amp;$Z26,Tracker[Bet Type Drill Down],AJ$24))/COUNTIFS(Tracker[Confidence],"&gt;="&amp;$Z25,Tracker[Confidence],"&lt;"&amp;$Z26,Tracker[Bet Type Drill Down],AJ$24),2)&lt;-0.15,"O","")),"")</f>
        <v>O</v>
      </c>
      <c r="AK28" s="24" t="str">
        <f>IFERROR(IF(ROUND((SUMIFS(Tracker[Net],Tracker[Confidence],"&gt;="&amp;$Z25,Tracker[Confidence],"&lt;"&amp;$Z26,Tracker[Bet Type Drill Down],AK$24))/COUNTIFS(Tracker[Confidence],"&gt;="&amp;$Z25,Tracker[Confidence],"&lt;"&amp;$Z26,Tracker[Bet Type Drill Down],AK$24),2)&gt;0.05,"X",IF(ROUND((SUMIFS(Tracker[Net],Tracker[Confidence],"&gt;="&amp;$Z25,Tracker[Confidence],"&lt;"&amp;$Z26,Tracker[Bet Type Drill Down],AK$24))/COUNTIFS(Tracker[Confidence],"&gt;="&amp;$Z25,Tracker[Confidence],"&lt;"&amp;$Z26,Tracker[Bet Type Drill Down],AK$24),2)&lt;-0.15,"O","")),"")</f>
        <v>X</v>
      </c>
      <c r="AT28" s="153">
        <f t="shared" si="1"/>
        <v>0.30000000000000032</v>
      </c>
      <c r="AU28" s="39" t="str">
        <f t="shared" si="2"/>
        <v>30  to  35%</v>
      </c>
      <c r="AV28" t="str">
        <f>IFERROR(COUNTIFS(Tracker[Money Discrepency],"&gt;="&amp;AT28,Tracker[Money Discrepency],"&lt;"&amp;AT29,Tracker[Result],"W")&amp;"-"&amp;COUNTIFS(Tracker[Money Discrepency],"&gt;="&amp;AT28,Tracker[Money Discrepency],"&lt;"&amp;AT29,Tracker[Result],"L")&amp;"-"&amp;COUNTIFS(Tracker[Money Discrepency],"&gt;="&amp;AT28,Tracker[Money Discrepency],"&lt;"&amp;AT29,Tracker[Result],"Push")&amp;" ("&amp;ROUND(COUNTIFS(Tracker[Money Discrepency],"&gt;="&amp;AT28,Tracker[Money Discrepency],"&lt;"&amp;AT29,Tracker[Result],"W")/(COUNTIFS(Tracker[Money Discrepency],"&gt;="&amp;AT28,Tracker[Money Discrepency],"&lt;"&amp;AT29,Tracker[Result],"L")+COUNTIFS(Tracker[Money Discrepency],"&gt;="&amp;AT28,Tracker[Money Discrepency],"&lt;"&amp;AT29,Tracker[Result],"W"))*100,2)&amp;"%)","No Bets")</f>
        <v>3-4-0 (42.86%)</v>
      </c>
      <c r="AW28">
        <f>SUMIFS(Tracker[Net],Tracker[Money Discrepency],"&gt;="&amp;AT28,Tracker[Money Discrepency],"&lt;"&amp;AT29)</f>
        <v>-1.2727272727272725</v>
      </c>
      <c r="AX28" s="24" t="str">
        <f>IFERROR(IF(ROUND((SUMIFS(Tracker[Net],Tracker[Money Discrepency],"&gt;="&amp;$AT28,Tracker[Money Discrepency],"&lt;"&amp;$AT29,Tracker[Bet Type],AX$1))/COUNTIFS(Tracker[Money Discrepency],"&gt;="&amp;$AT28,Tracker[Money Discrepency],"&lt;"&amp;$AT29,Tracker[Bet Type],AX$1),2)&gt;0.05,"X",IF(ROUND((SUMIFS(Tracker[Net],Tracker[Money Discrepency],"&gt;="&amp;$AT28,Tracker[Money Discrepency],"&lt;"&amp;$AT29,Tracker[Bet Type],AX$1))/COUNTIFS(Tracker[Money Discrepency],"&gt;="&amp;$AT28,Tracker[Money Discrepency],"&lt;"&amp;$AT29,Tracker[Bet Type],AX$1),2)&lt;-0.15,"O","")),"")</f>
        <v>X</v>
      </c>
      <c r="AY28" s="24" t="str">
        <f>IFERROR(IF(ROUND((SUMIFS(Tracker[Net],Tracker[Money Discrepency],"&gt;="&amp;$AT28,Tracker[Money Discrepency],"&lt;"&amp;$AT29,Tracker[Bet Type],AY$1))/COUNTIFS(Tracker[Money Discrepency],"&gt;="&amp;$AT28,Tracker[Money Discrepency],"&lt;"&amp;$AT29,Tracker[Bet Type],AY$1),2)&gt;0.05,"X",IF(ROUND((SUMIFS(Tracker[Net],Tracker[Money Discrepency],"&gt;="&amp;$AT28,Tracker[Money Discrepency],"&lt;"&amp;$AT29,Tracker[Bet Type],AY$1))/COUNTIFS(Tracker[Money Discrepency],"&gt;="&amp;$AT28,Tracker[Money Discrepency],"&lt;"&amp;$AT29,Tracker[Bet Type],AY$1),2)&lt;-0.15,"O","")),"")</f>
        <v>O</v>
      </c>
      <c r="AZ28" s="24" t="str">
        <f>IFERROR(IF(ROUND((SUMIFS(Tracker[Net],Tracker[Money Discrepency],"&gt;="&amp;$AT28,Tracker[Money Discrepency],"&lt;"&amp;$AT29,Tracker[Bet Type],AZ$1))/COUNTIFS(Tracker[Money Discrepency],"&gt;="&amp;$AT28,Tracker[Money Discrepency],"&lt;"&amp;$AT29,Tracker[Bet Type],AZ$1),2)&gt;0.05,"X",IF(ROUND((SUMIFS(Tracker[Net],Tracker[Money Discrepency],"&gt;="&amp;$AT28,Tracker[Money Discrepency],"&lt;"&amp;$AT29,Tracker[Bet Type],AZ$1))/COUNTIFS(Tracker[Money Discrepency],"&gt;="&amp;$AT28,Tracker[Money Discrepency],"&lt;"&amp;$AT29,Tracker[Bet Type],AZ$1),2)&lt;-0.15,"O","")),"")</f>
        <v/>
      </c>
      <c r="BA28" s="24" t="str">
        <f>IFERROR(IF(ROUND((SUMIFS(Tracker[Net],Tracker[Money Discrepency],"&gt;="&amp;$AT28,Tracker[Money Discrepency],"&lt;"&amp;$AT29,Tracker[Bet Type],BA$1))/COUNTIFS(Tracker[Money Discrepency],"&gt;="&amp;$AT28,Tracker[Money Discrepency],"&lt;"&amp;$AT29,Tracker[Bet Type],BA$1),2)&gt;0.05,"X",IF(ROUND((SUMIFS(Tracker[Net],Tracker[Money Discrepency],"&gt;="&amp;$AT28,Tracker[Money Discrepency],"&lt;"&amp;$AT29,Tracker[Bet Type],BA$1))/COUNTIFS(Tracker[Money Discrepency],"&gt;="&amp;$AT28,Tracker[Money Discrepency],"&lt;"&amp;$AT29,Tracker[Bet Type],BA$1),2)&lt;-0.15,"O","")),"")</f>
        <v>O</v>
      </c>
      <c r="BB28" s="24" t="str">
        <f>IFERROR(IF(ROUND((SUMIFS(Tracker[Net],Tracker[Money Discrepency],"&gt;="&amp;$AT28,Tracker[Money Discrepency],"&lt;"&amp;$AT29,Tracker[Bet Type Drill Down],BB$1))/COUNTIFS(Tracker[Money Discrepency],"&gt;="&amp;$AT28,Tracker[Money Discrepency],"&lt;"&amp;$AT29,Tracker[Bet Type Drill Down],BB$1),2)&gt;0.05,"X",IF(ROUND((SUMIFS(Tracker[Net],Tracker[Money Discrepency],"&gt;="&amp;$AT28,Tracker[Money Discrepency],"&lt;"&amp;$AT29,Tracker[Bet Type Drill Down],BB$1))/COUNTIFS(Tracker[Money Discrepency],"&gt;="&amp;$AT28,Tracker[Money Discrepency],"&lt;"&amp;$AT29,Tracker[Bet Type Drill Down],BB$1),2)&lt;-0.15,"O","")),"")</f>
        <v>O</v>
      </c>
      <c r="BC28" s="24" t="str">
        <f>IFERROR(IF(ROUND((SUMIFS(Tracker[Net],Tracker[Money Discrepency],"&gt;="&amp;$AT28,Tracker[Money Discrepency],"&lt;"&amp;$AT29,Tracker[Bet Type Drill Down],BC$1))/COUNTIFS(Tracker[Money Discrepency],"&gt;="&amp;$AT28,Tracker[Money Discrepency],"&lt;"&amp;$AT29,Tracker[Bet Type Drill Down],BC$1),2)&gt;0.05,"X",IF(ROUND((SUMIFS(Tracker[Net],Tracker[Money Discrepency],"&gt;="&amp;$AT28,Tracker[Money Discrepency],"&lt;"&amp;$AT29,Tracker[Bet Type Drill Down],BC$1))/COUNTIFS(Tracker[Money Discrepency],"&gt;="&amp;$AT28,Tracker[Money Discrepency],"&lt;"&amp;$AT29,Tracker[Bet Type Drill Down],BC$1),2)&lt;-0.15,"O","")),"")</f>
        <v/>
      </c>
      <c r="BD28" s="24" t="str">
        <f>IFERROR(IF(ROUND((SUMIFS(Tracker[Net],Tracker[Money Discrepency],"&gt;="&amp;$AT28,Tracker[Money Discrepency],"&lt;"&amp;$AT29,Tracker[Bet Type Drill Down],BD$1))/COUNTIFS(Tracker[Money Discrepency],"&gt;="&amp;$AT28,Tracker[Money Discrepency],"&lt;"&amp;$AT29,Tracker[Bet Type Drill Down],BD$1),2)&gt;0.05,"X",IF(ROUND((SUMIFS(Tracker[Net],Tracker[Money Discrepency],"&gt;="&amp;$AT28,Tracker[Money Discrepency],"&lt;"&amp;$AT29,Tracker[Bet Type Drill Down],BD$1))/COUNTIFS(Tracker[Money Discrepency],"&gt;="&amp;$AT28,Tracker[Money Discrepency],"&lt;"&amp;$AT29,Tracker[Bet Type Drill Down],BD$1),2)&lt;-0.15,"O","")),"")</f>
        <v/>
      </c>
      <c r="BE28" s="24" t="str">
        <f>IFERROR(IF(ROUND((SUMIFS(Tracker[Net],Tracker[Money Discrepency],"&gt;="&amp;$AT28,Tracker[Money Discrepency],"&lt;"&amp;$AT29,Tracker[Bet Type Drill Down],BE$1))/COUNTIFS(Tracker[Money Discrepency],"&gt;="&amp;$AT28,Tracker[Money Discrepency],"&lt;"&amp;$AT29,Tracker[Bet Type Drill Down],BE$1),2)&gt;0.05,"X",IF(ROUND((SUMIFS(Tracker[Net],Tracker[Money Discrepency],"&gt;="&amp;$AT28,Tracker[Money Discrepency],"&lt;"&amp;$AT29,Tracker[Bet Type Drill Down],BE$1))/COUNTIFS(Tracker[Money Discrepency],"&gt;="&amp;$AT28,Tracker[Money Discrepency],"&lt;"&amp;$AT29,Tracker[Bet Type Drill Down],BE$1),2)&lt;-0.15,"O","")),"")</f>
        <v/>
      </c>
    </row>
    <row r="29" spans="1:83" x14ac:dyDescent="0.25">
      <c r="A29" s="36">
        <f t="shared" si="9"/>
        <v>3</v>
      </c>
      <c r="B29" s="25">
        <v>43808</v>
      </c>
      <c r="C29" s="25" t="str">
        <f t="shared" si="7"/>
        <v>NBA</v>
      </c>
      <c r="D29" s="26" t="s">
        <v>833</v>
      </c>
      <c r="E29" s="27" t="s">
        <v>834</v>
      </c>
      <c r="F29" s="67">
        <v>0.66222475606757736</v>
      </c>
      <c r="G29" s="29">
        <v>-110</v>
      </c>
      <c r="H29" s="67" t="s">
        <v>57</v>
      </c>
      <c r="I29" s="44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9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29" s="32" t="str">
        <f>MID(Tracker[[#This Row],[Game]],SEARCH("@",Tracker[[#This Row],[Game]])+2,LEN(Tracker[[#This Row],[Game]]))</f>
        <v>Bucks</v>
      </c>
      <c r="L29" s="32" t="str">
        <f>LEFT(Tracker[[#This Row],[Game]],SEARCH("@",Tracker[[#This Row],[Game]])-2)</f>
        <v>Magic</v>
      </c>
      <c r="M2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29" s="123"/>
      <c r="O29" s="147"/>
      <c r="P29" s="147"/>
      <c r="Q29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9" s="147" t="e">
        <f>IF(AND(Tracker[[#This Row],[Money %]]&lt;&gt;"",Tracker[[#This Row],[Bet %]]&lt;&gt;""),Tracker[[#This Row],[Money %]]-Tracker[[#This Row],[Bet %]],NA())</f>
        <v>#N/A</v>
      </c>
      <c r="S29" s="109"/>
      <c r="T29" s="109"/>
      <c r="U29" s="56">
        <f>IFERROR(INDEX($A$4:$B10025,MATCH(ROW()-3,$A$4:$A$4:$A1025,0),2),0)</f>
        <v>43854</v>
      </c>
      <c r="V29" s="33" t="str">
        <f>COUNTIFS(Tracker[Date],U29,Tracker[Result],"W")&amp;"-"&amp;COUNTIFS(Tracker[Date],U29,Tracker[Result],"L")&amp;IF(COUNTIFS(Tracker[Date],U29,Tracker[Result],"Push")&gt;0,"-"&amp;COUNTIFS(Tracker[Date],U29,Tracker[Result],"Push"),"")</f>
        <v>10-6</v>
      </c>
      <c r="W29" s="34">
        <f>IFERROR(COUNTIFS(Tracker[Date],U29,Tracker[Result],"W")/(COUNTIFS(Tracker[Date],U29,Tracker[Result],"W")+COUNTIFS(Tracker[Date],U29,Tracker[Result],"L")),"")</f>
        <v>0.625</v>
      </c>
      <c r="X29" s="61">
        <f>SUMIF(Tracker[Date],U29,Tracker[Net])</f>
        <v>3.0909090909090913</v>
      </c>
      <c r="Y29" s="35" t="str">
        <f>IFERROR("("&amp;ROUND(SUMIF(Tracker[Date],U29,Tracker[Net])/COUNTIF(Tracker[Date],U29),2)*100&amp;"%)","")</f>
        <v>(19%)</v>
      </c>
      <c r="Z29" s="78">
        <f t="shared" si="29"/>
        <v>0.85000000000000031</v>
      </c>
      <c r="AA29" s="66" t="str">
        <f t="shared" si="30"/>
        <v>70-75%</v>
      </c>
      <c r="AB29" s="77" t="str">
        <f>IFERROR(COUNTIFS(Tracker[Confidence],"&gt;"&amp;Z26,Tracker[Confidence],"&lt;"&amp;Z27,Tracker[Result],"W")&amp;"-"&amp;COUNTIFS(Tracker[Confidence],"&gt;"&amp;Z26,Tracker[Confidence],"&lt;"&amp;Z27,Tracker[Result],"L")&amp;"-"&amp;COUNTIFS(Tracker[Confidence],"&gt;"&amp;Z26,Tracker[Confidence],"&lt;"&amp;Z27,Tracker[Result],"Push")&amp;" ("&amp;ROUND(COUNTIFS(Tracker[Confidence],"&gt;"&amp;Z26,Tracker[Confidence],"&lt;"&amp;Z27,Tracker[Result],"W")/(COUNTIFS(Tracker[Confidence],"&gt;"&amp;Z26,Tracker[Confidence],"&lt;"&amp;Z27,Tracker[Result],"L")+COUNTIFS(Tracker[Confidence],"&gt;"&amp;Z26,Tracker[Confidence],"&lt;"&amp;Z27,Tracker[Result],"W"))*100,2)&amp;"%)","No Bets")</f>
        <v>16-24-1 (40%)</v>
      </c>
      <c r="AC29" s="72">
        <f>SUMIFS(Tracker[Net],Tracker[Confidence],"&gt;="&amp;Z26,Tracker[Confidence],"&lt;"&amp;Z27)</f>
        <v>-9.4545454545454533</v>
      </c>
      <c r="AD29" s="24" t="str">
        <f>IFERROR(IF(ROUND((SUMIFS(Tracker[Net],Tracker[Confidence],"&gt;="&amp;$Z26,Tracker[Confidence],"&lt;"&amp;$Z27,Tracker[Bet Type],AD$24))/COUNTIFS(Tracker[Confidence],"&gt;="&amp;$Z26,Tracker[Confidence],"&lt;"&amp;$Z27,Tracker[Bet Type],AD$24),2)&gt;0.05,"X",IF(ROUND((SUMIFS(Tracker[Net],Tracker[Confidence],"&gt;="&amp;$Z26,Tracker[Confidence],"&lt;"&amp;$Z27,Tracker[Bet Type],AD$24))/COUNTIFS(Tracker[Confidence],"&gt;="&amp;$Z26,Tracker[Confidence],"&lt;"&amp;$Z27,Tracker[Bet Type],AD$24),2)&lt;-0.15,"O","")),"")</f>
        <v>O</v>
      </c>
      <c r="AE29" s="24" t="str">
        <f>IFERROR(IF(ROUND((SUMIFS(Tracker[Net],Tracker[Confidence],"&gt;="&amp;$Z26,Tracker[Confidence],"&lt;"&amp;$Z27,Tracker[Bet Type],AE$24))/COUNTIFS(Tracker[Confidence],"&gt;="&amp;$Z26,Tracker[Confidence],"&lt;"&amp;$Z27,Tracker[Bet Type],AE$24),2)&gt;0.05,"X",IF(ROUND((SUMIFS(Tracker[Net],Tracker[Confidence],"&gt;="&amp;$Z26,Tracker[Confidence],"&lt;"&amp;$Z27,Tracker[Bet Type],AE$24))/COUNTIFS(Tracker[Confidence],"&gt;="&amp;$Z26,Tracker[Confidence],"&lt;"&amp;$Z27,Tracker[Bet Type],AE$24),2)&lt;-0.15,"O","")),"")</f>
        <v>O</v>
      </c>
      <c r="AF29" s="24" t="str">
        <f>IFERROR(IF(ROUND((SUMIFS(Tracker[Net],Tracker[Confidence],"&gt;="&amp;$Z26,Tracker[Confidence],"&lt;"&amp;$Z27,Tracker[Bet Type],AF$24))/COUNTIFS(Tracker[Confidence],"&gt;="&amp;$Z26,Tracker[Confidence],"&lt;"&amp;$Z27,Tracker[Bet Type],AF$24),2)&gt;0.05,"X",IF(ROUND((SUMIFS(Tracker[Net],Tracker[Confidence],"&gt;="&amp;$Z26,Tracker[Confidence],"&lt;"&amp;$Z27,Tracker[Bet Type],AF$24))/COUNTIFS(Tracker[Confidence],"&gt;="&amp;$Z26,Tracker[Confidence],"&lt;"&amp;$Z27,Tracker[Bet Type],AF$24),2)&lt;-0.15,"O","")),"")</f>
        <v>X</v>
      </c>
      <c r="AG29" s="24" t="str">
        <f>IFERROR(IF(ROUND((SUMIFS(Tracker[Net],Tracker[Confidence],"&gt;="&amp;$Z26,Tracker[Confidence],"&lt;"&amp;$Z27,Tracker[Bet Type],AG$24))/COUNTIFS(Tracker[Confidence],"&gt;="&amp;$Z26,Tracker[Confidence],"&lt;"&amp;$Z27,Tracker[Bet Type],AG$24),2)&gt;0.05,"X",IF(ROUND((SUMIFS(Tracker[Net],Tracker[Confidence],"&gt;="&amp;$Z26,Tracker[Confidence],"&lt;"&amp;$Z27,Tracker[Bet Type],AG$24))/COUNTIFS(Tracker[Confidence],"&gt;="&amp;$Z26,Tracker[Confidence],"&lt;"&amp;$Z27,Tracker[Bet Type],AG$24),2)&lt;-0.15,"O","")),"")</f>
        <v>O</v>
      </c>
      <c r="AH29" s="24" t="str">
        <f>IFERROR(IF(ROUND((SUMIFS(Tracker[Net],Tracker[Confidence],"&gt;="&amp;$Z26,Tracker[Confidence],"&lt;"&amp;$Z27,Tracker[Bet Type Drill Down],AH$24))/COUNTIFS(Tracker[Confidence],"&gt;="&amp;$Z26,Tracker[Confidence],"&lt;"&amp;$Z27,Tracker[Bet Type Drill Down],AH$24),2)&gt;0.05,"X",IF(ROUND((SUMIFS(Tracker[Net],Tracker[Confidence],"&gt;="&amp;$Z26,Tracker[Confidence],"&lt;"&amp;$Z27,Tracker[Bet Type Drill Down],AH$24))/COUNTIFS(Tracker[Confidence],"&gt;="&amp;$Z26,Tracker[Confidence],"&lt;"&amp;$Z27,Tracker[Bet Type Drill Down],AH$24),2)&lt;-0.15,"O","")),"")</f>
        <v>X</v>
      </c>
      <c r="AI29" s="24" t="str">
        <f>IFERROR(IF(ROUND((SUMIFS(Tracker[Net],Tracker[Confidence],"&gt;="&amp;$Z26,Tracker[Confidence],"&lt;"&amp;$Z27,Tracker[Bet Type Drill Down],AI$24))/COUNTIFS(Tracker[Confidence],"&gt;="&amp;$Z26,Tracker[Confidence],"&lt;"&amp;$Z27,Tracker[Bet Type Drill Down],AI$24),2)&gt;0.05,"X",IF(ROUND((SUMIFS(Tracker[Net],Tracker[Confidence],"&gt;="&amp;$Z26,Tracker[Confidence],"&lt;"&amp;$Z27,Tracker[Bet Type Drill Down],AI$24))/COUNTIFS(Tracker[Confidence],"&gt;="&amp;$Z26,Tracker[Confidence],"&lt;"&amp;$Z27,Tracker[Bet Type Drill Down],AI$24),2)&lt;-0.15,"O","")),"")</f>
        <v/>
      </c>
      <c r="AJ29" s="24" t="str">
        <f>IFERROR(IF(ROUND((SUMIFS(Tracker[Net],Tracker[Confidence],"&gt;="&amp;$Z26,Tracker[Confidence],"&lt;"&amp;$Z27,Tracker[Bet Type Drill Down],AJ$24))/COUNTIFS(Tracker[Confidence],"&gt;="&amp;$Z26,Tracker[Confidence],"&lt;"&amp;$Z27,Tracker[Bet Type Drill Down],AJ$24),2)&gt;0.05,"X",IF(ROUND((SUMIFS(Tracker[Net],Tracker[Confidence],"&gt;="&amp;$Z26,Tracker[Confidence],"&lt;"&amp;$Z27,Tracker[Bet Type Drill Down],AJ$24))/COUNTIFS(Tracker[Confidence],"&gt;="&amp;$Z26,Tracker[Confidence],"&lt;"&amp;$Z27,Tracker[Bet Type Drill Down],AJ$24),2)&lt;-0.15,"O","")),"")</f>
        <v/>
      </c>
      <c r="AK29" s="24" t="str">
        <f>IFERROR(IF(ROUND((SUMIFS(Tracker[Net],Tracker[Confidence],"&gt;="&amp;$Z26,Tracker[Confidence],"&lt;"&amp;$Z27,Tracker[Bet Type Drill Down],AK$24))/COUNTIFS(Tracker[Confidence],"&gt;="&amp;$Z26,Tracker[Confidence],"&lt;"&amp;$Z27,Tracker[Bet Type Drill Down],AK$24),2)&gt;0.05,"X",IF(ROUND((SUMIFS(Tracker[Net],Tracker[Confidence],"&gt;="&amp;$Z26,Tracker[Confidence],"&lt;"&amp;$Z27,Tracker[Bet Type Drill Down],AK$24))/COUNTIFS(Tracker[Confidence],"&gt;="&amp;$Z26,Tracker[Confidence],"&lt;"&amp;$Z27,Tracker[Bet Type Drill Down],AK$24),2)&lt;-0.15,"O","")),"")</f>
        <v>O</v>
      </c>
      <c r="AT29" s="153">
        <f t="shared" si="1"/>
        <v>0.35000000000000031</v>
      </c>
      <c r="AU29" s="39" t="str">
        <f t="shared" si="2"/>
        <v>35  to  40%</v>
      </c>
      <c r="AV29" t="str">
        <f>IFERROR(COUNTIFS(Tracker[Money Discrepency],"&gt;="&amp;AT29,Tracker[Money Discrepency],"&lt;"&amp;AT30,Tracker[Result],"W")&amp;"-"&amp;COUNTIFS(Tracker[Money Discrepency],"&gt;="&amp;AT29,Tracker[Money Discrepency],"&lt;"&amp;AT30,Tracker[Result],"L")&amp;"-"&amp;COUNTIFS(Tracker[Money Discrepency],"&gt;="&amp;AT29,Tracker[Money Discrepency],"&lt;"&amp;AT30,Tracker[Result],"Push")&amp;" ("&amp;ROUND(COUNTIFS(Tracker[Money Discrepency],"&gt;="&amp;AT29,Tracker[Money Discrepency],"&lt;"&amp;AT30,Tracker[Result],"W")/(COUNTIFS(Tracker[Money Discrepency],"&gt;="&amp;AT29,Tracker[Money Discrepency],"&lt;"&amp;AT30,Tracker[Result],"L")+COUNTIFS(Tracker[Money Discrepency],"&gt;="&amp;AT29,Tracker[Money Discrepency],"&lt;"&amp;AT30,Tracker[Result],"W"))*100,2)&amp;"%)","No Bets")</f>
        <v>5-2-0 (71.43%)</v>
      </c>
      <c r="AW29">
        <f>SUMIFS(Tracker[Net],Tracker[Money Discrepency],"&gt;="&amp;AT29,Tracker[Money Discrepency],"&lt;"&amp;AT30)</f>
        <v>2.5454545454545454</v>
      </c>
      <c r="AX29" s="24" t="str">
        <f>IFERROR(IF(ROUND((SUMIFS(Tracker[Net],Tracker[Money Discrepency],"&gt;="&amp;$AT29,Tracker[Money Discrepency],"&lt;"&amp;$AT30,Tracker[Bet Type],AX$1))/COUNTIFS(Tracker[Money Discrepency],"&gt;="&amp;$AT29,Tracker[Money Discrepency],"&lt;"&amp;$AT30,Tracker[Bet Type],AX$1),2)&gt;0.05,"X",IF(ROUND((SUMIFS(Tracker[Net],Tracker[Money Discrepency],"&gt;="&amp;$AT29,Tracker[Money Discrepency],"&lt;"&amp;$AT30,Tracker[Bet Type],AX$1))/COUNTIFS(Tracker[Money Discrepency],"&gt;="&amp;$AT29,Tracker[Money Discrepency],"&lt;"&amp;$AT30,Tracker[Bet Type],AX$1),2)&lt;-0.15,"O","")),"")</f>
        <v/>
      </c>
      <c r="AY29" s="24" t="str">
        <f>IFERROR(IF(ROUND((SUMIFS(Tracker[Net],Tracker[Money Discrepency],"&gt;="&amp;$AT29,Tracker[Money Discrepency],"&lt;"&amp;$AT30,Tracker[Bet Type],AY$1))/COUNTIFS(Tracker[Money Discrepency],"&gt;="&amp;$AT29,Tracker[Money Discrepency],"&lt;"&amp;$AT30,Tracker[Bet Type],AY$1),2)&gt;0.05,"X",IF(ROUND((SUMIFS(Tracker[Net],Tracker[Money Discrepency],"&gt;="&amp;$AT29,Tracker[Money Discrepency],"&lt;"&amp;$AT30,Tracker[Bet Type],AY$1))/COUNTIFS(Tracker[Money Discrepency],"&gt;="&amp;$AT29,Tracker[Money Discrepency],"&lt;"&amp;$AT30,Tracker[Bet Type],AY$1),2)&lt;-0.15,"O","")),"")</f>
        <v>X</v>
      </c>
      <c r="AZ29" s="24" t="str">
        <f>IFERROR(IF(ROUND((SUMIFS(Tracker[Net],Tracker[Money Discrepency],"&gt;="&amp;$AT29,Tracker[Money Discrepency],"&lt;"&amp;$AT30,Tracker[Bet Type],AZ$1))/COUNTIFS(Tracker[Money Discrepency],"&gt;="&amp;$AT29,Tracker[Money Discrepency],"&lt;"&amp;$AT30,Tracker[Bet Type],AZ$1),2)&gt;0.05,"X",IF(ROUND((SUMIFS(Tracker[Net],Tracker[Money Discrepency],"&gt;="&amp;$AT29,Tracker[Money Discrepency],"&lt;"&amp;$AT30,Tracker[Bet Type],AZ$1))/COUNTIFS(Tracker[Money Discrepency],"&gt;="&amp;$AT29,Tracker[Money Discrepency],"&lt;"&amp;$AT30,Tracker[Bet Type],AZ$1),2)&lt;-0.15,"O","")),"")</f>
        <v/>
      </c>
      <c r="BA29" s="24" t="str">
        <f>IFERROR(IF(ROUND((SUMIFS(Tracker[Net],Tracker[Money Discrepency],"&gt;="&amp;$AT29,Tracker[Money Discrepency],"&lt;"&amp;$AT30,Tracker[Bet Type],BA$1))/COUNTIFS(Tracker[Money Discrepency],"&gt;="&amp;$AT29,Tracker[Money Discrepency],"&lt;"&amp;$AT30,Tracker[Bet Type],BA$1),2)&gt;0.05,"X",IF(ROUND((SUMIFS(Tracker[Net],Tracker[Money Discrepency],"&gt;="&amp;$AT29,Tracker[Money Discrepency],"&lt;"&amp;$AT30,Tracker[Bet Type],BA$1))/COUNTIFS(Tracker[Money Discrepency],"&gt;="&amp;$AT29,Tracker[Money Discrepency],"&lt;"&amp;$AT30,Tracker[Bet Type],BA$1),2)&lt;-0.15,"O","")),"")</f>
        <v>X</v>
      </c>
      <c r="BB29" s="24" t="str">
        <f>IFERROR(IF(ROUND((SUMIFS(Tracker[Net],Tracker[Money Discrepency],"&gt;="&amp;$AT29,Tracker[Money Discrepency],"&lt;"&amp;$AT30,Tracker[Bet Type Drill Down],BB$1))/COUNTIFS(Tracker[Money Discrepency],"&gt;="&amp;$AT29,Tracker[Money Discrepency],"&lt;"&amp;$AT30,Tracker[Bet Type Drill Down],BB$1),2)&gt;0.05,"X",IF(ROUND((SUMIFS(Tracker[Net],Tracker[Money Discrepency],"&gt;="&amp;$AT29,Tracker[Money Discrepency],"&lt;"&amp;$AT30,Tracker[Bet Type Drill Down],BB$1))/COUNTIFS(Tracker[Money Discrepency],"&gt;="&amp;$AT29,Tracker[Money Discrepency],"&lt;"&amp;$AT30,Tracker[Bet Type Drill Down],BB$1),2)&lt;-0.15,"O","")),"")</f>
        <v>X</v>
      </c>
      <c r="BC29" s="24" t="str">
        <f>IFERROR(IF(ROUND((SUMIFS(Tracker[Net],Tracker[Money Discrepency],"&gt;="&amp;$AT29,Tracker[Money Discrepency],"&lt;"&amp;$AT30,Tracker[Bet Type Drill Down],BC$1))/COUNTIFS(Tracker[Money Discrepency],"&gt;="&amp;$AT29,Tracker[Money Discrepency],"&lt;"&amp;$AT30,Tracker[Bet Type Drill Down],BC$1),2)&gt;0.05,"X",IF(ROUND((SUMIFS(Tracker[Net],Tracker[Money Discrepency],"&gt;="&amp;$AT29,Tracker[Money Discrepency],"&lt;"&amp;$AT30,Tracker[Bet Type Drill Down],BC$1))/COUNTIFS(Tracker[Money Discrepency],"&gt;="&amp;$AT29,Tracker[Money Discrepency],"&lt;"&amp;$AT30,Tracker[Bet Type Drill Down],BC$1),2)&lt;-0.15,"O","")),"")</f>
        <v/>
      </c>
      <c r="BD29" s="24" t="str">
        <f>IFERROR(IF(ROUND((SUMIFS(Tracker[Net],Tracker[Money Discrepency],"&gt;="&amp;$AT29,Tracker[Money Discrepency],"&lt;"&amp;$AT30,Tracker[Bet Type Drill Down],BD$1))/COUNTIFS(Tracker[Money Discrepency],"&gt;="&amp;$AT29,Tracker[Money Discrepency],"&lt;"&amp;$AT30,Tracker[Bet Type Drill Down],BD$1),2)&gt;0.05,"X",IF(ROUND((SUMIFS(Tracker[Net],Tracker[Money Discrepency],"&gt;="&amp;$AT29,Tracker[Money Discrepency],"&lt;"&amp;$AT30,Tracker[Bet Type Drill Down],BD$1))/COUNTIFS(Tracker[Money Discrepency],"&gt;="&amp;$AT29,Tracker[Money Discrepency],"&lt;"&amp;$AT30,Tracker[Bet Type Drill Down],BD$1),2)&lt;-0.15,"O","")),"")</f>
        <v/>
      </c>
      <c r="BE29" s="24" t="str">
        <f>IFERROR(IF(ROUND((SUMIFS(Tracker[Net],Tracker[Money Discrepency],"&gt;="&amp;$AT29,Tracker[Money Discrepency],"&lt;"&amp;$AT30,Tracker[Bet Type Drill Down],BE$1))/COUNTIFS(Tracker[Money Discrepency],"&gt;="&amp;$AT29,Tracker[Money Discrepency],"&lt;"&amp;$AT30,Tracker[Bet Type Drill Down],BE$1),2)&gt;0.05,"X",IF(ROUND((SUMIFS(Tracker[Net],Tracker[Money Discrepency],"&gt;="&amp;$AT29,Tracker[Money Discrepency],"&lt;"&amp;$AT30,Tracker[Bet Type Drill Down],BE$1))/COUNTIFS(Tracker[Money Discrepency],"&gt;="&amp;$AT29,Tracker[Money Discrepency],"&lt;"&amp;$AT30,Tracker[Bet Type Drill Down],BE$1),2)&lt;-0.15,"O","")),"")</f>
        <v/>
      </c>
    </row>
    <row r="30" spans="1:83" x14ac:dyDescent="0.25">
      <c r="A30" s="36">
        <f t="shared" si="9"/>
        <v>3</v>
      </c>
      <c r="B30" s="25">
        <v>43808</v>
      </c>
      <c r="C30" s="25" t="str">
        <f t="shared" si="7"/>
        <v>NBA</v>
      </c>
      <c r="D30" s="26" t="s">
        <v>835</v>
      </c>
      <c r="E30" s="27" t="s">
        <v>836</v>
      </c>
      <c r="F30" s="67">
        <v>0.65132466338110506</v>
      </c>
      <c r="G30" s="29">
        <v>-110</v>
      </c>
      <c r="H30" s="67" t="s">
        <v>57</v>
      </c>
      <c r="I30" s="44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0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30" s="32" t="str">
        <f>MID(Tracker[[#This Row],[Game]],SEARCH("@",Tracker[[#This Row],[Game]])+2,LEN(Tracker[[#This Row],[Game]]))</f>
        <v>Suns</v>
      </c>
      <c r="L30" s="32" t="str">
        <f>LEFT(Tracker[[#This Row],[Game]],SEARCH("@",Tracker[[#This Row],[Game]])-2)</f>
        <v>Timberwolves</v>
      </c>
      <c r="M3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30" s="123"/>
      <c r="O30" s="147"/>
      <c r="P30" s="147"/>
      <c r="Q30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0" s="147" t="e">
        <f>IF(AND(Tracker[[#This Row],[Money %]]&lt;&gt;"",Tracker[[#This Row],[Bet %]]&lt;&gt;""),Tracker[[#This Row],[Money %]]-Tracker[[#This Row],[Bet %]],NA())</f>
        <v>#N/A</v>
      </c>
      <c r="S30" s="109"/>
      <c r="T30" s="109"/>
      <c r="U30" s="56">
        <f>IFERROR(INDEX($A$4:$B10026,MATCH(ROW()-3,$A$4:$A$4:$A1026,0),2),0)</f>
        <v>43857</v>
      </c>
      <c r="V30" s="33" t="str">
        <f>COUNTIFS(Tracker[Date],U30,Tracker[Result],"W")&amp;"-"&amp;COUNTIFS(Tracker[Date],U30,Tracker[Result],"L")&amp;IF(COUNTIFS(Tracker[Date],U30,Tracker[Result],"Push")&gt;0,"-"&amp;COUNTIFS(Tracker[Date],U30,Tracker[Result],"Push"),"")</f>
        <v>4-2</v>
      </c>
      <c r="W30" s="34">
        <f>IFERROR(COUNTIFS(Tracker[Date],U30,Tracker[Result],"W")/(COUNTIFS(Tracker[Date],U30,Tracker[Result],"W")+COUNTIFS(Tracker[Date],U30,Tracker[Result],"L")),"")</f>
        <v>0.66666666666666663</v>
      </c>
      <c r="X30" s="61">
        <f>SUMIF(Tracker[Date],U30,Tracker[Net])</f>
        <v>1.6363636363636362</v>
      </c>
      <c r="Y30" s="35" t="str">
        <f>IFERROR("("&amp;ROUND(SUMIF(Tracker[Date],U30,Tracker[Net])/COUNTIF(Tracker[Date],U30),2)*100&amp;"%)","")</f>
        <v>(27%)</v>
      </c>
      <c r="Z30" s="78">
        <f t="shared" si="29"/>
        <v>0.90000000000000036</v>
      </c>
      <c r="AA30" s="66" t="str">
        <f t="shared" si="30"/>
        <v>75-80%</v>
      </c>
      <c r="AB30" s="77" t="str">
        <f>IFERROR(COUNTIFS(Tracker[Confidence],"&gt;"&amp;Z27,Tracker[Confidence],"&lt;"&amp;Z28,Tracker[Result],"W")&amp;"-"&amp;COUNTIFS(Tracker[Confidence],"&gt;"&amp;Z27,Tracker[Confidence],"&lt;"&amp;Z28,Tracker[Result],"L")&amp;"-"&amp;COUNTIFS(Tracker[Confidence],"&gt;"&amp;Z27,Tracker[Confidence],"&lt;"&amp;Z28,Tracker[Result],"Push")&amp;" ("&amp;ROUND(COUNTIFS(Tracker[Confidence],"&gt;"&amp;Z27,Tracker[Confidence],"&lt;"&amp;Z28,Tracker[Result],"W")/(COUNTIFS(Tracker[Confidence],"&gt;"&amp;Z27,Tracker[Confidence],"&lt;"&amp;Z28,Tracker[Result],"L")+COUNTIFS(Tracker[Confidence],"&gt;"&amp;Z27,Tracker[Confidence],"&lt;"&amp;Z28,Tracker[Result],"W"))*100,2)&amp;"%)","No Bets")</f>
        <v>13-14-0 (48.15%)</v>
      </c>
      <c r="AC30" s="72">
        <f>SUMIFS(Tracker[Net],Tracker[Confidence],"&gt;="&amp;Z27,Tracker[Confidence],"&lt;"&amp;Z28)</f>
        <v>-2.1818181818181808</v>
      </c>
      <c r="AD30" s="24" t="str">
        <f>IFERROR(IF(ROUND((SUMIFS(Tracker[Net],Tracker[Confidence],"&gt;="&amp;$Z27,Tracker[Confidence],"&lt;"&amp;$Z28,Tracker[Bet Type],AD$24))/COUNTIFS(Tracker[Confidence],"&gt;="&amp;$Z27,Tracker[Confidence],"&lt;"&amp;$Z28,Tracker[Bet Type],AD$24),2)&gt;0.05,"X",IF(ROUND((SUMIFS(Tracker[Net],Tracker[Confidence],"&gt;="&amp;$Z27,Tracker[Confidence],"&lt;"&amp;$Z28,Tracker[Bet Type],AD$24))/COUNTIFS(Tracker[Confidence],"&gt;="&amp;$Z27,Tracker[Confidence],"&lt;"&amp;$Z28,Tracker[Bet Type],AD$24),2)&lt;-0.15,"O","")),"")</f>
        <v>O</v>
      </c>
      <c r="AE30" s="24" t="str">
        <f>IFERROR(IF(ROUND((SUMIFS(Tracker[Net],Tracker[Confidence],"&gt;="&amp;$Z27,Tracker[Confidence],"&lt;"&amp;$Z28,Tracker[Bet Type],AE$24))/COUNTIFS(Tracker[Confidence],"&gt;="&amp;$Z27,Tracker[Confidence],"&lt;"&amp;$Z28,Tracker[Bet Type],AE$24),2)&gt;0.05,"X",IF(ROUND((SUMIFS(Tracker[Net],Tracker[Confidence],"&gt;="&amp;$Z27,Tracker[Confidence],"&lt;"&amp;$Z28,Tracker[Bet Type],AE$24))/COUNTIFS(Tracker[Confidence],"&gt;="&amp;$Z27,Tracker[Confidence],"&lt;"&amp;$Z28,Tracker[Bet Type],AE$24),2)&lt;-0.15,"O","")),"")</f>
        <v>O</v>
      </c>
      <c r="AF30" s="24" t="str">
        <f>IFERROR(IF(ROUND((SUMIFS(Tracker[Net],Tracker[Confidence],"&gt;="&amp;$Z27,Tracker[Confidence],"&lt;"&amp;$Z28,Tracker[Bet Type],AF$24))/COUNTIFS(Tracker[Confidence],"&gt;="&amp;$Z27,Tracker[Confidence],"&lt;"&amp;$Z28,Tracker[Bet Type],AF$24),2)&gt;0.05,"X",IF(ROUND((SUMIFS(Tracker[Net],Tracker[Confidence],"&gt;="&amp;$Z27,Tracker[Confidence],"&lt;"&amp;$Z28,Tracker[Bet Type],AF$24))/COUNTIFS(Tracker[Confidence],"&gt;="&amp;$Z27,Tracker[Confidence],"&lt;"&amp;$Z28,Tracker[Bet Type],AF$24),2)&lt;-0.15,"O","")),"")</f>
        <v>X</v>
      </c>
      <c r="AG30" s="24" t="str">
        <f>IFERROR(IF(ROUND((SUMIFS(Tracker[Net],Tracker[Confidence],"&gt;="&amp;$Z27,Tracker[Confidence],"&lt;"&amp;$Z28,Tracker[Bet Type],AG$24))/COUNTIFS(Tracker[Confidence],"&gt;="&amp;$Z27,Tracker[Confidence],"&lt;"&amp;$Z28,Tracker[Bet Type],AG$24),2)&gt;0.05,"X",IF(ROUND((SUMIFS(Tracker[Net],Tracker[Confidence],"&gt;="&amp;$Z27,Tracker[Confidence],"&lt;"&amp;$Z28,Tracker[Bet Type],AG$24))/COUNTIFS(Tracker[Confidence],"&gt;="&amp;$Z27,Tracker[Confidence],"&lt;"&amp;$Z28,Tracker[Bet Type],AG$24),2)&lt;-0.15,"O","")),"")</f>
        <v>X</v>
      </c>
      <c r="AH30" s="24" t="str">
        <f>IFERROR(IF(ROUND((SUMIFS(Tracker[Net],Tracker[Confidence],"&gt;="&amp;$Z27,Tracker[Confidence],"&lt;"&amp;$Z28,Tracker[Bet Type Drill Down],AH$24))/COUNTIFS(Tracker[Confidence],"&gt;="&amp;$Z27,Tracker[Confidence],"&lt;"&amp;$Z28,Tracker[Bet Type Drill Down],AH$24),2)&gt;0.05,"X",IF(ROUND((SUMIFS(Tracker[Net],Tracker[Confidence],"&gt;="&amp;$Z27,Tracker[Confidence],"&lt;"&amp;$Z28,Tracker[Bet Type Drill Down],AH$24))/COUNTIFS(Tracker[Confidence],"&gt;="&amp;$Z27,Tracker[Confidence],"&lt;"&amp;$Z28,Tracker[Bet Type Drill Down],AH$24),2)&lt;-0.15,"O","")),"")</f>
        <v>X</v>
      </c>
      <c r="AI30" s="24" t="str">
        <f>IFERROR(IF(ROUND((SUMIFS(Tracker[Net],Tracker[Confidence],"&gt;="&amp;$Z27,Tracker[Confidence],"&lt;"&amp;$Z28,Tracker[Bet Type Drill Down],AI$24))/COUNTIFS(Tracker[Confidence],"&gt;="&amp;$Z27,Tracker[Confidence],"&lt;"&amp;$Z28,Tracker[Bet Type Drill Down],AI$24),2)&gt;0.05,"X",IF(ROUND((SUMIFS(Tracker[Net],Tracker[Confidence],"&gt;="&amp;$Z27,Tracker[Confidence],"&lt;"&amp;$Z28,Tracker[Bet Type Drill Down],AI$24))/COUNTIFS(Tracker[Confidence],"&gt;="&amp;$Z27,Tracker[Confidence],"&lt;"&amp;$Z28,Tracker[Bet Type Drill Down],AI$24),2)&lt;-0.15,"O","")),"")</f>
        <v/>
      </c>
      <c r="AJ30" s="24" t="str">
        <f>IFERROR(IF(ROUND((SUMIFS(Tracker[Net],Tracker[Confidence],"&gt;="&amp;$Z27,Tracker[Confidence],"&lt;"&amp;$Z28,Tracker[Bet Type Drill Down],AJ$24))/COUNTIFS(Tracker[Confidence],"&gt;="&amp;$Z27,Tracker[Confidence],"&lt;"&amp;$Z28,Tracker[Bet Type Drill Down],AJ$24),2)&gt;0.05,"X",IF(ROUND((SUMIFS(Tracker[Net],Tracker[Confidence],"&gt;="&amp;$Z27,Tracker[Confidence],"&lt;"&amp;$Z28,Tracker[Bet Type Drill Down],AJ$24))/COUNTIFS(Tracker[Confidence],"&gt;="&amp;$Z27,Tracker[Confidence],"&lt;"&amp;$Z28,Tracker[Bet Type Drill Down],AJ$24),2)&lt;-0.15,"O","")),"")</f>
        <v>X</v>
      </c>
      <c r="AK30" s="24" t="str">
        <f>IFERROR(IF(ROUND((SUMIFS(Tracker[Net],Tracker[Confidence],"&gt;="&amp;$Z27,Tracker[Confidence],"&lt;"&amp;$Z28,Tracker[Bet Type Drill Down],AK$24))/COUNTIFS(Tracker[Confidence],"&gt;="&amp;$Z27,Tracker[Confidence],"&lt;"&amp;$Z28,Tracker[Bet Type Drill Down],AK$24),2)&gt;0.05,"X",IF(ROUND((SUMIFS(Tracker[Net],Tracker[Confidence],"&gt;="&amp;$Z27,Tracker[Confidence],"&lt;"&amp;$Z28,Tracker[Bet Type Drill Down],AK$24))/COUNTIFS(Tracker[Confidence],"&gt;="&amp;$Z27,Tracker[Confidence],"&lt;"&amp;$Z28,Tracker[Bet Type Drill Down],AK$24),2)&lt;-0.15,"O","")),"")</f>
        <v>O</v>
      </c>
      <c r="AT30" s="153">
        <f t="shared" si="1"/>
        <v>0.4000000000000003</v>
      </c>
      <c r="AU30" s="39" t="str">
        <f t="shared" si="2"/>
        <v>40  to  45%</v>
      </c>
      <c r="AV30" t="str">
        <f>IFERROR(COUNTIFS(Tracker[Money Discrepency],"&gt;="&amp;AT30,Tracker[Money Discrepency],"&lt;"&amp;AT31,Tracker[Result],"W")&amp;"-"&amp;COUNTIFS(Tracker[Money Discrepency],"&gt;="&amp;AT30,Tracker[Money Discrepency],"&lt;"&amp;AT31,Tracker[Result],"L")&amp;"-"&amp;COUNTIFS(Tracker[Money Discrepency],"&gt;="&amp;AT30,Tracker[Money Discrepency],"&lt;"&amp;AT31,Tracker[Result],"Push")&amp;" ("&amp;ROUND(COUNTIFS(Tracker[Money Discrepency],"&gt;="&amp;AT30,Tracker[Money Discrepency],"&lt;"&amp;AT31,Tracker[Result],"W")/(COUNTIFS(Tracker[Money Discrepency],"&gt;="&amp;AT30,Tracker[Money Discrepency],"&lt;"&amp;AT31,Tracker[Result],"L")+COUNTIFS(Tracker[Money Discrepency],"&gt;="&amp;AT30,Tracker[Money Discrepency],"&lt;"&amp;AT31,Tracker[Result],"W"))*100,2)&amp;"%)","No Bets")</f>
        <v>3-2-0 (60%)</v>
      </c>
      <c r="AW30">
        <f>SUMIFS(Tracker[Net],Tracker[Money Discrepency],"&gt;="&amp;AT30,Tracker[Money Discrepency],"&lt;"&amp;AT31)</f>
        <v>0.72727272727272707</v>
      </c>
      <c r="AX30" s="24" t="str">
        <f>IFERROR(IF(ROUND((SUMIFS(Tracker[Net],Tracker[Money Discrepency],"&gt;="&amp;$AT30,Tracker[Money Discrepency],"&lt;"&amp;$AT31,Tracker[Bet Type],AX$1))/COUNTIFS(Tracker[Money Discrepency],"&gt;="&amp;$AT30,Tracker[Money Discrepency],"&lt;"&amp;$AT31,Tracker[Bet Type],AX$1),2)&gt;0.05,"X",IF(ROUND((SUMIFS(Tracker[Net],Tracker[Money Discrepency],"&gt;="&amp;$AT30,Tracker[Money Discrepency],"&lt;"&amp;$AT31,Tracker[Bet Type],AX$1))/COUNTIFS(Tracker[Money Discrepency],"&gt;="&amp;$AT30,Tracker[Money Discrepency],"&lt;"&amp;$AT31,Tracker[Bet Type],AX$1),2)&lt;-0.15,"O","")),"")</f>
        <v/>
      </c>
      <c r="AY30" s="24" t="str">
        <f>IFERROR(IF(ROUND((SUMIFS(Tracker[Net],Tracker[Money Discrepency],"&gt;="&amp;$AT30,Tracker[Money Discrepency],"&lt;"&amp;$AT31,Tracker[Bet Type],AY$1))/COUNTIFS(Tracker[Money Discrepency],"&gt;="&amp;$AT30,Tracker[Money Discrepency],"&lt;"&amp;$AT31,Tracker[Bet Type],AY$1),2)&gt;0.05,"X",IF(ROUND((SUMIFS(Tracker[Net],Tracker[Money Discrepency],"&gt;="&amp;$AT30,Tracker[Money Discrepency],"&lt;"&amp;$AT31,Tracker[Bet Type],AY$1))/COUNTIFS(Tracker[Money Discrepency],"&gt;="&amp;$AT30,Tracker[Money Discrepency],"&lt;"&amp;$AT31,Tracker[Bet Type],AY$1),2)&lt;-0.15,"O","")),"")</f>
        <v>X</v>
      </c>
      <c r="AZ30" s="24" t="str">
        <f>IFERROR(IF(ROUND((SUMIFS(Tracker[Net],Tracker[Money Discrepency],"&gt;="&amp;$AT30,Tracker[Money Discrepency],"&lt;"&amp;$AT31,Tracker[Bet Type],AZ$1))/COUNTIFS(Tracker[Money Discrepency],"&gt;="&amp;$AT30,Tracker[Money Discrepency],"&lt;"&amp;$AT31,Tracker[Bet Type],AZ$1),2)&gt;0.05,"X",IF(ROUND((SUMIFS(Tracker[Net],Tracker[Money Discrepency],"&gt;="&amp;$AT30,Tracker[Money Discrepency],"&lt;"&amp;$AT31,Tracker[Bet Type],AZ$1))/COUNTIFS(Tracker[Money Discrepency],"&gt;="&amp;$AT30,Tracker[Money Discrepency],"&lt;"&amp;$AT31,Tracker[Bet Type],AZ$1),2)&lt;-0.15,"O","")),"")</f>
        <v/>
      </c>
      <c r="BA30" s="24" t="str">
        <f>IFERROR(IF(ROUND((SUMIFS(Tracker[Net],Tracker[Money Discrepency],"&gt;="&amp;$AT30,Tracker[Money Discrepency],"&lt;"&amp;$AT31,Tracker[Bet Type],BA$1))/COUNTIFS(Tracker[Money Discrepency],"&gt;="&amp;$AT30,Tracker[Money Discrepency],"&lt;"&amp;$AT31,Tracker[Bet Type],BA$1),2)&gt;0.05,"X",IF(ROUND((SUMIFS(Tracker[Net],Tracker[Money Discrepency],"&gt;="&amp;$AT30,Tracker[Money Discrepency],"&lt;"&amp;$AT31,Tracker[Bet Type],BA$1))/COUNTIFS(Tracker[Money Discrepency],"&gt;="&amp;$AT30,Tracker[Money Discrepency],"&lt;"&amp;$AT31,Tracker[Bet Type],BA$1),2)&lt;-0.15,"O","")),"")</f>
        <v/>
      </c>
      <c r="BB30" s="24" t="str">
        <f>IFERROR(IF(ROUND((SUMIFS(Tracker[Net],Tracker[Money Discrepency],"&gt;="&amp;$AT30,Tracker[Money Discrepency],"&lt;"&amp;$AT31,Tracker[Bet Type Drill Down],BB$1))/COUNTIFS(Tracker[Money Discrepency],"&gt;="&amp;$AT30,Tracker[Money Discrepency],"&lt;"&amp;$AT31,Tracker[Bet Type Drill Down],BB$1),2)&gt;0.05,"X",IF(ROUND((SUMIFS(Tracker[Net],Tracker[Money Discrepency],"&gt;="&amp;$AT30,Tracker[Money Discrepency],"&lt;"&amp;$AT31,Tracker[Bet Type Drill Down],BB$1))/COUNTIFS(Tracker[Money Discrepency],"&gt;="&amp;$AT30,Tracker[Money Discrepency],"&lt;"&amp;$AT31,Tracker[Bet Type Drill Down],BB$1),2)&lt;-0.15,"O","")),"")</f>
        <v/>
      </c>
      <c r="BC30" s="24" t="str">
        <f>IFERROR(IF(ROUND((SUMIFS(Tracker[Net],Tracker[Money Discrepency],"&gt;="&amp;$AT30,Tracker[Money Discrepency],"&lt;"&amp;$AT31,Tracker[Bet Type Drill Down],BC$1))/COUNTIFS(Tracker[Money Discrepency],"&gt;="&amp;$AT30,Tracker[Money Discrepency],"&lt;"&amp;$AT31,Tracker[Bet Type Drill Down],BC$1),2)&gt;0.05,"X",IF(ROUND((SUMIFS(Tracker[Net],Tracker[Money Discrepency],"&gt;="&amp;$AT30,Tracker[Money Discrepency],"&lt;"&amp;$AT31,Tracker[Bet Type Drill Down],BC$1))/COUNTIFS(Tracker[Money Discrepency],"&gt;="&amp;$AT30,Tracker[Money Discrepency],"&lt;"&amp;$AT31,Tracker[Bet Type Drill Down],BC$1),2)&lt;-0.15,"O","")),"")</f>
        <v/>
      </c>
      <c r="BD30" s="24" t="str">
        <f>IFERROR(IF(ROUND((SUMIFS(Tracker[Net],Tracker[Money Discrepency],"&gt;="&amp;$AT30,Tracker[Money Discrepency],"&lt;"&amp;$AT31,Tracker[Bet Type Drill Down],BD$1))/COUNTIFS(Tracker[Money Discrepency],"&gt;="&amp;$AT30,Tracker[Money Discrepency],"&lt;"&amp;$AT31,Tracker[Bet Type Drill Down],BD$1),2)&gt;0.05,"X",IF(ROUND((SUMIFS(Tracker[Net],Tracker[Money Discrepency],"&gt;="&amp;$AT30,Tracker[Money Discrepency],"&lt;"&amp;$AT31,Tracker[Bet Type Drill Down],BD$1))/COUNTIFS(Tracker[Money Discrepency],"&gt;="&amp;$AT30,Tracker[Money Discrepency],"&lt;"&amp;$AT31,Tracker[Bet Type Drill Down],BD$1),2)&lt;-0.15,"O","")),"")</f>
        <v/>
      </c>
      <c r="BE30" s="24" t="str">
        <f>IFERROR(IF(ROUND((SUMIFS(Tracker[Net],Tracker[Money Discrepency],"&gt;="&amp;$AT30,Tracker[Money Discrepency],"&lt;"&amp;$AT31,Tracker[Bet Type Drill Down],BE$1))/COUNTIFS(Tracker[Money Discrepency],"&gt;="&amp;$AT30,Tracker[Money Discrepency],"&lt;"&amp;$AT31,Tracker[Bet Type Drill Down],BE$1),2)&gt;0.05,"X",IF(ROUND((SUMIFS(Tracker[Net],Tracker[Money Discrepency],"&gt;="&amp;$AT30,Tracker[Money Discrepency],"&lt;"&amp;$AT31,Tracker[Bet Type Drill Down],BE$1))/COUNTIFS(Tracker[Money Discrepency],"&gt;="&amp;$AT30,Tracker[Money Discrepency],"&lt;"&amp;$AT31,Tracker[Bet Type Drill Down],BE$1),2)&lt;-0.15,"O","")),"")</f>
        <v/>
      </c>
    </row>
    <row r="31" spans="1:83" x14ac:dyDescent="0.25">
      <c r="A31" s="36">
        <f t="shared" si="9"/>
        <v>3</v>
      </c>
      <c r="B31" s="25">
        <v>43808</v>
      </c>
      <c r="C31" s="25" t="str">
        <f t="shared" si="7"/>
        <v>NBA</v>
      </c>
      <c r="D31" s="26" t="s">
        <v>835</v>
      </c>
      <c r="E31" s="27" t="s">
        <v>837</v>
      </c>
      <c r="F31" s="67">
        <v>0.55597722721328291</v>
      </c>
      <c r="G31" s="29">
        <v>-110</v>
      </c>
      <c r="H31" s="67" t="s">
        <v>847</v>
      </c>
      <c r="I31" s="44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</v>
      </c>
      <c r="J31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31" s="32" t="str">
        <f>MID(Tracker[[#This Row],[Game]],SEARCH("@",Tracker[[#This Row],[Game]])+2,LEN(Tracker[[#This Row],[Game]]))</f>
        <v>Suns</v>
      </c>
      <c r="L31" s="32" t="str">
        <f>LEFT(Tracker[[#This Row],[Game]],SEARCH("@",Tracker[[#This Row],[Game]])-2)</f>
        <v>Timberwolves</v>
      </c>
      <c r="M3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31" s="123"/>
      <c r="O31" s="147"/>
      <c r="P31" s="147"/>
      <c r="Q31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1" s="147" t="e">
        <f>IF(AND(Tracker[[#This Row],[Money %]]&lt;&gt;"",Tracker[[#This Row],[Bet %]]&lt;&gt;""),Tracker[[#This Row],[Money %]]-Tracker[[#This Row],[Bet %]],NA())</f>
        <v>#N/A</v>
      </c>
      <c r="S31" s="109"/>
      <c r="T31" s="109"/>
      <c r="U31" s="56">
        <f>IFERROR(INDEX($A$4:$B10027,MATCH(ROW()-3,$A$4:$A$4:$A1027,0),2),0)</f>
        <v>43858</v>
      </c>
      <c r="V31" s="33" t="str">
        <f>COUNTIFS(Tracker[Date],U31,Tracker[Result],"W")&amp;"-"&amp;COUNTIFS(Tracker[Date],U31,Tracker[Result],"L")&amp;IF(COUNTIFS(Tracker[Date],U31,Tracker[Result],"Push")&gt;0,"-"&amp;COUNTIFS(Tracker[Date],U31,Tracker[Result],"Push"),"")</f>
        <v>3-9</v>
      </c>
      <c r="W31" s="34">
        <f>IFERROR(COUNTIFS(Tracker[Date],U31,Tracker[Result],"W")/(COUNTIFS(Tracker[Date],U31,Tracker[Result],"W")+COUNTIFS(Tracker[Date],U31,Tracker[Result],"L")),"")</f>
        <v>0.25</v>
      </c>
      <c r="X31" s="61">
        <f>SUMIF(Tracker[Date],U31,Tracker[Net])</f>
        <v>-6.2727272727272725</v>
      </c>
      <c r="Y31" s="35" t="str">
        <f>IFERROR("("&amp;ROUND(SUMIF(Tracker[Date],U31,Tracker[Net])/COUNTIF(Tracker[Date],U31),2)*100&amp;"%)","")</f>
        <v>(-52%)</v>
      </c>
      <c r="Z31" s="78">
        <f t="shared" si="29"/>
        <v>0.9500000000000004</v>
      </c>
      <c r="AA31" s="66" t="str">
        <f t="shared" si="30"/>
        <v>80-85%</v>
      </c>
      <c r="AB31" s="77" t="str">
        <f>IFERROR(COUNTIFS(Tracker[Confidence],"&gt;"&amp;Z28,Tracker[Confidence],"&lt;"&amp;Z29,Tracker[Result],"W")&amp;"-"&amp;COUNTIFS(Tracker[Confidence],"&gt;"&amp;Z28,Tracker[Confidence],"&lt;"&amp;Z29,Tracker[Result],"L")&amp;"-"&amp;COUNTIFS(Tracker[Confidence],"&gt;"&amp;Z28,Tracker[Confidence],"&lt;"&amp;Z29,Tracker[Result],"Push")&amp;" ("&amp;ROUND(COUNTIFS(Tracker[Confidence],"&gt;"&amp;Z28,Tracker[Confidence],"&lt;"&amp;Z29,Tracker[Result],"W")/(COUNTIFS(Tracker[Confidence],"&gt;"&amp;Z28,Tracker[Confidence],"&lt;"&amp;Z29,Tracker[Result],"L")+COUNTIFS(Tracker[Confidence],"&gt;"&amp;Z28,Tracker[Confidence],"&lt;"&amp;Z29,Tracker[Result],"W"))*100,2)&amp;"%)","No Bets")</f>
        <v>6-6-0 (50%)</v>
      </c>
      <c r="AC31" s="72">
        <f>SUMIFS(Tracker[Net],Tracker[Confidence],"&gt;="&amp;Z28,Tracker[Confidence],"&lt;"&amp;Z29)</f>
        <v>-0.54545454545454564</v>
      </c>
      <c r="AD31" s="24" t="str">
        <f>IFERROR(IF(ROUND((SUMIFS(Tracker[Net],Tracker[Confidence],"&gt;="&amp;$Z28,Tracker[Confidence],"&lt;"&amp;$Z29,Tracker[Bet Type],AD$24))/COUNTIFS(Tracker[Confidence],"&gt;="&amp;$Z28,Tracker[Confidence],"&lt;"&amp;$Z29,Tracker[Bet Type],AD$24),2)&gt;0.05,"X",IF(ROUND((SUMIFS(Tracker[Net],Tracker[Confidence],"&gt;="&amp;$Z28,Tracker[Confidence],"&lt;"&amp;$Z29,Tracker[Bet Type],AD$24))/COUNTIFS(Tracker[Confidence],"&gt;="&amp;$Z28,Tracker[Confidence],"&lt;"&amp;$Z29,Tracker[Bet Type],AD$24),2)&lt;-0.15,"O","")),"")</f>
        <v>X</v>
      </c>
      <c r="AE31" s="24" t="str">
        <f>IFERROR(IF(ROUND((SUMIFS(Tracker[Net],Tracker[Confidence],"&gt;="&amp;$Z28,Tracker[Confidence],"&lt;"&amp;$Z29,Tracker[Bet Type],AE$24))/COUNTIFS(Tracker[Confidence],"&gt;="&amp;$Z28,Tracker[Confidence],"&lt;"&amp;$Z29,Tracker[Bet Type],AE$24),2)&gt;0.05,"X",IF(ROUND((SUMIFS(Tracker[Net],Tracker[Confidence],"&gt;="&amp;$Z28,Tracker[Confidence],"&lt;"&amp;$Z29,Tracker[Bet Type],AE$24))/COUNTIFS(Tracker[Confidence],"&gt;="&amp;$Z28,Tracker[Confidence],"&lt;"&amp;$Z29,Tracker[Bet Type],AE$24),2)&lt;-0.15,"O","")),"")</f>
        <v>O</v>
      </c>
      <c r="AF31" s="24" t="str">
        <f>IFERROR(IF(ROUND((SUMIFS(Tracker[Net],Tracker[Confidence],"&gt;="&amp;$Z28,Tracker[Confidence],"&lt;"&amp;$Z29,Tracker[Bet Type],AF$24))/COUNTIFS(Tracker[Confidence],"&gt;="&amp;$Z28,Tracker[Confidence],"&lt;"&amp;$Z29,Tracker[Bet Type],AF$24),2)&gt;0.05,"X",IF(ROUND((SUMIFS(Tracker[Net],Tracker[Confidence],"&gt;="&amp;$Z28,Tracker[Confidence],"&lt;"&amp;$Z29,Tracker[Bet Type],AF$24))/COUNTIFS(Tracker[Confidence],"&gt;="&amp;$Z28,Tracker[Confidence],"&lt;"&amp;$Z29,Tracker[Bet Type],AF$24),2)&lt;-0.15,"O","")),"")</f>
        <v/>
      </c>
      <c r="AG31" s="24" t="str">
        <f>IFERROR(IF(ROUND((SUMIFS(Tracker[Net],Tracker[Confidence],"&gt;="&amp;$Z28,Tracker[Confidence],"&lt;"&amp;$Z29,Tracker[Bet Type],AG$24))/COUNTIFS(Tracker[Confidence],"&gt;="&amp;$Z28,Tracker[Confidence],"&lt;"&amp;$Z29,Tracker[Bet Type],AG$24),2)&gt;0.05,"X",IF(ROUND((SUMIFS(Tracker[Net],Tracker[Confidence],"&gt;="&amp;$Z28,Tracker[Confidence],"&lt;"&amp;$Z29,Tracker[Bet Type],AG$24))/COUNTIFS(Tracker[Confidence],"&gt;="&amp;$Z28,Tracker[Confidence],"&lt;"&amp;$Z29,Tracker[Bet Type],AG$24),2)&lt;-0.15,"O","")),"")</f>
        <v>O</v>
      </c>
      <c r="AH31" s="24" t="str">
        <f>IFERROR(IF(ROUND((SUMIFS(Tracker[Net],Tracker[Confidence],"&gt;="&amp;$Z28,Tracker[Confidence],"&lt;"&amp;$Z29,Tracker[Bet Type Drill Down],AH$24))/COUNTIFS(Tracker[Confidence],"&gt;="&amp;$Z28,Tracker[Confidence],"&lt;"&amp;$Z29,Tracker[Bet Type Drill Down],AH$24),2)&gt;0.05,"X",IF(ROUND((SUMIFS(Tracker[Net],Tracker[Confidence],"&gt;="&amp;$Z28,Tracker[Confidence],"&lt;"&amp;$Z29,Tracker[Bet Type Drill Down],AH$24))/COUNTIFS(Tracker[Confidence],"&gt;="&amp;$Z28,Tracker[Confidence],"&lt;"&amp;$Z29,Tracker[Bet Type Drill Down],AH$24),2)&lt;-0.15,"O","")),"")</f>
        <v/>
      </c>
      <c r="AI31" s="24" t="str">
        <f>IFERROR(IF(ROUND((SUMIFS(Tracker[Net],Tracker[Confidence],"&gt;="&amp;$Z28,Tracker[Confidence],"&lt;"&amp;$Z29,Tracker[Bet Type Drill Down],AI$24))/COUNTIFS(Tracker[Confidence],"&gt;="&amp;$Z28,Tracker[Confidence],"&lt;"&amp;$Z29,Tracker[Bet Type Drill Down],AI$24),2)&gt;0.05,"X",IF(ROUND((SUMIFS(Tracker[Net],Tracker[Confidence],"&gt;="&amp;$Z28,Tracker[Confidence],"&lt;"&amp;$Z29,Tracker[Bet Type Drill Down],AI$24))/COUNTIFS(Tracker[Confidence],"&gt;="&amp;$Z28,Tracker[Confidence],"&lt;"&amp;$Z29,Tracker[Bet Type Drill Down],AI$24),2)&lt;-0.15,"O","")),"")</f>
        <v/>
      </c>
      <c r="AJ31" s="24" t="str">
        <f>IFERROR(IF(ROUND((SUMIFS(Tracker[Net],Tracker[Confidence],"&gt;="&amp;$Z28,Tracker[Confidence],"&lt;"&amp;$Z29,Tracker[Bet Type Drill Down],AJ$24))/COUNTIFS(Tracker[Confidence],"&gt;="&amp;$Z28,Tracker[Confidence],"&lt;"&amp;$Z29,Tracker[Bet Type Drill Down],AJ$24),2)&gt;0.05,"X",IF(ROUND((SUMIFS(Tracker[Net],Tracker[Confidence],"&gt;="&amp;$Z28,Tracker[Confidence],"&lt;"&amp;$Z29,Tracker[Bet Type Drill Down],AJ$24))/COUNTIFS(Tracker[Confidence],"&gt;="&amp;$Z28,Tracker[Confidence],"&lt;"&amp;$Z29,Tracker[Bet Type Drill Down],AJ$24),2)&lt;-0.15,"O","")),"")</f>
        <v>O</v>
      </c>
      <c r="AK31" s="24" t="str">
        <f>IFERROR(IF(ROUND((SUMIFS(Tracker[Net],Tracker[Confidence],"&gt;="&amp;$Z28,Tracker[Confidence],"&lt;"&amp;$Z29,Tracker[Bet Type Drill Down],AK$24))/COUNTIFS(Tracker[Confidence],"&gt;="&amp;$Z28,Tracker[Confidence],"&lt;"&amp;$Z29,Tracker[Bet Type Drill Down],AK$24),2)&gt;0.05,"X",IF(ROUND((SUMIFS(Tracker[Net],Tracker[Confidence],"&gt;="&amp;$Z28,Tracker[Confidence],"&lt;"&amp;$Z29,Tracker[Bet Type Drill Down],AK$24))/COUNTIFS(Tracker[Confidence],"&gt;="&amp;$Z28,Tracker[Confidence],"&lt;"&amp;$Z29,Tracker[Bet Type Drill Down],AK$24),2)&lt;-0.15,"O","")),"")</f>
        <v/>
      </c>
      <c r="AT31" s="153">
        <f t="shared" si="1"/>
        <v>0.45000000000000029</v>
      </c>
      <c r="AU31" s="39" t="str">
        <f t="shared" si="2"/>
        <v>45  to  50%</v>
      </c>
      <c r="AV31" t="str">
        <f>IFERROR(COUNTIFS(Tracker[Money Discrepency],"&gt;="&amp;AT31,Tracker[Money Discrepency],"&lt;"&amp;AT32,Tracker[Result],"W")&amp;"-"&amp;COUNTIFS(Tracker[Money Discrepency],"&gt;="&amp;AT31,Tracker[Money Discrepency],"&lt;"&amp;AT32,Tracker[Result],"L")&amp;"-"&amp;COUNTIFS(Tracker[Money Discrepency],"&gt;="&amp;AT31,Tracker[Money Discrepency],"&lt;"&amp;AT32,Tracker[Result],"Push")&amp;" ("&amp;ROUND(COUNTIFS(Tracker[Money Discrepency],"&gt;="&amp;AT31,Tracker[Money Discrepency],"&lt;"&amp;AT32,Tracker[Result],"W")/(COUNTIFS(Tracker[Money Discrepency],"&gt;="&amp;AT31,Tracker[Money Discrepency],"&lt;"&amp;AT32,Tracker[Result],"L")+COUNTIFS(Tracker[Money Discrepency],"&gt;="&amp;AT31,Tracker[Money Discrepency],"&lt;"&amp;AT32,Tracker[Result],"W"))*100,2)&amp;"%)","No Bets")</f>
        <v>1-1-0 (50%)</v>
      </c>
      <c r="AW31">
        <f>SUMIFS(Tracker[Net],Tracker[Money Discrepency],"&gt;="&amp;AT31,Tracker[Money Discrepency],"&lt;"&amp;AT32)</f>
        <v>-9.0909090909090939E-2</v>
      </c>
      <c r="AX31" s="24" t="str">
        <f>IFERROR(IF(ROUND((SUMIFS(Tracker[Net],Tracker[Money Discrepency],"&gt;="&amp;$AT31,Tracker[Money Discrepency],"&lt;"&amp;$AT32,Tracker[Bet Type],AX$1))/COUNTIFS(Tracker[Money Discrepency],"&gt;="&amp;$AT31,Tracker[Money Discrepency],"&lt;"&amp;$AT32,Tracker[Bet Type],AX$1),2)&gt;0.05,"X",IF(ROUND((SUMIFS(Tracker[Net],Tracker[Money Discrepency],"&gt;="&amp;$AT31,Tracker[Money Discrepency],"&lt;"&amp;$AT32,Tracker[Bet Type],AX$1))/COUNTIFS(Tracker[Money Discrepency],"&gt;="&amp;$AT31,Tracker[Money Discrepency],"&lt;"&amp;$AT32,Tracker[Bet Type],AX$1),2)&lt;-0.15,"O","")),"")</f>
        <v/>
      </c>
      <c r="AY31" s="24" t="str">
        <f>IFERROR(IF(ROUND((SUMIFS(Tracker[Net],Tracker[Money Discrepency],"&gt;="&amp;$AT31,Tracker[Money Discrepency],"&lt;"&amp;$AT32,Tracker[Bet Type],AY$1))/COUNTIFS(Tracker[Money Discrepency],"&gt;="&amp;$AT31,Tracker[Money Discrepency],"&lt;"&amp;$AT32,Tracker[Bet Type],AY$1),2)&gt;0.05,"X",IF(ROUND((SUMIFS(Tracker[Net],Tracker[Money Discrepency],"&gt;="&amp;$AT31,Tracker[Money Discrepency],"&lt;"&amp;$AT32,Tracker[Bet Type],AY$1))/COUNTIFS(Tracker[Money Discrepency],"&gt;="&amp;$AT31,Tracker[Money Discrepency],"&lt;"&amp;$AT32,Tracker[Bet Type],AY$1),2)&lt;-0.15,"O","")),"")</f>
        <v/>
      </c>
      <c r="AZ31" s="24" t="str">
        <f>IFERROR(IF(ROUND((SUMIFS(Tracker[Net],Tracker[Money Discrepency],"&gt;="&amp;$AT31,Tracker[Money Discrepency],"&lt;"&amp;$AT32,Tracker[Bet Type],AZ$1))/COUNTIFS(Tracker[Money Discrepency],"&gt;="&amp;$AT31,Tracker[Money Discrepency],"&lt;"&amp;$AT32,Tracker[Bet Type],AZ$1),2)&gt;0.05,"X",IF(ROUND((SUMIFS(Tracker[Net],Tracker[Money Discrepency],"&gt;="&amp;$AT31,Tracker[Money Discrepency],"&lt;"&amp;$AT32,Tracker[Bet Type],AZ$1))/COUNTIFS(Tracker[Money Discrepency],"&gt;="&amp;$AT31,Tracker[Money Discrepency],"&lt;"&amp;$AT32,Tracker[Bet Type],AZ$1),2)&lt;-0.15,"O","")),"")</f>
        <v/>
      </c>
      <c r="BA31" s="24" t="str">
        <f>IFERROR(IF(ROUND((SUMIFS(Tracker[Net],Tracker[Money Discrepency],"&gt;="&amp;$AT31,Tracker[Money Discrepency],"&lt;"&amp;$AT32,Tracker[Bet Type],BA$1))/COUNTIFS(Tracker[Money Discrepency],"&gt;="&amp;$AT31,Tracker[Money Discrepency],"&lt;"&amp;$AT32,Tracker[Bet Type],BA$1),2)&gt;0.05,"X",IF(ROUND((SUMIFS(Tracker[Net],Tracker[Money Discrepency],"&gt;="&amp;$AT31,Tracker[Money Discrepency],"&lt;"&amp;$AT32,Tracker[Bet Type],BA$1))/COUNTIFS(Tracker[Money Discrepency],"&gt;="&amp;$AT31,Tracker[Money Discrepency],"&lt;"&amp;$AT32,Tracker[Bet Type],BA$1),2)&lt;-0.15,"O","")),"")</f>
        <v/>
      </c>
      <c r="BB31" s="24" t="str">
        <f>IFERROR(IF(ROUND((SUMIFS(Tracker[Net],Tracker[Money Discrepency],"&gt;="&amp;$AT31,Tracker[Money Discrepency],"&lt;"&amp;$AT32,Tracker[Bet Type Drill Down],BB$1))/COUNTIFS(Tracker[Money Discrepency],"&gt;="&amp;$AT31,Tracker[Money Discrepency],"&lt;"&amp;$AT32,Tracker[Bet Type Drill Down],BB$1),2)&gt;0.05,"X",IF(ROUND((SUMIFS(Tracker[Net],Tracker[Money Discrepency],"&gt;="&amp;$AT31,Tracker[Money Discrepency],"&lt;"&amp;$AT32,Tracker[Bet Type Drill Down],BB$1))/COUNTIFS(Tracker[Money Discrepency],"&gt;="&amp;$AT31,Tracker[Money Discrepency],"&lt;"&amp;$AT32,Tracker[Bet Type Drill Down],BB$1),2)&lt;-0.15,"O","")),"")</f>
        <v/>
      </c>
      <c r="BC31" s="24" t="str">
        <f>IFERROR(IF(ROUND((SUMIFS(Tracker[Net],Tracker[Money Discrepency],"&gt;="&amp;$AT31,Tracker[Money Discrepency],"&lt;"&amp;$AT32,Tracker[Bet Type Drill Down],BC$1))/COUNTIFS(Tracker[Money Discrepency],"&gt;="&amp;$AT31,Tracker[Money Discrepency],"&lt;"&amp;$AT32,Tracker[Bet Type Drill Down],BC$1),2)&gt;0.05,"X",IF(ROUND((SUMIFS(Tracker[Net],Tracker[Money Discrepency],"&gt;="&amp;$AT31,Tracker[Money Discrepency],"&lt;"&amp;$AT32,Tracker[Bet Type Drill Down],BC$1))/COUNTIFS(Tracker[Money Discrepency],"&gt;="&amp;$AT31,Tracker[Money Discrepency],"&lt;"&amp;$AT32,Tracker[Bet Type Drill Down],BC$1),2)&lt;-0.15,"O","")),"")</f>
        <v/>
      </c>
      <c r="BD31" s="24" t="str">
        <f>IFERROR(IF(ROUND((SUMIFS(Tracker[Net],Tracker[Money Discrepency],"&gt;="&amp;$AT31,Tracker[Money Discrepency],"&lt;"&amp;$AT32,Tracker[Bet Type Drill Down],BD$1))/COUNTIFS(Tracker[Money Discrepency],"&gt;="&amp;$AT31,Tracker[Money Discrepency],"&lt;"&amp;$AT32,Tracker[Bet Type Drill Down],BD$1),2)&gt;0.05,"X",IF(ROUND((SUMIFS(Tracker[Net],Tracker[Money Discrepency],"&gt;="&amp;$AT31,Tracker[Money Discrepency],"&lt;"&amp;$AT32,Tracker[Bet Type Drill Down],BD$1))/COUNTIFS(Tracker[Money Discrepency],"&gt;="&amp;$AT31,Tracker[Money Discrepency],"&lt;"&amp;$AT32,Tracker[Bet Type Drill Down],BD$1),2)&lt;-0.15,"O","")),"")</f>
        <v/>
      </c>
      <c r="BE31" s="24" t="str">
        <f>IFERROR(IF(ROUND((SUMIFS(Tracker[Net],Tracker[Money Discrepency],"&gt;="&amp;$AT31,Tracker[Money Discrepency],"&lt;"&amp;$AT32,Tracker[Bet Type Drill Down],BE$1))/COUNTIFS(Tracker[Money Discrepency],"&gt;="&amp;$AT31,Tracker[Money Discrepency],"&lt;"&amp;$AT32,Tracker[Bet Type Drill Down],BE$1),2)&gt;0.05,"X",IF(ROUND((SUMIFS(Tracker[Net],Tracker[Money Discrepency],"&gt;="&amp;$AT31,Tracker[Money Discrepency],"&lt;"&amp;$AT32,Tracker[Bet Type Drill Down],BE$1))/COUNTIFS(Tracker[Money Discrepency],"&gt;="&amp;$AT31,Tracker[Money Discrepency],"&lt;"&amp;$AT32,Tracker[Bet Type Drill Down],BE$1),2)&lt;-0.15,"O","")),"")</f>
        <v/>
      </c>
    </row>
    <row r="32" spans="1:83" x14ac:dyDescent="0.25">
      <c r="A32" s="36">
        <f t="shared" si="9"/>
        <v>3</v>
      </c>
      <c r="B32" s="25">
        <v>43808</v>
      </c>
      <c r="C32" s="25" t="str">
        <f t="shared" si="7"/>
        <v>NBA</v>
      </c>
      <c r="D32" s="26" t="s">
        <v>838</v>
      </c>
      <c r="E32" s="27" t="s">
        <v>839</v>
      </c>
      <c r="F32" s="67">
        <v>0.70197983046170975</v>
      </c>
      <c r="G32" s="29">
        <v>-110</v>
      </c>
      <c r="H32" s="67" t="s">
        <v>56</v>
      </c>
      <c r="I32" s="44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2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32" s="32" t="str">
        <f>MID(Tracker[[#This Row],[Game]],SEARCH("@",Tracker[[#This Row],[Game]])+2,LEN(Tracker[[#This Row],[Game]]))</f>
        <v>Jazz</v>
      </c>
      <c r="L32" s="32" t="str">
        <f>LEFT(Tracker[[#This Row],[Game]],SEARCH("@",Tracker[[#This Row],[Game]])-2)</f>
        <v>Thunder</v>
      </c>
      <c r="M3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32" s="123"/>
      <c r="O32" s="147"/>
      <c r="P32" s="147"/>
      <c r="Q32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2" s="147" t="e">
        <f>IF(AND(Tracker[[#This Row],[Money %]]&lt;&gt;"",Tracker[[#This Row],[Bet %]]&lt;&gt;""),Tracker[[#This Row],[Money %]]-Tracker[[#This Row],[Bet %]],NA())</f>
        <v>#N/A</v>
      </c>
      <c r="S32" s="109"/>
      <c r="T32" s="109"/>
      <c r="U32" s="56">
        <f>IFERROR(INDEX($A$4:$B10028,MATCH(ROW()-3,$A$4:$A$4:$A1028,0),2),0)</f>
        <v>43859</v>
      </c>
      <c r="V32" s="33" t="str">
        <f>COUNTIFS(Tracker[Date],U32,Tracker[Result],"W")&amp;"-"&amp;COUNTIFS(Tracker[Date],U32,Tracker[Result],"L")&amp;IF(COUNTIFS(Tracker[Date],U32,Tracker[Result],"Push")&gt;0,"-"&amp;COUNTIFS(Tracker[Date],U32,Tracker[Result],"Push"),"")</f>
        <v>6-3-1</v>
      </c>
      <c r="W32" s="34">
        <f>IFERROR(COUNTIFS(Tracker[Date],U32,Tracker[Result],"W")/(COUNTIFS(Tracker[Date],U32,Tracker[Result],"W")+COUNTIFS(Tracker[Date],U32,Tracker[Result],"L")),"")</f>
        <v>0.66666666666666663</v>
      </c>
      <c r="X32" s="61">
        <f>SUMIF(Tracker[Date],U32,Tracker[Net])</f>
        <v>2.4545454545454546</v>
      </c>
      <c r="Y32" s="35" t="str">
        <f>IFERROR("("&amp;ROUND(SUMIF(Tracker[Date],U32,Tracker[Net])/COUNTIF(Tracker[Date],U32),2)*100&amp;"%)","")</f>
        <v>(25%)</v>
      </c>
      <c r="Z32" s="78">
        <f t="shared" si="29"/>
        <v>1.0000000000000004</v>
      </c>
      <c r="AA32" s="66" t="str">
        <f t="shared" si="30"/>
        <v>85-90%</v>
      </c>
      <c r="AB32" s="77" t="str">
        <f>IFERROR(COUNTIFS(Tracker[Confidence],"&gt;"&amp;Z29,Tracker[Confidence],"&lt;"&amp;Z30,Tracker[Result],"W")&amp;"-"&amp;COUNTIFS(Tracker[Confidence],"&gt;"&amp;Z29,Tracker[Confidence],"&lt;"&amp;Z30,Tracker[Result],"L")&amp;"-"&amp;COUNTIFS(Tracker[Confidence],"&gt;"&amp;Z29,Tracker[Confidence],"&lt;"&amp;Z30,Tracker[Result],"Push")&amp;" ("&amp;ROUND(COUNTIFS(Tracker[Confidence],"&gt;"&amp;Z29,Tracker[Confidence],"&lt;"&amp;Z30,Tracker[Result],"W")/(COUNTIFS(Tracker[Confidence],"&gt;"&amp;Z29,Tracker[Confidence],"&lt;"&amp;Z30,Tracker[Result],"L")+COUNTIFS(Tracker[Confidence],"&gt;"&amp;Z29,Tracker[Confidence],"&lt;"&amp;Z30,Tracker[Result],"W"))*100,2)&amp;"%)","No Bets")</f>
        <v>3-2-0 (60%)</v>
      </c>
      <c r="AC32" s="72">
        <f>SUMIFS(Tracker[Net],Tracker[Confidence],"&gt;="&amp;Z29,Tracker[Confidence],"&lt;"&amp;Z30)</f>
        <v>0.72727272727272718</v>
      </c>
      <c r="AD32" s="24" t="str">
        <f>IFERROR(IF(ROUND((SUMIFS(Tracker[Net],Tracker[Confidence],"&gt;="&amp;$Z29,Tracker[Confidence],"&lt;"&amp;$Z30,Tracker[Bet Type],AD$24))/COUNTIFS(Tracker[Confidence],"&gt;="&amp;$Z29,Tracker[Confidence],"&lt;"&amp;$Z30,Tracker[Bet Type],AD$24),2)&gt;0.05,"X",IF(ROUND((SUMIFS(Tracker[Net],Tracker[Confidence],"&gt;="&amp;$Z29,Tracker[Confidence],"&lt;"&amp;$Z30,Tracker[Bet Type],AD$24))/COUNTIFS(Tracker[Confidence],"&gt;="&amp;$Z29,Tracker[Confidence],"&lt;"&amp;$Z30,Tracker[Bet Type],AD$24),2)&lt;-0.15,"O","")),"")</f>
        <v/>
      </c>
      <c r="AE32" s="24" t="str">
        <f>IFERROR(IF(ROUND((SUMIFS(Tracker[Net],Tracker[Confidence],"&gt;="&amp;$Z29,Tracker[Confidence],"&lt;"&amp;$Z30,Tracker[Bet Type],AE$24))/COUNTIFS(Tracker[Confidence],"&gt;="&amp;$Z29,Tracker[Confidence],"&lt;"&amp;$Z30,Tracker[Bet Type],AE$24),2)&gt;0.05,"X",IF(ROUND((SUMIFS(Tracker[Net],Tracker[Confidence],"&gt;="&amp;$Z29,Tracker[Confidence],"&lt;"&amp;$Z30,Tracker[Bet Type],AE$24))/COUNTIFS(Tracker[Confidence],"&gt;="&amp;$Z29,Tracker[Confidence],"&lt;"&amp;$Z30,Tracker[Bet Type],AE$24),2)&lt;-0.15,"O","")),"")</f>
        <v>X</v>
      </c>
      <c r="AF32" s="24" t="str">
        <f>IFERROR(IF(ROUND((SUMIFS(Tracker[Net],Tracker[Confidence],"&gt;="&amp;$Z29,Tracker[Confidence],"&lt;"&amp;$Z30,Tracker[Bet Type],AF$24))/COUNTIFS(Tracker[Confidence],"&gt;="&amp;$Z29,Tracker[Confidence],"&lt;"&amp;$Z30,Tracker[Bet Type],AF$24),2)&gt;0.05,"X",IF(ROUND((SUMIFS(Tracker[Net],Tracker[Confidence],"&gt;="&amp;$Z29,Tracker[Confidence],"&lt;"&amp;$Z30,Tracker[Bet Type],AF$24))/COUNTIFS(Tracker[Confidence],"&gt;="&amp;$Z29,Tracker[Confidence],"&lt;"&amp;$Z30,Tracker[Bet Type],AF$24),2)&lt;-0.15,"O","")),"")</f>
        <v/>
      </c>
      <c r="AG32" s="24" t="str">
        <f>IFERROR(IF(ROUND((SUMIFS(Tracker[Net],Tracker[Confidence],"&gt;="&amp;$Z29,Tracker[Confidence],"&lt;"&amp;$Z30,Tracker[Bet Type],AG$24))/COUNTIFS(Tracker[Confidence],"&gt;="&amp;$Z29,Tracker[Confidence],"&lt;"&amp;$Z30,Tracker[Bet Type],AG$24),2)&gt;0.05,"X",IF(ROUND((SUMIFS(Tracker[Net],Tracker[Confidence],"&gt;="&amp;$Z29,Tracker[Confidence],"&lt;"&amp;$Z30,Tracker[Bet Type],AG$24))/COUNTIFS(Tracker[Confidence],"&gt;="&amp;$Z29,Tracker[Confidence],"&lt;"&amp;$Z30,Tracker[Bet Type],AG$24),2)&lt;-0.15,"O","")),"")</f>
        <v/>
      </c>
      <c r="AH32" s="24" t="str">
        <f>IFERROR(IF(ROUND((SUMIFS(Tracker[Net],Tracker[Confidence],"&gt;="&amp;$Z29,Tracker[Confidence],"&lt;"&amp;$Z30,Tracker[Bet Type Drill Down],AH$24))/COUNTIFS(Tracker[Confidence],"&gt;="&amp;$Z29,Tracker[Confidence],"&lt;"&amp;$Z30,Tracker[Bet Type Drill Down],AH$24),2)&gt;0.05,"X",IF(ROUND((SUMIFS(Tracker[Net],Tracker[Confidence],"&gt;="&amp;$Z29,Tracker[Confidence],"&lt;"&amp;$Z30,Tracker[Bet Type Drill Down],AH$24))/COUNTIFS(Tracker[Confidence],"&gt;="&amp;$Z29,Tracker[Confidence],"&lt;"&amp;$Z30,Tracker[Bet Type Drill Down],AH$24),2)&lt;-0.15,"O","")),"")</f>
        <v/>
      </c>
      <c r="AI32" s="24" t="str">
        <f>IFERROR(IF(ROUND((SUMIFS(Tracker[Net],Tracker[Confidence],"&gt;="&amp;$Z29,Tracker[Confidence],"&lt;"&amp;$Z30,Tracker[Bet Type Drill Down],AI$24))/COUNTIFS(Tracker[Confidence],"&gt;="&amp;$Z29,Tracker[Confidence],"&lt;"&amp;$Z30,Tracker[Bet Type Drill Down],AI$24),2)&gt;0.05,"X",IF(ROUND((SUMIFS(Tracker[Net],Tracker[Confidence],"&gt;="&amp;$Z29,Tracker[Confidence],"&lt;"&amp;$Z30,Tracker[Bet Type Drill Down],AI$24))/COUNTIFS(Tracker[Confidence],"&gt;="&amp;$Z29,Tracker[Confidence],"&lt;"&amp;$Z30,Tracker[Bet Type Drill Down],AI$24),2)&lt;-0.15,"O","")),"")</f>
        <v/>
      </c>
      <c r="AJ32" s="24" t="str">
        <f>IFERROR(IF(ROUND((SUMIFS(Tracker[Net],Tracker[Confidence],"&gt;="&amp;$Z29,Tracker[Confidence],"&lt;"&amp;$Z30,Tracker[Bet Type Drill Down],AJ$24))/COUNTIFS(Tracker[Confidence],"&gt;="&amp;$Z29,Tracker[Confidence],"&lt;"&amp;$Z30,Tracker[Bet Type Drill Down],AJ$24),2)&gt;0.05,"X",IF(ROUND((SUMIFS(Tracker[Net],Tracker[Confidence],"&gt;="&amp;$Z29,Tracker[Confidence],"&lt;"&amp;$Z30,Tracker[Bet Type Drill Down],AJ$24))/COUNTIFS(Tracker[Confidence],"&gt;="&amp;$Z29,Tracker[Confidence],"&lt;"&amp;$Z30,Tracker[Bet Type Drill Down],AJ$24),2)&lt;-0.15,"O","")),"")</f>
        <v/>
      </c>
      <c r="AK32" s="24" t="str">
        <f>IFERROR(IF(ROUND((SUMIFS(Tracker[Net],Tracker[Confidence],"&gt;="&amp;$Z29,Tracker[Confidence],"&lt;"&amp;$Z30,Tracker[Bet Type Drill Down],AK$24))/COUNTIFS(Tracker[Confidence],"&gt;="&amp;$Z29,Tracker[Confidence],"&lt;"&amp;$Z30,Tracker[Bet Type Drill Down],AK$24),2)&gt;0.05,"X",IF(ROUND((SUMIFS(Tracker[Net],Tracker[Confidence],"&gt;="&amp;$Z29,Tracker[Confidence],"&lt;"&amp;$Z30,Tracker[Bet Type Drill Down],AK$24))/COUNTIFS(Tracker[Confidence],"&gt;="&amp;$Z29,Tracker[Confidence],"&lt;"&amp;$Z30,Tracker[Bet Type Drill Down],AK$24),2)&lt;-0.15,"O","")),"")</f>
        <v/>
      </c>
      <c r="AT32" s="153">
        <f t="shared" si="1"/>
        <v>0.50000000000000033</v>
      </c>
      <c r="AU32" s="39" t="str">
        <f t="shared" si="2"/>
        <v>50  to  55%</v>
      </c>
      <c r="AV32" t="str">
        <f>IFERROR(COUNTIFS(Tracker[Money Discrepency],"&gt;="&amp;AT32,Tracker[Money Discrepency],"&lt;"&amp;AT33,Tracker[Result],"W")&amp;"-"&amp;COUNTIFS(Tracker[Money Discrepency],"&gt;="&amp;AT32,Tracker[Money Discrepency],"&lt;"&amp;AT33,Tracker[Result],"L")&amp;"-"&amp;COUNTIFS(Tracker[Money Discrepency],"&gt;="&amp;AT32,Tracker[Money Discrepency],"&lt;"&amp;AT33,Tracker[Result],"Push")&amp;" ("&amp;ROUND(COUNTIFS(Tracker[Money Discrepency],"&gt;="&amp;AT32,Tracker[Money Discrepency],"&lt;"&amp;AT33,Tracker[Result],"W")/(COUNTIFS(Tracker[Money Discrepency],"&gt;="&amp;AT32,Tracker[Money Discrepency],"&lt;"&amp;AT33,Tracker[Result],"L")+COUNTIFS(Tracker[Money Discrepency],"&gt;="&amp;AT32,Tracker[Money Discrepency],"&lt;"&amp;AT33,Tracker[Result],"W"))*100,2)&amp;"%)","No Bets")</f>
        <v>No Bets</v>
      </c>
      <c r="AW32">
        <f>SUMIFS(Tracker[Net],Tracker[Money Discrepency],"&gt;="&amp;AT32,Tracker[Money Discrepency],"&lt;"&amp;AT33)</f>
        <v>0</v>
      </c>
      <c r="AX32" s="24" t="str">
        <f>IFERROR(IF(ROUND((SUMIFS(Tracker[Net],Tracker[Money Discrepency],"&gt;="&amp;$AT32,Tracker[Money Discrepency],"&lt;"&amp;$AT33,Tracker[Bet Type],AX$1))/COUNTIFS(Tracker[Money Discrepency],"&gt;="&amp;$AT32,Tracker[Money Discrepency],"&lt;"&amp;$AT33,Tracker[Bet Type],AX$1),2)&gt;0.05,"X",IF(ROUND((SUMIFS(Tracker[Net],Tracker[Money Discrepency],"&gt;="&amp;$AT32,Tracker[Money Discrepency],"&lt;"&amp;$AT33,Tracker[Bet Type],AX$1))/COUNTIFS(Tracker[Money Discrepency],"&gt;="&amp;$AT32,Tracker[Money Discrepency],"&lt;"&amp;$AT33,Tracker[Bet Type],AX$1),2)&lt;-0.15,"O","")),"")</f>
        <v/>
      </c>
      <c r="AY32" s="24" t="str">
        <f>IFERROR(IF(ROUND((SUMIFS(Tracker[Net],Tracker[Money Discrepency],"&gt;="&amp;$AT32,Tracker[Money Discrepency],"&lt;"&amp;$AT33,Tracker[Bet Type],AY$1))/COUNTIFS(Tracker[Money Discrepency],"&gt;="&amp;$AT32,Tracker[Money Discrepency],"&lt;"&amp;$AT33,Tracker[Bet Type],AY$1),2)&gt;0.05,"X",IF(ROUND((SUMIFS(Tracker[Net],Tracker[Money Discrepency],"&gt;="&amp;$AT32,Tracker[Money Discrepency],"&lt;"&amp;$AT33,Tracker[Bet Type],AY$1))/COUNTIFS(Tracker[Money Discrepency],"&gt;="&amp;$AT32,Tracker[Money Discrepency],"&lt;"&amp;$AT33,Tracker[Bet Type],AY$1),2)&lt;-0.15,"O","")),"")</f>
        <v/>
      </c>
      <c r="AZ32" s="24" t="str">
        <f>IFERROR(IF(ROUND((SUMIFS(Tracker[Net],Tracker[Money Discrepency],"&gt;="&amp;$AT32,Tracker[Money Discrepency],"&lt;"&amp;$AT33,Tracker[Bet Type],AZ$1))/COUNTIFS(Tracker[Money Discrepency],"&gt;="&amp;$AT32,Tracker[Money Discrepency],"&lt;"&amp;$AT33,Tracker[Bet Type],AZ$1),2)&gt;0.05,"X",IF(ROUND((SUMIFS(Tracker[Net],Tracker[Money Discrepency],"&gt;="&amp;$AT32,Tracker[Money Discrepency],"&lt;"&amp;$AT33,Tracker[Bet Type],AZ$1))/COUNTIFS(Tracker[Money Discrepency],"&gt;="&amp;$AT32,Tracker[Money Discrepency],"&lt;"&amp;$AT33,Tracker[Bet Type],AZ$1),2)&lt;-0.15,"O","")),"")</f>
        <v/>
      </c>
      <c r="BA32" s="24" t="str">
        <f>IFERROR(IF(ROUND((SUMIFS(Tracker[Net],Tracker[Money Discrepency],"&gt;="&amp;$AT32,Tracker[Money Discrepency],"&lt;"&amp;$AT33,Tracker[Bet Type],BA$1))/COUNTIFS(Tracker[Money Discrepency],"&gt;="&amp;$AT32,Tracker[Money Discrepency],"&lt;"&amp;$AT33,Tracker[Bet Type],BA$1),2)&gt;0.05,"X",IF(ROUND((SUMIFS(Tracker[Net],Tracker[Money Discrepency],"&gt;="&amp;$AT32,Tracker[Money Discrepency],"&lt;"&amp;$AT33,Tracker[Bet Type],BA$1))/COUNTIFS(Tracker[Money Discrepency],"&gt;="&amp;$AT32,Tracker[Money Discrepency],"&lt;"&amp;$AT33,Tracker[Bet Type],BA$1),2)&lt;-0.15,"O","")),"")</f>
        <v/>
      </c>
      <c r="BB32" s="24" t="str">
        <f>IFERROR(IF(ROUND((SUMIFS(Tracker[Net],Tracker[Money Discrepency],"&gt;="&amp;$AT32,Tracker[Money Discrepency],"&lt;"&amp;$AT33,Tracker[Bet Type Drill Down],BB$1))/COUNTIFS(Tracker[Money Discrepency],"&gt;="&amp;$AT32,Tracker[Money Discrepency],"&lt;"&amp;$AT33,Tracker[Bet Type Drill Down],BB$1),2)&gt;0.05,"X",IF(ROUND((SUMIFS(Tracker[Net],Tracker[Money Discrepency],"&gt;="&amp;$AT32,Tracker[Money Discrepency],"&lt;"&amp;$AT33,Tracker[Bet Type Drill Down],BB$1))/COUNTIFS(Tracker[Money Discrepency],"&gt;="&amp;$AT32,Tracker[Money Discrepency],"&lt;"&amp;$AT33,Tracker[Bet Type Drill Down],BB$1),2)&lt;-0.15,"O","")),"")</f>
        <v/>
      </c>
      <c r="BC32" s="24" t="str">
        <f>IFERROR(IF(ROUND((SUMIFS(Tracker[Net],Tracker[Money Discrepency],"&gt;="&amp;$AT32,Tracker[Money Discrepency],"&lt;"&amp;$AT33,Tracker[Bet Type Drill Down],BC$1))/COUNTIFS(Tracker[Money Discrepency],"&gt;="&amp;$AT32,Tracker[Money Discrepency],"&lt;"&amp;$AT33,Tracker[Bet Type Drill Down],BC$1),2)&gt;0.05,"X",IF(ROUND((SUMIFS(Tracker[Net],Tracker[Money Discrepency],"&gt;="&amp;$AT32,Tracker[Money Discrepency],"&lt;"&amp;$AT33,Tracker[Bet Type Drill Down],BC$1))/COUNTIFS(Tracker[Money Discrepency],"&gt;="&amp;$AT32,Tracker[Money Discrepency],"&lt;"&amp;$AT33,Tracker[Bet Type Drill Down],BC$1),2)&lt;-0.15,"O","")),"")</f>
        <v/>
      </c>
      <c r="BD32" s="24" t="str">
        <f>IFERROR(IF(ROUND((SUMIFS(Tracker[Net],Tracker[Money Discrepency],"&gt;="&amp;$AT32,Tracker[Money Discrepency],"&lt;"&amp;$AT33,Tracker[Bet Type Drill Down],BD$1))/COUNTIFS(Tracker[Money Discrepency],"&gt;="&amp;$AT32,Tracker[Money Discrepency],"&lt;"&amp;$AT33,Tracker[Bet Type Drill Down],BD$1),2)&gt;0.05,"X",IF(ROUND((SUMIFS(Tracker[Net],Tracker[Money Discrepency],"&gt;="&amp;$AT32,Tracker[Money Discrepency],"&lt;"&amp;$AT33,Tracker[Bet Type Drill Down],BD$1))/COUNTIFS(Tracker[Money Discrepency],"&gt;="&amp;$AT32,Tracker[Money Discrepency],"&lt;"&amp;$AT33,Tracker[Bet Type Drill Down],BD$1),2)&lt;-0.15,"O","")),"")</f>
        <v/>
      </c>
      <c r="BE32" s="24" t="str">
        <f>IFERROR(IF(ROUND((SUMIFS(Tracker[Net],Tracker[Money Discrepency],"&gt;="&amp;$AT32,Tracker[Money Discrepency],"&lt;"&amp;$AT33,Tracker[Bet Type Drill Down],BE$1))/COUNTIFS(Tracker[Money Discrepency],"&gt;="&amp;$AT32,Tracker[Money Discrepency],"&lt;"&amp;$AT33,Tracker[Bet Type Drill Down],BE$1),2)&gt;0.05,"X",IF(ROUND((SUMIFS(Tracker[Net],Tracker[Money Discrepency],"&gt;="&amp;$AT32,Tracker[Money Discrepency],"&lt;"&amp;$AT33,Tracker[Bet Type Drill Down],BE$1))/COUNTIFS(Tracker[Money Discrepency],"&gt;="&amp;$AT32,Tracker[Money Discrepency],"&lt;"&amp;$AT33,Tracker[Bet Type Drill Down],BE$1),2)&lt;-0.15,"O","")),"")</f>
        <v/>
      </c>
    </row>
    <row r="33" spans="1:57" x14ac:dyDescent="0.25">
      <c r="A33" s="36">
        <f t="shared" si="9"/>
        <v>3</v>
      </c>
      <c r="B33" s="25">
        <v>43808</v>
      </c>
      <c r="C33" s="25" t="str">
        <f t="shared" si="7"/>
        <v>NBA</v>
      </c>
      <c r="D33" s="26" t="s">
        <v>838</v>
      </c>
      <c r="E33" s="27" t="s">
        <v>840</v>
      </c>
      <c r="F33" s="67">
        <v>0.69889000317695726</v>
      </c>
      <c r="G33" s="29">
        <v>-110</v>
      </c>
      <c r="H33" s="67" t="s">
        <v>57</v>
      </c>
      <c r="I33" s="44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3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33" s="32" t="str">
        <f>MID(Tracker[[#This Row],[Game]],SEARCH("@",Tracker[[#This Row],[Game]])+2,LEN(Tracker[[#This Row],[Game]]))</f>
        <v>Jazz</v>
      </c>
      <c r="L33" s="32" t="str">
        <f>LEFT(Tracker[[#This Row],[Game]],SEARCH("@",Tracker[[#This Row],[Game]])-2)</f>
        <v>Thunder</v>
      </c>
      <c r="M3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33" s="123"/>
      <c r="O33" s="147"/>
      <c r="P33" s="147"/>
      <c r="Q33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3" s="147" t="e">
        <f>IF(AND(Tracker[[#This Row],[Money %]]&lt;&gt;"",Tracker[[#This Row],[Bet %]]&lt;&gt;""),Tracker[[#This Row],[Money %]]-Tracker[[#This Row],[Bet %]],NA())</f>
        <v>#N/A</v>
      </c>
      <c r="S33" s="109"/>
      <c r="T33" s="109"/>
      <c r="U33" s="56">
        <f>IFERROR(INDEX($A$4:$B10029,MATCH(ROW()-3,$A$4:$A$4:$A1029,0),2),0)</f>
        <v>43860</v>
      </c>
      <c r="V33" s="33" t="str">
        <f>COUNTIFS(Tracker[Date],U33,Tracker[Result],"W")&amp;"-"&amp;COUNTIFS(Tracker[Date],U33,Tracker[Result],"L")&amp;IF(COUNTIFS(Tracker[Date],U33,Tracker[Result],"Push")&gt;0,"-"&amp;COUNTIFS(Tracker[Date],U33,Tracker[Result],"Push"),"")</f>
        <v>5-3</v>
      </c>
      <c r="W33" s="34">
        <f>IFERROR(COUNTIFS(Tracker[Date],U33,Tracker[Result],"W")/(COUNTIFS(Tracker[Date],U33,Tracker[Result],"W")+COUNTIFS(Tracker[Date],U33,Tracker[Result],"L")),"")</f>
        <v>0.625</v>
      </c>
      <c r="X33" s="61">
        <f>SUMIF(Tracker[Date],U33,Tracker[Net])</f>
        <v>1.545454545454545</v>
      </c>
      <c r="Y33" s="35" t="str">
        <f>IFERROR("("&amp;ROUND(SUMIF(Tracker[Date],U33,Tracker[Net])/COUNTIF(Tracker[Date],U33),2)*100&amp;"%)","")</f>
        <v>(19%)</v>
      </c>
      <c r="Z33" s="78">
        <f t="shared" si="29"/>
        <v>1.0500000000000005</v>
      </c>
      <c r="AA33" s="66" t="str">
        <f t="shared" si="30"/>
        <v>90-95%</v>
      </c>
      <c r="AB33" s="77" t="str">
        <f>IFERROR(COUNTIFS(Tracker[Confidence],"&gt;"&amp;Z30,Tracker[Confidence],"&lt;"&amp;Z31,Tracker[Result],"W")&amp;"-"&amp;COUNTIFS(Tracker[Confidence],"&gt;"&amp;Z30,Tracker[Confidence],"&lt;"&amp;Z31,Tracker[Result],"L")&amp;"-"&amp;COUNTIFS(Tracker[Confidence],"&gt;"&amp;Z30,Tracker[Confidence],"&lt;"&amp;Z31,Tracker[Result],"Push")&amp;" ("&amp;ROUND(COUNTIFS(Tracker[Confidence],"&gt;"&amp;Z30,Tracker[Confidence],"&lt;"&amp;Z31,Tracker[Result],"W")/(COUNTIFS(Tracker[Confidence],"&gt;"&amp;Z30,Tracker[Confidence],"&lt;"&amp;Z31,Tracker[Result],"L")+COUNTIFS(Tracker[Confidence],"&gt;"&amp;Z30,Tracker[Confidence],"&lt;"&amp;Z31,Tracker[Result],"W"))*100,2)&amp;"%)","No Bets")</f>
        <v>1-0-0 (100%)</v>
      </c>
      <c r="AC33" s="72">
        <f>SUMIFS(Tracker[Net],Tracker[Confidence],"&gt;="&amp;Z30,Tracker[Confidence],"&lt;"&amp;Z31)</f>
        <v>0.90909090909090906</v>
      </c>
      <c r="AD33" s="24" t="str">
        <f>IFERROR(IF(ROUND((SUMIFS(Tracker[Net],Tracker[Confidence],"&gt;="&amp;$Z30,Tracker[Confidence],"&lt;"&amp;$Z31,Tracker[Bet Type],AD$24))/COUNTIFS(Tracker[Confidence],"&gt;="&amp;$Z30,Tracker[Confidence],"&lt;"&amp;$Z31,Tracker[Bet Type],AD$24),2)&gt;0.05,"X",IF(ROUND((SUMIFS(Tracker[Net],Tracker[Confidence],"&gt;="&amp;$Z30,Tracker[Confidence],"&lt;"&amp;$Z31,Tracker[Bet Type],AD$24))/COUNTIFS(Tracker[Confidence],"&gt;="&amp;$Z30,Tracker[Confidence],"&lt;"&amp;$Z31,Tracker[Bet Type],AD$24),2)&lt;-0.15,"O","")),"")</f>
        <v/>
      </c>
      <c r="AE33" s="24" t="str">
        <f>IFERROR(IF(ROUND((SUMIFS(Tracker[Net],Tracker[Confidence],"&gt;="&amp;$Z30,Tracker[Confidence],"&lt;"&amp;$Z31,Tracker[Bet Type],AE$24))/COUNTIFS(Tracker[Confidence],"&gt;="&amp;$Z30,Tracker[Confidence],"&lt;"&amp;$Z31,Tracker[Bet Type],AE$24),2)&gt;0.05,"X",IF(ROUND((SUMIFS(Tracker[Net],Tracker[Confidence],"&gt;="&amp;$Z30,Tracker[Confidence],"&lt;"&amp;$Z31,Tracker[Bet Type],AE$24))/COUNTIFS(Tracker[Confidence],"&gt;="&amp;$Z30,Tracker[Confidence],"&lt;"&amp;$Z31,Tracker[Bet Type],AE$24),2)&lt;-0.15,"O","")),"")</f>
        <v/>
      </c>
      <c r="AF33" s="24" t="str">
        <f>IFERROR(IF(ROUND((SUMIFS(Tracker[Net],Tracker[Confidence],"&gt;="&amp;$Z30,Tracker[Confidence],"&lt;"&amp;$Z31,Tracker[Bet Type],AF$24))/COUNTIFS(Tracker[Confidence],"&gt;="&amp;$Z30,Tracker[Confidence],"&lt;"&amp;$Z31,Tracker[Bet Type],AF$24),2)&gt;0.05,"X",IF(ROUND((SUMIFS(Tracker[Net],Tracker[Confidence],"&gt;="&amp;$Z30,Tracker[Confidence],"&lt;"&amp;$Z31,Tracker[Bet Type],AF$24))/COUNTIFS(Tracker[Confidence],"&gt;="&amp;$Z30,Tracker[Confidence],"&lt;"&amp;$Z31,Tracker[Bet Type],AF$24),2)&lt;-0.15,"O","")),"")</f>
        <v/>
      </c>
      <c r="AG33" s="24" t="str">
        <f>IFERROR(IF(ROUND((SUMIFS(Tracker[Net],Tracker[Confidence],"&gt;="&amp;$Z30,Tracker[Confidence],"&lt;"&amp;$Z31,Tracker[Bet Type],AG$24))/COUNTIFS(Tracker[Confidence],"&gt;="&amp;$Z30,Tracker[Confidence],"&lt;"&amp;$Z31,Tracker[Bet Type],AG$24),2)&gt;0.05,"X",IF(ROUND((SUMIFS(Tracker[Net],Tracker[Confidence],"&gt;="&amp;$Z30,Tracker[Confidence],"&lt;"&amp;$Z31,Tracker[Bet Type],AG$24))/COUNTIFS(Tracker[Confidence],"&gt;="&amp;$Z30,Tracker[Confidence],"&lt;"&amp;$Z31,Tracker[Bet Type],AG$24),2)&lt;-0.15,"O","")),"")</f>
        <v>X</v>
      </c>
      <c r="AH33" s="24" t="str">
        <f>IFERROR(IF(ROUND((SUMIFS(Tracker[Net],Tracker[Confidence],"&gt;="&amp;$Z30,Tracker[Confidence],"&lt;"&amp;$Z31,Tracker[Bet Type Drill Down],AH$24))/COUNTIFS(Tracker[Confidence],"&gt;="&amp;$Z30,Tracker[Confidence],"&lt;"&amp;$Z31,Tracker[Bet Type Drill Down],AH$24),2)&gt;0.05,"X",IF(ROUND((SUMIFS(Tracker[Net],Tracker[Confidence],"&gt;="&amp;$Z30,Tracker[Confidence],"&lt;"&amp;$Z31,Tracker[Bet Type Drill Down],AH$24))/COUNTIFS(Tracker[Confidence],"&gt;="&amp;$Z30,Tracker[Confidence],"&lt;"&amp;$Z31,Tracker[Bet Type Drill Down],AH$24),2)&lt;-0.15,"O","")),"")</f>
        <v/>
      </c>
      <c r="AI33" s="24" t="str">
        <f>IFERROR(IF(ROUND((SUMIFS(Tracker[Net],Tracker[Confidence],"&gt;="&amp;$Z30,Tracker[Confidence],"&lt;"&amp;$Z31,Tracker[Bet Type Drill Down],AI$24))/COUNTIFS(Tracker[Confidence],"&gt;="&amp;$Z30,Tracker[Confidence],"&lt;"&amp;$Z31,Tracker[Bet Type Drill Down],AI$24),2)&gt;0.05,"X",IF(ROUND((SUMIFS(Tracker[Net],Tracker[Confidence],"&gt;="&amp;$Z30,Tracker[Confidence],"&lt;"&amp;$Z31,Tracker[Bet Type Drill Down],AI$24))/COUNTIFS(Tracker[Confidence],"&gt;="&amp;$Z30,Tracker[Confidence],"&lt;"&amp;$Z31,Tracker[Bet Type Drill Down],AI$24),2)&lt;-0.15,"O","")),"")</f>
        <v/>
      </c>
      <c r="AJ33" s="24" t="str">
        <f>IFERROR(IF(ROUND((SUMIFS(Tracker[Net],Tracker[Confidence],"&gt;="&amp;$Z30,Tracker[Confidence],"&lt;"&amp;$Z31,Tracker[Bet Type Drill Down],AJ$24))/COUNTIFS(Tracker[Confidence],"&gt;="&amp;$Z30,Tracker[Confidence],"&lt;"&amp;$Z31,Tracker[Bet Type Drill Down],AJ$24),2)&gt;0.05,"X",IF(ROUND((SUMIFS(Tracker[Net],Tracker[Confidence],"&gt;="&amp;$Z30,Tracker[Confidence],"&lt;"&amp;$Z31,Tracker[Bet Type Drill Down],AJ$24))/COUNTIFS(Tracker[Confidence],"&gt;="&amp;$Z30,Tracker[Confidence],"&lt;"&amp;$Z31,Tracker[Bet Type Drill Down],AJ$24),2)&lt;-0.15,"O","")),"")</f>
        <v>X</v>
      </c>
      <c r="AK33" s="24" t="str">
        <f>IFERROR(IF(ROUND((SUMIFS(Tracker[Net],Tracker[Confidence],"&gt;="&amp;$Z30,Tracker[Confidence],"&lt;"&amp;$Z31,Tracker[Bet Type Drill Down],AK$24))/COUNTIFS(Tracker[Confidence],"&gt;="&amp;$Z30,Tracker[Confidence],"&lt;"&amp;$Z31,Tracker[Bet Type Drill Down],AK$24),2)&gt;0.05,"X",IF(ROUND((SUMIFS(Tracker[Net],Tracker[Confidence],"&gt;="&amp;$Z30,Tracker[Confidence],"&lt;"&amp;$Z31,Tracker[Bet Type Drill Down],AK$24))/COUNTIFS(Tracker[Confidence],"&gt;="&amp;$Z30,Tracker[Confidence],"&lt;"&amp;$Z31,Tracker[Bet Type Drill Down],AK$24),2)&lt;-0.15,"O","")),"")</f>
        <v/>
      </c>
      <c r="AT33" s="153">
        <f t="shared" si="1"/>
        <v>0.55000000000000038</v>
      </c>
      <c r="AU33" s="39" t="str">
        <f t="shared" si="2"/>
        <v>55  to  60%</v>
      </c>
      <c r="AV33" t="str">
        <f>IFERROR(COUNTIFS(Tracker[Money Discrepency],"&gt;="&amp;AT33,Tracker[Money Discrepency],"&lt;"&amp;AT34,Tracker[Result],"W")&amp;"-"&amp;COUNTIFS(Tracker[Money Discrepency],"&gt;="&amp;AT33,Tracker[Money Discrepency],"&lt;"&amp;AT34,Tracker[Result],"L")&amp;"-"&amp;COUNTIFS(Tracker[Money Discrepency],"&gt;="&amp;AT33,Tracker[Money Discrepency],"&lt;"&amp;AT34,Tracker[Result],"Push")&amp;" ("&amp;ROUND(COUNTIFS(Tracker[Money Discrepency],"&gt;="&amp;AT33,Tracker[Money Discrepency],"&lt;"&amp;AT34,Tracker[Result],"W")/(COUNTIFS(Tracker[Money Discrepency],"&gt;="&amp;AT33,Tracker[Money Discrepency],"&lt;"&amp;AT34,Tracker[Result],"L")+COUNTIFS(Tracker[Money Discrepency],"&gt;="&amp;AT33,Tracker[Money Discrepency],"&lt;"&amp;AT34,Tracker[Result],"W"))*100,2)&amp;"%)","No Bets")</f>
        <v>1-0-0 (100%)</v>
      </c>
      <c r="AW33">
        <f>SUMIFS(Tracker[Net],Tracker[Money Discrepency],"&gt;="&amp;AT33,Tracker[Money Discrepency],"&lt;"&amp;AT34)</f>
        <v>0.90909090909090906</v>
      </c>
      <c r="AX33" s="24" t="str">
        <f>IFERROR(IF(ROUND((SUMIFS(Tracker[Net],Tracker[Money Discrepency],"&gt;="&amp;$AT33,Tracker[Money Discrepency],"&lt;"&amp;$AT34,Tracker[Bet Type],AX$1))/COUNTIFS(Tracker[Money Discrepency],"&gt;="&amp;$AT33,Tracker[Money Discrepency],"&lt;"&amp;$AT34,Tracker[Bet Type],AX$1),2)&gt;0.05,"X",IF(ROUND((SUMIFS(Tracker[Net],Tracker[Money Discrepency],"&gt;="&amp;$AT33,Tracker[Money Discrepency],"&lt;"&amp;$AT34,Tracker[Bet Type],AX$1))/COUNTIFS(Tracker[Money Discrepency],"&gt;="&amp;$AT33,Tracker[Money Discrepency],"&lt;"&amp;$AT34,Tracker[Bet Type],AX$1),2)&lt;-0.15,"O","")),"")</f>
        <v/>
      </c>
      <c r="AY33" s="24" t="str">
        <f>IFERROR(IF(ROUND((SUMIFS(Tracker[Net],Tracker[Money Discrepency],"&gt;="&amp;$AT33,Tracker[Money Discrepency],"&lt;"&amp;$AT34,Tracker[Bet Type],AY$1))/COUNTIFS(Tracker[Money Discrepency],"&gt;="&amp;$AT33,Tracker[Money Discrepency],"&lt;"&amp;$AT34,Tracker[Bet Type],AY$1),2)&gt;0.05,"X",IF(ROUND((SUMIFS(Tracker[Net],Tracker[Money Discrepency],"&gt;="&amp;$AT33,Tracker[Money Discrepency],"&lt;"&amp;$AT34,Tracker[Bet Type],AY$1))/COUNTIFS(Tracker[Money Discrepency],"&gt;="&amp;$AT33,Tracker[Money Discrepency],"&lt;"&amp;$AT34,Tracker[Bet Type],AY$1),2)&lt;-0.15,"O","")),"")</f>
        <v>X</v>
      </c>
      <c r="AZ33" s="24" t="str">
        <f>IFERROR(IF(ROUND((SUMIFS(Tracker[Net],Tracker[Money Discrepency],"&gt;="&amp;$AT33,Tracker[Money Discrepency],"&lt;"&amp;$AT34,Tracker[Bet Type],AZ$1))/COUNTIFS(Tracker[Money Discrepency],"&gt;="&amp;$AT33,Tracker[Money Discrepency],"&lt;"&amp;$AT34,Tracker[Bet Type],AZ$1),2)&gt;0.05,"X",IF(ROUND((SUMIFS(Tracker[Net],Tracker[Money Discrepency],"&gt;="&amp;$AT33,Tracker[Money Discrepency],"&lt;"&amp;$AT34,Tracker[Bet Type],AZ$1))/COUNTIFS(Tracker[Money Discrepency],"&gt;="&amp;$AT33,Tracker[Money Discrepency],"&lt;"&amp;$AT34,Tracker[Bet Type],AZ$1),2)&lt;-0.15,"O","")),"")</f>
        <v/>
      </c>
      <c r="BA33" s="24" t="str">
        <f>IFERROR(IF(ROUND((SUMIFS(Tracker[Net],Tracker[Money Discrepency],"&gt;="&amp;$AT33,Tracker[Money Discrepency],"&lt;"&amp;$AT34,Tracker[Bet Type],BA$1))/COUNTIFS(Tracker[Money Discrepency],"&gt;="&amp;$AT33,Tracker[Money Discrepency],"&lt;"&amp;$AT34,Tracker[Bet Type],BA$1),2)&gt;0.05,"X",IF(ROUND((SUMIFS(Tracker[Net],Tracker[Money Discrepency],"&gt;="&amp;$AT33,Tracker[Money Discrepency],"&lt;"&amp;$AT34,Tracker[Bet Type],BA$1))/COUNTIFS(Tracker[Money Discrepency],"&gt;="&amp;$AT33,Tracker[Money Discrepency],"&lt;"&amp;$AT34,Tracker[Bet Type],BA$1),2)&lt;-0.15,"O","")),"")</f>
        <v/>
      </c>
      <c r="BB33" s="24" t="str">
        <f>IFERROR(IF(ROUND((SUMIFS(Tracker[Net],Tracker[Money Discrepency],"&gt;="&amp;$AT33,Tracker[Money Discrepency],"&lt;"&amp;$AT34,Tracker[Bet Type Drill Down],BB$1))/COUNTIFS(Tracker[Money Discrepency],"&gt;="&amp;$AT33,Tracker[Money Discrepency],"&lt;"&amp;$AT34,Tracker[Bet Type Drill Down],BB$1),2)&gt;0.05,"X",IF(ROUND((SUMIFS(Tracker[Net],Tracker[Money Discrepency],"&gt;="&amp;$AT33,Tracker[Money Discrepency],"&lt;"&amp;$AT34,Tracker[Bet Type Drill Down],BB$1))/COUNTIFS(Tracker[Money Discrepency],"&gt;="&amp;$AT33,Tracker[Money Discrepency],"&lt;"&amp;$AT34,Tracker[Bet Type Drill Down],BB$1),2)&lt;-0.15,"O","")),"")</f>
        <v/>
      </c>
      <c r="BC33" s="24" t="str">
        <f>IFERROR(IF(ROUND((SUMIFS(Tracker[Net],Tracker[Money Discrepency],"&gt;="&amp;$AT33,Tracker[Money Discrepency],"&lt;"&amp;$AT34,Tracker[Bet Type Drill Down],BC$1))/COUNTIFS(Tracker[Money Discrepency],"&gt;="&amp;$AT33,Tracker[Money Discrepency],"&lt;"&amp;$AT34,Tracker[Bet Type Drill Down],BC$1),2)&gt;0.05,"X",IF(ROUND((SUMIFS(Tracker[Net],Tracker[Money Discrepency],"&gt;="&amp;$AT33,Tracker[Money Discrepency],"&lt;"&amp;$AT34,Tracker[Bet Type Drill Down],BC$1))/COUNTIFS(Tracker[Money Discrepency],"&gt;="&amp;$AT33,Tracker[Money Discrepency],"&lt;"&amp;$AT34,Tracker[Bet Type Drill Down],BC$1),2)&lt;-0.15,"O","")),"")</f>
        <v/>
      </c>
      <c r="BD33" s="24" t="str">
        <f>IFERROR(IF(ROUND((SUMIFS(Tracker[Net],Tracker[Money Discrepency],"&gt;="&amp;$AT33,Tracker[Money Discrepency],"&lt;"&amp;$AT34,Tracker[Bet Type Drill Down],BD$1))/COUNTIFS(Tracker[Money Discrepency],"&gt;="&amp;$AT33,Tracker[Money Discrepency],"&lt;"&amp;$AT34,Tracker[Bet Type Drill Down],BD$1),2)&gt;0.05,"X",IF(ROUND((SUMIFS(Tracker[Net],Tracker[Money Discrepency],"&gt;="&amp;$AT33,Tracker[Money Discrepency],"&lt;"&amp;$AT34,Tracker[Bet Type Drill Down],BD$1))/COUNTIFS(Tracker[Money Discrepency],"&gt;="&amp;$AT33,Tracker[Money Discrepency],"&lt;"&amp;$AT34,Tracker[Bet Type Drill Down],BD$1),2)&lt;-0.15,"O","")),"")</f>
        <v/>
      </c>
      <c r="BE33" s="24" t="str">
        <f>IFERROR(IF(ROUND((SUMIFS(Tracker[Net],Tracker[Money Discrepency],"&gt;="&amp;$AT33,Tracker[Money Discrepency],"&lt;"&amp;$AT34,Tracker[Bet Type Drill Down],BE$1))/COUNTIFS(Tracker[Money Discrepency],"&gt;="&amp;$AT33,Tracker[Money Discrepency],"&lt;"&amp;$AT34,Tracker[Bet Type Drill Down],BE$1),2)&gt;0.05,"X",IF(ROUND((SUMIFS(Tracker[Net],Tracker[Money Discrepency],"&gt;="&amp;$AT33,Tracker[Money Discrepency],"&lt;"&amp;$AT34,Tracker[Bet Type Drill Down],BE$1))/COUNTIFS(Tracker[Money Discrepency],"&gt;="&amp;$AT33,Tracker[Money Discrepency],"&lt;"&amp;$AT34,Tracker[Bet Type Drill Down],BE$1),2)&lt;-0.15,"O","")),"")</f>
        <v/>
      </c>
    </row>
    <row r="34" spans="1:57" x14ac:dyDescent="0.25">
      <c r="A34" s="36">
        <f t="shared" si="9"/>
        <v>3</v>
      </c>
      <c r="B34" s="25">
        <v>43808</v>
      </c>
      <c r="C34" s="25" t="str">
        <f t="shared" si="7"/>
        <v>NBA</v>
      </c>
      <c r="D34" s="26" t="s">
        <v>841</v>
      </c>
      <c r="E34" s="27" t="s">
        <v>842</v>
      </c>
      <c r="F34" s="67">
        <v>0.58442730686031585</v>
      </c>
      <c r="G34" s="29">
        <v>-110</v>
      </c>
      <c r="H34" s="67" t="s">
        <v>56</v>
      </c>
      <c r="I34" s="44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4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34" s="32" t="str">
        <f>MID(Tracker[[#This Row],[Game]],SEARCH("@",Tracker[[#This Row],[Game]])+2,LEN(Tracker[[#This Row],[Game]]))</f>
        <v>Warriors</v>
      </c>
      <c r="L34" s="32" t="str">
        <f>LEFT(Tracker[[#This Row],[Game]],SEARCH("@",Tracker[[#This Row],[Game]])-2)</f>
        <v>Grizzlies</v>
      </c>
      <c r="M3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34" s="123"/>
      <c r="O34" s="147"/>
      <c r="P34" s="147"/>
      <c r="Q3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4" s="147" t="e">
        <f>IF(AND(Tracker[[#This Row],[Money %]]&lt;&gt;"",Tracker[[#This Row],[Bet %]]&lt;&gt;""),Tracker[[#This Row],[Money %]]-Tracker[[#This Row],[Bet %]],NA())</f>
        <v>#N/A</v>
      </c>
      <c r="S34" s="109"/>
      <c r="T34" s="109"/>
      <c r="U34" s="56">
        <f>IFERROR(INDEX($A$4:$B10030,MATCH(ROW()-3,$A$4:$A$4:$A1030,0),2),0)</f>
        <v>43861</v>
      </c>
      <c r="V34" s="33" t="str">
        <f>COUNTIFS(Tracker[Date],U34,Tracker[Result],"W")&amp;"-"&amp;COUNTIFS(Tracker[Date],U34,Tracker[Result],"L")&amp;IF(COUNTIFS(Tracker[Date],U34,Tracker[Result],"Push")&gt;0,"-"&amp;COUNTIFS(Tracker[Date],U34,Tracker[Result],"Push"),"")</f>
        <v>8-6</v>
      </c>
      <c r="W34" s="34">
        <f>IFERROR(COUNTIFS(Tracker[Date],U34,Tracker[Result],"W")/(COUNTIFS(Tracker[Date],U34,Tracker[Result],"W")+COUNTIFS(Tracker[Date],U34,Tracker[Result],"L")),"")</f>
        <v>0.5714285714285714</v>
      </c>
      <c r="X34" s="61">
        <f>SUMIF(Tracker[Date],U34,Tracker[Net])</f>
        <v>1.2727272727272729</v>
      </c>
      <c r="Y34" s="35" t="str">
        <f>IFERROR("("&amp;ROUND(SUMIF(Tracker[Date],U34,Tracker[Net])/COUNTIF(Tracker[Date],U34),2)*100&amp;"%)","")</f>
        <v>(9%)</v>
      </c>
      <c r="Z34" s="78">
        <f t="shared" si="29"/>
        <v>1.1000000000000005</v>
      </c>
      <c r="AA34" s="66" t="str">
        <f t="shared" si="30"/>
        <v>95-100%</v>
      </c>
      <c r="AB34" s="77" t="str">
        <f>IFERROR(COUNTIFS(Tracker[Confidence],"&gt;"&amp;Z31,Tracker[Confidence],"&lt;"&amp;Z32,Tracker[Result],"W")&amp;"-"&amp;COUNTIFS(Tracker[Confidence],"&gt;"&amp;Z31,Tracker[Confidence],"&lt;"&amp;Z32,Tracker[Result],"L")&amp;"-"&amp;COUNTIFS(Tracker[Confidence],"&gt;"&amp;Z31,Tracker[Confidence],"&lt;"&amp;Z32,Tracker[Result],"Push")&amp;" ("&amp;ROUND(COUNTIFS(Tracker[Confidence],"&gt;"&amp;Z31,Tracker[Confidence],"&lt;"&amp;Z32,Tracker[Result],"W")/(COUNTIFS(Tracker[Confidence],"&gt;"&amp;Z31,Tracker[Confidence],"&lt;"&amp;Z32,Tracker[Result],"L")+COUNTIFS(Tracker[Confidence],"&gt;"&amp;Z31,Tracker[Confidence],"&lt;"&amp;Z32,Tracker[Result],"W"))*100,2)&amp;"%)","No Bets")</f>
        <v>1-0-0 (100%)</v>
      </c>
      <c r="AC34" s="72">
        <f>SUMIFS(Tracker[Net],Tracker[Confidence],"&gt;="&amp;Z31,Tracker[Confidence],"&lt;"&amp;Z32)</f>
        <v>0.90909090909090906</v>
      </c>
      <c r="AD34" s="24" t="str">
        <f>IFERROR(IF(ROUND((SUMIFS(Tracker[Net],Tracker[Confidence],"&gt;="&amp;$Z31,Tracker[Confidence],"&lt;"&amp;$Z32,Tracker[Bet Type],AD$24))/COUNTIFS(Tracker[Confidence],"&gt;="&amp;$Z31,Tracker[Confidence],"&lt;"&amp;$Z32,Tracker[Bet Type],AD$24),2)&gt;0.05,"X",IF(ROUND((SUMIFS(Tracker[Net],Tracker[Confidence],"&gt;="&amp;$Z31,Tracker[Confidence],"&lt;"&amp;$Z32,Tracker[Bet Type],AD$24))/COUNTIFS(Tracker[Confidence],"&gt;="&amp;$Z31,Tracker[Confidence],"&lt;"&amp;$Z32,Tracker[Bet Type],AD$24),2)&lt;-0.15,"O","")),"")</f>
        <v/>
      </c>
      <c r="AE34" s="24" t="str">
        <f>IFERROR(IF(ROUND((SUMIFS(Tracker[Net],Tracker[Confidence],"&gt;="&amp;$Z31,Tracker[Confidence],"&lt;"&amp;$Z32,Tracker[Bet Type],AE$24))/COUNTIFS(Tracker[Confidence],"&gt;="&amp;$Z31,Tracker[Confidence],"&lt;"&amp;$Z32,Tracker[Bet Type],AE$24),2)&gt;0.05,"X",IF(ROUND((SUMIFS(Tracker[Net],Tracker[Confidence],"&gt;="&amp;$Z31,Tracker[Confidence],"&lt;"&amp;$Z32,Tracker[Bet Type],AE$24))/COUNTIFS(Tracker[Confidence],"&gt;="&amp;$Z31,Tracker[Confidence],"&lt;"&amp;$Z32,Tracker[Bet Type],AE$24),2)&lt;-0.15,"O","")),"")</f>
        <v/>
      </c>
      <c r="AF34" s="24" t="str">
        <f>IFERROR(IF(ROUND((SUMIFS(Tracker[Net],Tracker[Confidence],"&gt;="&amp;$Z31,Tracker[Confidence],"&lt;"&amp;$Z32,Tracker[Bet Type],AF$24))/COUNTIFS(Tracker[Confidence],"&gt;="&amp;$Z31,Tracker[Confidence],"&lt;"&amp;$Z32,Tracker[Bet Type],AF$24),2)&gt;0.05,"X",IF(ROUND((SUMIFS(Tracker[Net],Tracker[Confidence],"&gt;="&amp;$Z31,Tracker[Confidence],"&lt;"&amp;$Z32,Tracker[Bet Type],AF$24))/COUNTIFS(Tracker[Confidence],"&gt;="&amp;$Z31,Tracker[Confidence],"&lt;"&amp;$Z32,Tracker[Bet Type],AF$24),2)&lt;-0.15,"O","")),"")</f>
        <v>X</v>
      </c>
      <c r="AG34" s="24" t="str">
        <f>IFERROR(IF(ROUND((SUMIFS(Tracker[Net],Tracker[Confidence],"&gt;="&amp;$Z31,Tracker[Confidence],"&lt;"&amp;$Z32,Tracker[Bet Type],AG$24))/COUNTIFS(Tracker[Confidence],"&gt;="&amp;$Z31,Tracker[Confidence],"&lt;"&amp;$Z32,Tracker[Bet Type],AG$24),2)&gt;0.05,"X",IF(ROUND((SUMIFS(Tracker[Net],Tracker[Confidence],"&gt;="&amp;$Z31,Tracker[Confidence],"&lt;"&amp;$Z32,Tracker[Bet Type],AG$24))/COUNTIFS(Tracker[Confidence],"&gt;="&amp;$Z31,Tracker[Confidence],"&lt;"&amp;$Z32,Tracker[Bet Type],AG$24),2)&lt;-0.15,"O","")),"")</f>
        <v/>
      </c>
      <c r="AH34" s="24" t="str">
        <f>IFERROR(IF(ROUND((SUMIFS(Tracker[Net],Tracker[Confidence],"&gt;="&amp;$Z31,Tracker[Confidence],"&lt;"&amp;$Z32,Tracker[Bet Type Drill Down],AH$24))/COUNTIFS(Tracker[Confidence],"&gt;="&amp;$Z31,Tracker[Confidence],"&lt;"&amp;$Z32,Tracker[Bet Type Drill Down],AH$24),2)&gt;0.05,"X",IF(ROUND((SUMIFS(Tracker[Net],Tracker[Confidence],"&gt;="&amp;$Z31,Tracker[Confidence],"&lt;"&amp;$Z32,Tracker[Bet Type Drill Down],AH$24))/COUNTIFS(Tracker[Confidence],"&gt;="&amp;$Z31,Tracker[Confidence],"&lt;"&amp;$Z32,Tracker[Bet Type Drill Down],AH$24),2)&lt;-0.15,"O","")),"")</f>
        <v>X</v>
      </c>
      <c r="AI34" s="24" t="str">
        <f>IFERROR(IF(ROUND((SUMIFS(Tracker[Net],Tracker[Confidence],"&gt;="&amp;$Z31,Tracker[Confidence],"&lt;"&amp;$Z32,Tracker[Bet Type Drill Down],AI$24))/COUNTIFS(Tracker[Confidence],"&gt;="&amp;$Z31,Tracker[Confidence],"&lt;"&amp;$Z32,Tracker[Bet Type Drill Down],AI$24),2)&gt;0.05,"X",IF(ROUND((SUMIFS(Tracker[Net],Tracker[Confidence],"&gt;="&amp;$Z31,Tracker[Confidence],"&lt;"&amp;$Z32,Tracker[Bet Type Drill Down],AI$24))/COUNTIFS(Tracker[Confidence],"&gt;="&amp;$Z31,Tracker[Confidence],"&lt;"&amp;$Z32,Tracker[Bet Type Drill Down],AI$24),2)&lt;-0.15,"O","")),"")</f>
        <v/>
      </c>
      <c r="AJ34" s="24" t="str">
        <f>IFERROR(IF(ROUND((SUMIFS(Tracker[Net],Tracker[Confidence],"&gt;="&amp;$Z31,Tracker[Confidence],"&lt;"&amp;$Z32,Tracker[Bet Type Drill Down],AJ$24))/COUNTIFS(Tracker[Confidence],"&gt;="&amp;$Z31,Tracker[Confidence],"&lt;"&amp;$Z32,Tracker[Bet Type Drill Down],AJ$24),2)&gt;0.05,"X",IF(ROUND((SUMIFS(Tracker[Net],Tracker[Confidence],"&gt;="&amp;$Z31,Tracker[Confidence],"&lt;"&amp;$Z32,Tracker[Bet Type Drill Down],AJ$24))/COUNTIFS(Tracker[Confidence],"&gt;="&amp;$Z31,Tracker[Confidence],"&lt;"&amp;$Z32,Tracker[Bet Type Drill Down],AJ$24),2)&lt;-0.15,"O","")),"")</f>
        <v/>
      </c>
      <c r="AK34" s="24" t="str">
        <f>IFERROR(IF(ROUND((SUMIFS(Tracker[Net],Tracker[Confidence],"&gt;="&amp;$Z31,Tracker[Confidence],"&lt;"&amp;$Z32,Tracker[Bet Type Drill Down],AK$24))/COUNTIFS(Tracker[Confidence],"&gt;="&amp;$Z31,Tracker[Confidence],"&lt;"&amp;$Z32,Tracker[Bet Type Drill Down],AK$24),2)&gt;0.05,"X",IF(ROUND((SUMIFS(Tracker[Net],Tracker[Confidence],"&gt;="&amp;$Z31,Tracker[Confidence],"&lt;"&amp;$Z32,Tracker[Bet Type Drill Down],AK$24))/COUNTIFS(Tracker[Confidence],"&gt;="&amp;$Z31,Tracker[Confidence],"&lt;"&amp;$Z32,Tracker[Bet Type Drill Down],AK$24),2)&lt;-0.15,"O","")),"")</f>
        <v/>
      </c>
      <c r="AT34" s="153">
        <f t="shared" si="1"/>
        <v>0.60000000000000042</v>
      </c>
      <c r="AU34" s="39" t="str">
        <f t="shared" si="2"/>
        <v>60  to  65%</v>
      </c>
      <c r="AV34" t="str">
        <f>IFERROR(COUNTIFS(Tracker[Money Discrepency],"&gt;="&amp;AT34,Tracker[Money Discrepency],"&lt;"&amp;AT35,Tracker[Result],"W")&amp;"-"&amp;COUNTIFS(Tracker[Money Discrepency],"&gt;="&amp;AT34,Tracker[Money Discrepency],"&lt;"&amp;AT35,Tracker[Result],"L")&amp;"-"&amp;COUNTIFS(Tracker[Money Discrepency],"&gt;="&amp;AT34,Tracker[Money Discrepency],"&lt;"&amp;AT35,Tracker[Result],"Push")&amp;" ("&amp;ROUND(COUNTIFS(Tracker[Money Discrepency],"&gt;="&amp;AT34,Tracker[Money Discrepency],"&lt;"&amp;AT35,Tracker[Result],"W")/(COUNTIFS(Tracker[Money Discrepency],"&gt;="&amp;AT34,Tracker[Money Discrepency],"&lt;"&amp;AT35,Tracker[Result],"L")+COUNTIFS(Tracker[Money Discrepency],"&gt;="&amp;AT34,Tracker[Money Discrepency],"&lt;"&amp;AT35,Tracker[Result],"W"))*100,2)&amp;"%)","No Bets")</f>
        <v>No Bets</v>
      </c>
      <c r="AW34">
        <f>SUMIFS(Tracker[Net],Tracker[Money Discrepency],"&gt;="&amp;AT34,Tracker[Money Discrepency],"&lt;"&amp;AT35)</f>
        <v>0</v>
      </c>
      <c r="AX34" s="24" t="str">
        <f>IFERROR(IF(ROUND((SUMIFS(Tracker[Net],Tracker[Money Discrepency],"&gt;="&amp;$AT34,Tracker[Money Discrepency],"&lt;"&amp;$AT35,Tracker[Bet Type],AX$1))/COUNTIFS(Tracker[Money Discrepency],"&gt;="&amp;$AT34,Tracker[Money Discrepency],"&lt;"&amp;$AT35,Tracker[Bet Type],AX$1),2)&gt;0.05,"X",IF(ROUND((SUMIFS(Tracker[Net],Tracker[Money Discrepency],"&gt;="&amp;$AT34,Tracker[Money Discrepency],"&lt;"&amp;$AT35,Tracker[Bet Type],AX$1))/COUNTIFS(Tracker[Money Discrepency],"&gt;="&amp;$AT34,Tracker[Money Discrepency],"&lt;"&amp;$AT35,Tracker[Bet Type],AX$1),2)&lt;-0.15,"O","")),"")</f>
        <v/>
      </c>
      <c r="AY34" s="24" t="str">
        <f>IFERROR(IF(ROUND((SUMIFS(Tracker[Net],Tracker[Money Discrepency],"&gt;="&amp;$AT34,Tracker[Money Discrepency],"&lt;"&amp;$AT35,Tracker[Bet Type],AY$1))/COUNTIFS(Tracker[Money Discrepency],"&gt;="&amp;$AT34,Tracker[Money Discrepency],"&lt;"&amp;$AT35,Tracker[Bet Type],AY$1),2)&gt;0.05,"X",IF(ROUND((SUMIFS(Tracker[Net],Tracker[Money Discrepency],"&gt;="&amp;$AT34,Tracker[Money Discrepency],"&lt;"&amp;$AT35,Tracker[Bet Type],AY$1))/COUNTIFS(Tracker[Money Discrepency],"&gt;="&amp;$AT34,Tracker[Money Discrepency],"&lt;"&amp;$AT35,Tracker[Bet Type],AY$1),2)&lt;-0.15,"O","")),"")</f>
        <v/>
      </c>
      <c r="AZ34" s="24" t="str">
        <f>IFERROR(IF(ROUND((SUMIFS(Tracker[Net],Tracker[Money Discrepency],"&gt;="&amp;$AT34,Tracker[Money Discrepency],"&lt;"&amp;$AT35,Tracker[Bet Type],AZ$1))/COUNTIFS(Tracker[Money Discrepency],"&gt;="&amp;$AT34,Tracker[Money Discrepency],"&lt;"&amp;$AT35,Tracker[Bet Type],AZ$1),2)&gt;0.05,"X",IF(ROUND((SUMIFS(Tracker[Net],Tracker[Money Discrepency],"&gt;="&amp;$AT34,Tracker[Money Discrepency],"&lt;"&amp;$AT35,Tracker[Bet Type],AZ$1))/COUNTIFS(Tracker[Money Discrepency],"&gt;="&amp;$AT34,Tracker[Money Discrepency],"&lt;"&amp;$AT35,Tracker[Bet Type],AZ$1),2)&lt;-0.15,"O","")),"")</f>
        <v/>
      </c>
      <c r="BA34" s="24" t="str">
        <f>IFERROR(IF(ROUND((SUMIFS(Tracker[Net],Tracker[Money Discrepency],"&gt;="&amp;$AT34,Tracker[Money Discrepency],"&lt;"&amp;$AT35,Tracker[Bet Type],BA$1))/COUNTIFS(Tracker[Money Discrepency],"&gt;="&amp;$AT34,Tracker[Money Discrepency],"&lt;"&amp;$AT35,Tracker[Bet Type],BA$1),2)&gt;0.05,"X",IF(ROUND((SUMIFS(Tracker[Net],Tracker[Money Discrepency],"&gt;="&amp;$AT34,Tracker[Money Discrepency],"&lt;"&amp;$AT35,Tracker[Bet Type],BA$1))/COUNTIFS(Tracker[Money Discrepency],"&gt;="&amp;$AT34,Tracker[Money Discrepency],"&lt;"&amp;$AT35,Tracker[Bet Type],BA$1),2)&lt;-0.15,"O","")),"")</f>
        <v/>
      </c>
      <c r="BB34" s="24" t="str">
        <f>IFERROR(IF(ROUND((SUMIFS(Tracker[Net],Tracker[Money Discrepency],"&gt;="&amp;$AT34,Tracker[Money Discrepency],"&lt;"&amp;$AT35,Tracker[Bet Type Drill Down],BB$1))/COUNTIFS(Tracker[Money Discrepency],"&gt;="&amp;$AT34,Tracker[Money Discrepency],"&lt;"&amp;$AT35,Tracker[Bet Type Drill Down],BB$1),2)&gt;0.05,"X",IF(ROUND((SUMIFS(Tracker[Net],Tracker[Money Discrepency],"&gt;="&amp;$AT34,Tracker[Money Discrepency],"&lt;"&amp;$AT35,Tracker[Bet Type Drill Down],BB$1))/COUNTIFS(Tracker[Money Discrepency],"&gt;="&amp;$AT34,Tracker[Money Discrepency],"&lt;"&amp;$AT35,Tracker[Bet Type Drill Down],BB$1),2)&lt;-0.15,"O","")),"")</f>
        <v/>
      </c>
      <c r="BC34" s="24" t="str">
        <f>IFERROR(IF(ROUND((SUMIFS(Tracker[Net],Tracker[Money Discrepency],"&gt;="&amp;$AT34,Tracker[Money Discrepency],"&lt;"&amp;$AT35,Tracker[Bet Type Drill Down],BC$1))/COUNTIFS(Tracker[Money Discrepency],"&gt;="&amp;$AT34,Tracker[Money Discrepency],"&lt;"&amp;$AT35,Tracker[Bet Type Drill Down],BC$1),2)&gt;0.05,"X",IF(ROUND((SUMIFS(Tracker[Net],Tracker[Money Discrepency],"&gt;="&amp;$AT34,Tracker[Money Discrepency],"&lt;"&amp;$AT35,Tracker[Bet Type Drill Down],BC$1))/COUNTIFS(Tracker[Money Discrepency],"&gt;="&amp;$AT34,Tracker[Money Discrepency],"&lt;"&amp;$AT35,Tracker[Bet Type Drill Down],BC$1),2)&lt;-0.15,"O","")),"")</f>
        <v/>
      </c>
      <c r="BD34" s="24" t="str">
        <f>IFERROR(IF(ROUND((SUMIFS(Tracker[Net],Tracker[Money Discrepency],"&gt;="&amp;$AT34,Tracker[Money Discrepency],"&lt;"&amp;$AT35,Tracker[Bet Type Drill Down],BD$1))/COUNTIFS(Tracker[Money Discrepency],"&gt;="&amp;$AT34,Tracker[Money Discrepency],"&lt;"&amp;$AT35,Tracker[Bet Type Drill Down],BD$1),2)&gt;0.05,"X",IF(ROUND((SUMIFS(Tracker[Net],Tracker[Money Discrepency],"&gt;="&amp;$AT34,Tracker[Money Discrepency],"&lt;"&amp;$AT35,Tracker[Bet Type Drill Down],BD$1))/COUNTIFS(Tracker[Money Discrepency],"&gt;="&amp;$AT34,Tracker[Money Discrepency],"&lt;"&amp;$AT35,Tracker[Bet Type Drill Down],BD$1),2)&lt;-0.15,"O","")),"")</f>
        <v/>
      </c>
      <c r="BE34" s="24" t="str">
        <f>IFERROR(IF(ROUND((SUMIFS(Tracker[Net],Tracker[Money Discrepency],"&gt;="&amp;$AT34,Tracker[Money Discrepency],"&lt;"&amp;$AT35,Tracker[Bet Type Drill Down],BE$1))/COUNTIFS(Tracker[Money Discrepency],"&gt;="&amp;$AT34,Tracker[Money Discrepency],"&lt;"&amp;$AT35,Tracker[Bet Type Drill Down],BE$1),2)&gt;0.05,"X",IF(ROUND((SUMIFS(Tracker[Net],Tracker[Money Discrepency],"&gt;="&amp;$AT34,Tracker[Money Discrepency],"&lt;"&amp;$AT35,Tracker[Bet Type Drill Down],BE$1))/COUNTIFS(Tracker[Money Discrepency],"&gt;="&amp;$AT34,Tracker[Money Discrepency],"&lt;"&amp;$AT35,Tracker[Bet Type Drill Down],BE$1),2)&lt;-0.15,"O","")),"")</f>
        <v/>
      </c>
    </row>
    <row r="35" spans="1:57" x14ac:dyDescent="0.25">
      <c r="A35" s="36">
        <f t="shared" si="9"/>
        <v>3</v>
      </c>
      <c r="B35" s="25">
        <v>43808</v>
      </c>
      <c r="C35" s="25" t="str">
        <f t="shared" si="7"/>
        <v>NBA</v>
      </c>
      <c r="D35" s="26" t="s">
        <v>841</v>
      </c>
      <c r="E35" s="27" t="s">
        <v>843</v>
      </c>
      <c r="F35" s="67">
        <v>0.63955875571780707</v>
      </c>
      <c r="G35" s="29">
        <v>-110</v>
      </c>
      <c r="H35" s="67" t="s">
        <v>57</v>
      </c>
      <c r="I35" s="44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5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35" s="32" t="str">
        <f>MID(Tracker[[#This Row],[Game]],SEARCH("@",Tracker[[#This Row],[Game]])+2,LEN(Tracker[[#This Row],[Game]]))</f>
        <v>Warriors</v>
      </c>
      <c r="L35" s="32" t="str">
        <f>LEFT(Tracker[[#This Row],[Game]],SEARCH("@",Tracker[[#This Row],[Game]])-2)</f>
        <v>Grizzlies</v>
      </c>
      <c r="M3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35" s="123"/>
      <c r="O35" s="147"/>
      <c r="P35" s="147"/>
      <c r="Q3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5" s="147" t="e">
        <f>IF(AND(Tracker[[#This Row],[Money %]]&lt;&gt;"",Tracker[[#This Row],[Bet %]]&lt;&gt;""),Tracker[[#This Row],[Money %]]-Tracker[[#This Row],[Bet %]],NA())</f>
        <v>#N/A</v>
      </c>
      <c r="S35" s="109"/>
      <c r="T35" s="109"/>
      <c r="U35" s="56">
        <f>IFERROR(INDEX($A$4:$B10031,MATCH(ROW()-3,$A$4:$A$4:$A1031,0),2),0)</f>
        <v>43864</v>
      </c>
      <c r="V35" s="33" t="str">
        <f>COUNTIFS(Tracker[Date],U35,Tracker[Result],"W")&amp;"-"&amp;COUNTIFS(Tracker[Date],U35,Tracker[Result],"L")&amp;IF(COUNTIFS(Tracker[Date],U35,Tracker[Result],"Push")&gt;0,"-"&amp;COUNTIFS(Tracker[Date],U35,Tracker[Result],"Push"),"")</f>
        <v>10-5</v>
      </c>
      <c r="W35" s="34">
        <f>IFERROR(COUNTIFS(Tracker[Date],U35,Tracker[Result],"W")/(COUNTIFS(Tracker[Date],U35,Tracker[Result],"W")+COUNTIFS(Tracker[Date],U35,Tracker[Result],"L")),"")</f>
        <v>0.66666666666666663</v>
      </c>
      <c r="X35" s="61">
        <f>SUMIF(Tracker[Date],U35,Tracker[Net])</f>
        <v>4.0909090909090908</v>
      </c>
      <c r="Y35" s="35" t="str">
        <f>IFERROR("("&amp;ROUND(SUMIF(Tracker[Date],U35,Tracker[Net])/COUNTIF(Tracker[Date],U35),2)*100&amp;"%)","")</f>
        <v>(27%)</v>
      </c>
      <c r="Z35" s="78">
        <f t="shared" si="29"/>
        <v>1.1500000000000006</v>
      </c>
      <c r="AT35" s="153">
        <f t="shared" si="1"/>
        <v>0.65000000000000047</v>
      </c>
      <c r="AU35" s="39" t="str">
        <f t="shared" si="2"/>
        <v>65  to  70%</v>
      </c>
      <c r="AV35" t="str">
        <f>IFERROR(COUNTIFS(Tracker[Money Discrepency],"&gt;="&amp;AT35,Tracker[Money Discrepency],"&lt;"&amp;AT36,Tracker[Result],"W")&amp;"-"&amp;COUNTIFS(Tracker[Money Discrepency],"&gt;="&amp;AT35,Tracker[Money Discrepency],"&lt;"&amp;AT36,Tracker[Result],"L")&amp;"-"&amp;COUNTIFS(Tracker[Money Discrepency],"&gt;="&amp;AT35,Tracker[Money Discrepency],"&lt;"&amp;AT36,Tracker[Result],"Push")&amp;" ("&amp;ROUND(COUNTIFS(Tracker[Money Discrepency],"&gt;="&amp;AT35,Tracker[Money Discrepency],"&lt;"&amp;AT36,Tracker[Result],"W")/(COUNTIFS(Tracker[Money Discrepency],"&gt;="&amp;AT35,Tracker[Money Discrepency],"&lt;"&amp;AT36,Tracker[Result],"L")+COUNTIFS(Tracker[Money Discrepency],"&gt;="&amp;AT35,Tracker[Money Discrepency],"&lt;"&amp;AT36,Tracker[Result],"W"))*100,2)&amp;"%)","No Bets")</f>
        <v>No Bets</v>
      </c>
      <c r="AW35">
        <f>SUMIFS(Tracker[Net],Tracker[Money Discrepency],"&gt;="&amp;AT35,Tracker[Money Discrepency],"&lt;"&amp;AT36)</f>
        <v>0</v>
      </c>
      <c r="AX35" s="24" t="str">
        <f>IFERROR(IF(ROUND((SUMIFS(Tracker[Net],Tracker[Money Discrepency],"&gt;="&amp;$AT35,Tracker[Money Discrepency],"&lt;"&amp;$AT36,Tracker[Bet Type],AX$1))/COUNTIFS(Tracker[Money Discrepency],"&gt;="&amp;$AT35,Tracker[Money Discrepency],"&lt;"&amp;$AT36,Tracker[Bet Type],AX$1),2)&gt;0.05,"X",IF(ROUND((SUMIFS(Tracker[Net],Tracker[Money Discrepency],"&gt;="&amp;$AT35,Tracker[Money Discrepency],"&lt;"&amp;$AT36,Tracker[Bet Type],AX$1))/COUNTIFS(Tracker[Money Discrepency],"&gt;="&amp;$AT35,Tracker[Money Discrepency],"&lt;"&amp;$AT36,Tracker[Bet Type],AX$1),2)&lt;-0.15,"O","")),"")</f>
        <v/>
      </c>
      <c r="AY35" s="24" t="str">
        <f>IFERROR(IF(ROUND((SUMIFS(Tracker[Net],Tracker[Money Discrepency],"&gt;="&amp;$AT35,Tracker[Money Discrepency],"&lt;"&amp;$AT36,Tracker[Bet Type],AY$1))/COUNTIFS(Tracker[Money Discrepency],"&gt;="&amp;$AT35,Tracker[Money Discrepency],"&lt;"&amp;$AT36,Tracker[Bet Type],AY$1),2)&gt;0.05,"X",IF(ROUND((SUMIFS(Tracker[Net],Tracker[Money Discrepency],"&gt;="&amp;$AT35,Tracker[Money Discrepency],"&lt;"&amp;$AT36,Tracker[Bet Type],AY$1))/COUNTIFS(Tracker[Money Discrepency],"&gt;="&amp;$AT35,Tracker[Money Discrepency],"&lt;"&amp;$AT36,Tracker[Bet Type],AY$1),2)&lt;-0.15,"O","")),"")</f>
        <v/>
      </c>
      <c r="AZ35" s="24" t="str">
        <f>IFERROR(IF(ROUND((SUMIFS(Tracker[Net],Tracker[Money Discrepency],"&gt;="&amp;$AT35,Tracker[Money Discrepency],"&lt;"&amp;$AT36,Tracker[Bet Type],AZ$1))/COUNTIFS(Tracker[Money Discrepency],"&gt;="&amp;$AT35,Tracker[Money Discrepency],"&lt;"&amp;$AT36,Tracker[Bet Type],AZ$1),2)&gt;0.05,"X",IF(ROUND((SUMIFS(Tracker[Net],Tracker[Money Discrepency],"&gt;="&amp;$AT35,Tracker[Money Discrepency],"&lt;"&amp;$AT36,Tracker[Bet Type],AZ$1))/COUNTIFS(Tracker[Money Discrepency],"&gt;="&amp;$AT35,Tracker[Money Discrepency],"&lt;"&amp;$AT36,Tracker[Bet Type],AZ$1),2)&lt;-0.15,"O","")),"")</f>
        <v/>
      </c>
      <c r="BA35" s="24" t="str">
        <f>IFERROR(IF(ROUND((SUMIFS(Tracker[Net],Tracker[Money Discrepency],"&gt;="&amp;$AT35,Tracker[Money Discrepency],"&lt;"&amp;$AT36,Tracker[Bet Type],BA$1))/COUNTIFS(Tracker[Money Discrepency],"&gt;="&amp;$AT35,Tracker[Money Discrepency],"&lt;"&amp;$AT36,Tracker[Bet Type],BA$1),2)&gt;0.05,"X",IF(ROUND((SUMIFS(Tracker[Net],Tracker[Money Discrepency],"&gt;="&amp;$AT35,Tracker[Money Discrepency],"&lt;"&amp;$AT36,Tracker[Bet Type],BA$1))/COUNTIFS(Tracker[Money Discrepency],"&gt;="&amp;$AT35,Tracker[Money Discrepency],"&lt;"&amp;$AT36,Tracker[Bet Type],BA$1),2)&lt;-0.15,"O","")),"")</f>
        <v/>
      </c>
      <c r="BB35" s="24" t="str">
        <f>IFERROR(IF(ROUND((SUMIFS(Tracker[Net],Tracker[Money Discrepency],"&gt;="&amp;$AT35,Tracker[Money Discrepency],"&lt;"&amp;$AT36,Tracker[Bet Type Drill Down],BB$1))/COUNTIFS(Tracker[Money Discrepency],"&gt;="&amp;$AT35,Tracker[Money Discrepency],"&lt;"&amp;$AT36,Tracker[Bet Type Drill Down],BB$1),2)&gt;0.05,"X",IF(ROUND((SUMIFS(Tracker[Net],Tracker[Money Discrepency],"&gt;="&amp;$AT35,Tracker[Money Discrepency],"&lt;"&amp;$AT36,Tracker[Bet Type Drill Down],BB$1))/COUNTIFS(Tracker[Money Discrepency],"&gt;="&amp;$AT35,Tracker[Money Discrepency],"&lt;"&amp;$AT36,Tracker[Bet Type Drill Down],BB$1),2)&lt;-0.15,"O","")),"")</f>
        <v/>
      </c>
      <c r="BC35" s="24" t="str">
        <f>IFERROR(IF(ROUND((SUMIFS(Tracker[Net],Tracker[Money Discrepency],"&gt;="&amp;$AT35,Tracker[Money Discrepency],"&lt;"&amp;$AT36,Tracker[Bet Type Drill Down],BC$1))/COUNTIFS(Tracker[Money Discrepency],"&gt;="&amp;$AT35,Tracker[Money Discrepency],"&lt;"&amp;$AT36,Tracker[Bet Type Drill Down],BC$1),2)&gt;0.05,"X",IF(ROUND((SUMIFS(Tracker[Net],Tracker[Money Discrepency],"&gt;="&amp;$AT35,Tracker[Money Discrepency],"&lt;"&amp;$AT36,Tracker[Bet Type Drill Down],BC$1))/COUNTIFS(Tracker[Money Discrepency],"&gt;="&amp;$AT35,Tracker[Money Discrepency],"&lt;"&amp;$AT36,Tracker[Bet Type Drill Down],BC$1),2)&lt;-0.15,"O","")),"")</f>
        <v/>
      </c>
      <c r="BD35" s="24" t="str">
        <f>IFERROR(IF(ROUND((SUMIFS(Tracker[Net],Tracker[Money Discrepency],"&gt;="&amp;$AT35,Tracker[Money Discrepency],"&lt;"&amp;$AT36,Tracker[Bet Type Drill Down],BD$1))/COUNTIFS(Tracker[Money Discrepency],"&gt;="&amp;$AT35,Tracker[Money Discrepency],"&lt;"&amp;$AT36,Tracker[Bet Type Drill Down],BD$1),2)&gt;0.05,"X",IF(ROUND((SUMIFS(Tracker[Net],Tracker[Money Discrepency],"&gt;="&amp;$AT35,Tracker[Money Discrepency],"&lt;"&amp;$AT36,Tracker[Bet Type Drill Down],BD$1))/COUNTIFS(Tracker[Money Discrepency],"&gt;="&amp;$AT35,Tracker[Money Discrepency],"&lt;"&amp;$AT36,Tracker[Bet Type Drill Down],BD$1),2)&lt;-0.15,"O","")),"")</f>
        <v/>
      </c>
      <c r="BE35" s="24" t="str">
        <f>IFERROR(IF(ROUND((SUMIFS(Tracker[Net],Tracker[Money Discrepency],"&gt;="&amp;$AT35,Tracker[Money Discrepency],"&lt;"&amp;$AT36,Tracker[Bet Type Drill Down],BE$1))/COUNTIFS(Tracker[Money Discrepency],"&gt;="&amp;$AT35,Tracker[Money Discrepency],"&lt;"&amp;$AT36,Tracker[Bet Type Drill Down],BE$1),2)&gt;0.05,"X",IF(ROUND((SUMIFS(Tracker[Net],Tracker[Money Discrepency],"&gt;="&amp;$AT35,Tracker[Money Discrepency],"&lt;"&amp;$AT36,Tracker[Bet Type Drill Down],BE$1))/COUNTIFS(Tracker[Money Discrepency],"&gt;="&amp;$AT35,Tracker[Money Discrepency],"&lt;"&amp;$AT36,Tracker[Bet Type Drill Down],BE$1),2)&lt;-0.15,"O","")),"")</f>
        <v/>
      </c>
    </row>
    <row r="36" spans="1:57" ht="60" x14ac:dyDescent="0.25">
      <c r="A36" s="36">
        <f t="shared" si="9"/>
        <v>3</v>
      </c>
      <c r="B36" s="25">
        <v>43808</v>
      </c>
      <c r="C36" s="25" t="str">
        <f t="shared" ref="C36:C67" si="31">"NBA"</f>
        <v>NBA</v>
      </c>
      <c r="D36" s="51" t="s">
        <v>845</v>
      </c>
      <c r="E36" s="68" t="s">
        <v>848</v>
      </c>
      <c r="F36" s="67" t="s">
        <v>846</v>
      </c>
      <c r="G36" s="29">
        <v>-370</v>
      </c>
      <c r="H36" s="32" t="s">
        <v>57</v>
      </c>
      <c r="I3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6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P</v>
      </c>
      <c r="K36" s="32" t="str">
        <f>MID(Tracker[[#This Row],[Game]],SEARCH("@",Tracker[[#This Row],[Game]])+2,LEN(Tracker[[#This Row],[Game]]))</f>
        <v>Bulls
Cavaliers @ Celtics
Kings @ Rockets
Magic @ Bucks</v>
      </c>
      <c r="L36" s="32" t="str">
        <f>LEFT(Tracker[[#This Row],[Game]],SEARCH("@",Tracker[[#This Row],[Game]])-2)</f>
        <v>Raptors</v>
      </c>
      <c r="M3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P</v>
      </c>
      <c r="N36" s="123"/>
      <c r="O36" s="147"/>
      <c r="P36" s="147"/>
      <c r="Q36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6" s="147" t="e">
        <f>IF(AND(Tracker[[#This Row],[Money %]]&lt;&gt;"",Tracker[[#This Row],[Bet %]]&lt;&gt;""),Tracker[[#This Row],[Money %]]-Tracker[[#This Row],[Bet %]],NA())</f>
        <v>#N/A</v>
      </c>
      <c r="S36" s="109"/>
      <c r="T36" s="109"/>
      <c r="U36" s="56">
        <f>IFERROR(INDEX($A$4:$B10032,MATCH(ROW()-3,$A$4:$A$4:$A1032,0),2),0)</f>
        <v>43865</v>
      </c>
      <c r="V36" s="33" t="str">
        <f>COUNTIFS(Tracker[Date],U36,Tracker[Result],"W")&amp;"-"&amp;COUNTIFS(Tracker[Date],U36,Tracker[Result],"L")&amp;IF(COUNTIFS(Tracker[Date],U36,Tracker[Result],"Push")&gt;0,"-"&amp;COUNTIFS(Tracker[Date],U36,Tracker[Result],"Push"),"")</f>
        <v>3-1-1</v>
      </c>
      <c r="W36" s="34">
        <f>IFERROR(COUNTIFS(Tracker[Date],U36,Tracker[Result],"W")/(COUNTIFS(Tracker[Date],U36,Tracker[Result],"W")+COUNTIFS(Tracker[Date],U36,Tracker[Result],"L")),"")</f>
        <v>0.75</v>
      </c>
      <c r="X36" s="61">
        <f>SUMIF(Tracker[Date],U36,Tracker[Net])</f>
        <v>1.7272727272727271</v>
      </c>
      <c r="Y36" s="35" t="str">
        <f>IFERROR("("&amp;ROUND(SUMIF(Tracker[Date],U36,Tracker[Net])/COUNTIF(Tracker[Date],U36),2)*100&amp;"%)","")</f>
        <v>(35%)</v>
      </c>
      <c r="Z36" s="78">
        <f t="shared" si="29"/>
        <v>1.2000000000000006</v>
      </c>
      <c r="AT36" s="153">
        <f t="shared" si="1"/>
        <v>0.70000000000000051</v>
      </c>
      <c r="AU36" s="39" t="str">
        <f t="shared" si="2"/>
        <v>70  to  75%</v>
      </c>
      <c r="AV36" t="str">
        <f>IFERROR(COUNTIFS(Tracker[Money Discrepency],"&gt;="&amp;AT36,Tracker[Money Discrepency],"&lt;"&amp;AT37,Tracker[Result],"W")&amp;"-"&amp;COUNTIFS(Tracker[Money Discrepency],"&gt;="&amp;AT36,Tracker[Money Discrepency],"&lt;"&amp;AT37,Tracker[Result],"L")&amp;"-"&amp;COUNTIFS(Tracker[Money Discrepency],"&gt;="&amp;AT36,Tracker[Money Discrepency],"&lt;"&amp;AT37,Tracker[Result],"Push")&amp;" ("&amp;ROUND(COUNTIFS(Tracker[Money Discrepency],"&gt;="&amp;AT36,Tracker[Money Discrepency],"&lt;"&amp;AT37,Tracker[Result],"W")/(COUNTIFS(Tracker[Money Discrepency],"&gt;="&amp;AT36,Tracker[Money Discrepency],"&lt;"&amp;AT37,Tracker[Result],"L")+COUNTIFS(Tracker[Money Discrepency],"&gt;="&amp;AT36,Tracker[Money Discrepency],"&lt;"&amp;AT37,Tracker[Result],"W"))*100,2)&amp;"%)","No Bets")</f>
        <v>No Bets</v>
      </c>
      <c r="AW36">
        <f>SUMIFS(Tracker[Net],Tracker[Money Discrepency],"&gt;="&amp;AT36,Tracker[Money Discrepency],"&lt;"&amp;AT37)</f>
        <v>0</v>
      </c>
      <c r="AX36" s="24" t="str">
        <f>IFERROR(IF(ROUND((SUMIFS(Tracker[Net],Tracker[Money Discrepency],"&gt;="&amp;$AT36,Tracker[Money Discrepency],"&lt;"&amp;$AT37,Tracker[Bet Type],AX$1))/COUNTIFS(Tracker[Money Discrepency],"&gt;="&amp;$AT36,Tracker[Money Discrepency],"&lt;"&amp;$AT37,Tracker[Bet Type],AX$1),2)&gt;0.05,"X",IF(ROUND((SUMIFS(Tracker[Net],Tracker[Money Discrepency],"&gt;="&amp;$AT36,Tracker[Money Discrepency],"&lt;"&amp;$AT37,Tracker[Bet Type],AX$1))/COUNTIFS(Tracker[Money Discrepency],"&gt;="&amp;$AT36,Tracker[Money Discrepency],"&lt;"&amp;$AT37,Tracker[Bet Type],AX$1),2)&lt;-0.15,"O","")),"")</f>
        <v/>
      </c>
      <c r="AY36" s="24" t="str">
        <f>IFERROR(IF(ROUND((SUMIFS(Tracker[Net],Tracker[Money Discrepency],"&gt;="&amp;$AT36,Tracker[Money Discrepency],"&lt;"&amp;$AT37,Tracker[Bet Type],AY$1))/COUNTIFS(Tracker[Money Discrepency],"&gt;="&amp;$AT36,Tracker[Money Discrepency],"&lt;"&amp;$AT37,Tracker[Bet Type],AY$1),2)&gt;0.05,"X",IF(ROUND((SUMIFS(Tracker[Net],Tracker[Money Discrepency],"&gt;="&amp;$AT36,Tracker[Money Discrepency],"&lt;"&amp;$AT37,Tracker[Bet Type],AY$1))/COUNTIFS(Tracker[Money Discrepency],"&gt;="&amp;$AT36,Tracker[Money Discrepency],"&lt;"&amp;$AT37,Tracker[Bet Type],AY$1),2)&lt;-0.15,"O","")),"")</f>
        <v/>
      </c>
      <c r="AZ36" s="24" t="str">
        <f>IFERROR(IF(ROUND((SUMIFS(Tracker[Net],Tracker[Money Discrepency],"&gt;="&amp;$AT36,Tracker[Money Discrepency],"&lt;"&amp;$AT37,Tracker[Bet Type],AZ$1))/COUNTIFS(Tracker[Money Discrepency],"&gt;="&amp;$AT36,Tracker[Money Discrepency],"&lt;"&amp;$AT37,Tracker[Bet Type],AZ$1),2)&gt;0.05,"X",IF(ROUND((SUMIFS(Tracker[Net],Tracker[Money Discrepency],"&gt;="&amp;$AT36,Tracker[Money Discrepency],"&lt;"&amp;$AT37,Tracker[Bet Type],AZ$1))/COUNTIFS(Tracker[Money Discrepency],"&gt;="&amp;$AT36,Tracker[Money Discrepency],"&lt;"&amp;$AT37,Tracker[Bet Type],AZ$1),2)&lt;-0.15,"O","")),"")</f>
        <v/>
      </c>
      <c r="BA36" s="24" t="str">
        <f>IFERROR(IF(ROUND((SUMIFS(Tracker[Net],Tracker[Money Discrepency],"&gt;="&amp;$AT36,Tracker[Money Discrepency],"&lt;"&amp;$AT37,Tracker[Bet Type],BA$1))/COUNTIFS(Tracker[Money Discrepency],"&gt;="&amp;$AT36,Tracker[Money Discrepency],"&lt;"&amp;$AT37,Tracker[Bet Type],BA$1),2)&gt;0.05,"X",IF(ROUND((SUMIFS(Tracker[Net],Tracker[Money Discrepency],"&gt;="&amp;$AT36,Tracker[Money Discrepency],"&lt;"&amp;$AT37,Tracker[Bet Type],BA$1))/COUNTIFS(Tracker[Money Discrepency],"&gt;="&amp;$AT36,Tracker[Money Discrepency],"&lt;"&amp;$AT37,Tracker[Bet Type],BA$1),2)&lt;-0.15,"O","")),"")</f>
        <v/>
      </c>
      <c r="BB36" s="24" t="str">
        <f>IFERROR(IF(ROUND((SUMIFS(Tracker[Net],Tracker[Money Discrepency],"&gt;="&amp;$AT36,Tracker[Money Discrepency],"&lt;"&amp;$AT37,Tracker[Bet Type Drill Down],BB$1))/COUNTIFS(Tracker[Money Discrepency],"&gt;="&amp;$AT36,Tracker[Money Discrepency],"&lt;"&amp;$AT37,Tracker[Bet Type Drill Down],BB$1),2)&gt;0.05,"X",IF(ROUND((SUMIFS(Tracker[Net],Tracker[Money Discrepency],"&gt;="&amp;$AT36,Tracker[Money Discrepency],"&lt;"&amp;$AT37,Tracker[Bet Type Drill Down],BB$1))/COUNTIFS(Tracker[Money Discrepency],"&gt;="&amp;$AT36,Tracker[Money Discrepency],"&lt;"&amp;$AT37,Tracker[Bet Type Drill Down],BB$1),2)&lt;-0.15,"O","")),"")</f>
        <v/>
      </c>
      <c r="BC36" s="24" t="str">
        <f>IFERROR(IF(ROUND((SUMIFS(Tracker[Net],Tracker[Money Discrepency],"&gt;="&amp;$AT36,Tracker[Money Discrepency],"&lt;"&amp;$AT37,Tracker[Bet Type Drill Down],BC$1))/COUNTIFS(Tracker[Money Discrepency],"&gt;="&amp;$AT36,Tracker[Money Discrepency],"&lt;"&amp;$AT37,Tracker[Bet Type Drill Down],BC$1),2)&gt;0.05,"X",IF(ROUND((SUMIFS(Tracker[Net],Tracker[Money Discrepency],"&gt;="&amp;$AT36,Tracker[Money Discrepency],"&lt;"&amp;$AT37,Tracker[Bet Type Drill Down],BC$1))/COUNTIFS(Tracker[Money Discrepency],"&gt;="&amp;$AT36,Tracker[Money Discrepency],"&lt;"&amp;$AT37,Tracker[Bet Type Drill Down],BC$1),2)&lt;-0.15,"O","")),"")</f>
        <v/>
      </c>
      <c r="BD36" s="24" t="str">
        <f>IFERROR(IF(ROUND((SUMIFS(Tracker[Net],Tracker[Money Discrepency],"&gt;="&amp;$AT36,Tracker[Money Discrepency],"&lt;"&amp;$AT37,Tracker[Bet Type Drill Down],BD$1))/COUNTIFS(Tracker[Money Discrepency],"&gt;="&amp;$AT36,Tracker[Money Discrepency],"&lt;"&amp;$AT37,Tracker[Bet Type Drill Down],BD$1),2)&gt;0.05,"X",IF(ROUND((SUMIFS(Tracker[Net],Tracker[Money Discrepency],"&gt;="&amp;$AT36,Tracker[Money Discrepency],"&lt;"&amp;$AT37,Tracker[Bet Type Drill Down],BD$1))/COUNTIFS(Tracker[Money Discrepency],"&gt;="&amp;$AT36,Tracker[Money Discrepency],"&lt;"&amp;$AT37,Tracker[Bet Type Drill Down],BD$1),2)&lt;-0.15,"O","")),"")</f>
        <v/>
      </c>
      <c r="BE36" s="24" t="str">
        <f>IFERROR(IF(ROUND((SUMIFS(Tracker[Net],Tracker[Money Discrepency],"&gt;="&amp;$AT36,Tracker[Money Discrepency],"&lt;"&amp;$AT37,Tracker[Bet Type Drill Down],BE$1))/COUNTIFS(Tracker[Money Discrepency],"&gt;="&amp;$AT36,Tracker[Money Discrepency],"&lt;"&amp;$AT37,Tracker[Bet Type Drill Down],BE$1),2)&gt;0.05,"X",IF(ROUND((SUMIFS(Tracker[Net],Tracker[Money Discrepency],"&gt;="&amp;$AT36,Tracker[Money Discrepency],"&lt;"&amp;$AT37,Tracker[Bet Type Drill Down],BE$1))/COUNTIFS(Tracker[Money Discrepency],"&gt;="&amp;$AT36,Tracker[Money Discrepency],"&lt;"&amp;$AT37,Tracker[Bet Type Drill Down],BE$1),2)&lt;-0.15,"O","")),"")</f>
        <v/>
      </c>
    </row>
    <row r="37" spans="1:57" x14ac:dyDescent="0.25">
      <c r="A37" s="36">
        <f t="shared" si="9"/>
        <v>4</v>
      </c>
      <c r="B37" s="25">
        <v>43809</v>
      </c>
      <c r="C37" s="25" t="str">
        <f t="shared" si="31"/>
        <v>NBA</v>
      </c>
      <c r="D37" s="26" t="s">
        <v>849</v>
      </c>
      <c r="E37" s="28" t="s">
        <v>794</v>
      </c>
      <c r="F37" s="67">
        <v>0.65454890209817895</v>
      </c>
      <c r="G37" s="29">
        <v>-110</v>
      </c>
      <c r="H37" s="32" t="s">
        <v>56</v>
      </c>
      <c r="I3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7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37" s="32" t="str">
        <f>MID(Tracker[[#This Row],[Game]],SEARCH("@",Tracker[[#This Row],[Game]])+2,LEN(Tracker[[#This Row],[Game]]))</f>
        <v>Hornets</v>
      </c>
      <c r="L37" s="32" t="str">
        <f>LEFT(Tracker[[#This Row],[Game]],SEARCH("@",Tracker[[#This Row],[Game]])-2)</f>
        <v>Wizards</v>
      </c>
      <c r="M3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37" s="123"/>
      <c r="O37" s="147"/>
      <c r="P37" s="147"/>
      <c r="Q37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7" s="147" t="e">
        <f>IF(AND(Tracker[[#This Row],[Money %]]&lt;&gt;"",Tracker[[#This Row],[Bet %]]&lt;&gt;""),Tracker[[#This Row],[Money %]]-Tracker[[#This Row],[Bet %]],NA())</f>
        <v>#N/A</v>
      </c>
      <c r="S37" s="109"/>
      <c r="T37" s="109"/>
      <c r="U37" s="56">
        <f>IFERROR(INDEX($A$4:$B10033,MATCH(ROW()-3,$A$4:$A$4:$A1033,0),2),0)</f>
        <v>43866</v>
      </c>
      <c r="V37" s="33" t="str">
        <f>COUNTIFS(Tracker[Date],U37,Tracker[Result],"W")&amp;"-"&amp;COUNTIFS(Tracker[Date],U37,Tracker[Result],"L")&amp;IF(COUNTIFS(Tracker[Date],U37,Tracker[Result],"Push")&gt;0,"-"&amp;COUNTIFS(Tracker[Date],U37,Tracker[Result],"Push"),"")</f>
        <v>7-8-1</v>
      </c>
      <c r="W37" s="34">
        <f>IFERROR(COUNTIFS(Tracker[Date],U37,Tracker[Result],"W")/(COUNTIFS(Tracker[Date],U37,Tracker[Result],"W")+COUNTIFS(Tracker[Date],U37,Tracker[Result],"L")),"")</f>
        <v>0.46666666666666667</v>
      </c>
      <c r="X37" s="61">
        <f>SUMIF(Tracker[Date],U37,Tracker[Net])</f>
        <v>-1.6363636363636362</v>
      </c>
      <c r="Y37" s="35" t="str">
        <f>IFERROR("("&amp;ROUND(SUMIF(Tracker[Date],U37,Tracker[Net])/COUNTIF(Tracker[Date],U37),2)*100&amp;"%)","")</f>
        <v>(-10%)</v>
      </c>
      <c r="Z37" s="78">
        <f t="shared" si="29"/>
        <v>1.2500000000000007</v>
      </c>
      <c r="AT37" s="153">
        <f t="shared" si="1"/>
        <v>0.75000000000000056</v>
      </c>
      <c r="AU37" s="39" t="str">
        <f t="shared" si="2"/>
        <v>75  to  80%</v>
      </c>
      <c r="AV37" t="str">
        <f>IFERROR(COUNTIFS(Tracker[Money Discrepency],"&gt;="&amp;AT37,Tracker[Money Discrepency],"&lt;"&amp;AT38,Tracker[Result],"W")&amp;"-"&amp;COUNTIFS(Tracker[Money Discrepency],"&gt;="&amp;AT37,Tracker[Money Discrepency],"&lt;"&amp;AT38,Tracker[Result],"L")&amp;"-"&amp;COUNTIFS(Tracker[Money Discrepency],"&gt;="&amp;AT37,Tracker[Money Discrepency],"&lt;"&amp;AT38,Tracker[Result],"Push")&amp;" ("&amp;ROUND(COUNTIFS(Tracker[Money Discrepency],"&gt;="&amp;AT37,Tracker[Money Discrepency],"&lt;"&amp;AT38,Tracker[Result],"W")/(COUNTIFS(Tracker[Money Discrepency],"&gt;="&amp;AT37,Tracker[Money Discrepency],"&lt;"&amp;AT38,Tracker[Result],"L")+COUNTIFS(Tracker[Money Discrepency],"&gt;="&amp;AT37,Tracker[Money Discrepency],"&lt;"&amp;AT38,Tracker[Result],"W"))*100,2)&amp;"%)","No Bets")</f>
        <v>No Bets</v>
      </c>
      <c r="AW37">
        <f>SUMIFS(Tracker[Net],Tracker[Money Discrepency],"&gt;="&amp;AT37,Tracker[Money Discrepency],"&lt;"&amp;AT38)</f>
        <v>0</v>
      </c>
      <c r="AX37" s="24" t="str">
        <f>IFERROR(IF(ROUND((SUMIFS(Tracker[Net],Tracker[Money Discrepency],"&gt;="&amp;$AT37,Tracker[Money Discrepency],"&lt;"&amp;$AT38,Tracker[Bet Type],AX$1))/COUNTIFS(Tracker[Money Discrepency],"&gt;="&amp;$AT37,Tracker[Money Discrepency],"&lt;"&amp;$AT38,Tracker[Bet Type],AX$1),2)&gt;0.05,"X",IF(ROUND((SUMIFS(Tracker[Net],Tracker[Money Discrepency],"&gt;="&amp;$AT37,Tracker[Money Discrepency],"&lt;"&amp;$AT38,Tracker[Bet Type],AX$1))/COUNTIFS(Tracker[Money Discrepency],"&gt;="&amp;$AT37,Tracker[Money Discrepency],"&lt;"&amp;$AT38,Tracker[Bet Type],AX$1),2)&lt;-0.15,"O","")),"")</f>
        <v/>
      </c>
      <c r="AY37" s="24" t="str">
        <f>IFERROR(IF(ROUND((SUMIFS(Tracker[Net],Tracker[Money Discrepency],"&gt;="&amp;$AT37,Tracker[Money Discrepency],"&lt;"&amp;$AT38,Tracker[Bet Type],AY$1))/COUNTIFS(Tracker[Money Discrepency],"&gt;="&amp;$AT37,Tracker[Money Discrepency],"&lt;"&amp;$AT38,Tracker[Bet Type],AY$1),2)&gt;0.05,"X",IF(ROUND((SUMIFS(Tracker[Net],Tracker[Money Discrepency],"&gt;="&amp;$AT37,Tracker[Money Discrepency],"&lt;"&amp;$AT38,Tracker[Bet Type],AY$1))/COUNTIFS(Tracker[Money Discrepency],"&gt;="&amp;$AT37,Tracker[Money Discrepency],"&lt;"&amp;$AT38,Tracker[Bet Type],AY$1),2)&lt;-0.15,"O","")),"")</f>
        <v/>
      </c>
      <c r="AZ37" s="24" t="str">
        <f>IFERROR(IF(ROUND((SUMIFS(Tracker[Net],Tracker[Money Discrepency],"&gt;="&amp;$AT37,Tracker[Money Discrepency],"&lt;"&amp;$AT38,Tracker[Bet Type],AZ$1))/COUNTIFS(Tracker[Money Discrepency],"&gt;="&amp;$AT37,Tracker[Money Discrepency],"&lt;"&amp;$AT38,Tracker[Bet Type],AZ$1),2)&gt;0.05,"X",IF(ROUND((SUMIFS(Tracker[Net],Tracker[Money Discrepency],"&gt;="&amp;$AT37,Tracker[Money Discrepency],"&lt;"&amp;$AT38,Tracker[Bet Type],AZ$1))/COUNTIFS(Tracker[Money Discrepency],"&gt;="&amp;$AT37,Tracker[Money Discrepency],"&lt;"&amp;$AT38,Tracker[Bet Type],AZ$1),2)&lt;-0.15,"O","")),"")</f>
        <v/>
      </c>
      <c r="BA37" s="24" t="str">
        <f>IFERROR(IF(ROUND((SUMIFS(Tracker[Net],Tracker[Money Discrepency],"&gt;="&amp;$AT37,Tracker[Money Discrepency],"&lt;"&amp;$AT38,Tracker[Bet Type],BA$1))/COUNTIFS(Tracker[Money Discrepency],"&gt;="&amp;$AT37,Tracker[Money Discrepency],"&lt;"&amp;$AT38,Tracker[Bet Type],BA$1),2)&gt;0.05,"X",IF(ROUND((SUMIFS(Tracker[Net],Tracker[Money Discrepency],"&gt;="&amp;$AT37,Tracker[Money Discrepency],"&lt;"&amp;$AT38,Tracker[Bet Type],BA$1))/COUNTIFS(Tracker[Money Discrepency],"&gt;="&amp;$AT37,Tracker[Money Discrepency],"&lt;"&amp;$AT38,Tracker[Bet Type],BA$1),2)&lt;-0.15,"O","")),"")</f>
        <v/>
      </c>
      <c r="BB37" s="24" t="str">
        <f>IFERROR(IF(ROUND((SUMIFS(Tracker[Net],Tracker[Money Discrepency],"&gt;="&amp;$AT37,Tracker[Money Discrepency],"&lt;"&amp;$AT38,Tracker[Bet Type Drill Down],BB$1))/COUNTIFS(Tracker[Money Discrepency],"&gt;="&amp;$AT37,Tracker[Money Discrepency],"&lt;"&amp;$AT38,Tracker[Bet Type Drill Down],BB$1),2)&gt;0.05,"X",IF(ROUND((SUMIFS(Tracker[Net],Tracker[Money Discrepency],"&gt;="&amp;$AT37,Tracker[Money Discrepency],"&lt;"&amp;$AT38,Tracker[Bet Type Drill Down],BB$1))/COUNTIFS(Tracker[Money Discrepency],"&gt;="&amp;$AT37,Tracker[Money Discrepency],"&lt;"&amp;$AT38,Tracker[Bet Type Drill Down],BB$1),2)&lt;-0.15,"O","")),"")</f>
        <v/>
      </c>
      <c r="BC37" s="24" t="str">
        <f>IFERROR(IF(ROUND((SUMIFS(Tracker[Net],Tracker[Money Discrepency],"&gt;="&amp;$AT37,Tracker[Money Discrepency],"&lt;"&amp;$AT38,Tracker[Bet Type Drill Down],BC$1))/COUNTIFS(Tracker[Money Discrepency],"&gt;="&amp;$AT37,Tracker[Money Discrepency],"&lt;"&amp;$AT38,Tracker[Bet Type Drill Down],BC$1),2)&gt;0.05,"X",IF(ROUND((SUMIFS(Tracker[Net],Tracker[Money Discrepency],"&gt;="&amp;$AT37,Tracker[Money Discrepency],"&lt;"&amp;$AT38,Tracker[Bet Type Drill Down],BC$1))/COUNTIFS(Tracker[Money Discrepency],"&gt;="&amp;$AT37,Tracker[Money Discrepency],"&lt;"&amp;$AT38,Tracker[Bet Type Drill Down],BC$1),2)&lt;-0.15,"O","")),"")</f>
        <v/>
      </c>
      <c r="BD37" s="24" t="str">
        <f>IFERROR(IF(ROUND((SUMIFS(Tracker[Net],Tracker[Money Discrepency],"&gt;="&amp;$AT37,Tracker[Money Discrepency],"&lt;"&amp;$AT38,Tracker[Bet Type Drill Down],BD$1))/COUNTIFS(Tracker[Money Discrepency],"&gt;="&amp;$AT37,Tracker[Money Discrepency],"&lt;"&amp;$AT38,Tracker[Bet Type Drill Down],BD$1),2)&gt;0.05,"X",IF(ROUND((SUMIFS(Tracker[Net],Tracker[Money Discrepency],"&gt;="&amp;$AT37,Tracker[Money Discrepency],"&lt;"&amp;$AT38,Tracker[Bet Type Drill Down],BD$1))/COUNTIFS(Tracker[Money Discrepency],"&gt;="&amp;$AT37,Tracker[Money Discrepency],"&lt;"&amp;$AT38,Tracker[Bet Type Drill Down],BD$1),2)&lt;-0.15,"O","")),"")</f>
        <v/>
      </c>
      <c r="BE37" s="24" t="str">
        <f>IFERROR(IF(ROUND((SUMIFS(Tracker[Net],Tracker[Money Discrepency],"&gt;="&amp;$AT37,Tracker[Money Discrepency],"&lt;"&amp;$AT38,Tracker[Bet Type Drill Down],BE$1))/COUNTIFS(Tracker[Money Discrepency],"&gt;="&amp;$AT37,Tracker[Money Discrepency],"&lt;"&amp;$AT38,Tracker[Bet Type Drill Down],BE$1),2)&gt;0.05,"X",IF(ROUND((SUMIFS(Tracker[Net],Tracker[Money Discrepency],"&gt;="&amp;$AT37,Tracker[Money Discrepency],"&lt;"&amp;$AT38,Tracker[Bet Type Drill Down],BE$1))/COUNTIFS(Tracker[Money Discrepency],"&gt;="&amp;$AT37,Tracker[Money Discrepency],"&lt;"&amp;$AT38,Tracker[Bet Type Drill Down],BE$1),2)&lt;-0.15,"O","")),"")</f>
        <v/>
      </c>
    </row>
    <row r="38" spans="1:57" x14ac:dyDescent="0.25">
      <c r="A38" s="36">
        <f t="shared" si="9"/>
        <v>4</v>
      </c>
      <c r="B38" s="25">
        <v>43809</v>
      </c>
      <c r="C38" s="25" t="str">
        <f t="shared" si="31"/>
        <v>NBA</v>
      </c>
      <c r="D38" s="26" t="s">
        <v>850</v>
      </c>
      <c r="E38" s="28" t="s">
        <v>851</v>
      </c>
      <c r="F38" s="67">
        <v>0.5639922470212908</v>
      </c>
      <c r="G38" s="29">
        <v>-110</v>
      </c>
      <c r="H38" s="32" t="s">
        <v>56</v>
      </c>
      <c r="I3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8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38" s="32" t="str">
        <f>MID(Tracker[[#This Row],[Game]],SEARCH("@",Tracker[[#This Row],[Game]])+2,LEN(Tracker[[#This Row],[Game]]))</f>
        <v>76ers</v>
      </c>
      <c r="L38" s="32" t="str">
        <f>LEFT(Tracker[[#This Row],[Game]],SEARCH("@",Tracker[[#This Row],[Game]])-2)</f>
        <v>Nuggets</v>
      </c>
      <c r="M3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38" s="123"/>
      <c r="O38" s="147"/>
      <c r="P38" s="147"/>
      <c r="Q38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8" s="147" t="e">
        <f>IF(AND(Tracker[[#This Row],[Money %]]&lt;&gt;"",Tracker[[#This Row],[Bet %]]&lt;&gt;""),Tracker[[#This Row],[Money %]]-Tracker[[#This Row],[Bet %]],NA())</f>
        <v>#N/A</v>
      </c>
      <c r="S38" s="109"/>
      <c r="T38" s="109"/>
      <c r="U38" s="56">
        <f>IFERROR(INDEX($A$4:$B10034,MATCH(ROW()-3,$A$4:$A$4:$A1034,0),2),0)</f>
        <v>43867</v>
      </c>
      <c r="V38" s="33" t="str">
        <f>COUNTIFS(Tracker[Date],U38,Tracker[Result],"W")&amp;"-"&amp;COUNTIFS(Tracker[Date],U38,Tracker[Result],"L")&amp;IF(COUNTIFS(Tracker[Date],U38,Tracker[Result],"Push")&gt;0,"-"&amp;COUNTIFS(Tracker[Date],U38,Tracker[Result],"Push"),"")</f>
        <v>5-3</v>
      </c>
      <c r="W38" s="34">
        <f>IFERROR(COUNTIFS(Tracker[Date],U38,Tracker[Result],"W")/(COUNTIFS(Tracker[Date],U38,Tracker[Result],"W")+COUNTIFS(Tracker[Date],U38,Tracker[Result],"L")),"")</f>
        <v>0.625</v>
      </c>
      <c r="X38" s="61">
        <f>SUMIF(Tracker[Date],U38,Tracker[Net])</f>
        <v>1.5454545454545454</v>
      </c>
      <c r="Y38" s="35" t="str">
        <f>IFERROR("("&amp;ROUND(SUMIF(Tracker[Date],U38,Tracker[Net])/COUNTIF(Tracker[Date],U38),2)*100&amp;"%)","")</f>
        <v>(19%)</v>
      </c>
      <c r="Z38" s="78">
        <f t="shared" si="29"/>
        <v>1.3000000000000007</v>
      </c>
      <c r="AT38" s="153">
        <f t="shared" si="1"/>
        <v>0.8000000000000006</v>
      </c>
      <c r="AU38" s="39" t="str">
        <f t="shared" si="2"/>
        <v>80  to  85%</v>
      </c>
      <c r="AV38" t="str">
        <f>IFERROR(COUNTIFS(Tracker[Money Discrepency],"&gt;="&amp;AT38,Tracker[Money Discrepency],"&lt;"&amp;AT39,Tracker[Result],"W")&amp;"-"&amp;COUNTIFS(Tracker[Money Discrepency],"&gt;="&amp;AT38,Tracker[Money Discrepency],"&lt;"&amp;AT39,Tracker[Result],"L")&amp;"-"&amp;COUNTIFS(Tracker[Money Discrepency],"&gt;="&amp;AT38,Tracker[Money Discrepency],"&lt;"&amp;AT39,Tracker[Result],"Push")&amp;" ("&amp;ROUND(COUNTIFS(Tracker[Money Discrepency],"&gt;="&amp;AT38,Tracker[Money Discrepency],"&lt;"&amp;AT39,Tracker[Result],"W")/(COUNTIFS(Tracker[Money Discrepency],"&gt;="&amp;AT38,Tracker[Money Discrepency],"&lt;"&amp;AT39,Tracker[Result],"L")+COUNTIFS(Tracker[Money Discrepency],"&gt;="&amp;AT38,Tracker[Money Discrepency],"&lt;"&amp;AT39,Tracker[Result],"W"))*100,2)&amp;"%)","No Bets")</f>
        <v>No Bets</v>
      </c>
      <c r="AW38">
        <f>SUMIFS(Tracker[Net],Tracker[Money Discrepency],"&gt;="&amp;AT38,Tracker[Money Discrepency],"&lt;"&amp;AT39)</f>
        <v>0</v>
      </c>
      <c r="AX38" s="24" t="str">
        <f>IFERROR(IF(ROUND((SUMIFS(Tracker[Net],Tracker[Money Discrepency],"&gt;="&amp;$AT38,Tracker[Money Discrepency],"&lt;"&amp;$AT39,Tracker[Bet Type],AX$1))/COUNTIFS(Tracker[Money Discrepency],"&gt;="&amp;$AT38,Tracker[Money Discrepency],"&lt;"&amp;$AT39,Tracker[Bet Type],AX$1),2)&gt;0.05,"X",IF(ROUND((SUMIFS(Tracker[Net],Tracker[Money Discrepency],"&gt;="&amp;$AT38,Tracker[Money Discrepency],"&lt;"&amp;$AT39,Tracker[Bet Type],AX$1))/COUNTIFS(Tracker[Money Discrepency],"&gt;="&amp;$AT38,Tracker[Money Discrepency],"&lt;"&amp;$AT39,Tracker[Bet Type],AX$1),2)&lt;-0.15,"O","")),"")</f>
        <v/>
      </c>
      <c r="AY38" s="24" t="str">
        <f>IFERROR(IF(ROUND((SUMIFS(Tracker[Net],Tracker[Money Discrepency],"&gt;="&amp;$AT38,Tracker[Money Discrepency],"&lt;"&amp;$AT39,Tracker[Bet Type],AY$1))/COUNTIFS(Tracker[Money Discrepency],"&gt;="&amp;$AT38,Tracker[Money Discrepency],"&lt;"&amp;$AT39,Tracker[Bet Type],AY$1),2)&gt;0.05,"X",IF(ROUND((SUMIFS(Tracker[Net],Tracker[Money Discrepency],"&gt;="&amp;$AT38,Tracker[Money Discrepency],"&lt;"&amp;$AT39,Tracker[Bet Type],AY$1))/COUNTIFS(Tracker[Money Discrepency],"&gt;="&amp;$AT38,Tracker[Money Discrepency],"&lt;"&amp;$AT39,Tracker[Bet Type],AY$1),2)&lt;-0.15,"O","")),"")</f>
        <v/>
      </c>
      <c r="AZ38" s="24" t="str">
        <f>IFERROR(IF(ROUND((SUMIFS(Tracker[Net],Tracker[Money Discrepency],"&gt;="&amp;$AT38,Tracker[Money Discrepency],"&lt;"&amp;$AT39,Tracker[Bet Type],AZ$1))/COUNTIFS(Tracker[Money Discrepency],"&gt;="&amp;$AT38,Tracker[Money Discrepency],"&lt;"&amp;$AT39,Tracker[Bet Type],AZ$1),2)&gt;0.05,"X",IF(ROUND((SUMIFS(Tracker[Net],Tracker[Money Discrepency],"&gt;="&amp;$AT38,Tracker[Money Discrepency],"&lt;"&amp;$AT39,Tracker[Bet Type],AZ$1))/COUNTIFS(Tracker[Money Discrepency],"&gt;="&amp;$AT38,Tracker[Money Discrepency],"&lt;"&amp;$AT39,Tracker[Bet Type],AZ$1),2)&lt;-0.15,"O","")),"")</f>
        <v/>
      </c>
      <c r="BA38" s="24" t="str">
        <f>IFERROR(IF(ROUND((SUMIFS(Tracker[Net],Tracker[Money Discrepency],"&gt;="&amp;$AT38,Tracker[Money Discrepency],"&lt;"&amp;$AT39,Tracker[Bet Type],BA$1))/COUNTIFS(Tracker[Money Discrepency],"&gt;="&amp;$AT38,Tracker[Money Discrepency],"&lt;"&amp;$AT39,Tracker[Bet Type],BA$1),2)&gt;0.05,"X",IF(ROUND((SUMIFS(Tracker[Net],Tracker[Money Discrepency],"&gt;="&amp;$AT38,Tracker[Money Discrepency],"&lt;"&amp;$AT39,Tracker[Bet Type],BA$1))/COUNTIFS(Tracker[Money Discrepency],"&gt;="&amp;$AT38,Tracker[Money Discrepency],"&lt;"&amp;$AT39,Tracker[Bet Type],BA$1),2)&lt;-0.15,"O","")),"")</f>
        <v/>
      </c>
      <c r="BB38" s="24" t="str">
        <f>IFERROR(IF(ROUND((SUMIFS(Tracker[Net],Tracker[Money Discrepency],"&gt;="&amp;$AT38,Tracker[Money Discrepency],"&lt;"&amp;$AT39,Tracker[Bet Type Drill Down],BB$1))/COUNTIFS(Tracker[Money Discrepency],"&gt;="&amp;$AT38,Tracker[Money Discrepency],"&lt;"&amp;$AT39,Tracker[Bet Type Drill Down],BB$1),2)&gt;0.05,"X",IF(ROUND((SUMIFS(Tracker[Net],Tracker[Money Discrepency],"&gt;="&amp;$AT38,Tracker[Money Discrepency],"&lt;"&amp;$AT39,Tracker[Bet Type Drill Down],BB$1))/COUNTIFS(Tracker[Money Discrepency],"&gt;="&amp;$AT38,Tracker[Money Discrepency],"&lt;"&amp;$AT39,Tracker[Bet Type Drill Down],BB$1),2)&lt;-0.15,"O","")),"")</f>
        <v/>
      </c>
      <c r="BC38" s="24" t="str">
        <f>IFERROR(IF(ROUND((SUMIFS(Tracker[Net],Tracker[Money Discrepency],"&gt;="&amp;$AT38,Tracker[Money Discrepency],"&lt;"&amp;$AT39,Tracker[Bet Type Drill Down],BC$1))/COUNTIFS(Tracker[Money Discrepency],"&gt;="&amp;$AT38,Tracker[Money Discrepency],"&lt;"&amp;$AT39,Tracker[Bet Type Drill Down],BC$1),2)&gt;0.05,"X",IF(ROUND((SUMIFS(Tracker[Net],Tracker[Money Discrepency],"&gt;="&amp;$AT38,Tracker[Money Discrepency],"&lt;"&amp;$AT39,Tracker[Bet Type Drill Down],BC$1))/COUNTIFS(Tracker[Money Discrepency],"&gt;="&amp;$AT38,Tracker[Money Discrepency],"&lt;"&amp;$AT39,Tracker[Bet Type Drill Down],BC$1),2)&lt;-0.15,"O","")),"")</f>
        <v/>
      </c>
      <c r="BD38" s="24" t="str">
        <f>IFERROR(IF(ROUND((SUMIFS(Tracker[Net],Tracker[Money Discrepency],"&gt;="&amp;$AT38,Tracker[Money Discrepency],"&lt;"&amp;$AT39,Tracker[Bet Type Drill Down],BD$1))/COUNTIFS(Tracker[Money Discrepency],"&gt;="&amp;$AT38,Tracker[Money Discrepency],"&lt;"&amp;$AT39,Tracker[Bet Type Drill Down],BD$1),2)&gt;0.05,"X",IF(ROUND((SUMIFS(Tracker[Net],Tracker[Money Discrepency],"&gt;="&amp;$AT38,Tracker[Money Discrepency],"&lt;"&amp;$AT39,Tracker[Bet Type Drill Down],BD$1))/COUNTIFS(Tracker[Money Discrepency],"&gt;="&amp;$AT38,Tracker[Money Discrepency],"&lt;"&amp;$AT39,Tracker[Bet Type Drill Down],BD$1),2)&lt;-0.15,"O","")),"")</f>
        <v/>
      </c>
      <c r="BE38" s="24" t="str">
        <f>IFERROR(IF(ROUND((SUMIFS(Tracker[Net],Tracker[Money Discrepency],"&gt;="&amp;$AT38,Tracker[Money Discrepency],"&lt;"&amp;$AT39,Tracker[Bet Type Drill Down],BE$1))/COUNTIFS(Tracker[Money Discrepency],"&gt;="&amp;$AT38,Tracker[Money Discrepency],"&lt;"&amp;$AT39,Tracker[Bet Type Drill Down],BE$1),2)&gt;0.05,"X",IF(ROUND((SUMIFS(Tracker[Net],Tracker[Money Discrepency],"&gt;="&amp;$AT38,Tracker[Money Discrepency],"&lt;"&amp;$AT39,Tracker[Bet Type Drill Down],BE$1))/COUNTIFS(Tracker[Money Discrepency],"&gt;="&amp;$AT38,Tracker[Money Discrepency],"&lt;"&amp;$AT39,Tracker[Bet Type Drill Down],BE$1),2)&lt;-0.15,"O","")),"")</f>
        <v/>
      </c>
    </row>
    <row r="39" spans="1:57" x14ac:dyDescent="0.25">
      <c r="A39" s="36">
        <f t="shared" si="9"/>
        <v>4</v>
      </c>
      <c r="B39" s="25">
        <v>43809</v>
      </c>
      <c r="C39" s="25" t="str">
        <f t="shared" si="31"/>
        <v>NBA</v>
      </c>
      <c r="D39" s="26" t="s">
        <v>850</v>
      </c>
      <c r="E39" s="28" t="s">
        <v>852</v>
      </c>
      <c r="F39" s="67">
        <v>0.63805803772731462</v>
      </c>
      <c r="G39" s="29">
        <v>-110</v>
      </c>
      <c r="H39" s="32" t="s">
        <v>56</v>
      </c>
      <c r="I3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9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39" s="32" t="str">
        <f>MID(Tracker[[#This Row],[Game]],SEARCH("@",Tracker[[#This Row],[Game]])+2,LEN(Tracker[[#This Row],[Game]]))</f>
        <v>76ers</v>
      </c>
      <c r="L39" s="32" t="str">
        <f>LEFT(Tracker[[#This Row],[Game]],SEARCH("@",Tracker[[#This Row],[Game]])-2)</f>
        <v>Nuggets</v>
      </c>
      <c r="M3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39" s="123"/>
      <c r="O39" s="147"/>
      <c r="P39" s="147"/>
      <c r="Q39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9" s="147" t="e">
        <f>IF(AND(Tracker[[#This Row],[Money %]]&lt;&gt;"",Tracker[[#This Row],[Bet %]]&lt;&gt;""),Tracker[[#This Row],[Money %]]-Tracker[[#This Row],[Bet %]],NA())</f>
        <v>#N/A</v>
      </c>
      <c r="S39" s="109"/>
      <c r="T39" s="109"/>
      <c r="U39" s="56">
        <f>IFERROR(INDEX($A$4:$B10035,MATCH(ROW()-3,$A$4:$A$4:$A1035,0),2),0)</f>
        <v>43871</v>
      </c>
      <c r="V39" s="33" t="str">
        <f>COUNTIFS(Tracker[Date],U39,Tracker[Result],"W")&amp;"-"&amp;COUNTIFS(Tracker[Date],U39,Tracker[Result],"L")&amp;IF(COUNTIFS(Tracker[Date],U39,Tracker[Result],"Push")&gt;0,"-"&amp;COUNTIFS(Tracker[Date],U39,Tracker[Result],"Push"),"")</f>
        <v>3-4</v>
      </c>
      <c r="W39" s="34">
        <f>IFERROR(COUNTIFS(Tracker[Date],U39,Tracker[Result],"W")/(COUNTIFS(Tracker[Date],U39,Tracker[Result],"W")+COUNTIFS(Tracker[Date],U39,Tracker[Result],"L")),"")</f>
        <v>0.42857142857142855</v>
      </c>
      <c r="X39" s="61">
        <f>SUMIF(Tracker[Date],U39,Tracker[Net])</f>
        <v>-1.2727272727272725</v>
      </c>
      <c r="Y39" s="35" t="str">
        <f>IFERROR("("&amp;ROUND(SUMIF(Tracker[Date],U39,Tracker[Net])/COUNTIF(Tracker[Date],U39),2)*100&amp;"%)","")</f>
        <v>(-18%)</v>
      </c>
      <c r="Z39" s="78">
        <f t="shared" si="29"/>
        <v>1.3500000000000008</v>
      </c>
      <c r="AA39" t="s">
        <v>1564</v>
      </c>
      <c r="AT39" s="153">
        <f t="shared" si="1"/>
        <v>0.85000000000000064</v>
      </c>
      <c r="AU39" s="39" t="str">
        <f t="shared" si="2"/>
        <v>85  to  90%</v>
      </c>
      <c r="AV39" t="str">
        <f>IFERROR(COUNTIFS(Tracker[Money Discrepency],"&gt;="&amp;AT39,Tracker[Money Discrepency],"&lt;"&amp;AT40,Tracker[Result],"W")&amp;"-"&amp;COUNTIFS(Tracker[Money Discrepency],"&gt;="&amp;AT39,Tracker[Money Discrepency],"&lt;"&amp;AT40,Tracker[Result],"L")&amp;"-"&amp;COUNTIFS(Tracker[Money Discrepency],"&gt;="&amp;AT39,Tracker[Money Discrepency],"&lt;"&amp;AT40,Tracker[Result],"Push")&amp;" ("&amp;ROUND(COUNTIFS(Tracker[Money Discrepency],"&gt;="&amp;AT39,Tracker[Money Discrepency],"&lt;"&amp;AT40,Tracker[Result],"W")/(COUNTIFS(Tracker[Money Discrepency],"&gt;="&amp;AT39,Tracker[Money Discrepency],"&lt;"&amp;AT40,Tracker[Result],"L")+COUNTIFS(Tracker[Money Discrepency],"&gt;="&amp;AT39,Tracker[Money Discrepency],"&lt;"&amp;AT40,Tracker[Result],"W"))*100,2)&amp;"%)","No Bets")</f>
        <v>No Bets</v>
      </c>
      <c r="AW39">
        <f>SUMIFS(Tracker[Net],Tracker[Money Discrepency],"&gt;="&amp;AT39,Tracker[Money Discrepency],"&lt;"&amp;AT40)</f>
        <v>0</v>
      </c>
      <c r="AX39" s="24" t="str">
        <f>IFERROR(IF(ROUND((SUMIFS(Tracker[Net],Tracker[Money Discrepency],"&gt;="&amp;$AT39,Tracker[Money Discrepency],"&lt;"&amp;$AT40,Tracker[Bet Type],AX$1))/COUNTIFS(Tracker[Money Discrepency],"&gt;="&amp;$AT39,Tracker[Money Discrepency],"&lt;"&amp;$AT40,Tracker[Bet Type],AX$1),2)&gt;0.05,"X",IF(ROUND((SUMIFS(Tracker[Net],Tracker[Money Discrepency],"&gt;="&amp;$AT39,Tracker[Money Discrepency],"&lt;"&amp;$AT40,Tracker[Bet Type],AX$1))/COUNTIFS(Tracker[Money Discrepency],"&gt;="&amp;$AT39,Tracker[Money Discrepency],"&lt;"&amp;$AT40,Tracker[Bet Type],AX$1),2)&lt;-0.15,"O","")),"")</f>
        <v/>
      </c>
      <c r="AY39" s="24" t="str">
        <f>IFERROR(IF(ROUND((SUMIFS(Tracker[Net],Tracker[Money Discrepency],"&gt;="&amp;$AT39,Tracker[Money Discrepency],"&lt;"&amp;$AT40,Tracker[Bet Type],AY$1))/COUNTIFS(Tracker[Money Discrepency],"&gt;="&amp;$AT39,Tracker[Money Discrepency],"&lt;"&amp;$AT40,Tracker[Bet Type],AY$1),2)&gt;0.05,"X",IF(ROUND((SUMIFS(Tracker[Net],Tracker[Money Discrepency],"&gt;="&amp;$AT39,Tracker[Money Discrepency],"&lt;"&amp;$AT40,Tracker[Bet Type],AY$1))/COUNTIFS(Tracker[Money Discrepency],"&gt;="&amp;$AT39,Tracker[Money Discrepency],"&lt;"&amp;$AT40,Tracker[Bet Type],AY$1),2)&lt;-0.15,"O","")),"")</f>
        <v/>
      </c>
      <c r="AZ39" s="24" t="str">
        <f>IFERROR(IF(ROUND((SUMIFS(Tracker[Net],Tracker[Money Discrepency],"&gt;="&amp;$AT39,Tracker[Money Discrepency],"&lt;"&amp;$AT40,Tracker[Bet Type],AZ$1))/COUNTIFS(Tracker[Money Discrepency],"&gt;="&amp;$AT39,Tracker[Money Discrepency],"&lt;"&amp;$AT40,Tracker[Bet Type],AZ$1),2)&gt;0.05,"X",IF(ROUND((SUMIFS(Tracker[Net],Tracker[Money Discrepency],"&gt;="&amp;$AT39,Tracker[Money Discrepency],"&lt;"&amp;$AT40,Tracker[Bet Type],AZ$1))/COUNTIFS(Tracker[Money Discrepency],"&gt;="&amp;$AT39,Tracker[Money Discrepency],"&lt;"&amp;$AT40,Tracker[Bet Type],AZ$1),2)&lt;-0.15,"O","")),"")</f>
        <v/>
      </c>
      <c r="BA39" s="24" t="str">
        <f>IFERROR(IF(ROUND((SUMIFS(Tracker[Net],Tracker[Money Discrepency],"&gt;="&amp;$AT39,Tracker[Money Discrepency],"&lt;"&amp;$AT40,Tracker[Bet Type],BA$1))/COUNTIFS(Tracker[Money Discrepency],"&gt;="&amp;$AT39,Tracker[Money Discrepency],"&lt;"&amp;$AT40,Tracker[Bet Type],BA$1),2)&gt;0.05,"X",IF(ROUND((SUMIFS(Tracker[Net],Tracker[Money Discrepency],"&gt;="&amp;$AT39,Tracker[Money Discrepency],"&lt;"&amp;$AT40,Tracker[Bet Type],BA$1))/COUNTIFS(Tracker[Money Discrepency],"&gt;="&amp;$AT39,Tracker[Money Discrepency],"&lt;"&amp;$AT40,Tracker[Bet Type],BA$1),2)&lt;-0.15,"O","")),"")</f>
        <v/>
      </c>
      <c r="BB39" s="24" t="str">
        <f>IFERROR(IF(ROUND((SUMIFS(Tracker[Net],Tracker[Money Discrepency],"&gt;="&amp;$AT39,Tracker[Money Discrepency],"&lt;"&amp;$AT40,Tracker[Bet Type Drill Down],BB$1))/COUNTIFS(Tracker[Money Discrepency],"&gt;="&amp;$AT39,Tracker[Money Discrepency],"&lt;"&amp;$AT40,Tracker[Bet Type Drill Down],BB$1),2)&gt;0.05,"X",IF(ROUND((SUMIFS(Tracker[Net],Tracker[Money Discrepency],"&gt;="&amp;$AT39,Tracker[Money Discrepency],"&lt;"&amp;$AT40,Tracker[Bet Type Drill Down],BB$1))/COUNTIFS(Tracker[Money Discrepency],"&gt;="&amp;$AT39,Tracker[Money Discrepency],"&lt;"&amp;$AT40,Tracker[Bet Type Drill Down],BB$1),2)&lt;-0.15,"O","")),"")</f>
        <v/>
      </c>
      <c r="BC39" s="24" t="str">
        <f>IFERROR(IF(ROUND((SUMIFS(Tracker[Net],Tracker[Money Discrepency],"&gt;="&amp;$AT39,Tracker[Money Discrepency],"&lt;"&amp;$AT40,Tracker[Bet Type Drill Down],BC$1))/COUNTIFS(Tracker[Money Discrepency],"&gt;="&amp;$AT39,Tracker[Money Discrepency],"&lt;"&amp;$AT40,Tracker[Bet Type Drill Down],BC$1),2)&gt;0.05,"X",IF(ROUND((SUMIFS(Tracker[Net],Tracker[Money Discrepency],"&gt;="&amp;$AT39,Tracker[Money Discrepency],"&lt;"&amp;$AT40,Tracker[Bet Type Drill Down],BC$1))/COUNTIFS(Tracker[Money Discrepency],"&gt;="&amp;$AT39,Tracker[Money Discrepency],"&lt;"&amp;$AT40,Tracker[Bet Type Drill Down],BC$1),2)&lt;-0.15,"O","")),"")</f>
        <v/>
      </c>
      <c r="BD39" s="24" t="str">
        <f>IFERROR(IF(ROUND((SUMIFS(Tracker[Net],Tracker[Money Discrepency],"&gt;="&amp;$AT39,Tracker[Money Discrepency],"&lt;"&amp;$AT40,Tracker[Bet Type Drill Down],BD$1))/COUNTIFS(Tracker[Money Discrepency],"&gt;="&amp;$AT39,Tracker[Money Discrepency],"&lt;"&amp;$AT40,Tracker[Bet Type Drill Down],BD$1),2)&gt;0.05,"X",IF(ROUND((SUMIFS(Tracker[Net],Tracker[Money Discrepency],"&gt;="&amp;$AT39,Tracker[Money Discrepency],"&lt;"&amp;$AT40,Tracker[Bet Type Drill Down],BD$1))/COUNTIFS(Tracker[Money Discrepency],"&gt;="&amp;$AT39,Tracker[Money Discrepency],"&lt;"&amp;$AT40,Tracker[Bet Type Drill Down],BD$1),2)&lt;-0.15,"O","")),"")</f>
        <v/>
      </c>
      <c r="BE39" s="24" t="str">
        <f>IFERROR(IF(ROUND((SUMIFS(Tracker[Net],Tracker[Money Discrepency],"&gt;="&amp;$AT39,Tracker[Money Discrepency],"&lt;"&amp;$AT40,Tracker[Bet Type Drill Down],BE$1))/COUNTIFS(Tracker[Money Discrepency],"&gt;="&amp;$AT39,Tracker[Money Discrepency],"&lt;"&amp;$AT40,Tracker[Bet Type Drill Down],BE$1),2)&gt;0.05,"X",IF(ROUND((SUMIFS(Tracker[Net],Tracker[Money Discrepency],"&gt;="&amp;$AT39,Tracker[Money Discrepency],"&lt;"&amp;$AT40,Tracker[Bet Type Drill Down],BE$1))/COUNTIFS(Tracker[Money Discrepency],"&gt;="&amp;$AT39,Tracker[Money Discrepency],"&lt;"&amp;$AT40,Tracker[Bet Type Drill Down],BE$1),2)&lt;-0.15,"O","")),"")</f>
        <v/>
      </c>
    </row>
    <row r="40" spans="1:57" x14ac:dyDescent="0.25">
      <c r="A40" s="36">
        <f t="shared" si="9"/>
        <v>4</v>
      </c>
      <c r="B40" s="25">
        <v>43809</v>
      </c>
      <c r="C40" s="25" t="str">
        <f t="shared" si="31"/>
        <v>NBA</v>
      </c>
      <c r="D40" s="26" t="s">
        <v>853</v>
      </c>
      <c r="E40" s="28" t="s">
        <v>854</v>
      </c>
      <c r="F40" s="67">
        <v>0.55439419680550395</v>
      </c>
      <c r="G40" s="29">
        <v>-110</v>
      </c>
      <c r="H40" s="32" t="s">
        <v>57</v>
      </c>
      <c r="I4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0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40" s="32" t="str">
        <f>MID(Tracker[[#This Row],[Game]],SEARCH("@",Tracker[[#This Row],[Game]])+2,LEN(Tracker[[#This Row],[Game]]))</f>
        <v>Trail Blazers</v>
      </c>
      <c r="L40" s="32" t="str">
        <f>LEFT(Tracker[[#This Row],[Game]],SEARCH("@",Tracker[[#This Row],[Game]])-2)</f>
        <v>Knicks</v>
      </c>
      <c r="M4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40" s="123"/>
      <c r="O40" s="147"/>
      <c r="P40" s="147"/>
      <c r="Q40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40" s="147" t="e">
        <f>IF(AND(Tracker[[#This Row],[Money %]]&lt;&gt;"",Tracker[[#This Row],[Bet %]]&lt;&gt;""),Tracker[[#This Row],[Money %]]-Tracker[[#This Row],[Bet %]],NA())</f>
        <v>#N/A</v>
      </c>
      <c r="S40" s="109"/>
      <c r="T40" s="109"/>
      <c r="U40" s="56">
        <f>IFERROR(INDEX($A$4:$B10036,MATCH(ROW()-3,$A$4:$A$4:$A1036,0),2),0)</f>
        <v>43872</v>
      </c>
      <c r="V40" s="33" t="str">
        <f>COUNTIFS(Tracker[Date],U40,Tracker[Result],"W")&amp;"-"&amp;COUNTIFS(Tracker[Date],U40,Tracker[Result],"L")&amp;IF(COUNTIFS(Tracker[Date],U40,Tracker[Result],"Push")&gt;0,"-"&amp;COUNTIFS(Tracker[Date],U40,Tracker[Result],"Push"),"")</f>
        <v>1-5</v>
      </c>
      <c r="W40" s="34">
        <f>IFERROR(COUNTIFS(Tracker[Date],U40,Tracker[Result],"W")/(COUNTIFS(Tracker[Date],U40,Tracker[Result],"W")+COUNTIFS(Tracker[Date],U40,Tracker[Result],"L")),"")</f>
        <v>0.16666666666666666</v>
      </c>
      <c r="X40" s="61">
        <f>SUMIF(Tracker[Date],U40,Tracker[Net])</f>
        <v>-4.0909090909090908</v>
      </c>
      <c r="Y40" s="35" t="str">
        <f>IFERROR("("&amp;ROUND(SUMIF(Tracker[Date],U40,Tracker[Net])/COUNTIF(Tracker[Date],U40),2)*100&amp;"%)","")</f>
        <v>(-68%)</v>
      </c>
      <c r="Z40" s="78">
        <f t="shared" si="29"/>
        <v>1.4000000000000008</v>
      </c>
      <c r="AT40" s="153">
        <f t="shared" si="1"/>
        <v>0.90000000000000069</v>
      </c>
      <c r="AU40" s="39" t="str">
        <f t="shared" si="2"/>
        <v>90  to  95%</v>
      </c>
      <c r="AV40" t="str">
        <f>IFERROR(COUNTIFS(Tracker[Money Discrepency],"&gt;="&amp;AT40,Tracker[Money Discrepency],"&lt;"&amp;AT41,Tracker[Result],"W")&amp;"-"&amp;COUNTIFS(Tracker[Money Discrepency],"&gt;="&amp;AT40,Tracker[Money Discrepency],"&lt;"&amp;AT41,Tracker[Result],"L")&amp;"-"&amp;COUNTIFS(Tracker[Money Discrepency],"&gt;="&amp;AT40,Tracker[Money Discrepency],"&lt;"&amp;AT41,Tracker[Result],"Push")&amp;" ("&amp;ROUND(COUNTIFS(Tracker[Money Discrepency],"&gt;="&amp;AT40,Tracker[Money Discrepency],"&lt;"&amp;AT41,Tracker[Result],"W")/(COUNTIFS(Tracker[Money Discrepency],"&gt;="&amp;AT40,Tracker[Money Discrepency],"&lt;"&amp;AT41,Tracker[Result],"L")+COUNTIFS(Tracker[Money Discrepency],"&gt;="&amp;AT40,Tracker[Money Discrepency],"&lt;"&amp;AT41,Tracker[Result],"W"))*100,2)&amp;"%)","No Bets")</f>
        <v>No Bets</v>
      </c>
      <c r="AW40">
        <f>SUMIFS(Tracker[Net],Tracker[Money Discrepency],"&gt;="&amp;AT40,Tracker[Money Discrepency],"&lt;"&amp;AT41)</f>
        <v>0</v>
      </c>
      <c r="AX40" s="24" t="str">
        <f>IFERROR(IF(ROUND((SUMIFS(Tracker[Net],Tracker[Money Discrepency],"&gt;="&amp;$AT40,Tracker[Money Discrepency],"&lt;"&amp;$AT41,Tracker[Bet Type],AX$1))/COUNTIFS(Tracker[Money Discrepency],"&gt;="&amp;$AT40,Tracker[Money Discrepency],"&lt;"&amp;$AT41,Tracker[Bet Type],AX$1),2)&gt;0.05,"X",IF(ROUND((SUMIFS(Tracker[Net],Tracker[Money Discrepency],"&gt;="&amp;$AT40,Tracker[Money Discrepency],"&lt;"&amp;$AT41,Tracker[Bet Type],AX$1))/COUNTIFS(Tracker[Money Discrepency],"&gt;="&amp;$AT40,Tracker[Money Discrepency],"&lt;"&amp;$AT41,Tracker[Bet Type],AX$1),2)&lt;-0.15,"O","")),"")</f>
        <v/>
      </c>
      <c r="AY40" s="24" t="str">
        <f>IFERROR(IF(ROUND((SUMIFS(Tracker[Net],Tracker[Money Discrepency],"&gt;="&amp;$AT40,Tracker[Money Discrepency],"&lt;"&amp;$AT41,Tracker[Bet Type],AY$1))/COUNTIFS(Tracker[Money Discrepency],"&gt;="&amp;$AT40,Tracker[Money Discrepency],"&lt;"&amp;$AT41,Tracker[Bet Type],AY$1),2)&gt;0.05,"X",IF(ROUND((SUMIFS(Tracker[Net],Tracker[Money Discrepency],"&gt;="&amp;$AT40,Tracker[Money Discrepency],"&lt;"&amp;$AT41,Tracker[Bet Type],AY$1))/COUNTIFS(Tracker[Money Discrepency],"&gt;="&amp;$AT40,Tracker[Money Discrepency],"&lt;"&amp;$AT41,Tracker[Bet Type],AY$1),2)&lt;-0.15,"O","")),"")</f>
        <v/>
      </c>
      <c r="AZ40" s="24" t="str">
        <f>IFERROR(IF(ROUND((SUMIFS(Tracker[Net],Tracker[Money Discrepency],"&gt;="&amp;$AT40,Tracker[Money Discrepency],"&lt;"&amp;$AT41,Tracker[Bet Type],AZ$1))/COUNTIFS(Tracker[Money Discrepency],"&gt;="&amp;$AT40,Tracker[Money Discrepency],"&lt;"&amp;$AT41,Tracker[Bet Type],AZ$1),2)&gt;0.05,"X",IF(ROUND((SUMIFS(Tracker[Net],Tracker[Money Discrepency],"&gt;="&amp;$AT40,Tracker[Money Discrepency],"&lt;"&amp;$AT41,Tracker[Bet Type],AZ$1))/COUNTIFS(Tracker[Money Discrepency],"&gt;="&amp;$AT40,Tracker[Money Discrepency],"&lt;"&amp;$AT41,Tracker[Bet Type],AZ$1),2)&lt;-0.15,"O","")),"")</f>
        <v/>
      </c>
      <c r="BA40" s="24" t="str">
        <f>IFERROR(IF(ROUND((SUMIFS(Tracker[Net],Tracker[Money Discrepency],"&gt;="&amp;$AT40,Tracker[Money Discrepency],"&lt;"&amp;$AT41,Tracker[Bet Type],BA$1))/COUNTIFS(Tracker[Money Discrepency],"&gt;="&amp;$AT40,Tracker[Money Discrepency],"&lt;"&amp;$AT41,Tracker[Bet Type],BA$1),2)&gt;0.05,"X",IF(ROUND((SUMIFS(Tracker[Net],Tracker[Money Discrepency],"&gt;="&amp;$AT40,Tracker[Money Discrepency],"&lt;"&amp;$AT41,Tracker[Bet Type],BA$1))/COUNTIFS(Tracker[Money Discrepency],"&gt;="&amp;$AT40,Tracker[Money Discrepency],"&lt;"&amp;$AT41,Tracker[Bet Type],BA$1),2)&lt;-0.15,"O","")),"")</f>
        <v/>
      </c>
      <c r="BB40" s="24" t="str">
        <f>IFERROR(IF(ROUND((SUMIFS(Tracker[Net],Tracker[Money Discrepency],"&gt;="&amp;$AT40,Tracker[Money Discrepency],"&lt;"&amp;$AT41,Tracker[Bet Type Drill Down],BB$1))/COUNTIFS(Tracker[Money Discrepency],"&gt;="&amp;$AT40,Tracker[Money Discrepency],"&lt;"&amp;$AT41,Tracker[Bet Type Drill Down],BB$1),2)&gt;0.05,"X",IF(ROUND((SUMIFS(Tracker[Net],Tracker[Money Discrepency],"&gt;="&amp;$AT40,Tracker[Money Discrepency],"&lt;"&amp;$AT41,Tracker[Bet Type Drill Down],BB$1))/COUNTIFS(Tracker[Money Discrepency],"&gt;="&amp;$AT40,Tracker[Money Discrepency],"&lt;"&amp;$AT41,Tracker[Bet Type Drill Down],BB$1),2)&lt;-0.15,"O","")),"")</f>
        <v/>
      </c>
      <c r="BC40" s="24" t="str">
        <f>IFERROR(IF(ROUND((SUMIFS(Tracker[Net],Tracker[Money Discrepency],"&gt;="&amp;$AT40,Tracker[Money Discrepency],"&lt;"&amp;$AT41,Tracker[Bet Type Drill Down],BC$1))/COUNTIFS(Tracker[Money Discrepency],"&gt;="&amp;$AT40,Tracker[Money Discrepency],"&lt;"&amp;$AT41,Tracker[Bet Type Drill Down],BC$1),2)&gt;0.05,"X",IF(ROUND((SUMIFS(Tracker[Net],Tracker[Money Discrepency],"&gt;="&amp;$AT40,Tracker[Money Discrepency],"&lt;"&amp;$AT41,Tracker[Bet Type Drill Down],BC$1))/COUNTIFS(Tracker[Money Discrepency],"&gt;="&amp;$AT40,Tracker[Money Discrepency],"&lt;"&amp;$AT41,Tracker[Bet Type Drill Down],BC$1),2)&lt;-0.15,"O","")),"")</f>
        <v/>
      </c>
      <c r="BD40" s="24" t="str">
        <f>IFERROR(IF(ROUND((SUMIFS(Tracker[Net],Tracker[Money Discrepency],"&gt;="&amp;$AT40,Tracker[Money Discrepency],"&lt;"&amp;$AT41,Tracker[Bet Type Drill Down],BD$1))/COUNTIFS(Tracker[Money Discrepency],"&gt;="&amp;$AT40,Tracker[Money Discrepency],"&lt;"&amp;$AT41,Tracker[Bet Type Drill Down],BD$1),2)&gt;0.05,"X",IF(ROUND((SUMIFS(Tracker[Net],Tracker[Money Discrepency],"&gt;="&amp;$AT40,Tracker[Money Discrepency],"&lt;"&amp;$AT41,Tracker[Bet Type Drill Down],BD$1))/COUNTIFS(Tracker[Money Discrepency],"&gt;="&amp;$AT40,Tracker[Money Discrepency],"&lt;"&amp;$AT41,Tracker[Bet Type Drill Down],BD$1),2)&lt;-0.15,"O","")),"")</f>
        <v/>
      </c>
      <c r="BE40" s="24" t="str">
        <f>IFERROR(IF(ROUND((SUMIFS(Tracker[Net],Tracker[Money Discrepency],"&gt;="&amp;$AT40,Tracker[Money Discrepency],"&lt;"&amp;$AT41,Tracker[Bet Type Drill Down],BE$1))/COUNTIFS(Tracker[Money Discrepency],"&gt;="&amp;$AT40,Tracker[Money Discrepency],"&lt;"&amp;$AT41,Tracker[Bet Type Drill Down],BE$1),2)&gt;0.05,"X",IF(ROUND((SUMIFS(Tracker[Net],Tracker[Money Discrepency],"&gt;="&amp;$AT40,Tracker[Money Discrepency],"&lt;"&amp;$AT41,Tracker[Bet Type Drill Down],BE$1))/COUNTIFS(Tracker[Money Discrepency],"&gt;="&amp;$AT40,Tracker[Money Discrepency],"&lt;"&amp;$AT41,Tracker[Bet Type Drill Down],BE$1),2)&lt;-0.15,"O","")),"")</f>
        <v/>
      </c>
    </row>
    <row r="41" spans="1:57" x14ac:dyDescent="0.25">
      <c r="A41" s="36">
        <f t="shared" si="9"/>
        <v>4</v>
      </c>
      <c r="B41" s="25">
        <v>43809</v>
      </c>
      <c r="C41" s="25" t="str">
        <f t="shared" si="31"/>
        <v>NBA</v>
      </c>
      <c r="D41" s="26" t="s">
        <v>853</v>
      </c>
      <c r="E41" s="28" t="s">
        <v>855</v>
      </c>
      <c r="F41" s="67">
        <v>0.55045036041534412</v>
      </c>
      <c r="G41" s="29">
        <v>-110</v>
      </c>
      <c r="H41" s="32" t="s">
        <v>56</v>
      </c>
      <c r="I4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1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1" s="32" t="str">
        <f>MID(Tracker[[#This Row],[Game]],SEARCH("@",Tracker[[#This Row],[Game]])+2,LEN(Tracker[[#This Row],[Game]]))</f>
        <v>Trail Blazers</v>
      </c>
      <c r="L41" s="32" t="str">
        <f>LEFT(Tracker[[#This Row],[Game]],SEARCH("@",Tracker[[#This Row],[Game]])-2)</f>
        <v>Knicks</v>
      </c>
      <c r="M4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1" s="123"/>
      <c r="O41" s="147"/>
      <c r="P41" s="147"/>
      <c r="Q41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41" s="147" t="e">
        <f>IF(AND(Tracker[[#This Row],[Money %]]&lt;&gt;"",Tracker[[#This Row],[Bet %]]&lt;&gt;""),Tracker[[#This Row],[Money %]]-Tracker[[#This Row],[Bet %]],NA())</f>
        <v>#N/A</v>
      </c>
      <c r="S41" s="109"/>
      <c r="T41" s="109"/>
      <c r="U41" s="56">
        <f>IFERROR(INDEX($A$4:$B10037,MATCH(ROW()-3,$A$4:$A$4:$A1037,0),2),0)</f>
        <v>43873</v>
      </c>
      <c r="V41" s="33" t="str">
        <f>COUNTIFS(Tracker[Date],U41,Tracker[Result],"W")&amp;"-"&amp;COUNTIFS(Tracker[Date],U41,Tracker[Result],"L")&amp;IF(COUNTIFS(Tracker[Date],U41,Tracker[Result],"Push")&gt;0,"-"&amp;COUNTIFS(Tracker[Date],U41,Tracker[Result],"Push"),"")</f>
        <v>12-6</v>
      </c>
      <c r="W41" s="34">
        <f>IFERROR(COUNTIFS(Tracker[Date],U41,Tracker[Result],"W")/(COUNTIFS(Tracker[Date],U41,Tracker[Result],"W")+COUNTIFS(Tracker[Date],U41,Tracker[Result],"L")),"")</f>
        <v>0.66666666666666663</v>
      </c>
      <c r="X41" s="61">
        <f>SUMIF(Tracker[Date],U41,Tracker[Net])</f>
        <v>4.9090909090909092</v>
      </c>
      <c r="Y41" s="35" t="str">
        <f>IFERROR("("&amp;ROUND(SUMIF(Tracker[Date],U41,Tracker[Net])/COUNTIF(Tracker[Date],U41),2)*100&amp;"%)","")</f>
        <v>(27%)</v>
      </c>
      <c r="Z41" s="78">
        <f t="shared" si="29"/>
        <v>1.4500000000000008</v>
      </c>
      <c r="AT41" s="153">
        <f t="shared" si="1"/>
        <v>0.95000000000000073</v>
      </c>
      <c r="AU41" s="39" t="str">
        <f t="shared" si="2"/>
        <v>95  to  100%</v>
      </c>
      <c r="AV41" t="str">
        <f>IFERROR(COUNTIFS(Tracker[Money Discrepency],"&gt;="&amp;AT41,Tracker[Money Discrepency],"&lt;"&amp;AT42,Tracker[Result],"W")&amp;"-"&amp;COUNTIFS(Tracker[Money Discrepency],"&gt;="&amp;AT41,Tracker[Money Discrepency],"&lt;"&amp;AT42,Tracker[Result],"L")&amp;"-"&amp;COUNTIFS(Tracker[Money Discrepency],"&gt;="&amp;AT41,Tracker[Money Discrepency],"&lt;"&amp;AT42,Tracker[Result],"Push")&amp;" ("&amp;ROUND(COUNTIFS(Tracker[Money Discrepency],"&gt;="&amp;AT41,Tracker[Money Discrepency],"&lt;"&amp;AT42,Tracker[Result],"W")/(COUNTIFS(Tracker[Money Discrepency],"&gt;="&amp;AT41,Tracker[Money Discrepency],"&lt;"&amp;AT42,Tracker[Result],"L")+COUNTIFS(Tracker[Money Discrepency],"&gt;="&amp;AT41,Tracker[Money Discrepency],"&lt;"&amp;AT42,Tracker[Result],"W"))*100,2)&amp;"%)","No Bets")</f>
        <v>No Bets</v>
      </c>
      <c r="AW41">
        <f>SUMIFS(Tracker[Net],Tracker[Money Discrepency],"&gt;="&amp;AT41,Tracker[Money Discrepency],"&lt;"&amp;AT42)</f>
        <v>0</v>
      </c>
      <c r="AX41" s="24" t="str">
        <f>IFERROR(IF(ROUND((SUMIFS(Tracker[Net],Tracker[Money Discrepency],"&gt;="&amp;$AT41,Tracker[Money Discrepency],"&lt;"&amp;$AT42,Tracker[Bet Type],AX$1))/COUNTIFS(Tracker[Money Discrepency],"&gt;="&amp;$AT41,Tracker[Money Discrepency],"&lt;"&amp;$AT42,Tracker[Bet Type],AX$1),2)&gt;0.05,"X",IF(ROUND((SUMIFS(Tracker[Net],Tracker[Money Discrepency],"&gt;="&amp;$AT41,Tracker[Money Discrepency],"&lt;"&amp;$AT42,Tracker[Bet Type],AX$1))/COUNTIFS(Tracker[Money Discrepency],"&gt;="&amp;$AT41,Tracker[Money Discrepency],"&lt;"&amp;$AT42,Tracker[Bet Type],AX$1),2)&lt;-0.15,"O","")),"")</f>
        <v/>
      </c>
      <c r="AY41" s="24" t="str">
        <f>IFERROR(IF(ROUND((SUMIFS(Tracker[Net],Tracker[Money Discrepency],"&gt;="&amp;$AT41,Tracker[Money Discrepency],"&lt;"&amp;$AT42,Tracker[Bet Type],AY$1))/COUNTIFS(Tracker[Money Discrepency],"&gt;="&amp;$AT41,Tracker[Money Discrepency],"&lt;"&amp;$AT42,Tracker[Bet Type],AY$1),2)&gt;0.05,"X",IF(ROUND((SUMIFS(Tracker[Net],Tracker[Money Discrepency],"&gt;="&amp;$AT41,Tracker[Money Discrepency],"&lt;"&amp;$AT42,Tracker[Bet Type],AY$1))/COUNTIFS(Tracker[Money Discrepency],"&gt;="&amp;$AT41,Tracker[Money Discrepency],"&lt;"&amp;$AT42,Tracker[Bet Type],AY$1),2)&lt;-0.15,"O","")),"")</f>
        <v/>
      </c>
      <c r="AZ41" s="24" t="str">
        <f>IFERROR(IF(ROUND((SUMIFS(Tracker[Net],Tracker[Money Discrepency],"&gt;="&amp;$AT41,Tracker[Money Discrepency],"&lt;"&amp;$AT42,Tracker[Bet Type],AZ$1))/COUNTIFS(Tracker[Money Discrepency],"&gt;="&amp;$AT41,Tracker[Money Discrepency],"&lt;"&amp;$AT42,Tracker[Bet Type],AZ$1),2)&gt;0.05,"X",IF(ROUND((SUMIFS(Tracker[Net],Tracker[Money Discrepency],"&gt;="&amp;$AT41,Tracker[Money Discrepency],"&lt;"&amp;$AT42,Tracker[Bet Type],AZ$1))/COUNTIFS(Tracker[Money Discrepency],"&gt;="&amp;$AT41,Tracker[Money Discrepency],"&lt;"&amp;$AT42,Tracker[Bet Type],AZ$1),2)&lt;-0.15,"O","")),"")</f>
        <v/>
      </c>
      <c r="BA41" s="24" t="str">
        <f>IFERROR(IF(ROUND((SUMIFS(Tracker[Net],Tracker[Money Discrepency],"&gt;="&amp;$AT41,Tracker[Money Discrepency],"&lt;"&amp;$AT42,Tracker[Bet Type],BA$1))/COUNTIFS(Tracker[Money Discrepency],"&gt;="&amp;$AT41,Tracker[Money Discrepency],"&lt;"&amp;$AT42,Tracker[Bet Type],BA$1),2)&gt;0.05,"X",IF(ROUND((SUMIFS(Tracker[Net],Tracker[Money Discrepency],"&gt;="&amp;$AT41,Tracker[Money Discrepency],"&lt;"&amp;$AT42,Tracker[Bet Type],BA$1))/COUNTIFS(Tracker[Money Discrepency],"&gt;="&amp;$AT41,Tracker[Money Discrepency],"&lt;"&amp;$AT42,Tracker[Bet Type],BA$1),2)&lt;-0.15,"O","")),"")</f>
        <v/>
      </c>
      <c r="BB41" s="24" t="str">
        <f>IFERROR(IF(ROUND((SUMIFS(Tracker[Net],Tracker[Money Discrepency],"&gt;="&amp;$AT41,Tracker[Money Discrepency],"&lt;"&amp;$AT42,Tracker[Bet Type Drill Down],BB$1))/COUNTIFS(Tracker[Money Discrepency],"&gt;="&amp;$AT41,Tracker[Money Discrepency],"&lt;"&amp;$AT42,Tracker[Bet Type Drill Down],BB$1),2)&gt;0.05,"X",IF(ROUND((SUMIFS(Tracker[Net],Tracker[Money Discrepency],"&gt;="&amp;$AT41,Tracker[Money Discrepency],"&lt;"&amp;$AT42,Tracker[Bet Type Drill Down],BB$1))/COUNTIFS(Tracker[Money Discrepency],"&gt;="&amp;$AT41,Tracker[Money Discrepency],"&lt;"&amp;$AT42,Tracker[Bet Type Drill Down],BB$1),2)&lt;-0.15,"O","")),"")</f>
        <v/>
      </c>
      <c r="BC41" s="24" t="str">
        <f>IFERROR(IF(ROUND((SUMIFS(Tracker[Net],Tracker[Money Discrepency],"&gt;="&amp;$AT41,Tracker[Money Discrepency],"&lt;"&amp;$AT42,Tracker[Bet Type Drill Down],BC$1))/COUNTIFS(Tracker[Money Discrepency],"&gt;="&amp;$AT41,Tracker[Money Discrepency],"&lt;"&amp;$AT42,Tracker[Bet Type Drill Down],BC$1),2)&gt;0.05,"X",IF(ROUND((SUMIFS(Tracker[Net],Tracker[Money Discrepency],"&gt;="&amp;$AT41,Tracker[Money Discrepency],"&lt;"&amp;$AT42,Tracker[Bet Type Drill Down],BC$1))/COUNTIFS(Tracker[Money Discrepency],"&gt;="&amp;$AT41,Tracker[Money Discrepency],"&lt;"&amp;$AT42,Tracker[Bet Type Drill Down],BC$1),2)&lt;-0.15,"O","")),"")</f>
        <v/>
      </c>
      <c r="BD41" s="24" t="str">
        <f>IFERROR(IF(ROUND((SUMIFS(Tracker[Net],Tracker[Money Discrepency],"&gt;="&amp;$AT41,Tracker[Money Discrepency],"&lt;"&amp;$AT42,Tracker[Bet Type Drill Down],BD$1))/COUNTIFS(Tracker[Money Discrepency],"&gt;="&amp;$AT41,Tracker[Money Discrepency],"&lt;"&amp;$AT42,Tracker[Bet Type Drill Down],BD$1),2)&gt;0.05,"X",IF(ROUND((SUMIFS(Tracker[Net],Tracker[Money Discrepency],"&gt;="&amp;$AT41,Tracker[Money Discrepency],"&lt;"&amp;$AT42,Tracker[Bet Type Drill Down],BD$1))/COUNTIFS(Tracker[Money Discrepency],"&gt;="&amp;$AT41,Tracker[Money Discrepency],"&lt;"&amp;$AT42,Tracker[Bet Type Drill Down],BD$1),2)&lt;-0.15,"O","")),"")</f>
        <v/>
      </c>
      <c r="BE41" s="24" t="str">
        <f>IFERROR(IF(ROUND((SUMIFS(Tracker[Net],Tracker[Money Discrepency],"&gt;="&amp;$AT41,Tracker[Money Discrepency],"&lt;"&amp;$AT42,Tracker[Bet Type Drill Down],BE$1))/COUNTIFS(Tracker[Money Discrepency],"&gt;="&amp;$AT41,Tracker[Money Discrepency],"&lt;"&amp;$AT42,Tracker[Bet Type Drill Down],BE$1),2)&gt;0.05,"X",IF(ROUND((SUMIFS(Tracker[Net],Tracker[Money Discrepency],"&gt;="&amp;$AT41,Tracker[Money Discrepency],"&lt;"&amp;$AT42,Tracker[Bet Type Drill Down],BE$1))/COUNTIFS(Tracker[Money Discrepency],"&gt;="&amp;$AT41,Tracker[Money Discrepency],"&lt;"&amp;$AT42,Tracker[Bet Type Drill Down],BE$1),2)&lt;-0.15,"O","")),"")</f>
        <v/>
      </c>
    </row>
    <row r="42" spans="1:57" ht="45" x14ac:dyDescent="0.25">
      <c r="A42" s="36">
        <f t="shared" si="9"/>
        <v>4</v>
      </c>
      <c r="B42" s="25">
        <v>43809</v>
      </c>
      <c r="C42" s="25" t="str">
        <f t="shared" si="31"/>
        <v>NBA</v>
      </c>
      <c r="D42" s="51" t="s">
        <v>856</v>
      </c>
      <c r="E42" s="68" t="s">
        <v>857</v>
      </c>
      <c r="F42" s="67" t="s">
        <v>846</v>
      </c>
      <c r="G42" s="29">
        <v>125</v>
      </c>
      <c r="H42" s="32" t="s">
        <v>56</v>
      </c>
      <c r="I4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1.25</v>
      </c>
      <c r="J42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P</v>
      </c>
      <c r="K42" s="32" t="str">
        <f>MID(Tracker[[#This Row],[Game]],SEARCH("@",Tracker[[#This Row],[Game]])+2,LEN(Tracker[[#This Row],[Game]]))</f>
        <v>76ers
Hawks @ Heat
Knicks @ Trail Blazers</v>
      </c>
      <c r="L42" s="32" t="str">
        <f>LEFT(Tracker[[#This Row],[Game]],SEARCH("@",Tracker[[#This Row],[Game]])-2)</f>
        <v>Nuggets</v>
      </c>
      <c r="M4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P</v>
      </c>
      <c r="N42" s="123"/>
      <c r="O42" s="147"/>
      <c r="P42" s="147"/>
      <c r="Q42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42" s="147" t="e">
        <f>IF(AND(Tracker[[#This Row],[Money %]]&lt;&gt;"",Tracker[[#This Row],[Bet %]]&lt;&gt;""),Tracker[[#This Row],[Money %]]-Tracker[[#This Row],[Bet %]],NA())</f>
        <v>#N/A</v>
      </c>
      <c r="S42" s="109"/>
      <c r="T42" s="109"/>
      <c r="U42" s="56">
        <f>IFERROR(INDEX($A$4:$B10038,MATCH(ROW()-3,$A$4:$A$4:$A1038,0),2),0)</f>
        <v>43874</v>
      </c>
      <c r="V42" s="33" t="str">
        <f>COUNTIFS(Tracker[Date],U42,Tracker[Result],"W")&amp;"-"&amp;COUNTIFS(Tracker[Date],U42,Tracker[Result],"L")&amp;IF(COUNTIFS(Tracker[Date],U42,Tracker[Result],"Push")&gt;0,"-"&amp;COUNTIFS(Tracker[Date],U42,Tracker[Result],"Push"),"")</f>
        <v>1-2</v>
      </c>
      <c r="W42" s="34">
        <f>IFERROR(COUNTIFS(Tracker[Date],U42,Tracker[Result],"W")/(COUNTIFS(Tracker[Date],U42,Tracker[Result],"W")+COUNTIFS(Tracker[Date],U42,Tracker[Result],"L")),"")</f>
        <v>0.33333333333333331</v>
      </c>
      <c r="X42" s="61">
        <f>SUMIF(Tracker[Date],U42,Tracker[Net])</f>
        <v>-1.0909090909090908</v>
      </c>
      <c r="Y42" s="35" t="str">
        <f>IFERROR("("&amp;ROUND(SUMIF(Tracker[Date],U42,Tracker[Net])/COUNTIF(Tracker[Date],U42),2)*100&amp;"%)","")</f>
        <v>(-36%)</v>
      </c>
      <c r="Z42" s="78">
        <f t="shared" si="29"/>
        <v>1.5000000000000009</v>
      </c>
      <c r="AT42" s="153">
        <f t="shared" si="1"/>
        <v>1.0000000000000007</v>
      </c>
      <c r="AU42" s="39"/>
      <c r="AV42" t="str">
        <f>IFERROR(COUNTIFS(Tracker[Money Discrepency],"&gt;="&amp;AT42,Tracker[Money Discrepency],"&lt;"&amp;AT43,Tracker[Result],"W")&amp;"-"&amp;COUNTIFS(Tracker[Money Discrepency],"&gt;="&amp;AT42,Tracker[Money Discrepency],"&lt;"&amp;AT43,Tracker[Result],"L")&amp;"-"&amp;COUNTIFS(Tracker[Money Discrepency],"&gt;="&amp;AT42,Tracker[Money Discrepency],"&lt;"&amp;AT43,Tracker[Result],"Push")&amp;" ("&amp;ROUND(COUNTIFS(Tracker[Money Discrepency],"&gt;="&amp;AT42,Tracker[Money Discrepency],"&lt;"&amp;AT43,Tracker[Result],"W")/(COUNTIFS(Tracker[Money Discrepency],"&gt;="&amp;AT42,Tracker[Money Discrepency],"&lt;"&amp;AT43,Tracker[Result],"L")+COUNTIFS(Tracker[Money Discrepency],"&gt;="&amp;AT42,Tracker[Money Discrepency],"&lt;"&amp;AT43,Tracker[Result],"W"))*100,2)&amp;"%)","No Bets")</f>
        <v>No Bets</v>
      </c>
      <c r="AW42">
        <f>SUMIFS(Tracker[Net],Tracker[Money Discrepency],"&gt;="&amp;AT42,Tracker[Money Discrepency],"&lt;"&amp;AT43)</f>
        <v>0</v>
      </c>
      <c r="AX42" s="24" t="str">
        <f>IFERROR(IF(ROUND((SUMIFS(Tracker[Net],Tracker[Money Discrepency],"&gt;="&amp;$AT42,Tracker[Money Discrepency],"&lt;"&amp;$AT43,Tracker[Bet Type],AX$1))/COUNTIFS(Tracker[Money Discrepency],"&gt;="&amp;$AT42,Tracker[Money Discrepency],"&lt;"&amp;$AT43,Tracker[Bet Type],AX$1),2)&gt;0.05,"X",IF(ROUND((SUMIFS(Tracker[Net],Tracker[Money Discrepency],"&gt;="&amp;$AT42,Tracker[Money Discrepency],"&lt;"&amp;$AT43,Tracker[Bet Type],AX$1))/COUNTIFS(Tracker[Money Discrepency],"&gt;="&amp;$AT42,Tracker[Money Discrepency],"&lt;"&amp;$AT43,Tracker[Bet Type],AX$1),2)&lt;-0.15,"O","")),"")</f>
        <v/>
      </c>
      <c r="AY42" s="24" t="str">
        <f>IFERROR(IF(ROUND((SUMIFS(Tracker[Net],Tracker[Money Discrepency],"&gt;="&amp;$AT42,Tracker[Money Discrepency],"&lt;"&amp;$AT43,Tracker[Bet Type],AY$1))/COUNTIFS(Tracker[Money Discrepency],"&gt;="&amp;$AT42,Tracker[Money Discrepency],"&lt;"&amp;$AT43,Tracker[Bet Type],AY$1),2)&gt;0.05,"X",IF(ROUND((SUMIFS(Tracker[Net],Tracker[Money Discrepency],"&gt;="&amp;$AT42,Tracker[Money Discrepency],"&lt;"&amp;$AT43,Tracker[Bet Type],AY$1))/COUNTIFS(Tracker[Money Discrepency],"&gt;="&amp;$AT42,Tracker[Money Discrepency],"&lt;"&amp;$AT43,Tracker[Bet Type],AY$1),2)&lt;-0.15,"O","")),"")</f>
        <v/>
      </c>
      <c r="AZ42" s="24" t="str">
        <f>IFERROR(IF(ROUND((SUMIFS(Tracker[Net],Tracker[Money Discrepency],"&gt;="&amp;$AT42,Tracker[Money Discrepency],"&lt;"&amp;$AT43,Tracker[Bet Type],AZ$1))/COUNTIFS(Tracker[Money Discrepency],"&gt;="&amp;$AT42,Tracker[Money Discrepency],"&lt;"&amp;$AT43,Tracker[Bet Type],AZ$1),2)&gt;0.05,"X",IF(ROUND((SUMIFS(Tracker[Net],Tracker[Money Discrepency],"&gt;="&amp;$AT42,Tracker[Money Discrepency],"&lt;"&amp;$AT43,Tracker[Bet Type],AZ$1))/COUNTIFS(Tracker[Money Discrepency],"&gt;="&amp;$AT42,Tracker[Money Discrepency],"&lt;"&amp;$AT43,Tracker[Bet Type],AZ$1),2)&lt;-0.15,"O","")),"")</f>
        <v/>
      </c>
      <c r="BA42" s="24" t="str">
        <f>IFERROR(IF(ROUND((SUMIFS(Tracker[Net],Tracker[Money Discrepency],"&gt;="&amp;$AT42,Tracker[Money Discrepency],"&lt;"&amp;$AT43,Tracker[Bet Type],BA$1))/COUNTIFS(Tracker[Money Discrepency],"&gt;="&amp;$AT42,Tracker[Money Discrepency],"&lt;"&amp;$AT43,Tracker[Bet Type],BA$1),2)&gt;0.05,"X",IF(ROUND((SUMIFS(Tracker[Net],Tracker[Money Discrepency],"&gt;="&amp;$AT42,Tracker[Money Discrepency],"&lt;"&amp;$AT43,Tracker[Bet Type],BA$1))/COUNTIFS(Tracker[Money Discrepency],"&gt;="&amp;$AT42,Tracker[Money Discrepency],"&lt;"&amp;$AT43,Tracker[Bet Type],BA$1),2)&lt;-0.15,"O","")),"")</f>
        <v/>
      </c>
      <c r="BB42" s="24" t="str">
        <f>IFERROR(IF(ROUND((SUMIFS(Tracker[Net],Tracker[Money Discrepency],"&gt;="&amp;$AT42,Tracker[Money Discrepency],"&lt;"&amp;$AT43,Tracker[Bet Type Drill Down],BB$1))/COUNTIFS(Tracker[Money Discrepency],"&gt;="&amp;$AT42,Tracker[Money Discrepency],"&lt;"&amp;$AT43,Tracker[Bet Type Drill Down],BB$1),2)&gt;0.05,"X",IF(ROUND((SUMIFS(Tracker[Net],Tracker[Money Discrepency],"&gt;="&amp;$AT42,Tracker[Money Discrepency],"&lt;"&amp;$AT43,Tracker[Bet Type Drill Down],BB$1))/COUNTIFS(Tracker[Money Discrepency],"&gt;="&amp;$AT42,Tracker[Money Discrepency],"&lt;"&amp;$AT43,Tracker[Bet Type Drill Down],BB$1),2)&lt;-0.15,"O","")),"")</f>
        <v/>
      </c>
      <c r="BC42" s="24" t="str">
        <f>IFERROR(IF(ROUND((SUMIFS(Tracker[Net],Tracker[Money Discrepency],"&gt;="&amp;$AT42,Tracker[Money Discrepency],"&lt;"&amp;$AT43,Tracker[Bet Type Drill Down],BC$1))/COUNTIFS(Tracker[Money Discrepency],"&gt;="&amp;$AT42,Tracker[Money Discrepency],"&lt;"&amp;$AT43,Tracker[Bet Type Drill Down],BC$1),2)&gt;0.05,"X",IF(ROUND((SUMIFS(Tracker[Net],Tracker[Money Discrepency],"&gt;="&amp;$AT42,Tracker[Money Discrepency],"&lt;"&amp;$AT43,Tracker[Bet Type Drill Down],BC$1))/COUNTIFS(Tracker[Money Discrepency],"&gt;="&amp;$AT42,Tracker[Money Discrepency],"&lt;"&amp;$AT43,Tracker[Bet Type Drill Down],BC$1),2)&lt;-0.15,"O","")),"")</f>
        <v/>
      </c>
      <c r="BD42" s="24" t="str">
        <f>IFERROR(IF(ROUND((SUMIFS(Tracker[Net],Tracker[Money Discrepency],"&gt;="&amp;$AT42,Tracker[Money Discrepency],"&lt;"&amp;$AT43,Tracker[Bet Type Drill Down],BD$1))/COUNTIFS(Tracker[Money Discrepency],"&gt;="&amp;$AT42,Tracker[Money Discrepency],"&lt;"&amp;$AT43,Tracker[Bet Type Drill Down],BD$1),2)&gt;0.05,"X",IF(ROUND((SUMIFS(Tracker[Net],Tracker[Money Discrepency],"&gt;="&amp;$AT42,Tracker[Money Discrepency],"&lt;"&amp;$AT43,Tracker[Bet Type Drill Down],BD$1))/COUNTIFS(Tracker[Money Discrepency],"&gt;="&amp;$AT42,Tracker[Money Discrepency],"&lt;"&amp;$AT43,Tracker[Bet Type Drill Down],BD$1),2)&lt;-0.15,"O","")),"")</f>
        <v/>
      </c>
      <c r="BE42" s="24" t="str">
        <f>IFERROR(IF(ROUND((SUMIFS(Tracker[Net],Tracker[Money Discrepency],"&gt;="&amp;$AT42,Tracker[Money Discrepency],"&lt;"&amp;$AT43,Tracker[Bet Type Drill Down],BE$1))/COUNTIFS(Tracker[Money Discrepency],"&gt;="&amp;$AT42,Tracker[Money Discrepency],"&lt;"&amp;$AT43,Tracker[Bet Type Drill Down],BE$1),2)&gt;0.05,"X",IF(ROUND((SUMIFS(Tracker[Net],Tracker[Money Discrepency],"&gt;="&amp;$AT42,Tracker[Money Discrepency],"&lt;"&amp;$AT43,Tracker[Bet Type Drill Down],BE$1))/COUNTIFS(Tracker[Money Discrepency],"&gt;="&amp;$AT42,Tracker[Money Discrepency],"&lt;"&amp;$AT43,Tracker[Bet Type Drill Down],BE$1),2)&lt;-0.15,"O","")),"")</f>
        <v/>
      </c>
    </row>
    <row r="43" spans="1:57" x14ac:dyDescent="0.25">
      <c r="A43" s="36">
        <f t="shared" si="9"/>
        <v>5</v>
      </c>
      <c r="B43" s="25">
        <v>43810</v>
      </c>
      <c r="C43" s="25" t="str">
        <f t="shared" si="31"/>
        <v>NBA</v>
      </c>
      <c r="D43" s="26" t="s">
        <v>858</v>
      </c>
      <c r="E43" s="28" t="s">
        <v>859</v>
      </c>
      <c r="F43" s="67">
        <v>0.59267291340980943</v>
      </c>
      <c r="G43" s="29">
        <v>-110</v>
      </c>
      <c r="H43" s="30" t="s">
        <v>57</v>
      </c>
      <c r="I4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3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3" s="32" t="str">
        <f>MID(Tracker[[#This Row],[Game]],SEARCH("@",Tracker[[#This Row],[Game]])+2,LEN(Tracker[[#This Row],[Game]]))</f>
        <v>Bulls</v>
      </c>
      <c r="L43" s="32" t="str">
        <f>LEFT(Tracker[[#This Row],[Game]],SEARCH("@",Tracker[[#This Row],[Game]])-2)</f>
        <v>Hawks</v>
      </c>
      <c r="M4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3" s="123"/>
      <c r="O43" s="147"/>
      <c r="P43" s="147"/>
      <c r="Q43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43" s="147" t="e">
        <f>IF(AND(Tracker[[#This Row],[Money %]]&lt;&gt;"",Tracker[[#This Row],[Bet %]]&lt;&gt;""),Tracker[[#This Row],[Money %]]-Tracker[[#This Row],[Bet %]],NA())</f>
        <v>#N/A</v>
      </c>
      <c r="S43" s="109"/>
      <c r="T43" s="109"/>
      <c r="U43" s="56">
        <f>IFERROR(INDEX($A$4:$B10039,MATCH(ROW()-3,$A$4:$A$4:$A1039,0),2),0)</f>
        <v>43882</v>
      </c>
      <c r="V43" s="33" t="str">
        <f>COUNTIFS(Tracker[Date],U43,Tracker[Result],"W")&amp;"-"&amp;COUNTIFS(Tracker[Date],U43,Tracker[Result],"L")&amp;IF(COUNTIFS(Tracker[Date],U43,Tracker[Result],"Push")&gt;0,"-"&amp;COUNTIFS(Tracker[Date],U43,Tracker[Result],"Push"),"")</f>
        <v>4-3</v>
      </c>
      <c r="W43" s="34">
        <f>IFERROR(COUNTIFS(Tracker[Date],U43,Tracker[Result],"W")/(COUNTIFS(Tracker[Date],U43,Tracker[Result],"W")+COUNTIFS(Tracker[Date],U43,Tracker[Result],"L")),"")</f>
        <v>0.5714285714285714</v>
      </c>
      <c r="X43" s="61">
        <f>SUMIF(Tracker[Date],U43,Tracker[Net])</f>
        <v>0.63636363636363624</v>
      </c>
      <c r="Y43" s="35" t="str">
        <f>IFERROR("("&amp;ROUND(SUMIF(Tracker[Date],U43,Tracker[Net])/COUNTIF(Tracker[Date],U43),2)*100&amp;"%)","")</f>
        <v>(9%)</v>
      </c>
      <c r="Z43" s="78">
        <f t="shared" si="29"/>
        <v>1.5500000000000009</v>
      </c>
      <c r="AT43" s="153">
        <f t="shared" si="1"/>
        <v>1.0500000000000007</v>
      </c>
      <c r="AU43" s="39"/>
      <c r="AV43" t="str">
        <f>IFERROR(COUNTIFS(Tracker[Money Discrepency],"&gt;="&amp;AT43,Tracker[Money Discrepency],"&lt;"&amp;AT44,Tracker[Result],"W")&amp;"-"&amp;COUNTIFS(Tracker[Money Discrepency],"&gt;="&amp;AT43,Tracker[Money Discrepency],"&lt;"&amp;AT44,Tracker[Result],"L")&amp;"-"&amp;COUNTIFS(Tracker[Money Discrepency],"&gt;="&amp;AT43,Tracker[Money Discrepency],"&lt;"&amp;AT44,Tracker[Result],"Push")&amp;" ("&amp;ROUND(COUNTIFS(Tracker[Money Discrepency],"&gt;="&amp;AT43,Tracker[Money Discrepency],"&lt;"&amp;AT44,Tracker[Result],"W")/(COUNTIFS(Tracker[Money Discrepency],"&gt;="&amp;AT43,Tracker[Money Discrepency],"&lt;"&amp;AT44,Tracker[Result],"L")+COUNTIFS(Tracker[Money Discrepency],"&gt;="&amp;AT43,Tracker[Money Discrepency],"&lt;"&amp;AT44,Tracker[Result],"W"))*100,2)&amp;"%)","No Bets")</f>
        <v>No Bets</v>
      </c>
      <c r="AW43">
        <f>SUMIFS(Tracker[Net],Tracker[Money Discrepency],"&gt;="&amp;AT43,Tracker[Money Discrepency],"&lt;"&amp;AT44)</f>
        <v>0</v>
      </c>
      <c r="AX43" s="24" t="str">
        <f>IFERROR(IF(ROUND((SUMIFS(Tracker[Net],Tracker[Money Discrepency],"&gt;="&amp;$AT43,Tracker[Money Discrepency],"&lt;"&amp;$AT44,Tracker[Bet Type],AX$1))/COUNTIFS(Tracker[Money Discrepency],"&gt;="&amp;$AT43,Tracker[Money Discrepency],"&lt;"&amp;$AT44,Tracker[Bet Type],AX$1),2)&gt;0.05,"X",IF(ROUND((SUMIFS(Tracker[Net],Tracker[Money Discrepency],"&gt;="&amp;$AT43,Tracker[Money Discrepency],"&lt;"&amp;$AT44,Tracker[Bet Type],AX$1))/COUNTIFS(Tracker[Money Discrepency],"&gt;="&amp;$AT43,Tracker[Money Discrepency],"&lt;"&amp;$AT44,Tracker[Bet Type],AX$1),2)&lt;-0.15,"O","")),"")</f>
        <v/>
      </c>
      <c r="AY43" s="24" t="str">
        <f>IFERROR(IF(ROUND((SUMIFS(Tracker[Net],Tracker[Money Discrepency],"&gt;="&amp;$AT43,Tracker[Money Discrepency],"&lt;"&amp;$AT44,Tracker[Bet Type],AY$1))/COUNTIFS(Tracker[Money Discrepency],"&gt;="&amp;$AT43,Tracker[Money Discrepency],"&lt;"&amp;$AT44,Tracker[Bet Type],AY$1),2)&gt;0.05,"X",IF(ROUND((SUMIFS(Tracker[Net],Tracker[Money Discrepency],"&gt;="&amp;$AT43,Tracker[Money Discrepency],"&lt;"&amp;$AT44,Tracker[Bet Type],AY$1))/COUNTIFS(Tracker[Money Discrepency],"&gt;="&amp;$AT43,Tracker[Money Discrepency],"&lt;"&amp;$AT44,Tracker[Bet Type],AY$1),2)&lt;-0.15,"O","")),"")</f>
        <v/>
      </c>
      <c r="AZ43" s="24" t="str">
        <f>IFERROR(IF(ROUND((SUMIFS(Tracker[Net],Tracker[Money Discrepency],"&gt;="&amp;$AT43,Tracker[Money Discrepency],"&lt;"&amp;$AT44,Tracker[Bet Type],AZ$1))/COUNTIFS(Tracker[Money Discrepency],"&gt;="&amp;$AT43,Tracker[Money Discrepency],"&lt;"&amp;$AT44,Tracker[Bet Type],AZ$1),2)&gt;0.05,"X",IF(ROUND((SUMIFS(Tracker[Net],Tracker[Money Discrepency],"&gt;="&amp;$AT43,Tracker[Money Discrepency],"&lt;"&amp;$AT44,Tracker[Bet Type],AZ$1))/COUNTIFS(Tracker[Money Discrepency],"&gt;="&amp;$AT43,Tracker[Money Discrepency],"&lt;"&amp;$AT44,Tracker[Bet Type],AZ$1),2)&lt;-0.15,"O","")),"")</f>
        <v/>
      </c>
      <c r="BA43" s="24" t="str">
        <f>IFERROR(IF(ROUND((SUMIFS(Tracker[Net],Tracker[Money Discrepency],"&gt;="&amp;$AT43,Tracker[Money Discrepency],"&lt;"&amp;$AT44,Tracker[Bet Type],BA$1))/COUNTIFS(Tracker[Money Discrepency],"&gt;="&amp;$AT43,Tracker[Money Discrepency],"&lt;"&amp;$AT44,Tracker[Bet Type],BA$1),2)&gt;0.05,"X",IF(ROUND((SUMIFS(Tracker[Net],Tracker[Money Discrepency],"&gt;="&amp;$AT43,Tracker[Money Discrepency],"&lt;"&amp;$AT44,Tracker[Bet Type],BA$1))/COUNTIFS(Tracker[Money Discrepency],"&gt;="&amp;$AT43,Tracker[Money Discrepency],"&lt;"&amp;$AT44,Tracker[Bet Type],BA$1),2)&lt;-0.15,"O","")),"")</f>
        <v/>
      </c>
      <c r="BB43" s="24" t="str">
        <f>IFERROR(IF(ROUND((SUMIFS(Tracker[Net],Tracker[Money Discrepency],"&gt;="&amp;$AT43,Tracker[Money Discrepency],"&lt;"&amp;$AT44,Tracker[Bet Type Drill Down],BB$1))/COUNTIFS(Tracker[Money Discrepency],"&gt;="&amp;$AT43,Tracker[Money Discrepency],"&lt;"&amp;$AT44,Tracker[Bet Type Drill Down],BB$1),2)&gt;0.05,"X",IF(ROUND((SUMIFS(Tracker[Net],Tracker[Money Discrepency],"&gt;="&amp;$AT43,Tracker[Money Discrepency],"&lt;"&amp;$AT44,Tracker[Bet Type Drill Down],BB$1))/COUNTIFS(Tracker[Money Discrepency],"&gt;="&amp;$AT43,Tracker[Money Discrepency],"&lt;"&amp;$AT44,Tracker[Bet Type Drill Down],BB$1),2)&lt;-0.15,"O","")),"")</f>
        <v/>
      </c>
      <c r="BC43" s="24" t="str">
        <f>IFERROR(IF(ROUND((SUMIFS(Tracker[Net],Tracker[Money Discrepency],"&gt;="&amp;$AT43,Tracker[Money Discrepency],"&lt;"&amp;$AT44,Tracker[Bet Type Drill Down],BC$1))/COUNTIFS(Tracker[Money Discrepency],"&gt;="&amp;$AT43,Tracker[Money Discrepency],"&lt;"&amp;$AT44,Tracker[Bet Type Drill Down],BC$1),2)&gt;0.05,"X",IF(ROUND((SUMIFS(Tracker[Net],Tracker[Money Discrepency],"&gt;="&amp;$AT43,Tracker[Money Discrepency],"&lt;"&amp;$AT44,Tracker[Bet Type Drill Down],BC$1))/COUNTIFS(Tracker[Money Discrepency],"&gt;="&amp;$AT43,Tracker[Money Discrepency],"&lt;"&amp;$AT44,Tracker[Bet Type Drill Down],BC$1),2)&lt;-0.15,"O","")),"")</f>
        <v/>
      </c>
      <c r="BD43" s="24" t="str">
        <f>IFERROR(IF(ROUND((SUMIFS(Tracker[Net],Tracker[Money Discrepency],"&gt;="&amp;$AT43,Tracker[Money Discrepency],"&lt;"&amp;$AT44,Tracker[Bet Type Drill Down],BD$1))/COUNTIFS(Tracker[Money Discrepency],"&gt;="&amp;$AT43,Tracker[Money Discrepency],"&lt;"&amp;$AT44,Tracker[Bet Type Drill Down],BD$1),2)&gt;0.05,"X",IF(ROUND((SUMIFS(Tracker[Net],Tracker[Money Discrepency],"&gt;="&amp;$AT43,Tracker[Money Discrepency],"&lt;"&amp;$AT44,Tracker[Bet Type Drill Down],BD$1))/COUNTIFS(Tracker[Money Discrepency],"&gt;="&amp;$AT43,Tracker[Money Discrepency],"&lt;"&amp;$AT44,Tracker[Bet Type Drill Down],BD$1),2)&lt;-0.15,"O","")),"")</f>
        <v/>
      </c>
      <c r="BE43" s="24" t="str">
        <f>IFERROR(IF(ROUND((SUMIFS(Tracker[Net],Tracker[Money Discrepency],"&gt;="&amp;$AT43,Tracker[Money Discrepency],"&lt;"&amp;$AT44,Tracker[Bet Type Drill Down],BE$1))/COUNTIFS(Tracker[Money Discrepency],"&gt;="&amp;$AT43,Tracker[Money Discrepency],"&lt;"&amp;$AT44,Tracker[Bet Type Drill Down],BE$1),2)&gt;0.05,"X",IF(ROUND((SUMIFS(Tracker[Net],Tracker[Money Discrepency],"&gt;="&amp;$AT43,Tracker[Money Discrepency],"&lt;"&amp;$AT44,Tracker[Bet Type Drill Down],BE$1))/COUNTIFS(Tracker[Money Discrepency],"&gt;="&amp;$AT43,Tracker[Money Discrepency],"&lt;"&amp;$AT44,Tracker[Bet Type Drill Down],BE$1),2)&lt;-0.15,"O","")),"")</f>
        <v/>
      </c>
    </row>
    <row r="44" spans="1:57" x14ac:dyDescent="0.25">
      <c r="A44" s="36">
        <f t="shared" si="9"/>
        <v>5</v>
      </c>
      <c r="B44" s="25">
        <v>43810</v>
      </c>
      <c r="C44" s="25" t="str">
        <f t="shared" si="31"/>
        <v>NBA</v>
      </c>
      <c r="D44" s="26" t="s">
        <v>860</v>
      </c>
      <c r="E44" s="28" t="s">
        <v>862</v>
      </c>
      <c r="F44" s="67">
        <v>0.66605438564873309</v>
      </c>
      <c r="G44" s="29">
        <v>-110</v>
      </c>
      <c r="H44" s="30" t="s">
        <v>56</v>
      </c>
      <c r="I4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4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4" s="32" t="str">
        <f>MID(Tracker[[#This Row],[Game]],SEARCH("@",Tracker[[#This Row],[Game]])+2,LEN(Tracker[[#This Row],[Game]]))</f>
        <v>Cavaliers</v>
      </c>
      <c r="L44" s="32" t="str">
        <f>LEFT(Tracker[[#This Row],[Game]],SEARCH("@",Tracker[[#This Row],[Game]])-2)</f>
        <v>Rockets</v>
      </c>
      <c r="M4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4" s="123"/>
      <c r="O44" s="147"/>
      <c r="P44" s="147"/>
      <c r="Q4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44" s="147" t="e">
        <f>IF(AND(Tracker[[#This Row],[Money %]]&lt;&gt;"",Tracker[[#This Row],[Bet %]]&lt;&gt;""),Tracker[[#This Row],[Money %]]-Tracker[[#This Row],[Bet %]],NA())</f>
        <v>#N/A</v>
      </c>
      <c r="S44" s="109"/>
      <c r="T44" s="109"/>
      <c r="U44" s="56">
        <f>IFERROR(INDEX($A$4:$B10040,MATCH(ROW()-3,$A$4:$A$4:$A1040,0),2),0)</f>
        <v>43885</v>
      </c>
      <c r="V44" s="33" t="str">
        <f>COUNTIFS(Tracker[Date],U44,Tracker[Result],"W")&amp;"-"&amp;COUNTIFS(Tracker[Date],U44,Tracker[Result],"L")&amp;IF(COUNTIFS(Tracker[Date],U44,Tracker[Result],"Push")&gt;0,"-"&amp;COUNTIFS(Tracker[Date],U44,Tracker[Result],"Push"),"")</f>
        <v>3-9</v>
      </c>
      <c r="W44" s="34">
        <f>IFERROR(COUNTIFS(Tracker[Date],U44,Tracker[Result],"W")/(COUNTIFS(Tracker[Date],U44,Tracker[Result],"W")+COUNTIFS(Tracker[Date],U44,Tracker[Result],"L")),"")</f>
        <v>0.25</v>
      </c>
      <c r="X44" s="61">
        <f>SUMIF(Tracker[Date],U44,Tracker[Net])</f>
        <v>-6.2727272727272725</v>
      </c>
      <c r="Y44" s="35" t="str">
        <f>IFERROR("("&amp;ROUND(SUMIF(Tracker[Date],U44,Tracker[Net])/COUNTIF(Tracker[Date],U44),2)*100&amp;"%)","")</f>
        <v>(-52%)</v>
      </c>
      <c r="Z44" s="78">
        <f t="shared" si="29"/>
        <v>1.600000000000001</v>
      </c>
    </row>
    <row r="45" spans="1:57" x14ac:dyDescent="0.25">
      <c r="A45" s="36">
        <f t="shared" si="9"/>
        <v>5</v>
      </c>
      <c r="B45" s="25">
        <v>43810</v>
      </c>
      <c r="C45" s="25" t="str">
        <f t="shared" si="31"/>
        <v>NBA</v>
      </c>
      <c r="D45" s="26" t="s">
        <v>863</v>
      </c>
      <c r="E45" s="28" t="s">
        <v>864</v>
      </c>
      <c r="F45" s="67">
        <v>0.57621446404216414</v>
      </c>
      <c r="G45" s="29">
        <v>-110</v>
      </c>
      <c r="H45" s="30" t="s">
        <v>57</v>
      </c>
      <c r="I4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5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5" s="32" t="str">
        <f>MID(Tracker[[#This Row],[Game]],SEARCH("@",Tracker[[#This Row],[Game]])+2,LEN(Tracker[[#This Row],[Game]]))</f>
        <v>Pacers</v>
      </c>
      <c r="L45" s="32" t="str">
        <f>LEFT(Tracker[[#This Row],[Game]],SEARCH("@",Tracker[[#This Row],[Game]])-2)</f>
        <v>Celtics</v>
      </c>
      <c r="M4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5" s="123"/>
      <c r="O45" s="147"/>
      <c r="P45" s="147"/>
      <c r="Q4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45" s="147" t="e">
        <f>IF(AND(Tracker[[#This Row],[Money %]]&lt;&gt;"",Tracker[[#This Row],[Bet %]]&lt;&gt;""),Tracker[[#This Row],[Money %]]-Tracker[[#This Row],[Bet %]],NA())</f>
        <v>#N/A</v>
      </c>
      <c r="S45" s="109"/>
      <c r="T45" s="109"/>
      <c r="U45" s="56">
        <f>IFERROR(INDEX($A$4:$B10041,MATCH(ROW()-3,$A$4:$A$4:$A1041,0),2),0)</f>
        <v>43886</v>
      </c>
      <c r="V45" s="33" t="str">
        <f>COUNTIFS(Tracker[Date],U45,Tracker[Result],"W")&amp;"-"&amp;COUNTIFS(Tracker[Date],U45,Tracker[Result],"L")&amp;IF(COUNTIFS(Tracker[Date],U45,Tracker[Result],"Push")&gt;0,"-"&amp;COUNTIFS(Tracker[Date],U45,Tracker[Result],"Push"),"")</f>
        <v>2-2</v>
      </c>
      <c r="W45" s="34">
        <f>IFERROR(COUNTIFS(Tracker[Date],U45,Tracker[Result],"W")/(COUNTIFS(Tracker[Date],U45,Tracker[Result],"W")+COUNTIFS(Tracker[Date],U45,Tracker[Result],"L")),"")</f>
        <v>0.5</v>
      </c>
      <c r="X45" s="61">
        <f>SUMIF(Tracker[Date],U45,Tracker[Net])</f>
        <v>-0.18181818181818177</v>
      </c>
      <c r="Y45" s="35" t="str">
        <f>IFERROR("("&amp;ROUND(SUMIF(Tracker[Date],U45,Tracker[Net])/COUNTIF(Tracker[Date],U45),2)*100&amp;"%)","")</f>
        <v>(-5%)</v>
      </c>
      <c r="Z45" s="78">
        <f t="shared" si="29"/>
        <v>1.650000000000001</v>
      </c>
    </row>
    <row r="46" spans="1:57" x14ac:dyDescent="0.25">
      <c r="A46" s="36">
        <f t="shared" si="9"/>
        <v>5</v>
      </c>
      <c r="B46" s="25">
        <v>43810</v>
      </c>
      <c r="C46" s="25" t="str">
        <f t="shared" si="31"/>
        <v>NBA</v>
      </c>
      <c r="D46" s="26" t="s">
        <v>865</v>
      </c>
      <c r="E46" s="28" t="s">
        <v>866</v>
      </c>
      <c r="F46" s="67">
        <v>0.62629515092177623</v>
      </c>
      <c r="G46" s="29">
        <v>-110</v>
      </c>
      <c r="H46" s="30" t="s">
        <v>56</v>
      </c>
      <c r="I4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6" s="40" t="str">
        <f>MID(Tracker[[#This Row],[Game]],SEARCH("@",Tracker[[#This Row],[Game]])+2,LEN(Tracker[[#This Row],[Game]]))</f>
        <v>Magic</v>
      </c>
      <c r="L46" s="40" t="str">
        <f>LEFT(Tracker[[#This Row],[Game]],SEARCH("@",Tracker[[#This Row],[Game]])-2)</f>
        <v>Lakers</v>
      </c>
      <c r="M4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6" s="123"/>
      <c r="O46" s="147"/>
      <c r="P46" s="147"/>
      <c r="Q46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46" s="147" t="e">
        <f>IF(AND(Tracker[[#This Row],[Money %]]&lt;&gt;"",Tracker[[#This Row],[Bet %]]&lt;&gt;""),Tracker[[#This Row],[Money %]]-Tracker[[#This Row],[Bet %]],NA())</f>
        <v>#N/A</v>
      </c>
      <c r="S46" s="109"/>
      <c r="T46" s="109"/>
      <c r="U46" s="56">
        <f>IFERROR(INDEX($A$4:$B10042,MATCH(ROW()-3,$A$4:$A$4:$A1042,0),2),0)</f>
        <v>43887</v>
      </c>
      <c r="V46" s="33" t="str">
        <f>COUNTIFS(Tracker[Date],U46,Tracker[Result],"W")&amp;"-"&amp;COUNTIFS(Tracker[Date],U46,Tracker[Result],"L")&amp;IF(COUNTIFS(Tracker[Date],U46,Tracker[Result],"Push")&gt;0,"-"&amp;COUNTIFS(Tracker[Date],U46,Tracker[Result],"Push"),"")</f>
        <v>9-7-1</v>
      </c>
      <c r="W46" s="34">
        <f>IFERROR(COUNTIFS(Tracker[Date],U46,Tracker[Result],"W")/(COUNTIFS(Tracker[Date],U46,Tracker[Result],"W")+COUNTIFS(Tracker[Date],U46,Tracker[Result],"L")),"")</f>
        <v>0.5625</v>
      </c>
      <c r="X46" s="61">
        <f>SUMIF(Tracker[Date],U46,Tracker[Net])</f>
        <v>1.1818181818181821</v>
      </c>
      <c r="Y46" s="35" t="str">
        <f>IFERROR("("&amp;ROUND(SUMIF(Tracker[Date],U46,Tracker[Net])/COUNTIF(Tracker[Date],U46),2)*100&amp;"%)","")</f>
        <v>(7%)</v>
      </c>
      <c r="Z46" s="78">
        <f t="shared" si="29"/>
        <v>1.7000000000000011</v>
      </c>
    </row>
    <row r="47" spans="1:57" x14ac:dyDescent="0.25">
      <c r="A47" s="36">
        <f t="shared" si="9"/>
        <v>5</v>
      </c>
      <c r="B47" s="25">
        <v>43810</v>
      </c>
      <c r="C47" s="25" t="str">
        <f t="shared" si="31"/>
        <v>NBA</v>
      </c>
      <c r="D47" s="26" t="s">
        <v>867</v>
      </c>
      <c r="E47" s="28" t="s">
        <v>868</v>
      </c>
      <c r="F47" s="67">
        <v>0.64916228573661439</v>
      </c>
      <c r="G47" s="29">
        <v>-110</v>
      </c>
      <c r="H47" s="30" t="s">
        <v>56</v>
      </c>
      <c r="I4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7" s="40" t="str">
        <f>MID(Tracker[[#This Row],[Game]],SEARCH("@",Tracker[[#This Row],[Game]])+2,LEN(Tracker[[#This Row],[Game]]))</f>
        <v>Raptors</v>
      </c>
      <c r="L47" s="40" t="str">
        <f>LEFT(Tracker[[#This Row],[Game]],SEARCH("@",Tracker[[#This Row],[Game]])-2)</f>
        <v>Clippers</v>
      </c>
      <c r="M4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7" s="123"/>
      <c r="O47" s="147"/>
      <c r="P47" s="147"/>
      <c r="Q47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47" s="147" t="e">
        <f>IF(AND(Tracker[[#This Row],[Money %]]&lt;&gt;"",Tracker[[#This Row],[Bet %]]&lt;&gt;""),Tracker[[#This Row],[Money %]]-Tracker[[#This Row],[Bet %]],NA())</f>
        <v>#N/A</v>
      </c>
      <c r="S47" s="109"/>
      <c r="T47" s="109"/>
      <c r="U47" s="56">
        <f>IFERROR(INDEX($A$4:$B10043,MATCH(ROW()-3,$A$4:$A$4:$A1043,0),2),0)</f>
        <v>43889</v>
      </c>
      <c r="V47" s="33" t="str">
        <f>COUNTIFS(Tracker[Date],U47,Tracker[Result],"W")&amp;"-"&amp;COUNTIFS(Tracker[Date],U47,Tracker[Result],"L")&amp;IF(COUNTIFS(Tracker[Date],U47,Tracker[Result],"Push")&gt;0,"-"&amp;COUNTIFS(Tracker[Date],U47,Tracker[Result],"Push"),"")</f>
        <v>7-12-1</v>
      </c>
      <c r="W47" s="34">
        <f>IFERROR(COUNTIFS(Tracker[Date],U47,Tracker[Result],"W")/(COUNTIFS(Tracker[Date],U47,Tracker[Result],"W")+COUNTIFS(Tracker[Date],U47,Tracker[Result],"L")),"")</f>
        <v>0.36842105263157893</v>
      </c>
      <c r="X47" s="61">
        <f>SUMIF(Tracker[Date],U47,Tracker[Net])</f>
        <v>-5.6363636363636358</v>
      </c>
      <c r="Y47" s="35" t="str">
        <f>IFERROR("("&amp;ROUND(SUMIF(Tracker[Date],U47,Tracker[Net])/COUNTIF(Tracker[Date],U47),2)*100&amp;"%)","")</f>
        <v>(-28%)</v>
      </c>
      <c r="Z47" s="78">
        <f t="shared" si="29"/>
        <v>1.7500000000000011</v>
      </c>
    </row>
    <row r="48" spans="1:57" x14ac:dyDescent="0.25">
      <c r="A48" s="36">
        <f t="shared" si="9"/>
        <v>5</v>
      </c>
      <c r="B48" s="25">
        <v>43810</v>
      </c>
      <c r="C48" s="25" t="str">
        <f t="shared" si="31"/>
        <v>NBA</v>
      </c>
      <c r="D48" s="26" t="s">
        <v>869</v>
      </c>
      <c r="E48" s="28" t="s">
        <v>870</v>
      </c>
      <c r="F48" s="67">
        <v>0.57857885167640066</v>
      </c>
      <c r="G48" s="29">
        <v>-110</v>
      </c>
      <c r="H48" s="30" t="s">
        <v>56</v>
      </c>
      <c r="I4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8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48" s="32" t="str">
        <f>MID(Tracker[[#This Row],[Game]],SEARCH("@",Tracker[[#This Row],[Game]])+2,LEN(Tracker[[#This Row],[Game]]))</f>
        <v>Nets</v>
      </c>
      <c r="L48" s="32" t="str">
        <f>LEFT(Tracker[[#This Row],[Game]],SEARCH("@",Tracker[[#This Row],[Game]])-2)</f>
        <v>Hornets</v>
      </c>
      <c r="M4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48" s="123"/>
      <c r="O48" s="147"/>
      <c r="P48" s="147"/>
      <c r="Q48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48" s="147" t="e">
        <f>IF(AND(Tracker[[#This Row],[Money %]]&lt;&gt;"",Tracker[[#This Row],[Bet %]]&lt;&gt;""),Tracker[[#This Row],[Money %]]-Tracker[[#This Row],[Bet %]],NA())</f>
        <v>#N/A</v>
      </c>
      <c r="S48" s="109"/>
      <c r="T48" s="109"/>
      <c r="U48" s="56">
        <f>IFERROR(INDEX($A$4:$B10044,MATCH(ROW()-3,$A$4:$A$4:$A1044,0),2),0)</f>
        <v>43892</v>
      </c>
      <c r="V48" s="33" t="str">
        <f>COUNTIFS(Tracker[Date],U48,Tracker[Result],"W")&amp;"-"&amp;COUNTIFS(Tracker[Date],U48,Tracker[Result],"L")&amp;IF(COUNTIFS(Tracker[Date],U48,Tracker[Result],"Push")&gt;0,"-"&amp;COUNTIFS(Tracker[Date],U48,Tracker[Result],"Push"),"")</f>
        <v>9-5</v>
      </c>
      <c r="W48" s="34">
        <f>IFERROR(COUNTIFS(Tracker[Date],U48,Tracker[Result],"W")/(COUNTIFS(Tracker[Date],U48,Tracker[Result],"W")+COUNTIFS(Tracker[Date],U48,Tracker[Result],"L")),"")</f>
        <v>0.6428571428571429</v>
      </c>
      <c r="X48" s="61">
        <f>SUMIF(Tracker[Date],U48,Tracker[Net])</f>
        <v>3.1818181818181817</v>
      </c>
      <c r="Y48" s="35" t="str">
        <f>IFERROR("("&amp;ROUND(SUMIF(Tracker[Date],U48,Tracker[Net])/COUNTIF(Tracker[Date],U48),2)*100&amp;"%)","")</f>
        <v>(23%)</v>
      </c>
      <c r="Z48" s="78">
        <f t="shared" si="29"/>
        <v>1.8000000000000012</v>
      </c>
    </row>
    <row r="49" spans="1:26" x14ac:dyDescent="0.25">
      <c r="A49" s="36">
        <f t="shared" si="9"/>
        <v>5</v>
      </c>
      <c r="B49" s="25">
        <v>43810</v>
      </c>
      <c r="C49" s="25" t="str">
        <f t="shared" si="31"/>
        <v>NBA</v>
      </c>
      <c r="D49" s="26" t="s">
        <v>871</v>
      </c>
      <c r="E49" s="28" t="s">
        <v>872</v>
      </c>
      <c r="F49" s="67">
        <v>0.57334520034473202</v>
      </c>
      <c r="G49" s="29">
        <v>-110</v>
      </c>
      <c r="H49" s="30" t="s">
        <v>56</v>
      </c>
      <c r="I4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9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49" s="32" t="str">
        <f>MID(Tracker[[#This Row],[Game]],SEARCH("@",Tracker[[#This Row],[Game]])+2,LEN(Tracker[[#This Row],[Game]]))</f>
        <v>Timberwolves</v>
      </c>
      <c r="L49" s="32" t="str">
        <f>LEFT(Tracker[[#This Row],[Game]],SEARCH("@",Tracker[[#This Row],[Game]])-2)</f>
        <v>Jazz</v>
      </c>
      <c r="M4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49" s="123"/>
      <c r="O49" s="147"/>
      <c r="P49" s="147"/>
      <c r="Q49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49" s="147" t="e">
        <f>IF(AND(Tracker[[#This Row],[Money %]]&lt;&gt;"",Tracker[[#This Row],[Bet %]]&lt;&gt;""),Tracker[[#This Row],[Money %]]-Tracker[[#This Row],[Bet %]],NA())</f>
        <v>#N/A</v>
      </c>
      <c r="S49" s="109"/>
      <c r="T49" s="109"/>
      <c r="U49" s="56">
        <f>IFERROR(INDEX($A$4:$B10045,MATCH(ROW()-3,$A$4:$A$4:$A1045,0),2),0)</f>
        <v>43893</v>
      </c>
      <c r="V49" s="33" t="str">
        <f>COUNTIFS(Tracker[Date],U49,Tracker[Result],"W")&amp;"-"&amp;COUNTIFS(Tracker[Date],U49,Tracker[Result],"L")&amp;IF(COUNTIFS(Tracker[Date],U49,Tracker[Result],"Push")&gt;0,"-"&amp;COUNTIFS(Tracker[Date],U49,Tracker[Result],"Push"),"")</f>
        <v>7-9</v>
      </c>
      <c r="W49" s="34">
        <f>IFERROR(COUNTIFS(Tracker[Date],U49,Tracker[Result],"W")/(COUNTIFS(Tracker[Date],U49,Tracker[Result],"W")+COUNTIFS(Tracker[Date],U49,Tracker[Result],"L")),"")</f>
        <v>0.4375</v>
      </c>
      <c r="X49" s="61">
        <f>SUMIF(Tracker[Date],U49,Tracker[Net])</f>
        <v>-2.6363636363636358</v>
      </c>
      <c r="Y49" s="35" t="str">
        <f>IFERROR("("&amp;ROUND(SUMIF(Tracker[Date],U49,Tracker[Net])/COUNTIF(Tracker[Date],U49),2)*100&amp;"%)","")</f>
        <v>(-16%)</v>
      </c>
      <c r="Z49" s="78">
        <f t="shared" si="29"/>
        <v>1.8500000000000012</v>
      </c>
    </row>
    <row r="50" spans="1:26" x14ac:dyDescent="0.25">
      <c r="A50" s="36">
        <f t="shared" si="9"/>
        <v>5</v>
      </c>
      <c r="B50" s="25">
        <v>43810</v>
      </c>
      <c r="C50" s="25" t="str">
        <f t="shared" si="31"/>
        <v>NBA</v>
      </c>
      <c r="D50" s="26" t="s">
        <v>871</v>
      </c>
      <c r="E50" s="28" t="s">
        <v>868</v>
      </c>
      <c r="F50" s="67">
        <v>0.65386241666877043</v>
      </c>
      <c r="G50" s="29">
        <v>-110</v>
      </c>
      <c r="H50" s="30" t="s">
        <v>57</v>
      </c>
      <c r="I5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50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50" s="32" t="str">
        <f>MID(Tracker[[#This Row],[Game]],SEARCH("@",Tracker[[#This Row],[Game]])+2,LEN(Tracker[[#This Row],[Game]]))</f>
        <v>Timberwolves</v>
      </c>
      <c r="L50" s="32" t="str">
        <f>LEFT(Tracker[[#This Row],[Game]],SEARCH("@",Tracker[[#This Row],[Game]])-2)</f>
        <v>Jazz</v>
      </c>
      <c r="M5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50" s="123"/>
      <c r="O50" s="147"/>
      <c r="P50" s="147"/>
      <c r="Q50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50" s="147" t="e">
        <f>IF(AND(Tracker[[#This Row],[Money %]]&lt;&gt;"",Tracker[[#This Row],[Bet %]]&lt;&gt;""),Tracker[[#This Row],[Money %]]-Tracker[[#This Row],[Bet %]],NA())</f>
        <v>#N/A</v>
      </c>
      <c r="S50" s="109"/>
      <c r="T50" s="109"/>
      <c r="U50" s="56">
        <f>IFERROR(INDEX($A$4:$B10046,MATCH(ROW()-3,$A$4:$A$4:$A1046,0),2),0)</f>
        <v>43894</v>
      </c>
      <c r="V50" s="33" t="str">
        <f>COUNTIFS(Tracker[Date],U50,Tracker[Result],"W")&amp;"-"&amp;COUNTIFS(Tracker[Date],U50,Tracker[Result],"L")&amp;IF(COUNTIFS(Tracker[Date],U50,Tracker[Result],"Push")&gt;0,"-"&amp;COUNTIFS(Tracker[Date],U50,Tracker[Result],"Push"),"")</f>
        <v>8-9-1</v>
      </c>
      <c r="W50" s="34">
        <f>IFERROR(COUNTIFS(Tracker[Date],U50,Tracker[Result],"W")/(COUNTIFS(Tracker[Date],U50,Tracker[Result],"W")+COUNTIFS(Tracker[Date],U50,Tracker[Result],"L")),"")</f>
        <v>0.47058823529411764</v>
      </c>
      <c r="X50" s="61">
        <f>SUMIF(Tracker[Date],U50,Tracker[Net])</f>
        <v>-1.7272727272727271</v>
      </c>
      <c r="Y50" s="35" t="str">
        <f>IFERROR("("&amp;ROUND(SUMIF(Tracker[Date],U50,Tracker[Net])/COUNTIF(Tracker[Date],U50),2)*100&amp;"%)","")</f>
        <v>(-10%)</v>
      </c>
      <c r="Z50" s="78">
        <f t="shared" si="29"/>
        <v>1.9000000000000012</v>
      </c>
    </row>
    <row r="51" spans="1:26" x14ac:dyDescent="0.25">
      <c r="A51" s="36">
        <f t="shared" si="9"/>
        <v>5</v>
      </c>
      <c r="B51" s="25">
        <v>43810</v>
      </c>
      <c r="C51" s="25" t="str">
        <f t="shared" si="31"/>
        <v>NBA</v>
      </c>
      <c r="D51" s="26" t="s">
        <v>873</v>
      </c>
      <c r="E51" s="28" t="s">
        <v>874</v>
      </c>
      <c r="F51" s="67">
        <v>0.64673785610650536</v>
      </c>
      <c r="G51" s="29">
        <v>-110</v>
      </c>
      <c r="H51" s="30" t="s">
        <v>56</v>
      </c>
      <c r="I5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51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51" s="32" t="str">
        <f>MID(Tracker[[#This Row],[Game]],SEARCH("@",Tracker[[#This Row],[Game]])+2,LEN(Tracker[[#This Row],[Game]]))</f>
        <v>Suns</v>
      </c>
      <c r="L51" s="32" t="str">
        <f>LEFT(Tracker[[#This Row],[Game]],SEARCH("@",Tracker[[#This Row],[Game]])-2)</f>
        <v>Grizzlies</v>
      </c>
      <c r="M5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51" s="123"/>
      <c r="O51" s="147"/>
      <c r="P51" s="147"/>
      <c r="Q51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51" s="147" t="e">
        <f>IF(AND(Tracker[[#This Row],[Money %]]&lt;&gt;"",Tracker[[#This Row],[Bet %]]&lt;&gt;""),Tracker[[#This Row],[Money %]]-Tracker[[#This Row],[Bet %]],NA())</f>
        <v>#N/A</v>
      </c>
      <c r="S51" s="109"/>
      <c r="T51" s="109"/>
      <c r="U51" s="56">
        <f>IFERROR(INDEX($A$4:$B10047,MATCH(ROW()-3,$A$4:$A$4:$A1047,0),2),0)</f>
        <v>43895</v>
      </c>
      <c r="V51" s="33" t="str">
        <f>COUNTIFS(Tracker[Date],U51,Tracker[Result],"W")&amp;"-"&amp;COUNTIFS(Tracker[Date],U51,Tracker[Result],"L")&amp;IF(COUNTIFS(Tracker[Date],U51,Tracker[Result],"Push")&gt;0,"-"&amp;COUNTIFS(Tracker[Date],U51,Tracker[Result],"Push"),"")</f>
        <v>4-4</v>
      </c>
      <c r="W51" s="34">
        <f>IFERROR(COUNTIFS(Tracker[Date],U51,Tracker[Result],"W")/(COUNTIFS(Tracker[Date],U51,Tracker[Result],"W")+COUNTIFS(Tracker[Date],U51,Tracker[Result],"L")),"")</f>
        <v>0.5</v>
      </c>
      <c r="X51" s="61">
        <f>SUMIF(Tracker[Date],U51,Tracker[Net])</f>
        <v>-0.36363636363636376</v>
      </c>
      <c r="Y51" s="35" t="str">
        <f>IFERROR("("&amp;ROUND(SUMIF(Tracker[Date],U51,Tracker[Net])/COUNTIF(Tracker[Date],U51),2)*100&amp;"%)","")</f>
        <v>(-5%)</v>
      </c>
      <c r="Z51" s="78">
        <f t="shared" si="29"/>
        <v>1.9500000000000013</v>
      </c>
    </row>
    <row r="52" spans="1:26" x14ac:dyDescent="0.25">
      <c r="A52" s="36">
        <f t="shared" si="9"/>
        <v>5</v>
      </c>
      <c r="B52" s="25">
        <v>43810</v>
      </c>
      <c r="C52" s="25" t="str">
        <f t="shared" si="31"/>
        <v>NBA</v>
      </c>
      <c r="D52" s="26" t="s">
        <v>875</v>
      </c>
      <c r="E52" s="28" t="s">
        <v>882</v>
      </c>
      <c r="F52" s="67">
        <v>0.59072753698364544</v>
      </c>
      <c r="G52" s="29">
        <v>-110</v>
      </c>
      <c r="H52" s="30" t="s">
        <v>57</v>
      </c>
      <c r="I5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52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52" s="32" t="str">
        <f>MID(Tracker[[#This Row],[Game]],SEARCH("@",Tracker[[#This Row],[Game]])+2,LEN(Tracker[[#This Row],[Game]]))</f>
        <v>Bucks</v>
      </c>
      <c r="L52" s="32" t="str">
        <f>LEFT(Tracker[[#This Row],[Game]],SEARCH("@",Tracker[[#This Row],[Game]])-2)</f>
        <v>Pelicans</v>
      </c>
      <c r="M5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52" s="123"/>
      <c r="O52" s="147"/>
      <c r="P52" s="147"/>
      <c r="Q52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52" s="147" t="e">
        <f>IF(AND(Tracker[[#This Row],[Money %]]&lt;&gt;"",Tracker[[#This Row],[Bet %]]&lt;&gt;""),Tracker[[#This Row],[Money %]]-Tracker[[#This Row],[Bet %]],NA())</f>
        <v>#N/A</v>
      </c>
      <c r="S52" s="109"/>
      <c r="T52" s="109"/>
      <c r="U52" s="56">
        <f>IFERROR(INDEX($A$4:$B10048,MATCH(ROW()-3,$A$4:$A$4:$A1048,0),2),0)</f>
        <v>43896</v>
      </c>
      <c r="V52" s="33" t="str">
        <f>COUNTIFS(Tracker[Date],U52,Tracker[Result],"W")&amp;"-"&amp;COUNTIFS(Tracker[Date],U52,Tracker[Result],"L")&amp;IF(COUNTIFS(Tracker[Date],U52,Tracker[Result],"Push")&gt;0,"-"&amp;COUNTIFS(Tracker[Date],U52,Tracker[Result],"Push"),"")</f>
        <v>10-10</v>
      </c>
      <c r="W52" s="34">
        <f>IFERROR(COUNTIFS(Tracker[Date],U52,Tracker[Result],"W")/(COUNTIFS(Tracker[Date],U52,Tracker[Result],"W")+COUNTIFS(Tracker[Date],U52,Tracker[Result],"L")),"")</f>
        <v>0.5</v>
      </c>
      <c r="X52" s="61">
        <f>SUMIF(Tracker[Date],U52,Tracker[Net])</f>
        <v>-0.90909090909090862</v>
      </c>
      <c r="Y52" s="35" t="str">
        <f>IFERROR("("&amp;ROUND(SUMIF(Tracker[Date],U52,Tracker[Net])/COUNTIF(Tracker[Date],U52),2)*100&amp;"%)","")</f>
        <v>(-5%)</v>
      </c>
      <c r="Z52" s="78">
        <f t="shared" si="29"/>
        <v>2.0000000000000013</v>
      </c>
    </row>
    <row r="53" spans="1:26" x14ac:dyDescent="0.25">
      <c r="A53" s="36">
        <f t="shared" si="9"/>
        <v>5</v>
      </c>
      <c r="B53" s="25">
        <v>43810</v>
      </c>
      <c r="C53" s="25" t="str">
        <f t="shared" si="31"/>
        <v>NBA</v>
      </c>
      <c r="D53" s="26" t="s">
        <v>875</v>
      </c>
      <c r="E53" s="28" t="s">
        <v>874</v>
      </c>
      <c r="F53" s="67">
        <v>0.71325741532523557</v>
      </c>
      <c r="G53" s="29">
        <v>-110</v>
      </c>
      <c r="H53" s="30" t="s">
        <v>57</v>
      </c>
      <c r="I5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53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53" s="32" t="str">
        <f>MID(Tracker[[#This Row],[Game]],SEARCH("@",Tracker[[#This Row],[Game]])+2,LEN(Tracker[[#This Row],[Game]]))</f>
        <v>Bucks</v>
      </c>
      <c r="L53" s="32" t="str">
        <f>LEFT(Tracker[[#This Row],[Game]],SEARCH("@",Tracker[[#This Row],[Game]])-2)</f>
        <v>Pelicans</v>
      </c>
      <c r="M5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53" s="123"/>
      <c r="O53" s="147"/>
      <c r="P53" s="147"/>
      <c r="Q53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53" s="147" t="e">
        <f>IF(AND(Tracker[[#This Row],[Money %]]&lt;&gt;"",Tracker[[#This Row],[Bet %]]&lt;&gt;""),Tracker[[#This Row],[Money %]]-Tracker[[#This Row],[Bet %]],NA())</f>
        <v>#N/A</v>
      </c>
      <c r="S53" s="109"/>
      <c r="T53" s="109"/>
      <c r="U53" s="56">
        <f>IFERROR(INDEX($A$4:$B10049,MATCH(ROW()-3,$A$4:$A$4:$A1049,0),2),0)</f>
        <v>43899</v>
      </c>
      <c r="V53" s="33" t="str">
        <f>COUNTIFS(Tracker[Date],U53,Tracker[Result],"W")&amp;"-"&amp;COUNTIFS(Tracker[Date],U53,Tracker[Result],"L")&amp;IF(COUNTIFS(Tracker[Date],U53,Tracker[Result],"Push")&gt;0,"-"&amp;COUNTIFS(Tracker[Date],U53,Tracker[Result],"Push"),"")</f>
        <v>3-3</v>
      </c>
      <c r="W53" s="34">
        <f>IFERROR(COUNTIFS(Tracker[Date],U53,Tracker[Result],"W")/(COUNTIFS(Tracker[Date],U53,Tracker[Result],"W")+COUNTIFS(Tracker[Date],U53,Tracker[Result],"L")),"")</f>
        <v>0.5</v>
      </c>
      <c r="X53" s="61">
        <f>SUMIF(Tracker[Date],U53,Tracker[Net])</f>
        <v>-0.2727272727272726</v>
      </c>
      <c r="Y53" s="35" t="str">
        <f>IFERROR("("&amp;ROUND(SUMIF(Tracker[Date],U53,Tracker[Net])/COUNTIF(Tracker[Date],U53),2)*100&amp;"%)","")</f>
        <v>(-5%)</v>
      </c>
      <c r="Z53" s="78">
        <f t="shared" si="29"/>
        <v>2.0500000000000012</v>
      </c>
    </row>
    <row r="54" spans="1:26" x14ac:dyDescent="0.25">
      <c r="A54" s="36">
        <f t="shared" si="9"/>
        <v>5</v>
      </c>
      <c r="B54" s="25">
        <v>43810</v>
      </c>
      <c r="C54" s="25" t="str">
        <f t="shared" si="31"/>
        <v>NBA</v>
      </c>
      <c r="D54" s="26" t="s">
        <v>876</v>
      </c>
      <c r="E54" s="28" t="s">
        <v>877</v>
      </c>
      <c r="F54" s="67">
        <v>0.62926953690303011</v>
      </c>
      <c r="G54" s="29">
        <v>-110</v>
      </c>
      <c r="H54" s="30" t="s">
        <v>56</v>
      </c>
      <c r="I5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54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54" s="32" t="str">
        <f>MID(Tracker[[#This Row],[Game]],SEARCH("@",Tracker[[#This Row],[Game]])+2,LEN(Tracker[[#This Row],[Game]]))</f>
        <v>Kings</v>
      </c>
      <c r="L54" s="32" t="str">
        <f>LEFT(Tracker[[#This Row],[Game]],SEARCH("@",Tracker[[#This Row],[Game]])-2)</f>
        <v>Thunder</v>
      </c>
      <c r="M5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54" s="123"/>
      <c r="O54" s="147"/>
      <c r="P54" s="147"/>
      <c r="Q5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54" s="147" t="e">
        <f>IF(AND(Tracker[[#This Row],[Money %]]&lt;&gt;"",Tracker[[#This Row],[Bet %]]&lt;&gt;""),Tracker[[#This Row],[Money %]]-Tracker[[#This Row],[Bet %]],NA())</f>
        <v>#N/A</v>
      </c>
      <c r="S54" s="109"/>
      <c r="T54" s="109"/>
      <c r="U54" s="56">
        <f>IFERROR(INDEX($A$4:$B10050,MATCH(ROW()-3,$A$4:$A$4:$A1050,0),2),0)</f>
        <v>43900</v>
      </c>
      <c r="V54" s="33" t="str">
        <f>COUNTIFS(Tracker[Date],U54,Tracker[Result],"W")&amp;"-"&amp;COUNTIFS(Tracker[Date],U54,Tracker[Result],"L")&amp;IF(COUNTIFS(Tracker[Date],U54,Tracker[Result],"Push")&gt;0,"-"&amp;COUNTIFS(Tracker[Date],U54,Tracker[Result],"Push"),"")</f>
        <v>11-6-1</v>
      </c>
      <c r="W54" s="34">
        <f>IFERROR(COUNTIFS(Tracker[Date],U54,Tracker[Result],"W")/(COUNTIFS(Tracker[Date],U54,Tracker[Result],"W")+COUNTIFS(Tracker[Date],U54,Tracker[Result],"L")),"")</f>
        <v>0.6470588235294118</v>
      </c>
      <c r="X54" s="61">
        <f>SUMIF(Tracker[Date],U54,Tracker[Net])</f>
        <v>4</v>
      </c>
      <c r="Y54" s="35" t="str">
        <f>IFERROR("("&amp;ROUND(SUMIF(Tracker[Date],U54,Tracker[Net])/COUNTIF(Tracker[Date],U54),2)*100&amp;"%)","")</f>
        <v>(22%)</v>
      </c>
      <c r="Z54" s="78">
        <f t="shared" si="29"/>
        <v>2.100000000000001</v>
      </c>
    </row>
    <row r="55" spans="1:26" x14ac:dyDescent="0.25">
      <c r="A55" s="36">
        <f t="shared" si="9"/>
        <v>5</v>
      </c>
      <c r="B55" s="25">
        <v>43810</v>
      </c>
      <c r="C55" s="25" t="str">
        <f t="shared" si="31"/>
        <v>NBA</v>
      </c>
      <c r="D55" s="26" t="s">
        <v>878</v>
      </c>
      <c r="E55" s="28" t="s">
        <v>879</v>
      </c>
      <c r="F55" s="67">
        <v>0.5984865310427403</v>
      </c>
      <c r="G55" s="29">
        <v>-110</v>
      </c>
      <c r="H55" s="30" t="s">
        <v>56</v>
      </c>
      <c r="I5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55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55" s="32" t="str">
        <f>MID(Tracker[[#This Row],[Game]],SEARCH("@",Tracker[[#This Row],[Game]])+2,LEN(Tracker[[#This Row],[Game]]))</f>
        <v>Warriors</v>
      </c>
      <c r="L55" s="32" t="str">
        <f>LEFT(Tracker[[#This Row],[Game]],SEARCH("@",Tracker[[#This Row],[Game]])-2)</f>
        <v>Knicks</v>
      </c>
      <c r="M5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55" s="123"/>
      <c r="O55" s="147"/>
      <c r="P55" s="147"/>
      <c r="Q5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55" s="147" t="e">
        <f>IF(AND(Tracker[[#This Row],[Money %]]&lt;&gt;"",Tracker[[#This Row],[Bet %]]&lt;&gt;""),Tracker[[#This Row],[Money %]]-Tracker[[#This Row],[Bet %]],NA())</f>
        <v>#N/A</v>
      </c>
      <c r="S55" s="109"/>
      <c r="T55" s="109"/>
      <c r="U55" s="56">
        <f>IFERROR(INDEX($A$4:$B10051,MATCH(ROW()-3,$A$4:$A$4:$A1051,0),2),0)</f>
        <v>43901</v>
      </c>
      <c r="V55" s="33" t="str">
        <f>COUNTIFS(Tracker[Date],U55,Tracker[Result],"W")&amp;"-"&amp;COUNTIFS(Tracker[Date],U55,Tracker[Result],"L")&amp;IF(COUNTIFS(Tracker[Date],U55,Tracker[Result],"Push")&gt;0,"-"&amp;COUNTIFS(Tracker[Date],U55,Tracker[Result],"Push"),"")</f>
        <v>3-5-4</v>
      </c>
      <c r="W55" s="34">
        <f>IFERROR(COUNTIFS(Tracker[Date],U55,Tracker[Result],"W")/(COUNTIFS(Tracker[Date],U55,Tracker[Result],"W")+COUNTIFS(Tracker[Date],U55,Tracker[Result],"L")),"")</f>
        <v>0.375</v>
      </c>
      <c r="X55" s="61">
        <f>SUMIF(Tracker[Date],U55,Tracker[Net])</f>
        <v>-2.2727272727272725</v>
      </c>
      <c r="Y55" s="35" t="str">
        <f>IFERROR("("&amp;ROUND(SUMIF(Tracker[Date],U55,Tracker[Net])/COUNTIF(Tracker[Date],U55),2)*100&amp;"%)","")</f>
        <v>(-19%)</v>
      </c>
      <c r="Z55" s="78">
        <f t="shared" si="29"/>
        <v>2.1500000000000008</v>
      </c>
    </row>
    <row r="56" spans="1:26" ht="75" x14ac:dyDescent="0.25">
      <c r="A56" s="36">
        <f t="shared" si="9"/>
        <v>5</v>
      </c>
      <c r="B56" s="25">
        <v>43810</v>
      </c>
      <c r="C56" s="25" t="str">
        <f t="shared" si="31"/>
        <v>NBA</v>
      </c>
      <c r="D56" s="51" t="s">
        <v>880</v>
      </c>
      <c r="E56" s="68" t="s">
        <v>881</v>
      </c>
      <c r="F56" s="73" t="s">
        <v>846</v>
      </c>
      <c r="G56" s="29">
        <v>163</v>
      </c>
      <c r="H56" s="30" t="s">
        <v>57</v>
      </c>
      <c r="I5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56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P</v>
      </c>
      <c r="K56" s="32" t="str">
        <f>MID(Tracker[[#This Row],[Game]],SEARCH("@",Tracker[[#This Row],[Game]])+2,LEN(Tracker[[#This Row],[Game]]))</f>
        <v>Cavaliers
Lakers @ Magic
Hornets @ Nets
Grizzlies @ Suns
Pelicans @ Bucks</v>
      </c>
      <c r="L56" s="32" t="str">
        <f>LEFT(Tracker[[#This Row],[Game]],SEARCH("@",Tracker[[#This Row],[Game]])-2)</f>
        <v>Rockets</v>
      </c>
      <c r="M5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P</v>
      </c>
      <c r="N56" s="123"/>
      <c r="O56" s="147"/>
      <c r="P56" s="147"/>
      <c r="Q56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56" s="147" t="e">
        <f>IF(AND(Tracker[[#This Row],[Money %]]&lt;&gt;"",Tracker[[#This Row],[Bet %]]&lt;&gt;""),Tracker[[#This Row],[Money %]]-Tracker[[#This Row],[Bet %]],NA())</f>
        <v>#N/A</v>
      </c>
      <c r="S56" s="109"/>
      <c r="T56" s="109"/>
      <c r="U56" s="56">
        <f>IFERROR(INDEX($A$4:$B10052,MATCH(ROW()-3,$A$4:$A$4:$A1052,0),2),0)</f>
        <v>0</v>
      </c>
      <c r="V56" s="33" t="str">
        <f>COUNTIFS(Tracker[Date],U56,Tracker[Result],"W")&amp;"-"&amp;COUNTIFS(Tracker[Date],U56,Tracker[Result],"L")&amp;IF(COUNTIFS(Tracker[Date],U56,Tracker[Result],"Push")&gt;0,"-"&amp;COUNTIFS(Tracker[Date],U56,Tracker[Result],"Push"),"")</f>
        <v>0-0</v>
      </c>
      <c r="W56" s="34" t="str">
        <f>IFERROR(COUNTIFS(Tracker[Date],U56,Tracker[Result],"W")/(COUNTIFS(Tracker[Date],U56,Tracker[Result],"W")+COUNTIFS(Tracker[Date],U56,Tracker[Result],"L")),"")</f>
        <v/>
      </c>
      <c r="X56" s="61">
        <f>SUMIF(Tracker[Date],U56,Tracker[Net])</f>
        <v>0</v>
      </c>
      <c r="Y56" s="35" t="str">
        <f>IFERROR("("&amp;ROUND(SUMIF(Tracker[Date],U56,Tracker[Net])/COUNTIF(Tracker[Date],U56),2)*100&amp;"%)","")</f>
        <v/>
      </c>
      <c r="Z56" s="78">
        <f t="shared" si="29"/>
        <v>2.2000000000000006</v>
      </c>
    </row>
    <row r="57" spans="1:26" x14ac:dyDescent="0.25">
      <c r="A57" s="36">
        <f t="shared" si="9"/>
        <v>6</v>
      </c>
      <c r="B57" s="25">
        <v>43811</v>
      </c>
      <c r="C57" s="25" t="str">
        <f t="shared" si="31"/>
        <v>NBA</v>
      </c>
      <c r="D57" s="26" t="s">
        <v>883</v>
      </c>
      <c r="E57" s="28" t="s">
        <v>884</v>
      </c>
      <c r="F57" s="67">
        <v>0.57317960013472247</v>
      </c>
      <c r="G57" s="29">
        <v>-110</v>
      </c>
      <c r="H57" s="29" t="s">
        <v>57</v>
      </c>
      <c r="I5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57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57" s="32" t="str">
        <f>MID(Tracker[[#This Row],[Game]],SEARCH("@",Tracker[[#This Row],[Game]])+2,LEN(Tracker[[#This Row],[Game]]))</f>
        <v>Celtics</v>
      </c>
      <c r="L57" s="32" t="str">
        <f>LEFT(Tracker[[#This Row],[Game]],SEARCH("@",Tracker[[#This Row],[Game]])-2)</f>
        <v>76ers</v>
      </c>
      <c r="M5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57" s="123"/>
      <c r="O57" s="147"/>
      <c r="P57" s="147"/>
      <c r="Q57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57" s="147" t="e">
        <f>IF(AND(Tracker[[#This Row],[Money %]]&lt;&gt;"",Tracker[[#This Row],[Bet %]]&lt;&gt;""),Tracker[[#This Row],[Money %]]-Tracker[[#This Row],[Bet %]],NA())</f>
        <v>#N/A</v>
      </c>
      <c r="S57" s="109"/>
      <c r="T57" s="109"/>
      <c r="U57" s="56">
        <f>IFERROR(INDEX($A$4:$B10053,MATCH(ROW()-3,$A$4:$A$4:$A1053,0),2),0)</f>
        <v>0</v>
      </c>
      <c r="V57" s="33" t="str">
        <f>COUNTIFS(Tracker[Date],U57,Tracker[Result],"W")&amp;"-"&amp;COUNTIFS(Tracker[Date],U57,Tracker[Result],"L")&amp;IF(COUNTIFS(Tracker[Date],U57,Tracker[Result],"Push")&gt;0,"-"&amp;COUNTIFS(Tracker[Date],U57,Tracker[Result],"Push"),"")</f>
        <v>0-0</v>
      </c>
      <c r="W57" s="34" t="str">
        <f>IFERROR(COUNTIFS(Tracker[Date],U57,Tracker[Result],"W")/(COUNTIFS(Tracker[Date],U57,Tracker[Result],"W")+COUNTIFS(Tracker[Date],U57,Tracker[Result],"L")),"")</f>
        <v/>
      </c>
      <c r="X57" s="61">
        <f>SUMIF(Tracker[Date],U57,Tracker[Net])</f>
        <v>0</v>
      </c>
      <c r="Y57" s="35" t="str">
        <f>IFERROR("("&amp;ROUND(SUMIF(Tracker[Date],U57,Tracker[Net])/COUNTIF(Tracker[Date],U57),2)*100&amp;"%)","")</f>
        <v/>
      </c>
      <c r="Z57" s="78">
        <f t="shared" si="29"/>
        <v>2.2500000000000004</v>
      </c>
    </row>
    <row r="58" spans="1:26" x14ac:dyDescent="0.25">
      <c r="A58" s="36">
        <f t="shared" si="9"/>
        <v>6</v>
      </c>
      <c r="B58" s="25">
        <v>43811</v>
      </c>
      <c r="C58" s="25" t="str">
        <f t="shared" si="31"/>
        <v>NBA</v>
      </c>
      <c r="D58" s="26" t="s">
        <v>885</v>
      </c>
      <c r="E58" s="28" t="s">
        <v>861</v>
      </c>
      <c r="F58" s="67">
        <v>0.69276150024031868</v>
      </c>
      <c r="G58" s="29">
        <v>-110</v>
      </c>
      <c r="H58" s="29" t="s">
        <v>56</v>
      </c>
      <c r="I5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58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58" s="32" t="str">
        <f>MID(Tracker[[#This Row],[Game]],SEARCH("@",Tracker[[#This Row],[Game]])+2,LEN(Tracker[[#This Row],[Game]]))</f>
        <v>Spurs</v>
      </c>
      <c r="L58" s="32" t="str">
        <f>LEFT(Tracker[[#This Row],[Game]],SEARCH("@",Tracker[[#This Row],[Game]])-2)</f>
        <v>Cavaliers</v>
      </c>
      <c r="M5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58" s="123"/>
      <c r="O58" s="147"/>
      <c r="P58" s="147"/>
      <c r="Q58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58" s="147" t="e">
        <f>IF(AND(Tracker[[#This Row],[Money %]]&lt;&gt;"",Tracker[[#This Row],[Bet %]]&lt;&gt;""),Tracker[[#This Row],[Money %]]-Tracker[[#This Row],[Bet %]],NA())</f>
        <v>#N/A</v>
      </c>
      <c r="S58" s="109"/>
      <c r="T58" s="109"/>
      <c r="U58" s="56">
        <f>IFERROR(INDEX($A$4:$B10054,MATCH(ROW()-3,$A$4:$A$4:$A1054,0),2),0)</f>
        <v>0</v>
      </c>
      <c r="V58" s="33" t="str">
        <f>COUNTIFS(Tracker[Date],U58,Tracker[Result],"W")&amp;"-"&amp;COUNTIFS(Tracker[Date],U58,Tracker[Result],"L")&amp;IF(COUNTIFS(Tracker[Date],U58,Tracker[Result],"Push")&gt;0,"-"&amp;COUNTIFS(Tracker[Date],U58,Tracker[Result],"Push"),"")</f>
        <v>0-0</v>
      </c>
      <c r="W58" s="34" t="str">
        <f>IFERROR(COUNTIFS(Tracker[Date],U58,Tracker[Result],"W")/(COUNTIFS(Tracker[Date],U58,Tracker[Result],"W")+COUNTIFS(Tracker[Date],U58,Tracker[Result],"L")),"")</f>
        <v/>
      </c>
      <c r="X58" s="61">
        <f>SUMIF(Tracker[Date],U58,Tracker[Net])</f>
        <v>0</v>
      </c>
      <c r="Y58" s="35" t="str">
        <f>IFERROR("("&amp;ROUND(SUMIF(Tracker[Date],U58,Tracker[Net])/COUNTIF(Tracker[Date],U58),2)*100&amp;"%)","")</f>
        <v/>
      </c>
      <c r="Z58" s="78">
        <f t="shared" si="29"/>
        <v>2.3000000000000003</v>
      </c>
    </row>
    <row r="59" spans="1:26" x14ac:dyDescent="0.25">
      <c r="A59" s="36">
        <f t="shared" si="9"/>
        <v>6</v>
      </c>
      <c r="B59" s="25">
        <v>43811</v>
      </c>
      <c r="C59" s="25" t="str">
        <f t="shared" si="31"/>
        <v>NBA</v>
      </c>
      <c r="D59" s="51" t="s">
        <v>886</v>
      </c>
      <c r="E59" s="68" t="s">
        <v>887</v>
      </c>
      <c r="F59" s="67">
        <v>0.5545021577328455</v>
      </c>
      <c r="G59" s="29">
        <v>-110</v>
      </c>
      <c r="H59" s="29" t="s">
        <v>56</v>
      </c>
      <c r="I5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59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59" s="32" t="str">
        <f>MID(Tracker[[#This Row],[Game]],SEARCH("@",Tracker[[#This Row],[Game]])+2,LEN(Tracker[[#This Row],[Game]]))</f>
        <v>Pistons</v>
      </c>
      <c r="L59" s="32" t="str">
        <f>LEFT(Tracker[[#This Row],[Game]],SEARCH("@",Tracker[[#This Row],[Game]])-2)</f>
        <v>Mavericks</v>
      </c>
      <c r="M5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59" s="123"/>
      <c r="O59" s="147"/>
      <c r="P59" s="147"/>
      <c r="Q59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59" s="147" t="e">
        <f>IF(AND(Tracker[[#This Row],[Money %]]&lt;&gt;"",Tracker[[#This Row],[Bet %]]&lt;&gt;""),Tracker[[#This Row],[Money %]]-Tracker[[#This Row],[Bet %]],NA())</f>
        <v>#N/A</v>
      </c>
      <c r="S59" s="109"/>
      <c r="T59" s="109"/>
      <c r="U59" s="56">
        <f>IFERROR(INDEX($A$4:$B10055,MATCH(ROW()-3,$A$4:$A$4:$A1055,0),2),0)</f>
        <v>0</v>
      </c>
      <c r="V59" s="33" t="str">
        <f>COUNTIFS(Tracker[Date],U59,Tracker[Result],"W")&amp;"-"&amp;COUNTIFS(Tracker[Date],U59,Tracker[Result],"L")&amp;IF(COUNTIFS(Tracker[Date],U59,Tracker[Result],"Push")&gt;0,"-"&amp;COUNTIFS(Tracker[Date],U59,Tracker[Result],"Push"),"")</f>
        <v>0-0</v>
      </c>
      <c r="W59" s="34" t="str">
        <f>IFERROR(COUNTIFS(Tracker[Date],U59,Tracker[Result],"W")/(COUNTIFS(Tracker[Date],U59,Tracker[Result],"W")+COUNTIFS(Tracker[Date],U59,Tracker[Result],"L")),"")</f>
        <v/>
      </c>
      <c r="X59" s="61">
        <f>SUMIF(Tracker[Date],U59,Tracker[Net])</f>
        <v>0</v>
      </c>
      <c r="Y59" s="35" t="str">
        <f>IFERROR("("&amp;ROUND(SUMIF(Tracker[Date],U59,Tracker[Net])/COUNTIF(Tracker[Date],U59),2)*100&amp;"%)","")</f>
        <v/>
      </c>
      <c r="Z59" s="78">
        <f t="shared" si="29"/>
        <v>2.35</v>
      </c>
    </row>
    <row r="60" spans="1:26" x14ac:dyDescent="0.25">
      <c r="A60" s="36">
        <f t="shared" si="9"/>
        <v>6</v>
      </c>
      <c r="B60" s="25">
        <v>43811</v>
      </c>
      <c r="C60" s="25" t="str">
        <f t="shared" si="31"/>
        <v>NBA</v>
      </c>
      <c r="D60" s="26" t="s">
        <v>886</v>
      </c>
      <c r="E60" s="28" t="s">
        <v>888</v>
      </c>
      <c r="F60" s="67">
        <v>0.56705067349971805</v>
      </c>
      <c r="G60" s="29">
        <v>-110</v>
      </c>
      <c r="H60" s="29" t="s">
        <v>57</v>
      </c>
      <c r="I6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60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60" s="32" t="str">
        <f>MID(Tracker[[#This Row],[Game]],SEARCH("@",Tracker[[#This Row],[Game]])+2,LEN(Tracker[[#This Row],[Game]]))</f>
        <v>Pistons</v>
      </c>
      <c r="L60" s="32" t="str">
        <f>LEFT(Tracker[[#This Row],[Game]],SEARCH("@",Tracker[[#This Row],[Game]])-2)</f>
        <v>Mavericks</v>
      </c>
      <c r="M6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60" s="123"/>
      <c r="O60" s="147"/>
      <c r="P60" s="147"/>
      <c r="Q60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60" s="147" t="e">
        <f>IF(AND(Tracker[[#This Row],[Money %]]&lt;&gt;"",Tracker[[#This Row],[Bet %]]&lt;&gt;""),Tracker[[#This Row],[Money %]]-Tracker[[#This Row],[Bet %]],NA())</f>
        <v>#N/A</v>
      </c>
      <c r="S60" s="109"/>
      <c r="T60" s="109"/>
      <c r="U60" s="56">
        <f>IFERROR(INDEX($A$4:$B10056,MATCH(ROW()-3,$A$4:$A$4:$A1056,0),2),0)</f>
        <v>0</v>
      </c>
      <c r="V60" s="33" t="str">
        <f>COUNTIFS(Tracker[Date],U60,Tracker[Result],"W")&amp;"-"&amp;COUNTIFS(Tracker[Date],U60,Tracker[Result],"L")&amp;IF(COUNTIFS(Tracker[Date],U60,Tracker[Result],"Push")&gt;0,"-"&amp;COUNTIFS(Tracker[Date],U60,Tracker[Result],"Push"),"")</f>
        <v>0-0</v>
      </c>
      <c r="W60" s="34" t="str">
        <f>IFERROR(COUNTIFS(Tracker[Date],U60,Tracker[Result],"W")/(COUNTIFS(Tracker[Date],U60,Tracker[Result],"W")+COUNTIFS(Tracker[Date],U60,Tracker[Result],"L")),"")</f>
        <v/>
      </c>
      <c r="X60" s="61">
        <f>SUMIF(Tracker[Date],U60,Tracker[Net])</f>
        <v>0</v>
      </c>
      <c r="Y60" s="35" t="str">
        <f>IFERROR("("&amp;ROUND(SUMIF(Tracker[Date],U60,Tracker[Net])/COUNTIF(Tracker[Date],U60),2)*100&amp;"%)","")</f>
        <v/>
      </c>
      <c r="Z60" s="78">
        <f t="shared" si="29"/>
        <v>2.4</v>
      </c>
    </row>
    <row r="61" spans="1:26" x14ac:dyDescent="0.25">
      <c r="A61" s="36">
        <f t="shared" si="9"/>
        <v>6</v>
      </c>
      <c r="B61" s="25">
        <v>43811</v>
      </c>
      <c r="C61" s="25" t="str">
        <f t="shared" si="31"/>
        <v>NBA</v>
      </c>
      <c r="D61" s="26" t="s">
        <v>889</v>
      </c>
      <c r="E61" s="28" t="s">
        <v>890</v>
      </c>
      <c r="F61" s="67">
        <v>0.55380525084928944</v>
      </c>
      <c r="G61" s="29">
        <v>-110</v>
      </c>
      <c r="H61" s="29" t="s">
        <v>57</v>
      </c>
      <c r="I6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61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61" s="32" t="str">
        <f>MID(Tracker[[#This Row],[Game]],SEARCH("@",Tracker[[#This Row],[Game]])+2,LEN(Tracker[[#This Row],[Game]]))</f>
        <v>Nuggets</v>
      </c>
      <c r="L61" s="32" t="str">
        <f>LEFT(Tracker[[#This Row],[Game]],SEARCH("@",Tracker[[#This Row],[Game]])-2)</f>
        <v>Trail Blazers</v>
      </c>
      <c r="M6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61" s="123"/>
      <c r="O61" s="147"/>
      <c r="P61" s="147"/>
      <c r="Q61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61" s="147" t="e">
        <f>IF(AND(Tracker[[#This Row],[Money %]]&lt;&gt;"",Tracker[[#This Row],[Bet %]]&lt;&gt;""),Tracker[[#This Row],[Money %]]-Tracker[[#This Row],[Bet %]],NA())</f>
        <v>#N/A</v>
      </c>
      <c r="S61" s="109"/>
      <c r="T61" s="109"/>
      <c r="U61" s="56">
        <f>IFERROR(INDEX($A$4:$B10057,MATCH(ROW()-3,$A$4:$A$4:$A1057,0),2),0)</f>
        <v>0</v>
      </c>
      <c r="V61" s="33" t="str">
        <f>COUNTIFS(Tracker[Date],U61,Tracker[Result],"W")&amp;"-"&amp;COUNTIFS(Tracker[Date],U61,Tracker[Result],"L")&amp;IF(COUNTIFS(Tracker[Date],U61,Tracker[Result],"Push")&gt;0,"-"&amp;COUNTIFS(Tracker[Date],U61,Tracker[Result],"Push"),"")</f>
        <v>0-0</v>
      </c>
      <c r="W61" s="34" t="str">
        <f>IFERROR(COUNTIFS(Tracker[Date],U61,Tracker[Result],"W")/(COUNTIFS(Tracker[Date],U61,Tracker[Result],"W")+COUNTIFS(Tracker[Date],U61,Tracker[Result],"L")),"")</f>
        <v/>
      </c>
      <c r="X61" s="61">
        <f>SUMIF(Tracker[Date],U61,Tracker[Net])</f>
        <v>0</v>
      </c>
      <c r="Y61" s="35" t="str">
        <f>IFERROR("("&amp;ROUND(SUMIF(Tracker[Date],U61,Tracker[Net])/COUNTIF(Tracker[Date],U61),2)*100&amp;"%)","")</f>
        <v/>
      </c>
      <c r="Z61" s="78">
        <f t="shared" si="29"/>
        <v>2.4499999999999997</v>
      </c>
    </row>
    <row r="62" spans="1:26" x14ac:dyDescent="0.25">
      <c r="A62" s="36">
        <f t="shared" si="9"/>
        <v>6</v>
      </c>
      <c r="B62" s="25">
        <v>43811</v>
      </c>
      <c r="C62" s="25" t="str">
        <f t="shared" si="31"/>
        <v>NBA</v>
      </c>
      <c r="D62" s="26" t="s">
        <v>889</v>
      </c>
      <c r="E62" s="28" t="s">
        <v>891</v>
      </c>
      <c r="F62" s="67">
        <v>0.55459134149518774</v>
      </c>
      <c r="G62" s="29">
        <v>-110</v>
      </c>
      <c r="H62" s="29" t="s">
        <v>56</v>
      </c>
      <c r="I6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62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62" s="32" t="str">
        <f>MID(Tracker[[#This Row],[Game]],SEARCH("@",Tracker[[#This Row],[Game]])+2,LEN(Tracker[[#This Row],[Game]]))</f>
        <v>Nuggets</v>
      </c>
      <c r="L62" s="32" t="str">
        <f>LEFT(Tracker[[#This Row],[Game]],SEARCH("@",Tracker[[#This Row],[Game]])-2)</f>
        <v>Trail Blazers</v>
      </c>
      <c r="M6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62" s="123"/>
      <c r="O62" s="147"/>
      <c r="P62" s="147"/>
      <c r="Q62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62" s="147" t="e">
        <f>IF(AND(Tracker[[#This Row],[Money %]]&lt;&gt;"",Tracker[[#This Row],[Bet %]]&lt;&gt;""),Tracker[[#This Row],[Money %]]-Tracker[[#This Row],[Bet %]],NA())</f>
        <v>#N/A</v>
      </c>
      <c r="S62" s="109"/>
      <c r="T62" s="109"/>
      <c r="U62" s="56">
        <f>IFERROR(INDEX($A$4:$B10058,MATCH(ROW()-3,$A$4:$A$4:$A1058,0),2),0)</f>
        <v>0</v>
      </c>
      <c r="V62" s="33" t="str">
        <f>COUNTIFS(Tracker[Date],U62,Tracker[Result],"W")&amp;"-"&amp;COUNTIFS(Tracker[Date],U62,Tracker[Result],"L")&amp;IF(COUNTIFS(Tracker[Date],U62,Tracker[Result],"Push")&gt;0,"-"&amp;COUNTIFS(Tracker[Date],U62,Tracker[Result],"Push"),"")</f>
        <v>0-0</v>
      </c>
      <c r="W62" s="34" t="str">
        <f>IFERROR(COUNTIFS(Tracker[Date],U62,Tracker[Result],"W")/(COUNTIFS(Tracker[Date],U62,Tracker[Result],"W")+COUNTIFS(Tracker[Date],U62,Tracker[Result],"L")),"")</f>
        <v/>
      </c>
      <c r="X62" s="61">
        <f>SUMIF(Tracker[Date],U62,Tracker[Net])</f>
        <v>0</v>
      </c>
      <c r="Y62" s="35" t="str">
        <f>IFERROR("("&amp;ROUND(SUMIF(Tracker[Date],U62,Tracker[Net])/COUNTIF(Tracker[Date],U62),2)*100&amp;"%)","")</f>
        <v/>
      </c>
      <c r="Z62" s="78">
        <f t="shared" si="29"/>
        <v>2.4999999999999996</v>
      </c>
    </row>
    <row r="63" spans="1:26" x14ac:dyDescent="0.25">
      <c r="A63" s="36">
        <f t="shared" si="9"/>
        <v>7</v>
      </c>
      <c r="B63" s="25">
        <v>43812</v>
      </c>
      <c r="C63" s="25" t="str">
        <f t="shared" si="31"/>
        <v>NBA</v>
      </c>
      <c r="D63" s="26" t="s">
        <v>892</v>
      </c>
      <c r="E63" s="28" t="s">
        <v>893</v>
      </c>
      <c r="F63" s="67">
        <v>0.60068521352458148</v>
      </c>
      <c r="G63" s="29">
        <v>-110</v>
      </c>
      <c r="H63" s="29" t="s">
        <v>57</v>
      </c>
      <c r="I6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63" s="32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63" s="32" t="str">
        <f>MID(Tracker[[#This Row],[Game]],SEARCH("@",Tracker[[#This Row],[Game]])+2,LEN(Tracker[[#This Row],[Game]]))</f>
        <v>Magic</v>
      </c>
      <c r="L63" s="32" t="str">
        <f>LEFT(Tracker[[#This Row],[Game]],SEARCH("@",Tracker[[#This Row],[Game]])-2)</f>
        <v>Rockets</v>
      </c>
      <c r="M6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63" s="123"/>
      <c r="O63" s="147"/>
      <c r="P63" s="147"/>
      <c r="Q63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63" s="147" t="e">
        <f>IF(AND(Tracker[[#This Row],[Money %]]&lt;&gt;"",Tracker[[#This Row],[Bet %]]&lt;&gt;""),Tracker[[#This Row],[Money %]]-Tracker[[#This Row],[Bet %]],NA())</f>
        <v>#N/A</v>
      </c>
      <c r="S63" s="109"/>
      <c r="T63" s="109"/>
      <c r="U63" s="56">
        <f>IFERROR(INDEX($A$4:$B10059,MATCH(ROW()-3,$A$4:$A$4:$A1059,0),2),0)</f>
        <v>0</v>
      </c>
      <c r="V63" s="33" t="str">
        <f>COUNTIFS(Tracker[Date],U63,Tracker[Result],"W")&amp;"-"&amp;COUNTIFS(Tracker[Date],U63,Tracker[Result],"L")&amp;IF(COUNTIFS(Tracker[Date],U63,Tracker[Result],"Push")&gt;0,"-"&amp;COUNTIFS(Tracker[Date],U63,Tracker[Result],"Push"),"")</f>
        <v>0-0</v>
      </c>
      <c r="W63" s="34" t="str">
        <f>IFERROR(COUNTIFS(Tracker[Date],U63,Tracker[Result],"W")/(COUNTIFS(Tracker[Date],U63,Tracker[Result],"W")+COUNTIFS(Tracker[Date],U63,Tracker[Result],"L")),"")</f>
        <v/>
      </c>
      <c r="X63" s="61">
        <f>SUMIF(Tracker[Date],U63,Tracker[Net])</f>
        <v>0</v>
      </c>
      <c r="Y63" s="35" t="str">
        <f>IFERROR("("&amp;ROUND(SUMIF(Tracker[Date],U63,Tracker[Net])/COUNTIF(Tracker[Date],U63),2)*100&amp;"%)","")</f>
        <v/>
      </c>
      <c r="Z63" s="78">
        <f t="shared" si="29"/>
        <v>2.5499999999999994</v>
      </c>
    </row>
    <row r="64" spans="1:26" x14ac:dyDescent="0.25">
      <c r="A64" s="36">
        <f t="shared" si="9"/>
        <v>7</v>
      </c>
      <c r="B64" s="25">
        <v>43812</v>
      </c>
      <c r="C64" s="25" t="str">
        <f t="shared" si="31"/>
        <v>NBA</v>
      </c>
      <c r="D64" s="26" t="s">
        <v>894</v>
      </c>
      <c r="E64" s="28" t="s">
        <v>895</v>
      </c>
      <c r="F64" s="67">
        <v>0.61816531843461053</v>
      </c>
      <c r="G64" s="29">
        <v>-110</v>
      </c>
      <c r="H64" s="29" t="s">
        <v>57</v>
      </c>
      <c r="I6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6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64" s="40" t="str">
        <f>MID(Tracker[[#This Row],[Game]],SEARCH("@",Tracker[[#This Row],[Game]])+2,LEN(Tracker[[#This Row],[Game]]))</f>
        <v>76ers</v>
      </c>
      <c r="L64" s="40" t="str">
        <f>LEFT(Tracker[[#This Row],[Game]],SEARCH("@",Tracker[[#This Row],[Game]])-2)</f>
        <v>Pelicans</v>
      </c>
      <c r="M6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64" s="123"/>
      <c r="O64" s="147"/>
      <c r="P64" s="147"/>
      <c r="Q6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64" s="147" t="e">
        <f>IF(AND(Tracker[[#This Row],[Money %]]&lt;&gt;"",Tracker[[#This Row],[Bet %]]&lt;&gt;""),Tracker[[#This Row],[Money %]]-Tracker[[#This Row],[Bet %]],NA())</f>
        <v>#N/A</v>
      </c>
      <c r="S64" s="109"/>
      <c r="T64" s="109"/>
      <c r="U64" s="56">
        <f>IFERROR(INDEX($A$4:$B10060,MATCH(ROW()-3,$A$4:$A$4:$A1060,0),2),0)</f>
        <v>0</v>
      </c>
      <c r="V64" s="33" t="str">
        <f>COUNTIFS(Tracker[Date],U64,Tracker[Result],"W")&amp;"-"&amp;COUNTIFS(Tracker[Date],U64,Tracker[Result],"L")&amp;IF(COUNTIFS(Tracker[Date],U64,Tracker[Result],"Push")&gt;0,"-"&amp;COUNTIFS(Tracker[Date],U64,Tracker[Result],"Push"),"")</f>
        <v>0-0</v>
      </c>
      <c r="W64" s="34" t="str">
        <f>IFERROR(COUNTIFS(Tracker[Date],U64,Tracker[Result],"W")/(COUNTIFS(Tracker[Date],U64,Tracker[Result],"W")+COUNTIFS(Tracker[Date],U64,Tracker[Result],"L")),"")</f>
        <v/>
      </c>
      <c r="X64" s="61">
        <f>SUMIF(Tracker[Date],U64,Tracker[Net])</f>
        <v>0</v>
      </c>
      <c r="Y64" s="35" t="str">
        <f>IFERROR("("&amp;ROUND(SUMIF(Tracker[Date],U64,Tracker[Net])/COUNTIF(Tracker[Date],U64),2)*100&amp;"%)","")</f>
        <v/>
      </c>
      <c r="Z64" s="78">
        <f t="shared" si="29"/>
        <v>2.5999999999999992</v>
      </c>
    </row>
    <row r="65" spans="1:29" x14ac:dyDescent="0.25">
      <c r="A65" s="36">
        <f t="shared" si="9"/>
        <v>7</v>
      </c>
      <c r="B65" s="25">
        <v>43812</v>
      </c>
      <c r="C65" s="25" t="str">
        <f t="shared" si="31"/>
        <v>NBA</v>
      </c>
      <c r="D65" s="26" t="s">
        <v>896</v>
      </c>
      <c r="E65" s="28" t="s">
        <v>891</v>
      </c>
      <c r="F65" s="67">
        <v>0.55253419952699745</v>
      </c>
      <c r="G65" s="29">
        <v>-110</v>
      </c>
      <c r="H65" s="29" t="s">
        <v>57</v>
      </c>
      <c r="I6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6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65" s="40" t="str">
        <f>MID(Tracker[[#This Row],[Game]],SEARCH("@",Tracker[[#This Row],[Game]])+2,LEN(Tracker[[#This Row],[Game]]))</f>
        <v>Heat</v>
      </c>
      <c r="L65" s="40" t="str">
        <f>LEFT(Tracker[[#This Row],[Game]],SEARCH("@",Tracker[[#This Row],[Game]])-2)</f>
        <v>Lakers</v>
      </c>
      <c r="M6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65" s="123"/>
      <c r="O65" s="147"/>
      <c r="P65" s="147"/>
      <c r="Q6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65" s="147" t="e">
        <f>IF(AND(Tracker[[#This Row],[Money %]]&lt;&gt;"",Tracker[[#This Row],[Bet %]]&lt;&gt;""),Tracker[[#This Row],[Money %]]-Tracker[[#This Row],[Bet %]],NA())</f>
        <v>#N/A</v>
      </c>
      <c r="S65" s="109"/>
      <c r="T65" s="109"/>
      <c r="U65" s="56">
        <f>IFERROR(INDEX($A$4:$B10061,MATCH(ROW()-3,$A$4:$A$4:$A1061,0),2),0)</f>
        <v>0</v>
      </c>
      <c r="V65" s="33" t="str">
        <f>COUNTIFS(Tracker[Date],U65,Tracker[Result],"W")&amp;"-"&amp;COUNTIFS(Tracker[Date],U65,Tracker[Result],"L")&amp;IF(COUNTIFS(Tracker[Date],U65,Tracker[Result],"Push")&gt;0,"-"&amp;COUNTIFS(Tracker[Date],U65,Tracker[Result],"Push"),"")</f>
        <v>0-0</v>
      </c>
      <c r="W65" s="34" t="str">
        <f>IFERROR(COUNTIFS(Tracker[Date],U65,Tracker[Result],"W")/(COUNTIFS(Tracker[Date],U65,Tracker[Result],"W")+COUNTIFS(Tracker[Date],U65,Tracker[Result],"L")),"")</f>
        <v/>
      </c>
      <c r="X65" s="61">
        <f>SUMIF(Tracker[Date],U65,Tracker[Net])</f>
        <v>0</v>
      </c>
      <c r="Y65" s="35" t="str">
        <f>IFERROR("("&amp;ROUND(SUMIF(Tracker[Date],U65,Tracker[Net])/COUNTIF(Tracker[Date],U65),2)*100&amp;"%)","")</f>
        <v/>
      </c>
      <c r="Z65" s="78">
        <f t="shared" si="29"/>
        <v>2.649999999999999</v>
      </c>
    </row>
    <row r="66" spans="1:29" x14ac:dyDescent="0.25">
      <c r="A66" s="36">
        <f t="shared" si="9"/>
        <v>7</v>
      </c>
      <c r="B66" s="25">
        <v>43812</v>
      </c>
      <c r="C66" s="25" t="str">
        <f t="shared" si="31"/>
        <v>NBA</v>
      </c>
      <c r="D66" s="26" t="s">
        <v>897</v>
      </c>
      <c r="E66" s="28" t="s">
        <v>898</v>
      </c>
      <c r="F66" s="67">
        <v>0.66661178590789572</v>
      </c>
      <c r="G66" s="29">
        <v>-110</v>
      </c>
      <c r="H66" s="29" t="s">
        <v>56</v>
      </c>
      <c r="I6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6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66" s="40" t="str">
        <f>MID(Tracker[[#This Row],[Game]],SEARCH("@",Tracker[[#This Row],[Game]])+2,LEN(Tracker[[#This Row],[Game]]))</f>
        <v>Hawks</v>
      </c>
      <c r="L66" s="40" t="str">
        <f>LEFT(Tracker[[#This Row],[Game]],SEARCH("@",Tracker[[#This Row],[Game]])-2)</f>
        <v>Pacers</v>
      </c>
      <c r="M6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66" s="123"/>
      <c r="O66" s="147"/>
      <c r="P66" s="147"/>
      <c r="Q66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66" s="147" t="e">
        <f>IF(AND(Tracker[[#This Row],[Money %]]&lt;&gt;"",Tracker[[#This Row],[Bet %]]&lt;&gt;""),Tracker[[#This Row],[Money %]]-Tracker[[#This Row],[Bet %]],NA())</f>
        <v>#N/A</v>
      </c>
      <c r="S66" s="109"/>
      <c r="T66" s="109"/>
      <c r="U66" s="56">
        <f>IFERROR(INDEX($A$4:$B10062,MATCH(ROW()-3,$A$4:$A$4:$A1062,0),2),0)</f>
        <v>0</v>
      </c>
      <c r="V66" s="33" t="str">
        <f>COUNTIFS(Tracker[Date],U66,Tracker[Result],"W")&amp;"-"&amp;COUNTIFS(Tracker[Date],U66,Tracker[Result],"L")&amp;IF(COUNTIFS(Tracker[Date],U66,Tracker[Result],"Push")&gt;0,"-"&amp;COUNTIFS(Tracker[Date],U66,Tracker[Result],"Push"),"")</f>
        <v>0-0</v>
      </c>
      <c r="W66" s="34" t="str">
        <f>IFERROR(COUNTIFS(Tracker[Date],U66,Tracker[Result],"W")/(COUNTIFS(Tracker[Date],U66,Tracker[Result],"W")+COUNTIFS(Tracker[Date],U66,Tracker[Result],"L")),"")</f>
        <v/>
      </c>
      <c r="X66" s="61">
        <f>SUMIF(Tracker[Date],U66,Tracker[Net])</f>
        <v>0</v>
      </c>
      <c r="Y66" s="35" t="str">
        <f>IFERROR("("&amp;ROUND(SUMIF(Tracker[Date],U66,Tracker[Net])/COUNTIF(Tracker[Date],U66),2)*100&amp;"%)","")</f>
        <v/>
      </c>
      <c r="Z66" s="78">
        <f t="shared" si="29"/>
        <v>2.6999999999999988</v>
      </c>
    </row>
    <row r="67" spans="1:29" x14ac:dyDescent="0.25">
      <c r="A67" s="36">
        <f t="shared" si="9"/>
        <v>7</v>
      </c>
      <c r="B67" s="25">
        <v>43812</v>
      </c>
      <c r="C67" s="25" t="str">
        <f t="shared" si="31"/>
        <v>NBA</v>
      </c>
      <c r="D67" s="26" t="s">
        <v>897</v>
      </c>
      <c r="E67" s="28" t="s">
        <v>895</v>
      </c>
      <c r="F67" s="67">
        <v>0.69233793108213437</v>
      </c>
      <c r="G67" s="29">
        <v>-110</v>
      </c>
      <c r="H67" s="29" t="s">
        <v>56</v>
      </c>
      <c r="I6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6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67" s="40" t="str">
        <f>MID(Tracker[[#This Row],[Game]],SEARCH("@",Tracker[[#This Row],[Game]])+2,LEN(Tracker[[#This Row],[Game]]))</f>
        <v>Hawks</v>
      </c>
      <c r="L67" s="40" t="str">
        <f>LEFT(Tracker[[#This Row],[Game]],SEARCH("@",Tracker[[#This Row],[Game]])-2)</f>
        <v>Pacers</v>
      </c>
      <c r="M6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67" s="123"/>
      <c r="O67" s="147"/>
      <c r="P67" s="147"/>
      <c r="Q67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67" s="147" t="e">
        <f>IF(AND(Tracker[[#This Row],[Money %]]&lt;&gt;"",Tracker[[#This Row],[Bet %]]&lt;&gt;""),Tracker[[#This Row],[Money %]]-Tracker[[#This Row],[Bet %]],NA())</f>
        <v>#N/A</v>
      </c>
      <c r="S67" s="109"/>
      <c r="T67" s="109"/>
      <c r="U67" s="56">
        <f>IFERROR(INDEX($A$4:$B10063,MATCH(ROW()-3,$A$4:$A$4:$A1063,0),2),0)</f>
        <v>0</v>
      </c>
      <c r="V67" s="33" t="str">
        <f>COUNTIFS(Tracker[Date],U67,Tracker[Result],"W")&amp;"-"&amp;COUNTIFS(Tracker[Date],U67,Tracker[Result],"L")&amp;IF(COUNTIFS(Tracker[Date],U67,Tracker[Result],"Push")&gt;0,"-"&amp;COUNTIFS(Tracker[Date],U67,Tracker[Result],"Push"),"")</f>
        <v>0-0</v>
      </c>
      <c r="W67" s="34" t="str">
        <f>IFERROR(COUNTIFS(Tracker[Date],U67,Tracker[Result],"W")/(COUNTIFS(Tracker[Date],U67,Tracker[Result],"W")+COUNTIFS(Tracker[Date],U67,Tracker[Result],"L")),"")</f>
        <v/>
      </c>
      <c r="X67" s="61">
        <f>SUMIF(Tracker[Date],U67,Tracker[Net])</f>
        <v>0</v>
      </c>
      <c r="Y67" s="35" t="str">
        <f>IFERROR("("&amp;ROUND(SUMIF(Tracker[Date],U67,Tracker[Net])/COUNTIF(Tracker[Date],U67),2)*100&amp;"%)","")</f>
        <v/>
      </c>
      <c r="Z67" s="78">
        <f t="shared" si="29"/>
        <v>2.7499999999999987</v>
      </c>
    </row>
    <row r="68" spans="1:29" x14ac:dyDescent="0.25">
      <c r="A68" s="36">
        <f t="shared" si="9"/>
        <v>7</v>
      </c>
      <c r="B68" s="25">
        <v>43812</v>
      </c>
      <c r="C68" s="25" t="str">
        <f t="shared" ref="C68:C99" si="32">"NBA"</f>
        <v>NBA</v>
      </c>
      <c r="D68" s="26" t="s">
        <v>899</v>
      </c>
      <c r="E68" s="28" t="s">
        <v>900</v>
      </c>
      <c r="F68" s="67">
        <v>0.59664675180416094</v>
      </c>
      <c r="G68" s="29">
        <v>-110</v>
      </c>
      <c r="H68" s="29" t="s">
        <v>56</v>
      </c>
      <c r="I6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6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68" s="40" t="str">
        <f>MID(Tracker[[#This Row],[Game]],SEARCH("@",Tracker[[#This Row],[Game]])+2,LEN(Tracker[[#This Row],[Game]]))</f>
        <v>Bulls</v>
      </c>
      <c r="L68" s="40" t="str">
        <f>LEFT(Tracker[[#This Row],[Game]],SEARCH("@",Tracker[[#This Row],[Game]])-2)</f>
        <v>Hornets</v>
      </c>
      <c r="M6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68" s="123"/>
      <c r="O68" s="147"/>
      <c r="P68" s="147"/>
      <c r="Q68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68" s="147" t="e">
        <f>IF(AND(Tracker[[#This Row],[Money %]]&lt;&gt;"",Tracker[[#This Row],[Bet %]]&lt;&gt;""),Tracker[[#This Row],[Money %]]-Tracker[[#This Row],[Bet %]],NA())</f>
        <v>#N/A</v>
      </c>
      <c r="S68" s="109"/>
      <c r="T68" s="109"/>
      <c r="U68" s="56">
        <f>IFERROR(INDEX($A$4:$B10064,MATCH(ROW()-3,$A$4:$A$4:$A1064,0),2),0)</f>
        <v>0</v>
      </c>
      <c r="V68" s="33" t="str">
        <f>COUNTIFS(Tracker[Date],U68,Tracker[Result],"W")&amp;"-"&amp;COUNTIFS(Tracker[Date],U68,Tracker[Result],"L")&amp;IF(COUNTIFS(Tracker[Date],U68,Tracker[Result],"Push")&gt;0,"-"&amp;COUNTIFS(Tracker[Date],U68,Tracker[Result],"Push"),"")</f>
        <v>0-0</v>
      </c>
      <c r="W68" s="34" t="str">
        <f>IFERROR(COUNTIFS(Tracker[Date],U68,Tracker[Result],"W")/(COUNTIFS(Tracker[Date],U68,Tracker[Result],"W")+COUNTIFS(Tracker[Date],U68,Tracker[Result],"L")),"")</f>
        <v/>
      </c>
      <c r="X68" s="61">
        <f>SUMIF(Tracker[Date],U68,Tracker[Net])</f>
        <v>0</v>
      </c>
      <c r="Y68" s="35" t="str">
        <f>IFERROR("("&amp;ROUND(SUMIF(Tracker[Date],U68,Tracker[Net])/COUNTIF(Tracker[Date],U68),2)*100&amp;"%)","")</f>
        <v/>
      </c>
      <c r="Z68" s="78">
        <f t="shared" si="29"/>
        <v>2.7999999999999985</v>
      </c>
    </row>
    <row r="69" spans="1:29" x14ac:dyDescent="0.25">
      <c r="A69" s="36">
        <f t="shared" ref="A69:A132" si="33">IF(B69=B68,A68,A68+1)</f>
        <v>7</v>
      </c>
      <c r="B69" s="25">
        <v>43812</v>
      </c>
      <c r="C69" s="25" t="str">
        <f t="shared" si="32"/>
        <v>NBA</v>
      </c>
      <c r="D69" s="26" t="s">
        <v>901</v>
      </c>
      <c r="E69" s="28" t="s">
        <v>862</v>
      </c>
      <c r="F69" s="67">
        <v>0.82498851652140714</v>
      </c>
      <c r="G69" s="29">
        <v>-110</v>
      </c>
      <c r="H69" s="29" t="s">
        <v>57</v>
      </c>
      <c r="I6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6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69" s="40" t="str">
        <f>MID(Tracker[[#This Row],[Game]],SEARCH("@",Tracker[[#This Row],[Game]])+2,LEN(Tracker[[#This Row],[Game]]))</f>
        <v>Grizzlies</v>
      </c>
      <c r="L69" s="40" t="str">
        <f>LEFT(Tracker[[#This Row],[Game]],SEARCH("@",Tracker[[#This Row],[Game]])-2)</f>
        <v>Bucks</v>
      </c>
      <c r="M6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69" s="123"/>
      <c r="O69" s="147"/>
      <c r="P69" s="147"/>
      <c r="Q69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69" s="147" t="e">
        <f>IF(AND(Tracker[[#This Row],[Money %]]&lt;&gt;"",Tracker[[#This Row],[Bet %]]&lt;&gt;""),Tracker[[#This Row],[Money %]]-Tracker[[#This Row],[Bet %]],NA())</f>
        <v>#N/A</v>
      </c>
      <c r="S69" s="109"/>
      <c r="T69" s="109"/>
      <c r="U69" s="56">
        <f>IFERROR(INDEX($A$4:$B10065,MATCH(ROW()-3,$A$4:$A$4:$A1065,0),2),0)</f>
        <v>0</v>
      </c>
      <c r="V69" s="33" t="str">
        <f>COUNTIFS(Tracker[Date],U69,Tracker[Result],"W")&amp;"-"&amp;COUNTIFS(Tracker[Date],U69,Tracker[Result],"L")&amp;IF(COUNTIFS(Tracker[Date],U69,Tracker[Result],"Push")&gt;0,"-"&amp;COUNTIFS(Tracker[Date],U69,Tracker[Result],"Push"),"")</f>
        <v>0-0</v>
      </c>
      <c r="W69" s="34" t="str">
        <f>IFERROR(COUNTIFS(Tracker[Date],U69,Tracker[Result],"W")/(COUNTIFS(Tracker[Date],U69,Tracker[Result],"W")+COUNTIFS(Tracker[Date],U69,Tracker[Result],"L")),"")</f>
        <v/>
      </c>
      <c r="X69" s="61">
        <f>SUMIF(Tracker[Date],U69,Tracker[Net])</f>
        <v>0</v>
      </c>
      <c r="Y69" s="35" t="str">
        <f>IFERROR("("&amp;ROUND(SUMIF(Tracker[Date],U69,Tracker[Net])/COUNTIF(Tracker[Date],U69),2)*100&amp;"%)","")</f>
        <v/>
      </c>
      <c r="Z69" s="78">
        <f t="shared" si="29"/>
        <v>2.8499999999999983</v>
      </c>
    </row>
    <row r="70" spans="1:29" x14ac:dyDescent="0.25">
      <c r="A70" s="36">
        <f t="shared" si="33"/>
        <v>7</v>
      </c>
      <c r="B70" s="25">
        <v>43812</v>
      </c>
      <c r="C70" s="25" t="str">
        <f t="shared" si="32"/>
        <v>NBA</v>
      </c>
      <c r="D70" s="26" t="s">
        <v>902</v>
      </c>
      <c r="E70" s="28" t="s">
        <v>903</v>
      </c>
      <c r="F70" s="67">
        <v>0.59432197851108515</v>
      </c>
      <c r="G70" s="29">
        <v>-110</v>
      </c>
      <c r="H70" s="29" t="s">
        <v>56</v>
      </c>
      <c r="I7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7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70" s="40" t="str">
        <f>MID(Tracker[[#This Row],[Game]],SEARCH("@",Tracker[[#This Row],[Game]])+2,LEN(Tracker[[#This Row],[Game]]))</f>
        <v>Jazz</v>
      </c>
      <c r="L70" s="40" t="str">
        <f>LEFT(Tracker[[#This Row],[Game]],SEARCH("@",Tracker[[#This Row],[Game]])-2)</f>
        <v>Warriors</v>
      </c>
      <c r="M7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70" s="123"/>
      <c r="O70" s="147"/>
      <c r="P70" s="147"/>
      <c r="Q70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70" s="147" t="e">
        <f>IF(AND(Tracker[[#This Row],[Money %]]&lt;&gt;"",Tracker[[#This Row],[Bet %]]&lt;&gt;""),Tracker[[#This Row],[Money %]]-Tracker[[#This Row],[Bet %]],NA())</f>
        <v>#N/A</v>
      </c>
      <c r="S70" s="109"/>
      <c r="T70" s="109"/>
      <c r="U70" s="56">
        <f>IFERROR(INDEX($A$4:$B10066,MATCH(ROW()-3,$A$4:$A$4:$A1066,0),2),0)</f>
        <v>0</v>
      </c>
      <c r="V70" s="33" t="str">
        <f>COUNTIFS(Tracker[Date],U70,Tracker[Result],"W")&amp;"-"&amp;COUNTIFS(Tracker[Date],U70,Tracker[Result],"L")&amp;IF(COUNTIFS(Tracker[Date],U70,Tracker[Result],"Push")&gt;0,"-"&amp;COUNTIFS(Tracker[Date],U70,Tracker[Result],"Push"),"")</f>
        <v>0-0</v>
      </c>
      <c r="W70" s="34" t="str">
        <f>IFERROR(COUNTIFS(Tracker[Date],U70,Tracker[Result],"W")/(COUNTIFS(Tracker[Date],U70,Tracker[Result],"W")+COUNTIFS(Tracker[Date],U70,Tracker[Result],"L")),"")</f>
        <v/>
      </c>
      <c r="X70" s="61">
        <f>SUMIF(Tracker[Date],U70,Tracker[Net])</f>
        <v>0</v>
      </c>
      <c r="Y70" s="35" t="str">
        <f>IFERROR("("&amp;ROUND(SUMIF(Tracker[Date],U70,Tracker[Net])/COUNTIF(Tracker[Date],U70),2)*100&amp;"%)","")</f>
        <v/>
      </c>
      <c r="Z70" s="78">
        <f t="shared" si="29"/>
        <v>2.8999999999999981</v>
      </c>
    </row>
    <row r="71" spans="1:29" x14ac:dyDescent="0.25">
      <c r="A71" s="36">
        <f t="shared" si="33"/>
        <v>7</v>
      </c>
      <c r="B71" s="25">
        <v>43812</v>
      </c>
      <c r="C71" s="25" t="str">
        <f t="shared" si="32"/>
        <v>NBA</v>
      </c>
      <c r="D71" s="26" t="s">
        <v>904</v>
      </c>
      <c r="E71" s="28" t="s">
        <v>794</v>
      </c>
      <c r="F71" s="67">
        <v>0.70712520195603212</v>
      </c>
      <c r="G71" s="29">
        <v>-110</v>
      </c>
      <c r="H71" s="29" t="s">
        <v>57</v>
      </c>
      <c r="I7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7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71" s="40" t="str">
        <f>MID(Tracker[[#This Row],[Game]],SEARCH("@",Tracker[[#This Row],[Game]])+2,LEN(Tracker[[#This Row],[Game]]))</f>
        <v>Timberwolves</v>
      </c>
      <c r="L71" s="40" t="str">
        <f>LEFT(Tracker[[#This Row],[Game]],SEARCH("@",Tracker[[#This Row],[Game]])-2)</f>
        <v>Clippers</v>
      </c>
      <c r="M7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71" s="123"/>
      <c r="O71" s="147"/>
      <c r="P71" s="147"/>
      <c r="Q71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71" s="147" t="e">
        <f>IF(AND(Tracker[[#This Row],[Money %]]&lt;&gt;"",Tracker[[#This Row],[Bet %]]&lt;&gt;""),Tracker[[#This Row],[Money %]]-Tracker[[#This Row],[Bet %]],NA())</f>
        <v>#N/A</v>
      </c>
      <c r="S71" s="109"/>
      <c r="T71" s="109"/>
      <c r="U71" s="56">
        <f>IFERROR(INDEX($A$4:$B10067,MATCH(ROW()-3,$A$4:$A$4:$A1067,0),2),0)</f>
        <v>0</v>
      </c>
      <c r="V71" s="33" t="str">
        <f>COUNTIFS(Tracker[Date],U71,Tracker[Result],"W")&amp;"-"&amp;COUNTIFS(Tracker[Date],U71,Tracker[Result],"L")&amp;IF(COUNTIFS(Tracker[Date],U71,Tracker[Result],"Push")&gt;0,"-"&amp;COUNTIFS(Tracker[Date],U71,Tracker[Result],"Push"),"")</f>
        <v>0-0</v>
      </c>
      <c r="W71" s="34" t="str">
        <f>IFERROR(COUNTIFS(Tracker[Date],U71,Tracker[Result],"W")/(COUNTIFS(Tracker[Date],U71,Tracker[Result],"W")+COUNTIFS(Tracker[Date],U71,Tracker[Result],"L")),"")</f>
        <v/>
      </c>
      <c r="X71" s="61">
        <f>SUMIF(Tracker[Date],U71,Tracker[Net])</f>
        <v>0</v>
      </c>
      <c r="Y71" s="35" t="str">
        <f>IFERROR("("&amp;ROUND(SUMIF(Tracker[Date],U71,Tracker[Net])/COUNTIF(Tracker[Date],U71),2)*100&amp;"%)","")</f>
        <v/>
      </c>
    </row>
    <row r="72" spans="1:29" x14ac:dyDescent="0.25">
      <c r="A72" s="36">
        <f t="shared" si="33"/>
        <v>8</v>
      </c>
      <c r="B72" s="25">
        <v>43815</v>
      </c>
      <c r="C72" s="25" t="str">
        <f t="shared" si="32"/>
        <v>NBA</v>
      </c>
      <c r="D72" s="26" t="s">
        <v>905</v>
      </c>
      <c r="E72" s="28" t="s">
        <v>906</v>
      </c>
      <c r="F72" s="67">
        <v>0.57866250102716421</v>
      </c>
      <c r="G72" s="75">
        <v>-110</v>
      </c>
      <c r="H72" s="32" t="s">
        <v>56</v>
      </c>
      <c r="I7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7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72" s="40" t="str">
        <f>MID(Tracker[[#This Row],[Game]],SEARCH("@",Tracker[[#This Row],[Game]])+2,LEN(Tracker[[#This Row],[Game]]))</f>
        <v>Thunder</v>
      </c>
      <c r="L72" s="40" t="str">
        <f>LEFT(Tracker[[#This Row],[Game]],SEARCH("@",Tracker[[#This Row],[Game]])-2)</f>
        <v>Bulls</v>
      </c>
      <c r="M7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72" s="123"/>
      <c r="O72" s="147"/>
      <c r="P72" s="147"/>
      <c r="Q72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72" s="147" t="e">
        <f>IF(AND(Tracker[[#This Row],[Money %]]&lt;&gt;"",Tracker[[#This Row],[Bet %]]&lt;&gt;""),Tracker[[#This Row],[Money %]]-Tracker[[#This Row],[Bet %]],NA())</f>
        <v>#N/A</v>
      </c>
      <c r="S72" s="109"/>
      <c r="T72" s="109"/>
      <c r="U72" s="56">
        <f>IFERROR(INDEX($A$4:$B10068,MATCH(ROW()-3,$A$4:$A$4:$A1068,0),2),0)</f>
        <v>0</v>
      </c>
      <c r="V72" s="33" t="str">
        <f>COUNTIFS(Tracker[Date],U72,Tracker[Result],"W")&amp;"-"&amp;COUNTIFS(Tracker[Date],U72,Tracker[Result],"L")&amp;IF(COUNTIFS(Tracker[Date],U72,Tracker[Result],"Push")&gt;0,"-"&amp;COUNTIFS(Tracker[Date],U72,Tracker[Result],"Push"),"")</f>
        <v>0-0</v>
      </c>
      <c r="W72" s="34" t="str">
        <f>IFERROR(COUNTIFS(Tracker[Date],U72,Tracker[Result],"W")/(COUNTIFS(Tracker[Date],U72,Tracker[Result],"W")+COUNTIFS(Tracker[Date],U72,Tracker[Result],"L")),"")</f>
        <v/>
      </c>
      <c r="X72" s="61">
        <f>SUMIF(Tracker[Date],U72,Tracker[Net])</f>
        <v>0</v>
      </c>
      <c r="Y72" s="35" t="str">
        <f>IFERROR("("&amp;ROUND(SUMIF(Tracker[Date],U72,Tracker[Net])/COUNTIF(Tracker[Date],U72),2)*100&amp;"%)","")</f>
        <v/>
      </c>
      <c r="AA72" s="66"/>
      <c r="AB72" s="77"/>
      <c r="AC72" s="72"/>
    </row>
    <row r="73" spans="1:29" x14ac:dyDescent="0.25">
      <c r="A73" s="36">
        <f t="shared" si="33"/>
        <v>8</v>
      </c>
      <c r="B73" s="25">
        <v>43815</v>
      </c>
      <c r="C73" s="25" t="str">
        <f t="shared" si="32"/>
        <v>NBA</v>
      </c>
      <c r="D73" s="26" t="s">
        <v>907</v>
      </c>
      <c r="E73" s="28" t="s">
        <v>908</v>
      </c>
      <c r="F73" s="67">
        <v>0.5777400217882247</v>
      </c>
      <c r="G73" s="75">
        <v>-110</v>
      </c>
      <c r="H73" s="32" t="s">
        <v>56</v>
      </c>
      <c r="I7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7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73" s="40" t="str">
        <f>MID(Tracker[[#This Row],[Game]],SEARCH("@",Tracker[[#This Row],[Game]])+2,LEN(Tracker[[#This Row],[Game]]))</f>
        <v>Rockets</v>
      </c>
      <c r="L73" s="40" t="str">
        <f>LEFT(Tracker[[#This Row],[Game]],SEARCH("@",Tracker[[#This Row],[Game]])-2)</f>
        <v>Spurs</v>
      </c>
      <c r="M7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73" s="123"/>
      <c r="O73" s="147"/>
      <c r="P73" s="147"/>
      <c r="Q73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73" s="147" t="e">
        <f>IF(AND(Tracker[[#This Row],[Money %]]&lt;&gt;"",Tracker[[#This Row],[Bet %]]&lt;&gt;""),Tracker[[#This Row],[Money %]]-Tracker[[#This Row],[Bet %]],NA())</f>
        <v>#N/A</v>
      </c>
      <c r="S73" s="109"/>
      <c r="T73" s="109"/>
      <c r="U73" s="56">
        <f>IFERROR(INDEX($A$4:$B10069,MATCH(ROW()-3,$A$4:$A$4:$A1069,0),2),0)</f>
        <v>0</v>
      </c>
      <c r="V73" s="33" t="str">
        <f>COUNTIFS(Tracker[Date],U73,Tracker[Result],"W")&amp;"-"&amp;COUNTIFS(Tracker[Date],U73,Tracker[Result],"L")&amp;IF(COUNTIFS(Tracker[Date],U73,Tracker[Result],"Push")&gt;0,"-"&amp;COUNTIFS(Tracker[Date],U73,Tracker[Result],"Push"),"")</f>
        <v>0-0</v>
      </c>
      <c r="W73" s="34" t="str">
        <f>IFERROR(COUNTIFS(Tracker[Date],U73,Tracker[Result],"W")/(COUNTIFS(Tracker[Date],U73,Tracker[Result],"W")+COUNTIFS(Tracker[Date],U73,Tracker[Result],"L")),"")</f>
        <v/>
      </c>
      <c r="X73" s="61">
        <f>SUMIF(Tracker[Date],U73,Tracker[Net])</f>
        <v>0</v>
      </c>
      <c r="Y73" s="35" t="str">
        <f>IFERROR("("&amp;ROUND(SUMIF(Tracker[Date],U73,Tracker[Net])/COUNTIF(Tracker[Date],U73),2)*100&amp;"%)","")</f>
        <v/>
      </c>
      <c r="AA73" s="66"/>
      <c r="AB73" s="77"/>
      <c r="AC73" s="72"/>
    </row>
    <row r="74" spans="1:29" x14ac:dyDescent="0.25">
      <c r="A74" s="36">
        <f t="shared" si="33"/>
        <v>8</v>
      </c>
      <c r="B74" s="25">
        <v>43815</v>
      </c>
      <c r="C74" s="25" t="str">
        <f t="shared" si="32"/>
        <v>NBA</v>
      </c>
      <c r="D74" s="26" t="s">
        <v>909</v>
      </c>
      <c r="E74" s="28" t="s">
        <v>910</v>
      </c>
      <c r="F74" s="67">
        <v>0.65642897397231459</v>
      </c>
      <c r="G74" s="75">
        <v>-110</v>
      </c>
      <c r="H74" s="32" t="s">
        <v>56</v>
      </c>
      <c r="I7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7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74" s="40" t="str">
        <f>MID(Tracker[[#This Row],[Game]],SEARCH("@",Tracker[[#This Row],[Game]])+2,LEN(Tracker[[#This Row],[Game]]))</f>
        <v>Bucks</v>
      </c>
      <c r="L74" s="40" t="str">
        <f>LEFT(Tracker[[#This Row],[Game]],SEARCH("@",Tracker[[#This Row],[Game]])-2)</f>
        <v>Mavericks</v>
      </c>
      <c r="M7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74" s="123"/>
      <c r="O74" s="147"/>
      <c r="P74" s="147"/>
      <c r="Q7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74" s="147" t="e">
        <f>IF(AND(Tracker[[#This Row],[Money %]]&lt;&gt;"",Tracker[[#This Row],[Bet %]]&lt;&gt;""),Tracker[[#This Row],[Money %]]-Tracker[[#This Row],[Bet %]],NA())</f>
        <v>#N/A</v>
      </c>
      <c r="S74" s="109"/>
      <c r="T74" s="109"/>
      <c r="U74" s="56">
        <f>IFERROR(INDEX($A$4:$B10070,MATCH(ROW()-3,$A$4:$A$4:$A1070,0),2),0)</f>
        <v>0</v>
      </c>
      <c r="V74" s="33" t="str">
        <f>COUNTIFS(Tracker[Date],U74,Tracker[Result],"W")&amp;"-"&amp;COUNTIFS(Tracker[Date],U74,Tracker[Result],"L")&amp;IF(COUNTIFS(Tracker[Date],U74,Tracker[Result],"Push")&gt;0,"-"&amp;COUNTIFS(Tracker[Date],U74,Tracker[Result],"Push"),"")</f>
        <v>0-0</v>
      </c>
      <c r="W74" s="34" t="str">
        <f>IFERROR(COUNTIFS(Tracker[Date],U74,Tracker[Result],"W")/(COUNTIFS(Tracker[Date],U74,Tracker[Result],"W")+COUNTIFS(Tracker[Date],U74,Tracker[Result],"L")),"")</f>
        <v/>
      </c>
      <c r="X74" s="61">
        <f>SUMIF(Tracker[Date],U74,Tracker[Net])</f>
        <v>0</v>
      </c>
      <c r="Y74" s="35" t="str">
        <f>IFERROR("("&amp;ROUND(SUMIF(Tracker[Date],U74,Tracker[Net])/COUNTIF(Tracker[Date],U74),2)*100&amp;"%)","")</f>
        <v/>
      </c>
    </row>
    <row r="75" spans="1:29" x14ac:dyDescent="0.25">
      <c r="A75" s="36">
        <f t="shared" si="33"/>
        <v>8</v>
      </c>
      <c r="B75" s="25">
        <v>43815</v>
      </c>
      <c r="C75" s="25" t="str">
        <f t="shared" si="32"/>
        <v>NBA</v>
      </c>
      <c r="D75" s="26" t="s">
        <v>912</v>
      </c>
      <c r="E75" s="28" t="s">
        <v>913</v>
      </c>
      <c r="F75" s="67">
        <v>0.64821871042200208</v>
      </c>
      <c r="G75" s="75">
        <v>-110</v>
      </c>
      <c r="H75" s="32" t="s">
        <v>57</v>
      </c>
      <c r="I7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7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75" s="40" t="str">
        <f>MID(Tracker[[#This Row],[Game]],SEARCH("@",Tracker[[#This Row],[Game]])+2,LEN(Tracker[[#This Row],[Game]]))</f>
        <v>Grizzlies</v>
      </c>
      <c r="L75" s="40" t="str">
        <f>LEFT(Tracker[[#This Row],[Game]],SEARCH("@",Tracker[[#This Row],[Game]])-2)</f>
        <v>Heat</v>
      </c>
      <c r="M7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75" s="123"/>
      <c r="O75" s="147"/>
      <c r="P75" s="147"/>
      <c r="Q7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75" s="147" t="e">
        <f>IF(AND(Tracker[[#This Row],[Money %]]&lt;&gt;"",Tracker[[#This Row],[Bet %]]&lt;&gt;""),Tracker[[#This Row],[Money %]]-Tracker[[#This Row],[Bet %]],NA())</f>
        <v>#N/A</v>
      </c>
      <c r="S75" s="109"/>
      <c r="T75" s="109"/>
      <c r="U75" s="56">
        <f>IFERROR(INDEX($A$4:$B10071,MATCH(ROW()-3,$A$4:$A$4:$A1071,0),2),0)</f>
        <v>0</v>
      </c>
      <c r="V75" s="33" t="str">
        <f>COUNTIFS(Tracker[Date],U75,Tracker[Result],"W")&amp;"-"&amp;COUNTIFS(Tracker[Date],U75,Tracker[Result],"L")&amp;IF(COUNTIFS(Tracker[Date],U75,Tracker[Result],"Push")&gt;0,"-"&amp;COUNTIFS(Tracker[Date],U75,Tracker[Result],"Push"),"")</f>
        <v>0-0</v>
      </c>
      <c r="W75" s="34" t="str">
        <f>IFERROR(COUNTIFS(Tracker[Date],U75,Tracker[Result],"W")/(COUNTIFS(Tracker[Date],U75,Tracker[Result],"W")+COUNTIFS(Tracker[Date],U75,Tracker[Result],"L")),"")</f>
        <v/>
      </c>
      <c r="X75" s="61">
        <f>SUMIF(Tracker[Date],U75,Tracker[Net])</f>
        <v>0</v>
      </c>
      <c r="Y75" s="35" t="str">
        <f>IFERROR("("&amp;ROUND(SUMIF(Tracker[Date],U75,Tracker[Net])/COUNTIF(Tracker[Date],U75),2)*100&amp;"%)","")</f>
        <v/>
      </c>
    </row>
    <row r="76" spans="1:29" x14ac:dyDescent="0.25">
      <c r="A76" s="36">
        <f t="shared" si="33"/>
        <v>8</v>
      </c>
      <c r="B76" s="25">
        <v>43815</v>
      </c>
      <c r="C76" s="25" t="str">
        <f t="shared" si="32"/>
        <v>NBA</v>
      </c>
      <c r="D76" s="26" t="s">
        <v>914</v>
      </c>
      <c r="E76" s="28" t="s">
        <v>915</v>
      </c>
      <c r="F76" s="74">
        <v>0.57806318873088691</v>
      </c>
      <c r="G76" s="75">
        <v>-110</v>
      </c>
      <c r="H76" s="32" t="s">
        <v>57</v>
      </c>
      <c r="I7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7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76" s="40" t="str">
        <f>MID(Tracker[[#This Row],[Game]],SEARCH("@",Tracker[[#This Row],[Game]])+2,LEN(Tracker[[#This Row],[Game]]))</f>
        <v>Suns</v>
      </c>
      <c r="L76" s="40" t="str">
        <f>LEFT(Tracker[[#This Row],[Game]],SEARCH("@",Tracker[[#This Row],[Game]])-2)</f>
        <v>Trail Blazers</v>
      </c>
      <c r="M7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HD</v>
      </c>
      <c r="N76" s="123"/>
      <c r="O76" s="147"/>
      <c r="P76" s="147"/>
      <c r="Q76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76" s="147" t="e">
        <f>IF(AND(Tracker[[#This Row],[Money %]]&lt;&gt;"",Tracker[[#This Row],[Bet %]]&lt;&gt;""),Tracker[[#This Row],[Money %]]-Tracker[[#This Row],[Bet %]],NA())</f>
        <v>#N/A</v>
      </c>
      <c r="S76" s="109"/>
      <c r="T76" s="109"/>
      <c r="U76" s="56">
        <f>IFERROR(INDEX($A$4:$B10072,MATCH(ROW()-3,$A$4:$A$4:$A1072,0),2),0)</f>
        <v>0</v>
      </c>
      <c r="V76" s="33" t="str">
        <f>COUNTIFS(Tracker[Date],U76,Tracker[Result],"W")&amp;"-"&amp;COUNTIFS(Tracker[Date],U76,Tracker[Result],"L")&amp;IF(COUNTIFS(Tracker[Date],U76,Tracker[Result],"Push")&gt;0,"-"&amp;COUNTIFS(Tracker[Date],U76,Tracker[Result],"Push"),"")</f>
        <v>0-0</v>
      </c>
      <c r="W76" s="34" t="str">
        <f>IFERROR(COUNTIFS(Tracker[Date],U76,Tracker[Result],"W")/(COUNTIFS(Tracker[Date],U76,Tracker[Result],"W")+COUNTIFS(Tracker[Date],U76,Tracker[Result],"L")),"")</f>
        <v/>
      </c>
      <c r="X76" s="61">
        <f>SUMIF(Tracker[Date],U76,Tracker[Net])</f>
        <v>0</v>
      </c>
      <c r="Y76" s="35" t="str">
        <f>IFERROR("("&amp;ROUND(SUMIF(Tracker[Date],U76,Tracker[Net])/COUNTIF(Tracker[Date],U76),2)*100&amp;"%)","")</f>
        <v/>
      </c>
    </row>
    <row r="77" spans="1:29" x14ac:dyDescent="0.25">
      <c r="A77" s="36">
        <f t="shared" si="33"/>
        <v>8</v>
      </c>
      <c r="B77" s="25">
        <v>43815</v>
      </c>
      <c r="C77" s="25" t="str">
        <f t="shared" si="32"/>
        <v>NBA</v>
      </c>
      <c r="D77" s="26" t="s">
        <v>914</v>
      </c>
      <c r="E77" s="28" t="s">
        <v>911</v>
      </c>
      <c r="F77" s="74">
        <v>0.56281438658964356</v>
      </c>
      <c r="G77" s="75">
        <v>-110</v>
      </c>
      <c r="H77" s="32" t="s">
        <v>56</v>
      </c>
      <c r="I7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7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77" s="40" t="str">
        <f>MID(Tracker[[#This Row],[Game]],SEARCH("@",Tracker[[#This Row],[Game]])+2,LEN(Tracker[[#This Row],[Game]]))</f>
        <v>Suns</v>
      </c>
      <c r="L77" s="40" t="str">
        <f>LEFT(Tracker[[#This Row],[Game]],SEARCH("@",Tracker[[#This Row],[Game]])-2)</f>
        <v>Trail Blazers</v>
      </c>
      <c r="M7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77" s="123"/>
      <c r="O77" s="147"/>
      <c r="P77" s="147"/>
      <c r="Q77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77" s="147" t="e">
        <f>IF(AND(Tracker[[#This Row],[Money %]]&lt;&gt;"",Tracker[[#This Row],[Bet %]]&lt;&gt;""),Tracker[[#This Row],[Money %]]-Tracker[[#This Row],[Bet %]],NA())</f>
        <v>#N/A</v>
      </c>
      <c r="S77" s="109"/>
      <c r="T77" s="109"/>
      <c r="U77" s="56">
        <f>IFERROR(INDEX($A$4:$B10073,MATCH(ROW()-3,$A$4:$A$4:$A1073,0),2),0)</f>
        <v>0</v>
      </c>
      <c r="V77" s="33" t="str">
        <f>COUNTIFS(Tracker[Date],U77,Tracker[Result],"W")&amp;"-"&amp;COUNTIFS(Tracker[Date],U77,Tracker[Result],"L")&amp;IF(COUNTIFS(Tracker[Date],U77,Tracker[Result],"Push")&gt;0,"-"&amp;COUNTIFS(Tracker[Date],U77,Tracker[Result],"Push"),"")</f>
        <v>0-0</v>
      </c>
      <c r="W77" s="34" t="str">
        <f>IFERROR(COUNTIFS(Tracker[Date],U77,Tracker[Result],"W")/(COUNTIFS(Tracker[Date],U77,Tracker[Result],"W")+COUNTIFS(Tracker[Date],U77,Tracker[Result],"L")),"")</f>
        <v/>
      </c>
      <c r="X77" s="61">
        <f>SUMIF(Tracker[Date],U77,Tracker[Net])</f>
        <v>0</v>
      </c>
      <c r="Y77" s="35" t="str">
        <f>IFERROR("("&amp;ROUND(SUMIF(Tracker[Date],U77,Tracker[Net])/COUNTIF(Tracker[Date],U77),2)*100&amp;"%)","")</f>
        <v/>
      </c>
    </row>
    <row r="78" spans="1:29" x14ac:dyDescent="0.25">
      <c r="A78" s="36">
        <f t="shared" si="33"/>
        <v>8</v>
      </c>
      <c r="B78" s="25">
        <v>43815</v>
      </c>
      <c r="C78" s="25" t="str">
        <f t="shared" si="32"/>
        <v>NBA</v>
      </c>
      <c r="D78" s="26" t="s">
        <v>917</v>
      </c>
      <c r="E78" s="28" t="s">
        <v>918</v>
      </c>
      <c r="F78" s="74">
        <v>0.61647526977132083</v>
      </c>
      <c r="G78" s="75">
        <v>-110</v>
      </c>
      <c r="H78" s="32" t="s">
        <v>56</v>
      </c>
      <c r="I7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7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78" s="40" t="str">
        <f>MID(Tracker[[#This Row],[Game]],SEARCH("@",Tracker[[#This Row],[Game]])+2,LEN(Tracker[[#This Row],[Game]]))</f>
        <v>Raptors</v>
      </c>
      <c r="L78" s="40" t="str">
        <f>LEFT(Tracker[[#This Row],[Game]],SEARCH("@",Tracker[[#This Row],[Game]])-2)</f>
        <v>Cavaliers</v>
      </c>
      <c r="M7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78" s="123"/>
      <c r="O78" s="147"/>
      <c r="P78" s="147"/>
      <c r="Q78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78" s="147" t="e">
        <f>IF(AND(Tracker[[#This Row],[Money %]]&lt;&gt;"",Tracker[[#This Row],[Bet %]]&lt;&gt;""),Tracker[[#This Row],[Money %]]-Tracker[[#This Row],[Bet %]],NA())</f>
        <v>#N/A</v>
      </c>
      <c r="S78" s="109"/>
      <c r="T78" s="109"/>
      <c r="U78" s="56">
        <f>IFERROR(INDEX($A$4:$B10074,MATCH(ROW()-3,$A$4:$A$4:$A1074,0),2),0)</f>
        <v>0</v>
      </c>
      <c r="V78" s="33" t="str">
        <f>COUNTIFS(Tracker[Date],U78,Tracker[Result],"W")&amp;"-"&amp;COUNTIFS(Tracker[Date],U78,Tracker[Result],"L")&amp;IF(COUNTIFS(Tracker[Date],U78,Tracker[Result],"Push")&gt;0,"-"&amp;COUNTIFS(Tracker[Date],U78,Tracker[Result],"Push"),"")</f>
        <v>0-0</v>
      </c>
      <c r="W78" s="34" t="str">
        <f>IFERROR(COUNTIFS(Tracker[Date],U78,Tracker[Result],"W")/(COUNTIFS(Tracker[Date],U78,Tracker[Result],"W")+COUNTIFS(Tracker[Date],U78,Tracker[Result],"L")),"")</f>
        <v/>
      </c>
      <c r="X78" s="61">
        <f>SUMIF(Tracker[Date],U78,Tracker[Net])</f>
        <v>0</v>
      </c>
      <c r="Y78" s="35" t="str">
        <f>IFERROR("("&amp;ROUND(SUMIF(Tracker[Date],U78,Tracker[Net])/COUNTIF(Tracker[Date],U78),2)*100&amp;"%)","")</f>
        <v/>
      </c>
    </row>
    <row r="79" spans="1:29" x14ac:dyDescent="0.25">
      <c r="A79" s="36">
        <f t="shared" si="33"/>
        <v>8</v>
      </c>
      <c r="B79" s="25">
        <v>43815</v>
      </c>
      <c r="C79" s="25" t="str">
        <f t="shared" si="32"/>
        <v>NBA</v>
      </c>
      <c r="D79" s="26" t="s">
        <v>905</v>
      </c>
      <c r="E79" s="28" t="s">
        <v>906</v>
      </c>
      <c r="F79" s="74">
        <v>0.57657733485101292</v>
      </c>
      <c r="G79" s="75">
        <v>-110</v>
      </c>
      <c r="H79" s="32" t="s">
        <v>56</v>
      </c>
      <c r="I7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7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79" s="40" t="str">
        <f>MID(Tracker[[#This Row],[Game]],SEARCH("@",Tracker[[#This Row],[Game]])+2,LEN(Tracker[[#This Row],[Game]]))</f>
        <v>Thunder</v>
      </c>
      <c r="L79" s="40" t="str">
        <f>LEFT(Tracker[[#This Row],[Game]],SEARCH("@",Tracker[[#This Row],[Game]])-2)</f>
        <v>Bulls</v>
      </c>
      <c r="M7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79" s="123"/>
      <c r="O79" s="147"/>
      <c r="P79" s="147"/>
      <c r="Q79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79" s="147" t="e">
        <f>IF(AND(Tracker[[#This Row],[Money %]]&lt;&gt;"",Tracker[[#This Row],[Bet %]]&lt;&gt;""),Tracker[[#This Row],[Money %]]-Tracker[[#This Row],[Bet %]],NA())</f>
        <v>#N/A</v>
      </c>
      <c r="S79" s="109"/>
      <c r="T79" s="109"/>
      <c r="U79" s="56">
        <f>IFERROR(INDEX($A$4:$B10075,MATCH(ROW()-3,$A$4:$A$4:$A1075,0),2),0)</f>
        <v>0</v>
      </c>
      <c r="V79" s="33" t="str">
        <f>COUNTIFS(Tracker[Date],U79,Tracker[Result],"W")&amp;"-"&amp;COUNTIFS(Tracker[Date],U79,Tracker[Result],"L")&amp;IF(COUNTIFS(Tracker[Date],U79,Tracker[Result],"Push")&gt;0,"-"&amp;COUNTIFS(Tracker[Date],U79,Tracker[Result],"Push"),"")</f>
        <v>0-0</v>
      </c>
      <c r="W79" s="34" t="str">
        <f>IFERROR(COUNTIFS(Tracker[Date],U79,Tracker[Result],"W")/(COUNTIFS(Tracker[Date],U79,Tracker[Result],"W")+COUNTIFS(Tracker[Date],U79,Tracker[Result],"L")),"")</f>
        <v/>
      </c>
      <c r="X79" s="61">
        <f>SUMIF(Tracker[Date],U79,Tracker[Net])</f>
        <v>0</v>
      </c>
      <c r="Y79" s="35" t="str">
        <f>IFERROR("("&amp;ROUND(SUMIF(Tracker[Date],U79,Tracker[Net])/COUNTIF(Tracker[Date],U79),2)*100&amp;"%)","")</f>
        <v/>
      </c>
    </row>
    <row r="80" spans="1:29" x14ac:dyDescent="0.25">
      <c r="A80" s="36">
        <f t="shared" si="33"/>
        <v>8</v>
      </c>
      <c r="B80" s="25">
        <v>43815</v>
      </c>
      <c r="C80" s="25" t="str">
        <f t="shared" si="32"/>
        <v>NBA</v>
      </c>
      <c r="D80" s="26" t="s">
        <v>905</v>
      </c>
      <c r="E80" s="28" t="s">
        <v>919</v>
      </c>
      <c r="F80" s="74">
        <v>0.61038320182603778</v>
      </c>
      <c r="G80" s="75">
        <v>-110</v>
      </c>
      <c r="H80" s="32" t="s">
        <v>56</v>
      </c>
      <c r="I8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8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80" s="40" t="str">
        <f>MID(Tracker[[#This Row],[Game]],SEARCH("@",Tracker[[#This Row],[Game]])+2,LEN(Tracker[[#This Row],[Game]]))</f>
        <v>Thunder</v>
      </c>
      <c r="L80" s="40" t="str">
        <f>LEFT(Tracker[[#This Row],[Game]],SEARCH("@",Tracker[[#This Row],[Game]])-2)</f>
        <v>Bulls</v>
      </c>
      <c r="M8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80" s="123"/>
      <c r="O80" s="147"/>
      <c r="P80" s="147"/>
      <c r="Q80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80" s="147" t="e">
        <f>IF(AND(Tracker[[#This Row],[Money %]]&lt;&gt;"",Tracker[[#This Row],[Bet %]]&lt;&gt;""),Tracker[[#This Row],[Money %]]-Tracker[[#This Row],[Bet %]],NA())</f>
        <v>#N/A</v>
      </c>
      <c r="S80" s="109"/>
      <c r="T80" s="109"/>
      <c r="U80" s="56">
        <f>IFERROR(INDEX($A$4:$B10076,MATCH(ROW()-3,$A$4:$A$4:$A1076,0),2),0)</f>
        <v>0</v>
      </c>
      <c r="V80" s="33" t="str">
        <f>COUNTIFS(Tracker[Date],U80,Tracker[Result],"W")&amp;"-"&amp;COUNTIFS(Tracker[Date],U80,Tracker[Result],"L")&amp;IF(COUNTIFS(Tracker[Date],U80,Tracker[Result],"Push")&gt;0,"-"&amp;COUNTIFS(Tracker[Date],U80,Tracker[Result],"Push"),"")</f>
        <v>0-0</v>
      </c>
      <c r="W80" s="34" t="str">
        <f>IFERROR(COUNTIFS(Tracker[Date],U80,Tracker[Result],"W")/(COUNTIFS(Tracker[Date],U80,Tracker[Result],"W")+COUNTIFS(Tracker[Date],U80,Tracker[Result],"L")),"")</f>
        <v/>
      </c>
      <c r="X80" s="61">
        <f>SUMIF(Tracker[Date],U80,Tracker[Net])</f>
        <v>0</v>
      </c>
      <c r="Y80" s="35" t="str">
        <f>IFERROR("("&amp;ROUND(SUMIF(Tracker[Date],U80,Tracker[Net])/COUNTIF(Tracker[Date],U80),2)*100&amp;"%)","")</f>
        <v/>
      </c>
    </row>
    <row r="81" spans="1:25" x14ac:dyDescent="0.25">
      <c r="A81" s="36">
        <f t="shared" si="33"/>
        <v>8</v>
      </c>
      <c r="B81" s="25">
        <v>43815</v>
      </c>
      <c r="C81" s="25" t="str">
        <f t="shared" si="32"/>
        <v>NBA</v>
      </c>
      <c r="D81" s="26" t="s">
        <v>909</v>
      </c>
      <c r="E81" s="28" t="s">
        <v>910</v>
      </c>
      <c r="F81" s="74">
        <v>0.67504162104206011</v>
      </c>
      <c r="G81" s="75">
        <v>-110</v>
      </c>
      <c r="H81" s="32" t="s">
        <v>56</v>
      </c>
      <c r="I8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8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81" s="40" t="str">
        <f>MID(Tracker[[#This Row],[Game]],SEARCH("@",Tracker[[#This Row],[Game]])+2,LEN(Tracker[[#This Row],[Game]]))</f>
        <v>Bucks</v>
      </c>
      <c r="L81" s="40" t="str">
        <f>LEFT(Tracker[[#This Row],[Game]],SEARCH("@",Tracker[[#This Row],[Game]])-2)</f>
        <v>Mavericks</v>
      </c>
      <c r="M8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81" s="123"/>
      <c r="O81" s="147"/>
      <c r="P81" s="147"/>
      <c r="Q81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81" s="147" t="e">
        <f>IF(AND(Tracker[[#This Row],[Money %]]&lt;&gt;"",Tracker[[#This Row],[Bet %]]&lt;&gt;""),Tracker[[#This Row],[Money %]]-Tracker[[#This Row],[Bet %]],NA())</f>
        <v>#N/A</v>
      </c>
      <c r="S81" s="109"/>
      <c r="T81" s="109"/>
      <c r="U81" s="56">
        <f>IFERROR(INDEX($A$4:$B10077,MATCH(ROW()-3,$A$4:$A$4:$A1077,0),2),0)</f>
        <v>0</v>
      </c>
      <c r="V81" s="33" t="str">
        <f>COUNTIFS(Tracker[Date],U81,Tracker[Result],"W")&amp;"-"&amp;COUNTIFS(Tracker[Date],U81,Tracker[Result],"L")&amp;IF(COUNTIFS(Tracker[Date],U81,Tracker[Result],"Push")&gt;0,"-"&amp;COUNTIFS(Tracker[Date],U81,Tracker[Result],"Push"),"")</f>
        <v>0-0</v>
      </c>
      <c r="W81" s="34" t="str">
        <f>IFERROR(COUNTIFS(Tracker[Date],U81,Tracker[Result],"W")/(COUNTIFS(Tracker[Date],U81,Tracker[Result],"W")+COUNTIFS(Tracker[Date],U81,Tracker[Result],"L")),"")</f>
        <v/>
      </c>
      <c r="X81" s="61">
        <f>SUMIF(Tracker[Date],U81,Tracker[Net])</f>
        <v>0</v>
      </c>
      <c r="Y81" s="35" t="str">
        <f>IFERROR("("&amp;ROUND(SUMIF(Tracker[Date],U81,Tracker[Net])/COUNTIF(Tracker[Date],U81),2)*100&amp;"%)","")</f>
        <v/>
      </c>
    </row>
    <row r="82" spans="1:25" x14ac:dyDescent="0.25">
      <c r="A82" s="36">
        <f t="shared" si="33"/>
        <v>8</v>
      </c>
      <c r="B82" s="25">
        <v>43815</v>
      </c>
      <c r="C82" s="25" t="str">
        <f t="shared" si="32"/>
        <v>NBA</v>
      </c>
      <c r="D82" s="26" t="s">
        <v>909</v>
      </c>
      <c r="E82" s="28" t="s">
        <v>829</v>
      </c>
      <c r="F82" s="74">
        <v>0.55957772630395042</v>
      </c>
      <c r="G82" s="75">
        <v>-110</v>
      </c>
      <c r="H82" s="32" t="s">
        <v>56</v>
      </c>
      <c r="I8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8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82" s="40" t="str">
        <f>MID(Tracker[[#This Row],[Game]],SEARCH("@",Tracker[[#This Row],[Game]])+2,LEN(Tracker[[#This Row],[Game]]))</f>
        <v>Bucks</v>
      </c>
      <c r="L82" s="40" t="str">
        <f>LEFT(Tracker[[#This Row],[Game]],SEARCH("@",Tracker[[#This Row],[Game]])-2)</f>
        <v>Mavericks</v>
      </c>
      <c r="M8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82" s="123"/>
      <c r="O82" s="147"/>
      <c r="P82" s="147"/>
      <c r="Q82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82" s="147" t="e">
        <f>IF(AND(Tracker[[#This Row],[Money %]]&lt;&gt;"",Tracker[[#This Row],[Bet %]]&lt;&gt;""),Tracker[[#This Row],[Money %]]-Tracker[[#This Row],[Bet %]],NA())</f>
        <v>#N/A</v>
      </c>
      <c r="S82" s="109"/>
      <c r="T82" s="109"/>
      <c r="U82" s="56">
        <f>IFERROR(INDEX($A$4:$B10078,MATCH(ROW()-3,$A$4:$A$4:$A1078,0),2),0)</f>
        <v>0</v>
      </c>
      <c r="V82" s="33" t="str">
        <f>COUNTIFS(Tracker[Date],U82,Tracker[Result],"W")&amp;"-"&amp;COUNTIFS(Tracker[Date],U82,Tracker[Result],"L")&amp;IF(COUNTIFS(Tracker[Date],U82,Tracker[Result],"Push")&gt;0,"-"&amp;COUNTIFS(Tracker[Date],U82,Tracker[Result],"Push"),"")</f>
        <v>0-0</v>
      </c>
      <c r="W82" s="34" t="str">
        <f>IFERROR(COUNTIFS(Tracker[Date],U82,Tracker[Result],"W")/(COUNTIFS(Tracker[Date],U82,Tracker[Result],"W")+COUNTIFS(Tracker[Date],U82,Tracker[Result],"L")),"")</f>
        <v/>
      </c>
      <c r="X82" s="61">
        <f>SUMIF(Tracker[Date],U82,Tracker[Net])</f>
        <v>0</v>
      </c>
      <c r="Y82" s="35" t="str">
        <f>IFERROR("("&amp;ROUND(SUMIF(Tracker[Date],U82,Tracker[Net])/COUNTIF(Tracker[Date],U82),2)*100&amp;"%)","")</f>
        <v/>
      </c>
    </row>
    <row r="83" spans="1:25" x14ac:dyDescent="0.25">
      <c r="A83" s="36">
        <f t="shared" si="33"/>
        <v>8</v>
      </c>
      <c r="B83" s="25">
        <v>43815</v>
      </c>
      <c r="C83" s="25" t="str">
        <f t="shared" si="32"/>
        <v>NBA</v>
      </c>
      <c r="D83" s="26" t="s">
        <v>912</v>
      </c>
      <c r="E83" s="28" t="s">
        <v>913</v>
      </c>
      <c r="F83" s="74">
        <v>0.61845703979825295</v>
      </c>
      <c r="G83" s="75">
        <v>-110</v>
      </c>
      <c r="H83" s="32" t="s">
        <v>57</v>
      </c>
      <c r="I8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8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83" s="40" t="str">
        <f>MID(Tracker[[#This Row],[Game]],SEARCH("@",Tracker[[#This Row],[Game]])+2,LEN(Tracker[[#This Row],[Game]]))</f>
        <v>Grizzlies</v>
      </c>
      <c r="L83" s="40" t="str">
        <f>LEFT(Tracker[[#This Row],[Game]],SEARCH("@",Tracker[[#This Row],[Game]])-2)</f>
        <v>Heat</v>
      </c>
      <c r="M8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83" s="123"/>
      <c r="O83" s="147"/>
      <c r="P83" s="147"/>
      <c r="Q83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83" s="147" t="e">
        <f>IF(AND(Tracker[[#This Row],[Money %]]&lt;&gt;"",Tracker[[#This Row],[Bet %]]&lt;&gt;""),Tracker[[#This Row],[Money %]]-Tracker[[#This Row],[Bet %]],NA())</f>
        <v>#N/A</v>
      </c>
      <c r="S83" s="109"/>
      <c r="T83" s="109"/>
      <c r="U83" s="56">
        <f>IFERROR(INDEX($A$4:$B10079,MATCH(ROW()-3,$A$4:$A$4:$A1079,0),2),0)</f>
        <v>0</v>
      </c>
      <c r="V83" s="33" t="str">
        <f>COUNTIFS(Tracker[Date],U83,Tracker[Result],"W")&amp;"-"&amp;COUNTIFS(Tracker[Date],U83,Tracker[Result],"L")&amp;IF(COUNTIFS(Tracker[Date],U83,Tracker[Result],"Push")&gt;0,"-"&amp;COUNTIFS(Tracker[Date],U83,Tracker[Result],"Push"),"")</f>
        <v>0-0</v>
      </c>
      <c r="W83" s="34" t="str">
        <f>IFERROR(COUNTIFS(Tracker[Date],U83,Tracker[Result],"W")/(COUNTIFS(Tracker[Date],U83,Tracker[Result],"W")+COUNTIFS(Tracker[Date],U83,Tracker[Result],"L")),"")</f>
        <v/>
      </c>
      <c r="X83" s="61">
        <f>SUMIF(Tracker[Date],U83,Tracker[Net])</f>
        <v>0</v>
      </c>
      <c r="Y83" s="35" t="str">
        <f>IFERROR("("&amp;ROUND(SUMIF(Tracker[Date],U83,Tracker[Net])/COUNTIF(Tracker[Date],U83),2)*100&amp;"%)","")</f>
        <v/>
      </c>
    </row>
    <row r="84" spans="1:25" x14ac:dyDescent="0.25">
      <c r="A84" s="36">
        <f t="shared" si="33"/>
        <v>8</v>
      </c>
      <c r="B84" s="25">
        <v>43815</v>
      </c>
      <c r="C84" s="25" t="str">
        <f t="shared" si="32"/>
        <v>NBA</v>
      </c>
      <c r="D84" s="26" t="s">
        <v>912</v>
      </c>
      <c r="E84" s="28" t="s">
        <v>918</v>
      </c>
      <c r="F84" s="74">
        <v>0.55645149273409156</v>
      </c>
      <c r="G84" s="75">
        <v>-110</v>
      </c>
      <c r="H84" s="32" t="s">
        <v>56</v>
      </c>
      <c r="I8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8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84" s="40" t="str">
        <f>MID(Tracker[[#This Row],[Game]],SEARCH("@",Tracker[[#This Row],[Game]])+2,LEN(Tracker[[#This Row],[Game]]))</f>
        <v>Grizzlies</v>
      </c>
      <c r="L84" s="40" t="str">
        <f>LEFT(Tracker[[#This Row],[Game]],SEARCH("@",Tracker[[#This Row],[Game]])-2)</f>
        <v>Heat</v>
      </c>
      <c r="M8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84" s="123"/>
      <c r="O84" s="147"/>
      <c r="P84" s="147"/>
      <c r="Q8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84" s="147" t="e">
        <f>IF(AND(Tracker[[#This Row],[Money %]]&lt;&gt;"",Tracker[[#This Row],[Bet %]]&lt;&gt;""),Tracker[[#This Row],[Money %]]-Tracker[[#This Row],[Bet %]],NA())</f>
        <v>#N/A</v>
      </c>
      <c r="S84" s="109"/>
      <c r="T84" s="109"/>
      <c r="U84" s="56">
        <f>IFERROR(INDEX($A$4:$B10080,MATCH(ROW()-3,$A$4:$A$4:$A1080,0),2),0)</f>
        <v>0</v>
      </c>
      <c r="V84" s="33" t="str">
        <f>COUNTIFS(Tracker[Date],U84,Tracker[Result],"W")&amp;"-"&amp;COUNTIFS(Tracker[Date],U84,Tracker[Result],"L")&amp;IF(COUNTIFS(Tracker[Date],U84,Tracker[Result],"Push")&gt;0,"-"&amp;COUNTIFS(Tracker[Date],U84,Tracker[Result],"Push"),"")</f>
        <v>0-0</v>
      </c>
      <c r="W84" s="34" t="str">
        <f>IFERROR(COUNTIFS(Tracker[Date],U84,Tracker[Result],"W")/(COUNTIFS(Tracker[Date],U84,Tracker[Result],"W")+COUNTIFS(Tracker[Date],U84,Tracker[Result],"L")),"")</f>
        <v/>
      </c>
      <c r="X84" s="61">
        <f>SUMIF(Tracker[Date],U84,Tracker[Net])</f>
        <v>0</v>
      </c>
      <c r="Y84" s="35" t="str">
        <f>IFERROR("("&amp;ROUND(SUMIF(Tracker[Date],U84,Tracker[Net])/COUNTIF(Tracker[Date],U84),2)*100&amp;"%)","")</f>
        <v/>
      </c>
    </row>
    <row r="85" spans="1:25" x14ac:dyDescent="0.25">
      <c r="A85" s="36">
        <f t="shared" si="33"/>
        <v>8</v>
      </c>
      <c r="B85" s="25">
        <v>43815</v>
      </c>
      <c r="C85" s="25" t="str">
        <f t="shared" si="32"/>
        <v>NBA</v>
      </c>
      <c r="D85" s="26" t="s">
        <v>914</v>
      </c>
      <c r="E85" s="28" t="s">
        <v>915</v>
      </c>
      <c r="F85" s="74">
        <v>0.56412684341370767</v>
      </c>
      <c r="G85" s="75">
        <v>-110</v>
      </c>
      <c r="H85" s="32" t="s">
        <v>57</v>
      </c>
      <c r="I8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8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85" s="40" t="str">
        <f>MID(Tracker[[#This Row],[Game]],SEARCH("@",Tracker[[#This Row],[Game]])+2,LEN(Tracker[[#This Row],[Game]]))</f>
        <v>Suns</v>
      </c>
      <c r="L85" s="40" t="str">
        <f>LEFT(Tracker[[#This Row],[Game]],SEARCH("@",Tracker[[#This Row],[Game]])-2)</f>
        <v>Trail Blazers</v>
      </c>
      <c r="M8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HD</v>
      </c>
      <c r="N85" s="123"/>
      <c r="O85" s="147"/>
      <c r="P85" s="147"/>
      <c r="Q8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85" s="147" t="e">
        <f>IF(AND(Tracker[[#This Row],[Money %]]&lt;&gt;"",Tracker[[#This Row],[Bet %]]&lt;&gt;""),Tracker[[#This Row],[Money %]]-Tracker[[#This Row],[Bet %]],NA())</f>
        <v>#N/A</v>
      </c>
      <c r="S85" s="109"/>
      <c r="T85" s="109"/>
      <c r="U85" s="56">
        <f>IFERROR(INDEX($A$4:$B10081,MATCH(ROW()-3,$A$4:$A$4:$A1081,0),2),0)</f>
        <v>0</v>
      </c>
      <c r="V85" s="33" t="str">
        <f>COUNTIFS(Tracker[Date],U85,Tracker[Result],"W")&amp;"-"&amp;COUNTIFS(Tracker[Date],U85,Tracker[Result],"L")&amp;IF(COUNTIFS(Tracker[Date],U85,Tracker[Result],"Push")&gt;0,"-"&amp;COUNTIFS(Tracker[Date],U85,Tracker[Result],"Push"),"")</f>
        <v>0-0</v>
      </c>
      <c r="W85" s="34" t="str">
        <f>IFERROR(COUNTIFS(Tracker[Date],U85,Tracker[Result],"W")/(COUNTIFS(Tracker[Date],U85,Tracker[Result],"W")+COUNTIFS(Tracker[Date],U85,Tracker[Result],"L")),"")</f>
        <v/>
      </c>
      <c r="X85" s="61">
        <f>SUMIF(Tracker[Date],U85,Tracker[Net])</f>
        <v>0</v>
      </c>
      <c r="Y85" s="35" t="str">
        <f>IFERROR("("&amp;ROUND(SUMIF(Tracker[Date],U85,Tracker[Net])/COUNTIF(Tracker[Date],U85),2)*100&amp;"%)","")</f>
        <v/>
      </c>
    </row>
    <row r="86" spans="1:25" x14ac:dyDescent="0.25">
      <c r="A86" s="36">
        <f t="shared" si="33"/>
        <v>9</v>
      </c>
      <c r="B86" s="25">
        <v>43816</v>
      </c>
      <c r="C86" s="25" t="str">
        <f t="shared" si="32"/>
        <v>NBA</v>
      </c>
      <c r="D86" s="26" t="s">
        <v>920</v>
      </c>
      <c r="E86" s="28" t="s">
        <v>921</v>
      </c>
      <c r="F86" s="74">
        <v>0.64539468518453369</v>
      </c>
      <c r="G86" s="75">
        <v>-110</v>
      </c>
      <c r="H86" s="32" t="s">
        <v>57</v>
      </c>
      <c r="I8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8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86" s="40" t="str">
        <f>MID(Tracker[[#This Row],[Game]],SEARCH("@",Tracker[[#This Row],[Game]])+2,LEN(Tracker[[#This Row],[Game]]))</f>
        <v>Knicks</v>
      </c>
      <c r="L86" s="40" t="str">
        <f>LEFT(Tracker[[#This Row],[Game]],SEARCH("@",Tracker[[#This Row],[Game]])-2)</f>
        <v>Hawks</v>
      </c>
      <c r="M8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86" s="123"/>
      <c r="O86" s="147"/>
      <c r="P86" s="147"/>
      <c r="Q86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86" s="147" t="e">
        <f>IF(AND(Tracker[[#This Row],[Money %]]&lt;&gt;"",Tracker[[#This Row],[Bet %]]&lt;&gt;""),Tracker[[#This Row],[Money %]]-Tracker[[#This Row],[Bet %]],NA())</f>
        <v>#N/A</v>
      </c>
      <c r="S86" s="109"/>
      <c r="T86" s="109"/>
      <c r="U86" s="56">
        <f>IFERROR(INDEX($A$4:$B10082,MATCH(ROW()-3,$A$4:$A$4:$A1082,0),2),0)</f>
        <v>0</v>
      </c>
      <c r="V86" s="33" t="str">
        <f>COUNTIFS(Tracker[Date],U86,Tracker[Result],"W")&amp;"-"&amp;COUNTIFS(Tracker[Date],U86,Tracker[Result],"L")&amp;IF(COUNTIFS(Tracker[Date],U86,Tracker[Result],"Push")&gt;0,"-"&amp;COUNTIFS(Tracker[Date],U86,Tracker[Result],"Push"),"")</f>
        <v>0-0</v>
      </c>
      <c r="W86" s="34" t="str">
        <f>IFERROR(COUNTIFS(Tracker[Date],U86,Tracker[Result],"W")/(COUNTIFS(Tracker[Date],U86,Tracker[Result],"W")+COUNTIFS(Tracker[Date],U86,Tracker[Result],"L")),"")</f>
        <v/>
      </c>
      <c r="X86" s="61">
        <f>SUMIF(Tracker[Date],U86,Tracker[Net])</f>
        <v>0</v>
      </c>
      <c r="Y86" s="35" t="str">
        <f>IFERROR("("&amp;ROUND(SUMIF(Tracker[Date],U86,Tracker[Net])/COUNTIF(Tracker[Date],U86),2)*100&amp;"%)","")</f>
        <v/>
      </c>
    </row>
    <row r="87" spans="1:25" x14ac:dyDescent="0.25">
      <c r="A87" s="36">
        <f t="shared" si="33"/>
        <v>9</v>
      </c>
      <c r="B87" s="25">
        <v>43816</v>
      </c>
      <c r="C87" s="25" t="str">
        <f t="shared" si="32"/>
        <v>NBA</v>
      </c>
      <c r="D87" s="26" t="s">
        <v>920</v>
      </c>
      <c r="E87" s="28" t="s">
        <v>893</v>
      </c>
      <c r="F87" s="74">
        <v>0.67369663461526685</v>
      </c>
      <c r="G87" s="75">
        <v>-110</v>
      </c>
      <c r="H87" s="32" t="s">
        <v>57</v>
      </c>
      <c r="I8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8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87" s="40" t="str">
        <f>MID(Tracker[[#This Row],[Game]],SEARCH("@",Tracker[[#This Row],[Game]])+2,LEN(Tracker[[#This Row],[Game]]))</f>
        <v>Knicks</v>
      </c>
      <c r="L87" s="40" t="str">
        <f>LEFT(Tracker[[#This Row],[Game]],SEARCH("@",Tracker[[#This Row],[Game]])-2)</f>
        <v>Hawks</v>
      </c>
      <c r="M8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87" s="123"/>
      <c r="O87" s="147"/>
      <c r="P87" s="147"/>
      <c r="Q87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87" s="147" t="e">
        <f>IF(AND(Tracker[[#This Row],[Money %]]&lt;&gt;"",Tracker[[#This Row],[Bet %]]&lt;&gt;""),Tracker[[#This Row],[Money %]]-Tracker[[#This Row],[Bet %]],NA())</f>
        <v>#N/A</v>
      </c>
      <c r="S87" s="109"/>
      <c r="T87" s="109"/>
      <c r="U87" s="56">
        <f>IFERROR(INDEX($A$4:$B10083,MATCH(ROW()-3,$A$4:$A$4:$A1083,0),2),0)</f>
        <v>0</v>
      </c>
      <c r="V87" s="33" t="str">
        <f>COUNTIFS(Tracker[Date],U87,Tracker[Result],"W")&amp;"-"&amp;COUNTIFS(Tracker[Date],U87,Tracker[Result],"L")&amp;IF(COUNTIFS(Tracker[Date],U87,Tracker[Result],"Push")&gt;0,"-"&amp;COUNTIFS(Tracker[Date],U87,Tracker[Result],"Push"),"")</f>
        <v>0-0</v>
      </c>
      <c r="W87" s="34" t="str">
        <f>IFERROR(COUNTIFS(Tracker[Date],U87,Tracker[Result],"W")/(COUNTIFS(Tracker[Date],U87,Tracker[Result],"W")+COUNTIFS(Tracker[Date],U87,Tracker[Result],"L")),"")</f>
        <v/>
      </c>
      <c r="X87" s="61">
        <f>SUMIF(Tracker[Date],U87,Tracker[Net])</f>
        <v>0</v>
      </c>
      <c r="Y87" s="35" t="str">
        <f>IFERROR("("&amp;ROUND(SUMIF(Tracker[Date],U87,Tracker[Net])/COUNTIF(Tracker[Date],U87),2)*100&amp;"%)","")</f>
        <v/>
      </c>
    </row>
    <row r="88" spans="1:25" x14ac:dyDescent="0.25">
      <c r="A88" s="36">
        <f t="shared" si="33"/>
        <v>9</v>
      </c>
      <c r="B88" s="25">
        <v>43816</v>
      </c>
      <c r="C88" s="25" t="str">
        <f t="shared" si="32"/>
        <v>NBA</v>
      </c>
      <c r="D88" s="26" t="s">
        <v>922</v>
      </c>
      <c r="E88" s="28" t="s">
        <v>923</v>
      </c>
      <c r="F88" s="74">
        <v>0.60826740164241255</v>
      </c>
      <c r="G88" s="75">
        <v>-110</v>
      </c>
      <c r="H88" s="32" t="s">
        <v>57</v>
      </c>
      <c r="I8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8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88" s="40" t="str">
        <f>MID(Tracker[[#This Row],[Game]],SEARCH("@",Tracker[[#This Row],[Game]])+2,LEN(Tracker[[#This Row],[Game]]))</f>
        <v>Jazz</v>
      </c>
      <c r="L88" s="40" t="str">
        <f>LEFT(Tracker[[#This Row],[Game]],SEARCH("@",Tracker[[#This Row],[Game]])-2)</f>
        <v>Magic</v>
      </c>
      <c r="M8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88" s="123"/>
      <c r="O88" s="147"/>
      <c r="P88" s="147"/>
      <c r="Q88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88" s="147" t="e">
        <f>IF(AND(Tracker[[#This Row],[Money %]]&lt;&gt;"",Tracker[[#This Row],[Bet %]]&lt;&gt;""),Tracker[[#This Row],[Money %]]-Tracker[[#This Row],[Bet %]],NA())</f>
        <v>#N/A</v>
      </c>
      <c r="S88" s="109"/>
      <c r="T88" s="109"/>
      <c r="U88" s="56">
        <f>IFERROR(INDEX($A$4:$B10084,MATCH(ROW()-3,$A$4:$A$4:$A1084,0),2),0)</f>
        <v>0</v>
      </c>
      <c r="V88" s="33" t="str">
        <f>COUNTIFS(Tracker[Date],U88,Tracker[Result],"W")&amp;"-"&amp;COUNTIFS(Tracker[Date],U88,Tracker[Result],"L")&amp;IF(COUNTIFS(Tracker[Date],U88,Tracker[Result],"Push")&gt;0,"-"&amp;COUNTIFS(Tracker[Date],U88,Tracker[Result],"Push"),"")</f>
        <v>0-0</v>
      </c>
      <c r="W88" s="34" t="str">
        <f>IFERROR(COUNTIFS(Tracker[Date],U88,Tracker[Result],"W")/(COUNTIFS(Tracker[Date],U88,Tracker[Result],"W")+COUNTIFS(Tracker[Date],U88,Tracker[Result],"L")),"")</f>
        <v/>
      </c>
      <c r="X88" s="61">
        <f>SUMIF(Tracker[Date],U88,Tracker[Net])</f>
        <v>0</v>
      </c>
      <c r="Y88" s="35" t="str">
        <f>IFERROR("("&amp;ROUND(SUMIF(Tracker[Date],U88,Tracker[Net])/COUNTIF(Tracker[Date],U88),2)*100&amp;"%)","")</f>
        <v/>
      </c>
    </row>
    <row r="89" spans="1:25" x14ac:dyDescent="0.25">
      <c r="A89" s="36">
        <f t="shared" si="33"/>
        <v>9</v>
      </c>
      <c r="B89" s="25">
        <v>43816</v>
      </c>
      <c r="C89" s="25" t="str">
        <f t="shared" si="32"/>
        <v>NBA</v>
      </c>
      <c r="D89" s="26" t="s">
        <v>924</v>
      </c>
      <c r="E89" s="28" t="s">
        <v>925</v>
      </c>
      <c r="F89" s="74">
        <v>0.62647443003857473</v>
      </c>
      <c r="G89" s="75">
        <v>-110</v>
      </c>
      <c r="H89" s="32" t="s">
        <v>57</v>
      </c>
      <c r="I8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8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89" s="40" t="str">
        <f>MID(Tracker[[#This Row],[Game]],SEARCH("@",Tracker[[#This Row],[Game]])+2,LEN(Tracker[[#This Row],[Game]]))</f>
        <v>Clippers</v>
      </c>
      <c r="L89" s="40" t="str">
        <f>LEFT(Tracker[[#This Row],[Game]],SEARCH("@",Tracker[[#This Row],[Game]])-2)</f>
        <v>Suns</v>
      </c>
      <c r="M8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89" s="123"/>
      <c r="O89" s="147"/>
      <c r="P89" s="147"/>
      <c r="Q89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89" s="147" t="e">
        <f>IF(AND(Tracker[[#This Row],[Money %]]&lt;&gt;"",Tracker[[#This Row],[Bet %]]&lt;&gt;""),Tracker[[#This Row],[Money %]]-Tracker[[#This Row],[Bet %]],NA())</f>
        <v>#N/A</v>
      </c>
      <c r="S89" s="109"/>
      <c r="T89" s="109"/>
      <c r="U89" s="56">
        <f>IFERROR(INDEX($A$4:$B10085,MATCH(ROW()-3,$A$4:$A$4:$A1085,0),2),0)</f>
        <v>0</v>
      </c>
      <c r="V89" s="33" t="str">
        <f>COUNTIFS(Tracker[Date],U89,Tracker[Result],"W")&amp;"-"&amp;COUNTIFS(Tracker[Date],U89,Tracker[Result],"L")&amp;IF(COUNTIFS(Tracker[Date],U89,Tracker[Result],"Push")&gt;0,"-"&amp;COUNTIFS(Tracker[Date],U89,Tracker[Result],"Push"),"")</f>
        <v>0-0</v>
      </c>
      <c r="W89" s="34" t="str">
        <f>IFERROR(COUNTIFS(Tracker[Date],U89,Tracker[Result],"W")/(COUNTIFS(Tracker[Date],U89,Tracker[Result],"W")+COUNTIFS(Tracker[Date],U89,Tracker[Result],"L")),"")</f>
        <v/>
      </c>
      <c r="X89" s="61">
        <f>SUMIF(Tracker[Date],U89,Tracker[Net])</f>
        <v>0</v>
      </c>
      <c r="Y89" s="35" t="str">
        <f>IFERROR("("&amp;ROUND(SUMIF(Tracker[Date],U89,Tracker[Net])/COUNTIF(Tracker[Date],U89),2)*100&amp;"%)","")</f>
        <v/>
      </c>
    </row>
    <row r="90" spans="1:25" x14ac:dyDescent="0.25">
      <c r="A90" s="36">
        <f t="shared" si="33"/>
        <v>9</v>
      </c>
      <c r="B90" s="25">
        <v>43816</v>
      </c>
      <c r="C90" s="25" t="str">
        <f t="shared" si="32"/>
        <v>NBA</v>
      </c>
      <c r="D90" s="26" t="s">
        <v>924</v>
      </c>
      <c r="E90" s="28" t="s">
        <v>931</v>
      </c>
      <c r="F90" s="74">
        <v>0.59146448580351274</v>
      </c>
      <c r="G90" s="75">
        <v>-110</v>
      </c>
      <c r="H90" s="32" t="s">
        <v>57</v>
      </c>
      <c r="I9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9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90" s="40" t="str">
        <f>MID(Tracker[[#This Row],[Game]],SEARCH("@",Tracker[[#This Row],[Game]])+2,LEN(Tracker[[#This Row],[Game]]))</f>
        <v>Clippers</v>
      </c>
      <c r="L90" s="40" t="str">
        <f>LEFT(Tracker[[#This Row],[Game]],SEARCH("@",Tracker[[#This Row],[Game]])-2)</f>
        <v>Suns</v>
      </c>
      <c r="M9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90" s="123"/>
      <c r="O90" s="147"/>
      <c r="P90" s="147"/>
      <c r="Q90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90" s="147" t="e">
        <f>IF(AND(Tracker[[#This Row],[Money %]]&lt;&gt;"",Tracker[[#This Row],[Bet %]]&lt;&gt;""),Tracker[[#This Row],[Money %]]-Tracker[[#This Row],[Bet %]],NA())</f>
        <v>#N/A</v>
      </c>
      <c r="S90" s="109"/>
      <c r="T90" s="109"/>
      <c r="U90" s="56">
        <f>IFERROR(INDEX($A$4:$B10086,MATCH(ROW()-3,$A$4:$A$4:$A1086,0),2),0)</f>
        <v>0</v>
      </c>
      <c r="V90" s="33" t="str">
        <f>COUNTIFS(Tracker[Date],U90,Tracker[Result],"W")&amp;"-"&amp;COUNTIFS(Tracker[Date],U90,Tracker[Result],"L")&amp;IF(COUNTIFS(Tracker[Date],U90,Tracker[Result],"Push")&gt;0,"-"&amp;COUNTIFS(Tracker[Date],U90,Tracker[Result],"Push"),"")</f>
        <v>0-0</v>
      </c>
      <c r="W90" s="34" t="str">
        <f>IFERROR(COUNTIFS(Tracker[Date],U90,Tracker[Result],"W")/(COUNTIFS(Tracker[Date],U90,Tracker[Result],"W")+COUNTIFS(Tracker[Date],U90,Tracker[Result],"L")),"")</f>
        <v/>
      </c>
      <c r="X90" s="61">
        <f>SUMIF(Tracker[Date],U90,Tracker[Net])</f>
        <v>0</v>
      </c>
      <c r="Y90" s="35" t="str">
        <f>IFERROR("("&amp;ROUND(SUMIF(Tracker[Date],U90,Tracker[Net])/COUNTIF(Tracker[Date],U90),2)*100&amp;"%)","")</f>
        <v/>
      </c>
    </row>
    <row r="91" spans="1:25" x14ac:dyDescent="0.25">
      <c r="A91" s="36">
        <f t="shared" si="33"/>
        <v>10</v>
      </c>
      <c r="B91" s="25">
        <v>43817</v>
      </c>
      <c r="C91" s="25" t="str">
        <f t="shared" si="32"/>
        <v>NBA</v>
      </c>
      <c r="D91" s="51" t="s">
        <v>932</v>
      </c>
      <c r="E91" s="68" t="s">
        <v>933</v>
      </c>
      <c r="F91" s="76">
        <v>0.69749279887255933</v>
      </c>
      <c r="G91" s="75">
        <v>-110</v>
      </c>
      <c r="H91" s="32" t="s">
        <v>56</v>
      </c>
      <c r="I9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9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91" s="40" t="str">
        <f>MID(Tracker[[#This Row],[Game]],SEARCH("@",Tracker[[#This Row],[Game]])+2,LEN(Tracker[[#This Row],[Game]]))</f>
        <v>Cavaliers</v>
      </c>
      <c r="L91" s="40" t="str">
        <f>LEFT(Tracker[[#This Row],[Game]],SEARCH("@",Tracker[[#This Row],[Game]])-2)</f>
        <v>Hornets</v>
      </c>
      <c r="M9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91" s="123"/>
      <c r="O91" s="147"/>
      <c r="P91" s="147"/>
      <c r="Q91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91" s="147" t="e">
        <f>IF(AND(Tracker[[#This Row],[Money %]]&lt;&gt;"",Tracker[[#This Row],[Bet %]]&lt;&gt;""),Tracker[[#This Row],[Money %]]-Tracker[[#This Row],[Bet %]],NA())</f>
        <v>#N/A</v>
      </c>
      <c r="S91" s="109"/>
      <c r="T91" s="109"/>
      <c r="U91" s="56">
        <f>IFERROR(INDEX($A$4:$B10087,MATCH(ROW()-3,$A$4:$A$4:$A1087,0),2),0)</f>
        <v>0</v>
      </c>
      <c r="V91" s="33" t="str">
        <f>COUNTIFS(Tracker[Date],U91,Tracker[Result],"W")&amp;"-"&amp;COUNTIFS(Tracker[Date],U91,Tracker[Result],"L")&amp;IF(COUNTIFS(Tracker[Date],U91,Tracker[Result],"Push")&gt;0,"-"&amp;COUNTIFS(Tracker[Date],U91,Tracker[Result],"Push"),"")</f>
        <v>0-0</v>
      </c>
      <c r="W91" s="34" t="str">
        <f>IFERROR(COUNTIFS(Tracker[Date],U91,Tracker[Result],"W")/(COUNTIFS(Tracker[Date],U91,Tracker[Result],"W")+COUNTIFS(Tracker[Date],U91,Tracker[Result],"L")),"")</f>
        <v/>
      </c>
      <c r="X91" s="61">
        <f>SUMIF(Tracker[Date],U91,Tracker[Net])</f>
        <v>0</v>
      </c>
      <c r="Y91" s="35" t="str">
        <f>IFERROR("("&amp;ROUND(SUMIF(Tracker[Date],U91,Tracker[Net])/COUNTIF(Tracker[Date],U91),2)*100&amp;"%)","")</f>
        <v/>
      </c>
    </row>
    <row r="92" spans="1:25" x14ac:dyDescent="0.25">
      <c r="A92" s="36">
        <f t="shared" si="33"/>
        <v>10</v>
      </c>
      <c r="B92" s="25">
        <v>43817</v>
      </c>
      <c r="C92" s="25" t="str">
        <f t="shared" si="32"/>
        <v>NBA</v>
      </c>
      <c r="D92" s="26" t="s">
        <v>932</v>
      </c>
      <c r="E92" s="28" t="s">
        <v>934</v>
      </c>
      <c r="F92" s="74">
        <v>0.59615799432373107</v>
      </c>
      <c r="G92" s="75">
        <v>-110</v>
      </c>
      <c r="H92" s="32" t="s">
        <v>56</v>
      </c>
      <c r="I9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9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92" s="40" t="str">
        <f>MID(Tracker[[#This Row],[Game]],SEARCH("@",Tracker[[#This Row],[Game]])+2,LEN(Tracker[[#This Row],[Game]]))</f>
        <v>Cavaliers</v>
      </c>
      <c r="L92" s="40" t="str">
        <f>LEFT(Tracker[[#This Row],[Game]],SEARCH("@",Tracker[[#This Row],[Game]])-2)</f>
        <v>Hornets</v>
      </c>
      <c r="M9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92" s="123"/>
      <c r="O92" s="147"/>
      <c r="P92" s="147"/>
      <c r="Q92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92" s="147" t="e">
        <f>IF(AND(Tracker[[#This Row],[Money %]]&lt;&gt;"",Tracker[[#This Row],[Bet %]]&lt;&gt;""),Tracker[[#This Row],[Money %]]-Tracker[[#This Row],[Bet %]],NA())</f>
        <v>#N/A</v>
      </c>
      <c r="S92" s="109"/>
      <c r="T92" s="109"/>
      <c r="U92" s="56">
        <f>IFERROR(INDEX($A$4:$B10088,MATCH(ROW()-3,$A$4:$A$4:$A1088,0),2),0)</f>
        <v>0</v>
      </c>
      <c r="V92" s="33" t="str">
        <f>COUNTIFS(Tracker[Date],U92,Tracker[Result],"W")&amp;"-"&amp;COUNTIFS(Tracker[Date],U92,Tracker[Result],"L")&amp;IF(COUNTIFS(Tracker[Date],U92,Tracker[Result],"Push")&gt;0,"-"&amp;COUNTIFS(Tracker[Date],U92,Tracker[Result],"Push"),"")</f>
        <v>0-0</v>
      </c>
      <c r="W92" s="34" t="str">
        <f>IFERROR(COUNTIFS(Tracker[Date],U92,Tracker[Result],"W")/(COUNTIFS(Tracker[Date],U92,Tracker[Result],"W")+COUNTIFS(Tracker[Date],U92,Tracker[Result],"L")),"")</f>
        <v/>
      </c>
      <c r="X92" s="61">
        <f>SUMIF(Tracker[Date],U92,Tracker[Net])</f>
        <v>0</v>
      </c>
      <c r="Y92" s="35" t="str">
        <f>IFERROR("("&amp;ROUND(SUMIF(Tracker[Date],U92,Tracker[Net])/COUNTIF(Tracker[Date],U92),2)*100&amp;"%)","")</f>
        <v/>
      </c>
    </row>
    <row r="93" spans="1:25" x14ac:dyDescent="0.25">
      <c r="A93" s="36">
        <f t="shared" si="33"/>
        <v>10</v>
      </c>
      <c r="B93" s="25">
        <v>43817</v>
      </c>
      <c r="C93" s="25" t="str">
        <f t="shared" si="32"/>
        <v>NBA</v>
      </c>
      <c r="D93" s="26" t="s">
        <v>935</v>
      </c>
      <c r="E93" s="28" t="s">
        <v>936</v>
      </c>
      <c r="F93" s="74">
        <v>0.6556491954380711</v>
      </c>
      <c r="G93" s="75">
        <v>-110</v>
      </c>
      <c r="H93" s="32" t="s">
        <v>56</v>
      </c>
      <c r="I9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9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93" s="40" t="str">
        <f>MID(Tracker[[#This Row],[Game]],SEARCH("@",Tracker[[#This Row],[Game]])+2,LEN(Tracker[[#This Row],[Game]]))</f>
        <v>Pistons</v>
      </c>
      <c r="L93" s="40" t="str">
        <f>LEFT(Tracker[[#This Row],[Game]],SEARCH("@",Tracker[[#This Row],[Game]])-2)</f>
        <v>Raptors</v>
      </c>
      <c r="M9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93" s="123"/>
      <c r="O93" s="147"/>
      <c r="P93" s="147"/>
      <c r="Q93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93" s="147" t="e">
        <f>IF(AND(Tracker[[#This Row],[Money %]]&lt;&gt;"",Tracker[[#This Row],[Bet %]]&lt;&gt;""),Tracker[[#This Row],[Money %]]-Tracker[[#This Row],[Bet %]],NA())</f>
        <v>#N/A</v>
      </c>
      <c r="S93" s="109"/>
      <c r="T93" s="109"/>
      <c r="U93" s="56">
        <f>IFERROR(INDEX($A$4:$B10089,MATCH(ROW()-3,$A$4:$A$4:$A1089,0),2),0)</f>
        <v>0</v>
      </c>
      <c r="V93" s="33" t="str">
        <f>COUNTIFS(Tracker[Date],U93,Tracker[Result],"W")&amp;"-"&amp;COUNTIFS(Tracker[Date],U93,Tracker[Result],"L")&amp;IF(COUNTIFS(Tracker[Date],U93,Tracker[Result],"Push")&gt;0,"-"&amp;COUNTIFS(Tracker[Date],U93,Tracker[Result],"Push"),"")</f>
        <v>0-0</v>
      </c>
      <c r="W93" s="34" t="str">
        <f>IFERROR(COUNTIFS(Tracker[Date],U93,Tracker[Result],"W")/(COUNTIFS(Tracker[Date],U93,Tracker[Result],"W")+COUNTIFS(Tracker[Date],U93,Tracker[Result],"L")),"")</f>
        <v/>
      </c>
      <c r="X93" s="61">
        <f>SUMIF(Tracker[Date],U93,Tracker[Net])</f>
        <v>0</v>
      </c>
      <c r="Y93" s="35" t="str">
        <f>IFERROR("("&amp;ROUND(SUMIF(Tracker[Date],U93,Tracker[Net])/COUNTIF(Tracker[Date],U93),2)*100&amp;"%)","")</f>
        <v/>
      </c>
    </row>
    <row r="94" spans="1:25" x14ac:dyDescent="0.25">
      <c r="A94" s="36">
        <f t="shared" si="33"/>
        <v>10</v>
      </c>
      <c r="B94" s="25">
        <v>43817</v>
      </c>
      <c r="C94" s="25" t="str">
        <f t="shared" si="32"/>
        <v>NBA</v>
      </c>
      <c r="D94" s="26" t="s">
        <v>937</v>
      </c>
      <c r="E94" s="28" t="s">
        <v>938</v>
      </c>
      <c r="F94" s="74">
        <v>0.69460311492654225</v>
      </c>
      <c r="G94" s="29">
        <v>-110</v>
      </c>
      <c r="H94" s="32" t="s">
        <v>56</v>
      </c>
      <c r="I9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9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94" s="40" t="str">
        <f>MID(Tracker[[#This Row],[Game]],SEARCH("@",Tracker[[#This Row],[Game]])+2,LEN(Tracker[[#This Row],[Game]]))</f>
        <v>76ers</v>
      </c>
      <c r="L94" s="40" t="str">
        <f>LEFT(Tracker[[#This Row],[Game]],SEARCH("@",Tracker[[#This Row],[Game]])-2)</f>
        <v>Heat</v>
      </c>
      <c r="M9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94" s="123"/>
      <c r="O94" s="147"/>
      <c r="P94" s="147"/>
      <c r="Q9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94" s="147" t="e">
        <f>IF(AND(Tracker[[#This Row],[Money %]]&lt;&gt;"",Tracker[[#This Row],[Bet %]]&lt;&gt;""),Tracker[[#This Row],[Money %]]-Tracker[[#This Row],[Bet %]],NA())</f>
        <v>#N/A</v>
      </c>
      <c r="S94" s="109"/>
      <c r="T94" s="109"/>
      <c r="U94" s="56">
        <f>IFERROR(INDEX($A$4:$B10090,MATCH(ROW()-3,$A$4:$A$4:$A1090,0),2),0)</f>
        <v>0</v>
      </c>
      <c r="V94" s="33" t="str">
        <f>COUNTIFS(Tracker[Date],U94,Tracker[Result],"W")&amp;"-"&amp;COUNTIFS(Tracker[Date],U94,Tracker[Result],"L")&amp;IF(COUNTIFS(Tracker[Date],U94,Tracker[Result],"Push")&gt;0,"-"&amp;COUNTIFS(Tracker[Date],U94,Tracker[Result],"Push"),"")</f>
        <v>0-0</v>
      </c>
      <c r="W94" s="34" t="str">
        <f>IFERROR(COUNTIFS(Tracker[Date],U94,Tracker[Result],"W")/(COUNTIFS(Tracker[Date],U94,Tracker[Result],"W")+COUNTIFS(Tracker[Date],U94,Tracker[Result],"L")),"")</f>
        <v/>
      </c>
      <c r="X94" s="61">
        <f>SUMIF(Tracker[Date],U94,Tracker[Net])</f>
        <v>0</v>
      </c>
      <c r="Y94" s="35" t="str">
        <f>IFERROR("("&amp;ROUND(SUMIF(Tracker[Date],U94,Tracker[Net])/COUNTIF(Tracker[Date],U94),2)*100&amp;"%)","")</f>
        <v/>
      </c>
    </row>
    <row r="95" spans="1:25" x14ac:dyDescent="0.25">
      <c r="A95" s="36">
        <f t="shared" si="33"/>
        <v>10</v>
      </c>
      <c r="B95" s="25">
        <v>43817</v>
      </c>
      <c r="C95" s="25" t="str">
        <f t="shared" si="32"/>
        <v>NBA</v>
      </c>
      <c r="D95" s="26" t="s">
        <v>937</v>
      </c>
      <c r="E95" s="28" t="s">
        <v>939</v>
      </c>
      <c r="F95" s="74">
        <v>0.55811548481641837</v>
      </c>
      <c r="G95" s="29">
        <v>-110</v>
      </c>
      <c r="H95" s="32" t="s">
        <v>56</v>
      </c>
      <c r="I9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9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95" s="40" t="str">
        <f>MID(Tracker[[#This Row],[Game]],SEARCH("@",Tracker[[#This Row],[Game]])+2,LEN(Tracker[[#This Row],[Game]]))</f>
        <v>76ers</v>
      </c>
      <c r="L95" s="40" t="str">
        <f>LEFT(Tracker[[#This Row],[Game]],SEARCH("@",Tracker[[#This Row],[Game]])-2)</f>
        <v>Heat</v>
      </c>
      <c r="M9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95" s="123"/>
      <c r="O95" s="147"/>
      <c r="P95" s="147"/>
      <c r="Q9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95" s="147" t="e">
        <f>IF(AND(Tracker[[#This Row],[Money %]]&lt;&gt;"",Tracker[[#This Row],[Bet %]]&lt;&gt;""),Tracker[[#This Row],[Money %]]-Tracker[[#This Row],[Bet %]],NA())</f>
        <v>#N/A</v>
      </c>
      <c r="S95" s="109"/>
      <c r="T95" s="109"/>
      <c r="U95" s="56">
        <f>IFERROR(INDEX($A$4:$B10091,MATCH(ROW()-3,$A$4:$A$4:$A1091,0),2),0)</f>
        <v>0</v>
      </c>
      <c r="V95" s="33" t="str">
        <f>COUNTIFS(Tracker[Date],U95,Tracker[Result],"W")&amp;"-"&amp;COUNTIFS(Tracker[Date],U95,Tracker[Result],"L")&amp;IF(COUNTIFS(Tracker[Date],U95,Tracker[Result],"Push")&gt;0,"-"&amp;COUNTIFS(Tracker[Date],U95,Tracker[Result],"Push"),"")</f>
        <v>0-0</v>
      </c>
      <c r="W95" s="34" t="str">
        <f>IFERROR(COUNTIFS(Tracker[Date],U95,Tracker[Result],"W")/(COUNTIFS(Tracker[Date],U95,Tracker[Result],"W")+COUNTIFS(Tracker[Date],U95,Tracker[Result],"L")),"")</f>
        <v/>
      </c>
      <c r="X95" s="61">
        <f>SUMIF(Tracker[Date],U95,Tracker[Net])</f>
        <v>0</v>
      </c>
      <c r="Y95" s="35" t="str">
        <f>IFERROR("("&amp;ROUND(SUMIF(Tracker[Date],U95,Tracker[Net])/COUNTIF(Tracker[Date],U95),2)*100&amp;"%)","")</f>
        <v/>
      </c>
    </row>
    <row r="96" spans="1:25" x14ac:dyDescent="0.25">
      <c r="A96" s="36">
        <f t="shared" si="33"/>
        <v>10</v>
      </c>
      <c r="B96" s="25">
        <v>43817</v>
      </c>
      <c r="C96" s="25" t="str">
        <f t="shared" si="32"/>
        <v>NBA</v>
      </c>
      <c r="D96" s="26" t="s">
        <v>940</v>
      </c>
      <c r="E96" s="28" t="s">
        <v>941</v>
      </c>
      <c r="F96" s="74">
        <v>0.60210208615204008</v>
      </c>
      <c r="G96" s="29">
        <v>-110</v>
      </c>
      <c r="H96" s="32" t="s">
        <v>56</v>
      </c>
      <c r="I9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9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96" s="40" t="str">
        <f>MID(Tracker[[#This Row],[Game]],SEARCH("@",Tracker[[#This Row],[Game]])+2,LEN(Tracker[[#This Row],[Game]]))</f>
        <v>Timberwolves</v>
      </c>
      <c r="L96" s="40" t="str">
        <f>LEFT(Tracker[[#This Row],[Game]],SEARCH("@",Tracker[[#This Row],[Game]])-2)</f>
        <v>Pelicans</v>
      </c>
      <c r="M9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96" s="123"/>
      <c r="O96" s="147"/>
      <c r="P96" s="147"/>
      <c r="Q96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96" s="147" t="e">
        <f>IF(AND(Tracker[[#This Row],[Money %]]&lt;&gt;"",Tracker[[#This Row],[Bet %]]&lt;&gt;""),Tracker[[#This Row],[Money %]]-Tracker[[#This Row],[Bet %]],NA())</f>
        <v>#N/A</v>
      </c>
      <c r="S96" s="109"/>
      <c r="T96" s="109"/>
      <c r="U96" s="56">
        <f>IFERROR(INDEX($A$4:$B10092,MATCH(ROW()-3,$A$4:$A$4:$A1092,0),2),0)</f>
        <v>0</v>
      </c>
      <c r="V96" s="33" t="str">
        <f>COUNTIFS(Tracker[Date],U96,Tracker[Result],"W")&amp;"-"&amp;COUNTIFS(Tracker[Date],U96,Tracker[Result],"L")&amp;IF(COUNTIFS(Tracker[Date],U96,Tracker[Result],"Push")&gt;0,"-"&amp;COUNTIFS(Tracker[Date],U96,Tracker[Result],"Push"),"")</f>
        <v>0-0</v>
      </c>
      <c r="W96" s="34" t="str">
        <f>IFERROR(COUNTIFS(Tracker[Date],U96,Tracker[Result],"W")/(COUNTIFS(Tracker[Date],U96,Tracker[Result],"W")+COUNTIFS(Tracker[Date],U96,Tracker[Result],"L")),"")</f>
        <v/>
      </c>
      <c r="X96" s="61">
        <f>SUMIF(Tracker[Date],U96,Tracker[Net])</f>
        <v>0</v>
      </c>
      <c r="Y96" s="35" t="str">
        <f>IFERROR("("&amp;ROUND(SUMIF(Tracker[Date],U96,Tracker[Net])/COUNTIF(Tracker[Date],U96),2)*100&amp;"%)","")</f>
        <v/>
      </c>
    </row>
    <row r="97" spans="1:25" x14ac:dyDescent="0.25">
      <c r="A97" s="36">
        <f t="shared" si="33"/>
        <v>10</v>
      </c>
      <c r="B97" s="25">
        <v>43817</v>
      </c>
      <c r="C97" s="25" t="str">
        <f t="shared" si="32"/>
        <v>NBA</v>
      </c>
      <c r="D97" s="26" t="s">
        <v>942</v>
      </c>
      <c r="E97" s="28" t="s">
        <v>943</v>
      </c>
      <c r="F97" s="74">
        <v>0.59204139431786174</v>
      </c>
      <c r="G97" s="29">
        <v>-110</v>
      </c>
      <c r="H97" s="32" t="s">
        <v>57</v>
      </c>
      <c r="I9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9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97" s="40" t="str">
        <f>MID(Tracker[[#This Row],[Game]],SEARCH("@",Tracker[[#This Row],[Game]])+2,LEN(Tracker[[#This Row],[Game]]))</f>
        <v>Nuggets</v>
      </c>
      <c r="L97" s="40" t="str">
        <f>LEFT(Tracker[[#This Row],[Game]],SEARCH("@",Tracker[[#This Row],[Game]])-2)</f>
        <v>Magic</v>
      </c>
      <c r="M9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97" s="123"/>
      <c r="O97" s="147"/>
      <c r="P97" s="147"/>
      <c r="Q97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97" s="147" t="e">
        <f>IF(AND(Tracker[[#This Row],[Money %]]&lt;&gt;"",Tracker[[#This Row],[Bet %]]&lt;&gt;""),Tracker[[#This Row],[Money %]]-Tracker[[#This Row],[Bet %]],NA())</f>
        <v>#N/A</v>
      </c>
      <c r="S97" s="109"/>
      <c r="T97" s="109"/>
      <c r="U97" s="56">
        <f>IFERROR(INDEX($A$4:$B10093,MATCH(ROW()-3,$A$4:$A$4:$A1093,0),2),0)</f>
        <v>0</v>
      </c>
      <c r="V97" s="33" t="str">
        <f>COUNTIFS(Tracker[Date],U97,Tracker[Result],"W")&amp;"-"&amp;COUNTIFS(Tracker[Date],U97,Tracker[Result],"L")&amp;IF(COUNTIFS(Tracker[Date],U97,Tracker[Result],"Push")&gt;0,"-"&amp;COUNTIFS(Tracker[Date],U97,Tracker[Result],"Push"),"")</f>
        <v>0-0</v>
      </c>
      <c r="W97" s="34" t="str">
        <f>IFERROR(COUNTIFS(Tracker[Date],U97,Tracker[Result],"W")/(COUNTIFS(Tracker[Date],U97,Tracker[Result],"W")+COUNTIFS(Tracker[Date],U97,Tracker[Result],"L")),"")</f>
        <v/>
      </c>
      <c r="X97" s="61">
        <f>SUMIF(Tracker[Date],U97,Tracker[Net])</f>
        <v>0</v>
      </c>
      <c r="Y97" s="35" t="str">
        <f>IFERROR("("&amp;ROUND(SUMIF(Tracker[Date],U97,Tracker[Net])/COUNTIF(Tracker[Date],U97),2)*100&amp;"%)","")</f>
        <v/>
      </c>
    </row>
    <row r="98" spans="1:25" x14ac:dyDescent="0.25">
      <c r="A98" s="36">
        <f t="shared" si="33"/>
        <v>10</v>
      </c>
      <c r="B98" s="25">
        <v>43817</v>
      </c>
      <c r="C98" s="25" t="str">
        <f t="shared" si="32"/>
        <v>NBA</v>
      </c>
      <c r="D98" s="26" t="s">
        <v>944</v>
      </c>
      <c r="E98" s="28" t="s">
        <v>945</v>
      </c>
      <c r="F98" s="74">
        <v>0.6319925071324406</v>
      </c>
      <c r="G98" s="29">
        <v>-110</v>
      </c>
      <c r="H98" s="32" t="s">
        <v>57</v>
      </c>
      <c r="I9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9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98" s="40" t="str">
        <f>MID(Tracker[[#This Row],[Game]],SEARCH("@",Tracker[[#This Row],[Game]])+2,LEN(Tracker[[#This Row],[Game]]))</f>
        <v>Mavericks</v>
      </c>
      <c r="L98" s="40" t="str">
        <f>LEFT(Tracker[[#This Row],[Game]],SEARCH("@",Tracker[[#This Row],[Game]])-2)</f>
        <v>Celtics</v>
      </c>
      <c r="M9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HD</v>
      </c>
      <c r="N98" s="123"/>
      <c r="O98" s="147"/>
      <c r="P98" s="147"/>
      <c r="Q98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98" s="147" t="e">
        <f>IF(AND(Tracker[[#This Row],[Money %]]&lt;&gt;"",Tracker[[#This Row],[Bet %]]&lt;&gt;""),Tracker[[#This Row],[Money %]]-Tracker[[#This Row],[Bet %]],NA())</f>
        <v>#N/A</v>
      </c>
      <c r="S98" s="109"/>
      <c r="T98" s="109"/>
      <c r="U98" s="56">
        <f>IFERROR(INDEX($A$4:$B10094,MATCH(ROW()-3,$A$4:$A$4:$A1094,0),2),0)</f>
        <v>0</v>
      </c>
      <c r="V98" s="33" t="str">
        <f>COUNTIFS(Tracker[Date],U98,Tracker[Result],"W")&amp;"-"&amp;COUNTIFS(Tracker[Date],U98,Tracker[Result],"L")&amp;IF(COUNTIFS(Tracker[Date],U98,Tracker[Result],"Push")&gt;0,"-"&amp;COUNTIFS(Tracker[Date],U98,Tracker[Result],"Push"),"")</f>
        <v>0-0</v>
      </c>
      <c r="W98" s="34" t="str">
        <f>IFERROR(COUNTIFS(Tracker[Date],U98,Tracker[Result],"W")/(COUNTIFS(Tracker[Date],U98,Tracker[Result],"W")+COUNTIFS(Tracker[Date],U98,Tracker[Result],"L")),"")</f>
        <v/>
      </c>
      <c r="X98" s="61">
        <f>SUMIF(Tracker[Date],U98,Tracker[Net])</f>
        <v>0</v>
      </c>
      <c r="Y98" s="35" t="str">
        <f>IFERROR("("&amp;ROUND(SUMIF(Tracker[Date],U98,Tracker[Net])/COUNTIF(Tracker[Date],U98),2)*100&amp;"%)","")</f>
        <v/>
      </c>
    </row>
    <row r="99" spans="1:25" x14ac:dyDescent="0.25">
      <c r="A99" s="36">
        <f t="shared" si="33"/>
        <v>10</v>
      </c>
      <c r="B99" s="25">
        <v>43817</v>
      </c>
      <c r="C99" s="25" t="str">
        <f t="shared" si="32"/>
        <v>NBA</v>
      </c>
      <c r="D99" s="26" t="s">
        <v>944</v>
      </c>
      <c r="E99" s="28" t="s">
        <v>946</v>
      </c>
      <c r="F99" s="74">
        <v>0.55955701974380223</v>
      </c>
      <c r="G99" s="29">
        <v>-110</v>
      </c>
      <c r="H99" s="32" t="s">
        <v>56</v>
      </c>
      <c r="I9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9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99" s="40" t="str">
        <f>MID(Tracker[[#This Row],[Game]],SEARCH("@",Tracker[[#This Row],[Game]])+2,LEN(Tracker[[#This Row],[Game]]))</f>
        <v>Mavericks</v>
      </c>
      <c r="L99" s="40" t="str">
        <f>LEFT(Tracker[[#This Row],[Game]],SEARCH("@",Tracker[[#This Row],[Game]])-2)</f>
        <v>Celtics</v>
      </c>
      <c r="M9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99" s="123"/>
      <c r="O99" s="147"/>
      <c r="P99" s="147"/>
      <c r="Q99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99" s="147" t="e">
        <f>IF(AND(Tracker[[#This Row],[Money %]]&lt;&gt;"",Tracker[[#This Row],[Bet %]]&lt;&gt;""),Tracker[[#This Row],[Money %]]-Tracker[[#This Row],[Bet %]],NA())</f>
        <v>#N/A</v>
      </c>
      <c r="S99" s="109"/>
      <c r="T99" s="109"/>
      <c r="U99" s="56">
        <f>IFERROR(INDEX($A$4:$B10095,MATCH(ROW()-3,$A$4:$A$4:$A1095,0),2),0)</f>
        <v>0</v>
      </c>
      <c r="V99" s="33" t="str">
        <f>COUNTIFS(Tracker[Date],U99,Tracker[Result],"W")&amp;"-"&amp;COUNTIFS(Tracker[Date],U99,Tracker[Result],"L")&amp;IF(COUNTIFS(Tracker[Date],U99,Tracker[Result],"Push")&gt;0,"-"&amp;COUNTIFS(Tracker[Date],U99,Tracker[Result],"Push"),"")</f>
        <v>0-0</v>
      </c>
      <c r="W99" s="34" t="str">
        <f>IFERROR(COUNTIFS(Tracker[Date],U99,Tracker[Result],"W")/(COUNTIFS(Tracker[Date],U99,Tracker[Result],"W")+COUNTIFS(Tracker[Date],U99,Tracker[Result],"L")),"")</f>
        <v/>
      </c>
      <c r="X99" s="61">
        <f>SUMIF(Tracker[Date],U99,Tracker[Net])</f>
        <v>0</v>
      </c>
      <c r="Y99" s="35" t="str">
        <f>IFERROR("("&amp;ROUND(SUMIF(Tracker[Date],U99,Tracker[Net])/COUNTIF(Tracker[Date],U99),2)*100&amp;"%)","")</f>
        <v/>
      </c>
    </row>
    <row r="100" spans="1:25" ht="60" x14ac:dyDescent="0.25">
      <c r="A100" s="36">
        <f t="shared" si="33"/>
        <v>10</v>
      </c>
      <c r="B100" s="25">
        <v>43817</v>
      </c>
      <c r="C100" s="25" t="str">
        <f t="shared" ref="C100:C131" si="34">"NBA"</f>
        <v>NBA</v>
      </c>
      <c r="D100" s="51" t="s">
        <v>947</v>
      </c>
      <c r="E100" s="68" t="s">
        <v>948</v>
      </c>
      <c r="F100" s="67" t="s">
        <v>846</v>
      </c>
      <c r="G100" s="29">
        <v>196</v>
      </c>
      <c r="H100" s="32" t="s">
        <v>56</v>
      </c>
      <c r="I10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1.96</v>
      </c>
      <c r="J10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P</v>
      </c>
      <c r="K100" s="40" t="str">
        <f>MID(Tracker[[#This Row],[Game]],SEARCH("@",Tracker[[#This Row],[Game]])+2,LEN(Tracker[[#This Row],[Game]]))</f>
        <v>Pistons
Grizzlies @ Thunder
Magic @ Nuggets
Warriors @ Trail Blazers</v>
      </c>
      <c r="L100" s="40" t="str">
        <f>LEFT(Tracker[[#This Row],[Game]],SEARCH("@",Tracker[[#This Row],[Game]])-2)</f>
        <v>Raptors</v>
      </c>
      <c r="M10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P</v>
      </c>
      <c r="N100" s="123"/>
      <c r="O100" s="147"/>
      <c r="P100" s="147"/>
      <c r="Q100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00" s="147" t="e">
        <f>IF(AND(Tracker[[#This Row],[Money %]]&lt;&gt;"",Tracker[[#This Row],[Bet %]]&lt;&gt;""),Tracker[[#This Row],[Money %]]-Tracker[[#This Row],[Bet %]],NA())</f>
        <v>#N/A</v>
      </c>
      <c r="S100" s="109"/>
      <c r="T100" s="109"/>
      <c r="U100" s="56">
        <f>IFERROR(INDEX($A$4:$B10096,MATCH(ROW()-3,$A$4:$A$4:$A1096,0),2),0)</f>
        <v>0</v>
      </c>
      <c r="V100" s="33" t="str">
        <f>COUNTIFS(Tracker[Date],U100,Tracker[Result],"W")&amp;"-"&amp;COUNTIFS(Tracker[Date],U100,Tracker[Result],"L")&amp;IF(COUNTIFS(Tracker[Date],U100,Tracker[Result],"Push")&gt;0,"-"&amp;COUNTIFS(Tracker[Date],U100,Tracker[Result],"Push"),"")</f>
        <v>0-0</v>
      </c>
      <c r="W100" s="34" t="str">
        <f>IFERROR(COUNTIFS(Tracker[Date],U100,Tracker[Result],"W")/(COUNTIFS(Tracker[Date],U100,Tracker[Result],"W")+COUNTIFS(Tracker[Date],U100,Tracker[Result],"L")),"")</f>
        <v/>
      </c>
      <c r="X100" s="61">
        <f>SUMIF(Tracker[Date],U100,Tracker[Net])</f>
        <v>0</v>
      </c>
      <c r="Y100" s="35" t="str">
        <f>IFERROR("("&amp;ROUND(SUMIF(Tracker[Date],U100,Tracker[Net])/COUNTIF(Tracker[Date],U100),2)*100&amp;"%)","")</f>
        <v/>
      </c>
    </row>
    <row r="101" spans="1:25" x14ac:dyDescent="0.25">
      <c r="A101" s="36">
        <f t="shared" si="33"/>
        <v>11</v>
      </c>
      <c r="B101" s="25">
        <v>43818</v>
      </c>
      <c r="C101" s="25" t="str">
        <f t="shared" si="34"/>
        <v>NBA</v>
      </c>
      <c r="D101" s="26" t="s">
        <v>949</v>
      </c>
      <c r="E101" s="28" t="s">
        <v>950</v>
      </c>
      <c r="F101" s="67">
        <v>0.68802671925796455</v>
      </c>
      <c r="G101" s="29">
        <v>-110</v>
      </c>
      <c r="H101" s="32" t="s">
        <v>57</v>
      </c>
      <c r="I10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0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101" s="40" t="str">
        <f>MID(Tracker[[#This Row],[Game]],SEARCH("@",Tracker[[#This Row],[Game]])+2,LEN(Tracker[[#This Row],[Game]]))</f>
        <v>Hawks</v>
      </c>
      <c r="L101" s="40" t="str">
        <f>LEFT(Tracker[[#This Row],[Game]],SEARCH("@",Tracker[[#This Row],[Game]])-2)</f>
        <v>Jazz</v>
      </c>
      <c r="M10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101" s="123"/>
      <c r="O101" s="147"/>
      <c r="P101" s="147"/>
      <c r="Q101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01" s="147" t="e">
        <f>IF(AND(Tracker[[#This Row],[Money %]]&lt;&gt;"",Tracker[[#This Row],[Bet %]]&lt;&gt;""),Tracker[[#This Row],[Money %]]-Tracker[[#This Row],[Bet %]],NA())</f>
        <v>#N/A</v>
      </c>
      <c r="S101" s="109"/>
      <c r="T101" s="109"/>
      <c r="U101" s="56">
        <f>IFERROR(INDEX($A$4:$B10097,MATCH(ROW()-3,$A$4:$A$4:$A1097,0),2),0)</f>
        <v>0</v>
      </c>
      <c r="V101" s="33" t="str">
        <f>COUNTIFS(Tracker[Date],U101,Tracker[Result],"W")&amp;"-"&amp;COUNTIFS(Tracker[Date],U101,Tracker[Result],"L")&amp;IF(COUNTIFS(Tracker[Date],U101,Tracker[Result],"Push")&gt;0,"-"&amp;COUNTIFS(Tracker[Date],U101,Tracker[Result],"Push"),"")</f>
        <v>0-0</v>
      </c>
      <c r="W101" s="34" t="str">
        <f>IFERROR(COUNTIFS(Tracker[Date],U101,Tracker[Result],"W")/(COUNTIFS(Tracker[Date],U101,Tracker[Result],"W")+COUNTIFS(Tracker[Date],U101,Tracker[Result],"L")),"")</f>
        <v/>
      </c>
      <c r="X101" s="61">
        <f>SUMIF(Tracker[Date],U101,Tracker[Net])</f>
        <v>0</v>
      </c>
      <c r="Y101" s="35" t="str">
        <f>IFERROR("("&amp;ROUND(SUMIF(Tracker[Date],U101,Tracker[Net])/COUNTIF(Tracker[Date],U101),2)*100&amp;"%)","")</f>
        <v/>
      </c>
    </row>
    <row r="102" spans="1:25" x14ac:dyDescent="0.25">
      <c r="A102" s="36">
        <f t="shared" si="33"/>
        <v>11</v>
      </c>
      <c r="B102" s="25">
        <v>43818</v>
      </c>
      <c r="C102" s="25" t="str">
        <f t="shared" si="34"/>
        <v>NBA</v>
      </c>
      <c r="D102" s="26" t="s">
        <v>949</v>
      </c>
      <c r="E102" s="28" t="s">
        <v>951</v>
      </c>
      <c r="F102" s="67">
        <v>0.60700110781303074</v>
      </c>
      <c r="G102" s="29">
        <v>-110</v>
      </c>
      <c r="H102" s="32" t="s">
        <v>56</v>
      </c>
      <c r="I10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0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102" s="40" t="str">
        <f>MID(Tracker[[#This Row],[Game]],SEARCH("@",Tracker[[#This Row],[Game]])+2,LEN(Tracker[[#This Row],[Game]]))</f>
        <v>Hawks</v>
      </c>
      <c r="L102" s="40" t="str">
        <f>LEFT(Tracker[[#This Row],[Game]],SEARCH("@",Tracker[[#This Row],[Game]])-2)</f>
        <v>Jazz</v>
      </c>
      <c r="M10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102" s="123"/>
      <c r="O102" s="147"/>
      <c r="P102" s="147"/>
      <c r="Q102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02" s="147" t="e">
        <f>IF(AND(Tracker[[#This Row],[Money %]]&lt;&gt;"",Tracker[[#This Row],[Bet %]]&lt;&gt;""),Tracker[[#This Row],[Money %]]-Tracker[[#This Row],[Bet %]],NA())</f>
        <v>#N/A</v>
      </c>
      <c r="S102" s="109"/>
      <c r="T102" s="109"/>
      <c r="U102" s="56">
        <f>IFERROR(INDEX($A$4:$B10098,MATCH(ROW()-3,$A$4:$A$4:$A1098,0),2),0)</f>
        <v>0</v>
      </c>
      <c r="V102" s="33" t="str">
        <f>COUNTIFS(Tracker[Date],U102,Tracker[Result],"W")&amp;"-"&amp;COUNTIFS(Tracker[Date],U102,Tracker[Result],"L")&amp;IF(COUNTIFS(Tracker[Date],U102,Tracker[Result],"Push")&gt;0,"-"&amp;COUNTIFS(Tracker[Date],U102,Tracker[Result],"Push"),"")</f>
        <v>0-0</v>
      </c>
      <c r="W102" s="34" t="str">
        <f>IFERROR(COUNTIFS(Tracker[Date],U102,Tracker[Result],"W")/(COUNTIFS(Tracker[Date],U102,Tracker[Result],"W")+COUNTIFS(Tracker[Date],U102,Tracker[Result],"L")),"")</f>
        <v/>
      </c>
      <c r="X102" s="61">
        <f>SUMIF(Tracker[Date],U102,Tracker[Net])</f>
        <v>0</v>
      </c>
      <c r="Y102" s="35" t="str">
        <f>IFERROR("("&amp;ROUND(SUMIF(Tracker[Date],U102,Tracker[Net])/COUNTIF(Tracker[Date],U102),2)*100&amp;"%)","")</f>
        <v/>
      </c>
    </row>
    <row r="103" spans="1:25" x14ac:dyDescent="0.25">
      <c r="A103" s="36">
        <f t="shared" si="33"/>
        <v>11</v>
      </c>
      <c r="B103" s="25">
        <v>43818</v>
      </c>
      <c r="C103" s="25" t="str">
        <f t="shared" si="34"/>
        <v>NBA</v>
      </c>
      <c r="D103" s="26" t="s">
        <v>952</v>
      </c>
      <c r="E103" s="28" t="s">
        <v>953</v>
      </c>
      <c r="F103" s="67">
        <v>0.70353386892005654</v>
      </c>
      <c r="G103" s="29">
        <v>-110</v>
      </c>
      <c r="H103" s="32" t="s">
        <v>57</v>
      </c>
      <c r="I10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0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103" s="40" t="str">
        <f>MID(Tracker[[#This Row],[Game]],SEARCH("@",Tracker[[#This Row],[Game]])+2,LEN(Tracker[[#This Row],[Game]]))</f>
        <v>Spurs</v>
      </c>
      <c r="L103" s="40" t="str">
        <f>LEFT(Tracker[[#This Row],[Game]],SEARCH("@",Tracker[[#This Row],[Game]])-2)</f>
        <v>Nets</v>
      </c>
      <c r="M10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103" s="123"/>
      <c r="O103" s="147"/>
      <c r="P103" s="147"/>
      <c r="Q103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03" s="147" t="e">
        <f>IF(AND(Tracker[[#This Row],[Money %]]&lt;&gt;"",Tracker[[#This Row],[Bet %]]&lt;&gt;""),Tracker[[#This Row],[Money %]]-Tracker[[#This Row],[Bet %]],NA())</f>
        <v>#N/A</v>
      </c>
      <c r="S103" s="109"/>
      <c r="T103" s="109"/>
      <c r="U103" s="56">
        <f>IFERROR(INDEX($A$4:$B10099,MATCH(ROW()-3,$A$4:$A$4:$A1099,0),2),0)</f>
        <v>0</v>
      </c>
      <c r="V103" s="33" t="str">
        <f>COUNTIFS(Tracker[Date],U103,Tracker[Result],"W")&amp;"-"&amp;COUNTIFS(Tracker[Date],U103,Tracker[Result],"L")&amp;IF(COUNTIFS(Tracker[Date],U103,Tracker[Result],"Push")&gt;0,"-"&amp;COUNTIFS(Tracker[Date],U103,Tracker[Result],"Push"),"")</f>
        <v>0-0</v>
      </c>
      <c r="W103" s="34" t="str">
        <f>IFERROR(COUNTIFS(Tracker[Date],U103,Tracker[Result],"W")/(COUNTIFS(Tracker[Date],U103,Tracker[Result],"W")+COUNTIFS(Tracker[Date],U103,Tracker[Result],"L")),"")</f>
        <v/>
      </c>
      <c r="X103" s="61">
        <f>SUMIF(Tracker[Date],U103,Tracker[Net])</f>
        <v>0</v>
      </c>
      <c r="Y103" s="35" t="str">
        <f>IFERROR("("&amp;ROUND(SUMIF(Tracker[Date],U103,Tracker[Net])/COUNTIF(Tracker[Date],U103),2)*100&amp;"%)","")</f>
        <v/>
      </c>
    </row>
    <row r="104" spans="1:25" x14ac:dyDescent="0.25">
      <c r="A104" s="36">
        <f t="shared" si="33"/>
        <v>11</v>
      </c>
      <c r="B104" s="25">
        <v>43818</v>
      </c>
      <c r="C104" s="25" t="str">
        <f t="shared" si="34"/>
        <v>NBA</v>
      </c>
      <c r="D104" s="26" t="s">
        <v>954</v>
      </c>
      <c r="E104" s="28" t="s">
        <v>955</v>
      </c>
      <c r="F104" s="67">
        <v>0.57711900935758775</v>
      </c>
      <c r="G104" s="29">
        <v>-110</v>
      </c>
      <c r="H104" s="32" t="s">
        <v>56</v>
      </c>
      <c r="I10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0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104" s="40" t="str">
        <f>MID(Tracker[[#This Row],[Game]],SEARCH("@",Tracker[[#This Row],[Game]])+2,LEN(Tracker[[#This Row],[Game]]))</f>
        <v>Clippers</v>
      </c>
      <c r="L104" s="40" t="str">
        <f>LEFT(Tracker[[#This Row],[Game]],SEARCH("@",Tracker[[#This Row],[Game]])-2)</f>
        <v>Rockets</v>
      </c>
      <c r="M10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104" s="123"/>
      <c r="O104" s="147"/>
      <c r="P104" s="147"/>
      <c r="Q10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04" s="147" t="e">
        <f>IF(AND(Tracker[[#This Row],[Money %]]&lt;&gt;"",Tracker[[#This Row],[Bet %]]&lt;&gt;""),Tracker[[#This Row],[Money %]]-Tracker[[#This Row],[Bet %]],NA())</f>
        <v>#N/A</v>
      </c>
      <c r="S104" s="109"/>
      <c r="T104" s="109"/>
      <c r="U104" s="56">
        <f>IFERROR(INDEX($A$4:$B10100,MATCH(ROW()-3,$A$4:$A$4:$A1100,0),2),0)</f>
        <v>0</v>
      </c>
      <c r="V104" s="33" t="str">
        <f>COUNTIFS(Tracker[Date],U104,Tracker[Result],"W")&amp;"-"&amp;COUNTIFS(Tracker[Date],U104,Tracker[Result],"L")&amp;IF(COUNTIFS(Tracker[Date],U104,Tracker[Result],"Push")&gt;0,"-"&amp;COUNTIFS(Tracker[Date],U104,Tracker[Result],"Push"),"")</f>
        <v>0-0</v>
      </c>
      <c r="W104" s="34" t="str">
        <f>IFERROR(COUNTIFS(Tracker[Date],U104,Tracker[Result],"W")/(COUNTIFS(Tracker[Date],U104,Tracker[Result],"W")+COUNTIFS(Tracker[Date],U104,Tracker[Result],"L")),"")</f>
        <v/>
      </c>
      <c r="X104" s="61">
        <f>SUMIF(Tracker[Date],U104,Tracker[Net])</f>
        <v>0</v>
      </c>
      <c r="Y104" s="35" t="str">
        <f>IFERROR("("&amp;ROUND(SUMIF(Tracker[Date],U104,Tracker[Net])/COUNTIF(Tracker[Date],U104),2)*100&amp;"%)","")</f>
        <v/>
      </c>
    </row>
    <row r="105" spans="1:25" x14ac:dyDescent="0.25">
      <c r="A105" s="36">
        <f t="shared" si="33"/>
        <v>12</v>
      </c>
      <c r="B105" s="25">
        <v>43832</v>
      </c>
      <c r="C105" s="25" t="str">
        <f t="shared" si="34"/>
        <v>NBA</v>
      </c>
      <c r="D105" s="26" t="s">
        <v>967</v>
      </c>
      <c r="E105" s="28" t="s">
        <v>265</v>
      </c>
      <c r="F105" s="67">
        <v>0.56131504374304786</v>
      </c>
      <c r="G105" s="75">
        <v>-110</v>
      </c>
      <c r="H105" s="32" t="s">
        <v>57</v>
      </c>
      <c r="I10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0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105" s="40" t="str">
        <f>MID(Tracker[[#This Row],[Game]],SEARCH("@",Tracker[[#This Row],[Game]])+2,LEN(Tracker[[#This Row],[Game]]))</f>
        <v>Bulls</v>
      </c>
      <c r="L105" s="40" t="str">
        <f>LEFT(Tracker[[#This Row],[Game]],SEARCH("@",Tracker[[#This Row],[Game]])-2)</f>
        <v>Jazz</v>
      </c>
      <c r="M10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105" s="123"/>
      <c r="O105" s="147"/>
      <c r="P105" s="147"/>
      <c r="Q10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05" s="147" t="e">
        <f>IF(AND(Tracker[[#This Row],[Money %]]&lt;&gt;"",Tracker[[#This Row],[Bet %]]&lt;&gt;""),Tracker[[#This Row],[Money %]]-Tracker[[#This Row],[Bet %]],NA())</f>
        <v>#N/A</v>
      </c>
      <c r="S105" s="109"/>
      <c r="T105" s="109"/>
      <c r="U105" s="56">
        <f>IFERROR(INDEX($A$4:$B10101,MATCH(ROW()-3,$A$4:$A$4:$A1101,0),2),0)</f>
        <v>0</v>
      </c>
      <c r="V105" s="33" t="str">
        <f>COUNTIFS(Tracker[Date],U105,Tracker[Result],"W")&amp;"-"&amp;COUNTIFS(Tracker[Date],U105,Tracker[Result],"L")&amp;IF(COUNTIFS(Tracker[Date],U105,Tracker[Result],"Push")&gt;0,"-"&amp;COUNTIFS(Tracker[Date],U105,Tracker[Result],"Push"),"")</f>
        <v>0-0</v>
      </c>
      <c r="W105" s="34" t="str">
        <f>IFERROR(COUNTIFS(Tracker[Date],U105,Tracker[Result],"W")/(COUNTIFS(Tracker[Date],U105,Tracker[Result],"W")+COUNTIFS(Tracker[Date],U105,Tracker[Result],"L")),"")</f>
        <v/>
      </c>
      <c r="X105" s="61">
        <f>SUMIF(Tracker[Date],U105,Tracker[Net])</f>
        <v>0</v>
      </c>
      <c r="Y105" s="35" t="str">
        <f>IFERROR("("&amp;ROUND(SUMIF(Tracker[Date],U105,Tracker[Net])/COUNTIF(Tracker[Date],U105),2)*100&amp;"%)","")</f>
        <v/>
      </c>
    </row>
    <row r="106" spans="1:25" x14ac:dyDescent="0.25">
      <c r="A106" s="36">
        <f t="shared" si="33"/>
        <v>12</v>
      </c>
      <c r="B106" s="25">
        <v>43832</v>
      </c>
      <c r="C106" s="25" t="str">
        <f t="shared" si="34"/>
        <v>NBA</v>
      </c>
      <c r="D106" s="26" t="s">
        <v>968</v>
      </c>
      <c r="E106" s="28" t="s">
        <v>969</v>
      </c>
      <c r="F106" s="67">
        <v>0.58567725210910604</v>
      </c>
      <c r="G106" s="75">
        <v>-110</v>
      </c>
      <c r="H106" s="32" t="s">
        <v>56</v>
      </c>
      <c r="I10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0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106" s="40" t="str">
        <f>MID(Tracker[[#This Row],[Game]],SEARCH("@",Tracker[[#This Row],[Game]])+2,LEN(Tracker[[#This Row],[Game]]))</f>
        <v>Pacers</v>
      </c>
      <c r="L106" s="40" t="str">
        <f>LEFT(Tracker[[#This Row],[Game]],SEARCH("@",Tracker[[#This Row],[Game]])-2)</f>
        <v>Nuggets</v>
      </c>
      <c r="M10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106" s="123"/>
      <c r="O106" s="147"/>
      <c r="P106" s="147"/>
      <c r="Q106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06" s="147" t="e">
        <f>IF(AND(Tracker[[#This Row],[Money %]]&lt;&gt;"",Tracker[[#This Row],[Bet %]]&lt;&gt;""),Tracker[[#This Row],[Money %]]-Tracker[[#This Row],[Bet %]],NA())</f>
        <v>#N/A</v>
      </c>
      <c r="S106" s="109"/>
      <c r="T106" s="109"/>
      <c r="U106" s="56">
        <f>IFERROR(INDEX($A$4:$B10102,MATCH(ROW()-3,$A$4:$A$4:$A1102,0),2),0)</f>
        <v>0</v>
      </c>
      <c r="V106" s="33" t="str">
        <f>COUNTIFS(Tracker[Date],U106,Tracker[Result],"W")&amp;"-"&amp;COUNTIFS(Tracker[Date],U106,Tracker[Result],"L")&amp;IF(COUNTIFS(Tracker[Date],U106,Tracker[Result],"Push")&gt;0,"-"&amp;COUNTIFS(Tracker[Date],U106,Tracker[Result],"Push"),"")</f>
        <v>0-0</v>
      </c>
      <c r="W106" s="34" t="str">
        <f>IFERROR(COUNTIFS(Tracker[Date],U106,Tracker[Result],"W")/(COUNTIFS(Tracker[Date],U106,Tracker[Result],"W")+COUNTIFS(Tracker[Date],U106,Tracker[Result],"L")),"")</f>
        <v/>
      </c>
      <c r="X106" s="61">
        <f>SUMIF(Tracker[Date],U106,Tracker[Net])</f>
        <v>0</v>
      </c>
      <c r="Y106" s="35" t="str">
        <f>IFERROR("("&amp;ROUND(SUMIF(Tracker[Date],U106,Tracker[Net])/COUNTIF(Tracker[Date],U106),2)*100&amp;"%)","")</f>
        <v/>
      </c>
    </row>
    <row r="107" spans="1:25" x14ac:dyDescent="0.25">
      <c r="A107" s="36">
        <f t="shared" si="33"/>
        <v>12</v>
      </c>
      <c r="B107" s="25">
        <v>43832</v>
      </c>
      <c r="C107" s="25" t="str">
        <f t="shared" si="34"/>
        <v>NBA</v>
      </c>
      <c r="D107" s="26" t="s">
        <v>968</v>
      </c>
      <c r="E107" s="28" t="s">
        <v>970</v>
      </c>
      <c r="F107" s="67">
        <v>0.550711717196676</v>
      </c>
      <c r="G107" s="75">
        <v>-110</v>
      </c>
      <c r="H107" s="32" t="s">
        <v>57</v>
      </c>
      <c r="I10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0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107" s="40" t="str">
        <f>MID(Tracker[[#This Row],[Game]],SEARCH("@",Tracker[[#This Row],[Game]])+2,LEN(Tracker[[#This Row],[Game]]))</f>
        <v>Pacers</v>
      </c>
      <c r="L107" s="40" t="str">
        <f>LEFT(Tracker[[#This Row],[Game]],SEARCH("@",Tracker[[#This Row],[Game]])-2)</f>
        <v>Nuggets</v>
      </c>
      <c r="M10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107" s="123"/>
      <c r="O107" s="147"/>
      <c r="P107" s="147"/>
      <c r="Q107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07" s="147" t="e">
        <f>IF(AND(Tracker[[#This Row],[Money %]]&lt;&gt;"",Tracker[[#This Row],[Bet %]]&lt;&gt;""),Tracker[[#This Row],[Money %]]-Tracker[[#This Row],[Bet %]],NA())</f>
        <v>#N/A</v>
      </c>
      <c r="S107" s="109"/>
      <c r="T107" s="109"/>
      <c r="U107" s="56">
        <f>IFERROR(INDEX($A$4:$B10103,MATCH(ROW()-3,$A$4:$A$4:$A1103,0),2),0)</f>
        <v>0</v>
      </c>
      <c r="V107" s="33" t="str">
        <f>COUNTIFS(Tracker[Date],U107,Tracker[Result],"W")&amp;"-"&amp;COUNTIFS(Tracker[Date],U107,Tracker[Result],"L")&amp;IF(COUNTIFS(Tracker[Date],U107,Tracker[Result],"Push")&gt;0,"-"&amp;COUNTIFS(Tracker[Date],U107,Tracker[Result],"Push"),"")</f>
        <v>0-0</v>
      </c>
      <c r="W107" s="34" t="str">
        <f>IFERROR(COUNTIFS(Tracker[Date],U107,Tracker[Result],"W")/(COUNTIFS(Tracker[Date],U107,Tracker[Result],"W")+COUNTIFS(Tracker[Date],U107,Tracker[Result],"L")),"")</f>
        <v/>
      </c>
      <c r="X107" s="61">
        <f>SUMIF(Tracker[Date],U107,Tracker[Net])</f>
        <v>0</v>
      </c>
      <c r="Y107" s="35" t="str">
        <f>IFERROR("("&amp;ROUND(SUMIF(Tracker[Date],U107,Tracker[Net])/COUNTIF(Tracker[Date],U107),2)*100&amp;"%)","")</f>
        <v/>
      </c>
    </row>
    <row r="108" spans="1:25" x14ac:dyDescent="0.25">
      <c r="A108" s="36">
        <f t="shared" si="33"/>
        <v>12</v>
      </c>
      <c r="B108" s="25">
        <v>43832</v>
      </c>
      <c r="C108" s="25" t="str">
        <f t="shared" si="34"/>
        <v>NBA</v>
      </c>
      <c r="D108" s="26" t="s">
        <v>971</v>
      </c>
      <c r="E108" s="28" t="s">
        <v>972</v>
      </c>
      <c r="F108" s="67">
        <v>0.72024059780850047</v>
      </c>
      <c r="G108" s="75">
        <v>-110</v>
      </c>
      <c r="H108" s="32" t="s">
        <v>57</v>
      </c>
      <c r="I10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0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108" s="40" t="str">
        <f>MID(Tracker[[#This Row],[Game]],SEARCH("@",Tracker[[#This Row],[Game]])+2,LEN(Tracker[[#This Row],[Game]]))</f>
        <v>Heat</v>
      </c>
      <c r="L108" s="40" t="str">
        <f>LEFT(Tracker[[#This Row],[Game]],SEARCH("@",Tracker[[#This Row],[Game]])-2)</f>
        <v>Raptors</v>
      </c>
      <c r="M10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108" s="123"/>
      <c r="O108" s="147"/>
      <c r="P108" s="147"/>
      <c r="Q108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08" s="147" t="e">
        <f>IF(AND(Tracker[[#This Row],[Money %]]&lt;&gt;"",Tracker[[#This Row],[Bet %]]&lt;&gt;""),Tracker[[#This Row],[Money %]]-Tracker[[#This Row],[Bet %]],NA())</f>
        <v>#N/A</v>
      </c>
      <c r="S108" s="109"/>
      <c r="T108" s="109"/>
      <c r="U108" s="56">
        <f>IFERROR(INDEX($A$4:$B10104,MATCH(ROW()-3,$A$4:$A$4:$A1104,0),2),0)</f>
        <v>0</v>
      </c>
      <c r="V108" s="33" t="str">
        <f>COUNTIFS(Tracker[Date],U108,Tracker[Result],"W")&amp;"-"&amp;COUNTIFS(Tracker[Date],U108,Tracker[Result],"L")&amp;IF(COUNTIFS(Tracker[Date],U108,Tracker[Result],"Push")&gt;0,"-"&amp;COUNTIFS(Tracker[Date],U108,Tracker[Result],"Push"),"")</f>
        <v>0-0</v>
      </c>
      <c r="W108" s="34" t="str">
        <f>IFERROR(COUNTIFS(Tracker[Date],U108,Tracker[Result],"W")/(COUNTIFS(Tracker[Date],U108,Tracker[Result],"W")+COUNTIFS(Tracker[Date],U108,Tracker[Result],"L")),"")</f>
        <v/>
      </c>
      <c r="X108" s="61">
        <f>SUMIF(Tracker[Date],U108,Tracker[Net])</f>
        <v>0</v>
      </c>
      <c r="Y108" s="35" t="str">
        <f>IFERROR("("&amp;ROUND(SUMIF(Tracker[Date],U108,Tracker[Net])/COUNTIF(Tracker[Date],U108),2)*100&amp;"%)","")</f>
        <v/>
      </c>
    </row>
    <row r="109" spans="1:25" x14ac:dyDescent="0.25">
      <c r="A109" s="36">
        <f t="shared" si="33"/>
        <v>12</v>
      </c>
      <c r="B109" s="25">
        <v>43832</v>
      </c>
      <c r="C109" s="25" t="str">
        <f t="shared" si="34"/>
        <v>NBA</v>
      </c>
      <c r="D109" s="26" t="s">
        <v>973</v>
      </c>
      <c r="E109" s="28" t="s">
        <v>974</v>
      </c>
      <c r="F109" s="67">
        <v>0.66241103154154624</v>
      </c>
      <c r="G109" s="75">
        <v>-110</v>
      </c>
      <c r="H109" s="32" t="s">
        <v>57</v>
      </c>
      <c r="I10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0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109" s="40" t="str">
        <f>MID(Tracker[[#This Row],[Game]],SEARCH("@",Tracker[[#This Row],[Game]])+2,LEN(Tracker[[#This Row],[Game]]))</f>
        <v>Timberwolves</v>
      </c>
      <c r="L109" s="40" t="str">
        <f>LEFT(Tracker[[#This Row],[Game]],SEARCH("@",Tracker[[#This Row],[Game]])-2)</f>
        <v>Warriors</v>
      </c>
      <c r="M10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109" s="123"/>
      <c r="O109" s="147"/>
      <c r="P109" s="147"/>
      <c r="Q109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09" s="147" t="e">
        <f>IF(AND(Tracker[[#This Row],[Money %]]&lt;&gt;"",Tracker[[#This Row],[Bet %]]&lt;&gt;""),Tracker[[#This Row],[Money %]]-Tracker[[#This Row],[Bet %]],NA())</f>
        <v>#N/A</v>
      </c>
      <c r="S109" s="109"/>
      <c r="T109" s="109"/>
      <c r="U109" s="56">
        <f>IFERROR(INDEX($A$4:$B10105,MATCH(ROW()-3,$A$4:$A$4:$A1105,0),2),0)</f>
        <v>0</v>
      </c>
      <c r="V109" s="33" t="str">
        <f>COUNTIFS(Tracker[Date],U109,Tracker[Result],"W")&amp;"-"&amp;COUNTIFS(Tracker[Date],U109,Tracker[Result],"L")&amp;IF(COUNTIFS(Tracker[Date],U109,Tracker[Result],"Push")&gt;0,"-"&amp;COUNTIFS(Tracker[Date],U109,Tracker[Result],"Push"),"")</f>
        <v>0-0</v>
      </c>
      <c r="W109" s="34" t="str">
        <f>IFERROR(COUNTIFS(Tracker[Date],U109,Tracker[Result],"W")/(COUNTIFS(Tracker[Date],U109,Tracker[Result],"W")+COUNTIFS(Tracker[Date],U109,Tracker[Result],"L")),"")</f>
        <v/>
      </c>
      <c r="X109" s="61">
        <f>SUMIF(Tracker[Date],U109,Tracker[Net])</f>
        <v>0</v>
      </c>
      <c r="Y109" s="35" t="str">
        <f>IFERROR("("&amp;ROUND(SUMIF(Tracker[Date],U109,Tracker[Net])/COUNTIF(Tracker[Date],U109),2)*100&amp;"%)","")</f>
        <v/>
      </c>
    </row>
    <row r="110" spans="1:25" x14ac:dyDescent="0.25">
      <c r="A110" s="36">
        <f t="shared" si="33"/>
        <v>12</v>
      </c>
      <c r="B110" s="25">
        <v>43832</v>
      </c>
      <c r="C110" s="25" t="str">
        <f t="shared" si="34"/>
        <v>NBA</v>
      </c>
      <c r="D110" s="26" t="s">
        <v>975</v>
      </c>
      <c r="E110" s="28" t="s">
        <v>976</v>
      </c>
      <c r="F110" s="67">
        <v>0.58778792983796402</v>
      </c>
      <c r="G110" s="75">
        <v>-110</v>
      </c>
      <c r="H110" s="32" t="s">
        <v>56</v>
      </c>
      <c r="I11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1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110" s="40" t="str">
        <f>MID(Tracker[[#This Row],[Game]],SEARCH("@",Tracker[[#This Row],[Game]])+2,LEN(Tracker[[#This Row],[Game]]))</f>
        <v>Mavericks</v>
      </c>
      <c r="L110" s="40" t="str">
        <f>LEFT(Tracker[[#This Row],[Game]],SEARCH("@",Tracker[[#This Row],[Game]])-2)</f>
        <v>Nets</v>
      </c>
      <c r="M11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110" s="123"/>
      <c r="O110" s="147"/>
      <c r="P110" s="147"/>
      <c r="Q110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10" s="147" t="e">
        <f>IF(AND(Tracker[[#This Row],[Money %]]&lt;&gt;"",Tracker[[#This Row],[Bet %]]&lt;&gt;""),Tracker[[#This Row],[Money %]]-Tracker[[#This Row],[Bet %]],NA())</f>
        <v>#N/A</v>
      </c>
      <c r="S110" s="109"/>
      <c r="T110" s="109"/>
      <c r="U110" s="56">
        <f>IFERROR(INDEX($A$4:$B10106,MATCH(ROW()-3,$A$4:$A$4:$A1106,0),2),0)</f>
        <v>0</v>
      </c>
      <c r="V110" s="33" t="str">
        <f>COUNTIFS(Tracker[Date],U110,Tracker[Result],"W")&amp;"-"&amp;COUNTIFS(Tracker[Date],U110,Tracker[Result],"L")&amp;IF(COUNTIFS(Tracker[Date],U110,Tracker[Result],"Push")&gt;0,"-"&amp;COUNTIFS(Tracker[Date],U110,Tracker[Result],"Push"),"")</f>
        <v>0-0</v>
      </c>
      <c r="W110" s="34" t="str">
        <f>IFERROR(COUNTIFS(Tracker[Date],U110,Tracker[Result],"W")/(COUNTIFS(Tracker[Date],U110,Tracker[Result],"W")+COUNTIFS(Tracker[Date],U110,Tracker[Result],"L")),"")</f>
        <v/>
      </c>
      <c r="X110" s="61">
        <f>SUMIF(Tracker[Date],U110,Tracker[Net])</f>
        <v>0</v>
      </c>
      <c r="Y110" s="35" t="str">
        <f>IFERROR("("&amp;ROUND(SUMIF(Tracker[Date],U110,Tracker[Net])/COUNTIF(Tracker[Date],U110),2)*100&amp;"%)","")</f>
        <v/>
      </c>
    </row>
    <row r="111" spans="1:25" x14ac:dyDescent="0.25">
      <c r="A111" s="36">
        <f t="shared" si="33"/>
        <v>12</v>
      </c>
      <c r="B111" s="25">
        <v>43832</v>
      </c>
      <c r="C111" s="25" t="str">
        <f t="shared" si="34"/>
        <v>NBA</v>
      </c>
      <c r="D111" s="26" t="s">
        <v>977</v>
      </c>
      <c r="E111" s="28" t="s">
        <v>796</v>
      </c>
      <c r="F111" s="67">
        <v>0.66253215584976688</v>
      </c>
      <c r="G111" s="75">
        <v>-110</v>
      </c>
      <c r="H111" s="32" t="s">
        <v>56</v>
      </c>
      <c r="I11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1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111" s="40" t="str">
        <f>MID(Tracker[[#This Row],[Game]],SEARCH("@",Tracker[[#This Row],[Game]])+2,LEN(Tracker[[#This Row],[Game]]))</f>
        <v>Spurs</v>
      </c>
      <c r="L111" s="40" t="str">
        <f>LEFT(Tracker[[#This Row],[Game]],SEARCH("@",Tracker[[#This Row],[Game]])-2)</f>
        <v>Thunder</v>
      </c>
      <c r="M11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111" s="123"/>
      <c r="O111" s="147"/>
      <c r="P111" s="147"/>
      <c r="Q111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11" s="147" t="e">
        <f>IF(AND(Tracker[[#This Row],[Money %]]&lt;&gt;"",Tracker[[#This Row],[Bet %]]&lt;&gt;""),Tracker[[#This Row],[Money %]]-Tracker[[#This Row],[Bet %]],NA())</f>
        <v>#N/A</v>
      </c>
      <c r="S111" s="109"/>
      <c r="T111" s="109"/>
      <c r="U111" s="56">
        <f>IFERROR(INDEX($A$4:$B10107,MATCH(ROW()-3,$A$4:$A$4:$A1107,0),2),0)</f>
        <v>0</v>
      </c>
      <c r="V111" s="33" t="str">
        <f>COUNTIFS(Tracker[Date],U111,Tracker[Result],"W")&amp;"-"&amp;COUNTIFS(Tracker[Date],U111,Tracker[Result],"L")&amp;IF(COUNTIFS(Tracker[Date],U111,Tracker[Result],"Push")&gt;0,"-"&amp;COUNTIFS(Tracker[Date],U111,Tracker[Result],"Push"),"")</f>
        <v>0-0</v>
      </c>
      <c r="W111" s="34" t="str">
        <f>IFERROR(COUNTIFS(Tracker[Date],U111,Tracker[Result],"W")/(COUNTIFS(Tracker[Date],U111,Tracker[Result],"W")+COUNTIFS(Tracker[Date],U111,Tracker[Result],"L")),"")</f>
        <v/>
      </c>
      <c r="X111" s="61">
        <f>SUMIF(Tracker[Date],U111,Tracker[Net])</f>
        <v>0</v>
      </c>
      <c r="Y111" s="35" t="str">
        <f>IFERROR("("&amp;ROUND(SUMIF(Tracker[Date],U111,Tracker[Net])/COUNTIF(Tracker[Date],U111),2)*100&amp;"%)","")</f>
        <v/>
      </c>
    </row>
    <row r="112" spans="1:25" x14ac:dyDescent="0.25">
      <c r="A112" s="36">
        <f t="shared" si="33"/>
        <v>12</v>
      </c>
      <c r="B112" s="25">
        <v>43832</v>
      </c>
      <c r="C112" s="25" t="str">
        <f t="shared" si="34"/>
        <v>NBA</v>
      </c>
      <c r="D112" s="26" t="s">
        <v>978</v>
      </c>
      <c r="E112" s="28" t="s">
        <v>979</v>
      </c>
      <c r="F112" s="67">
        <v>0.55266111925720529</v>
      </c>
      <c r="G112" s="75">
        <v>-110</v>
      </c>
      <c r="H112" s="32" t="s">
        <v>57</v>
      </c>
      <c r="I11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1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112" s="40" t="str">
        <f>MID(Tracker[[#This Row],[Game]],SEARCH("@",Tracker[[#This Row],[Game]])+2,LEN(Tracker[[#This Row],[Game]]))</f>
        <v>Kings</v>
      </c>
      <c r="L112" s="40" t="str">
        <f>LEFT(Tracker[[#This Row],[Game]],SEARCH("@",Tracker[[#This Row],[Game]])-2)</f>
        <v>Grizzlies</v>
      </c>
      <c r="M11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112" s="123"/>
      <c r="O112" s="147"/>
      <c r="P112" s="147"/>
      <c r="Q112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12" s="147" t="e">
        <f>IF(AND(Tracker[[#This Row],[Money %]]&lt;&gt;"",Tracker[[#This Row],[Bet %]]&lt;&gt;""),Tracker[[#This Row],[Money %]]-Tracker[[#This Row],[Bet %]],NA())</f>
        <v>#N/A</v>
      </c>
      <c r="S112" s="109"/>
      <c r="T112" s="109"/>
      <c r="U112" s="56">
        <f>IFERROR(INDEX($A$4:$B10108,MATCH(ROW()-3,$A$4:$A$4:$A1108,0),2),0)</f>
        <v>0</v>
      </c>
      <c r="V112" s="33" t="str">
        <f>COUNTIFS(Tracker[Date],U112,Tracker[Result],"W")&amp;"-"&amp;COUNTIFS(Tracker[Date],U112,Tracker[Result],"L")&amp;IF(COUNTIFS(Tracker[Date],U112,Tracker[Result],"Push")&gt;0,"-"&amp;COUNTIFS(Tracker[Date],U112,Tracker[Result],"Push"),"")</f>
        <v>0-0</v>
      </c>
      <c r="W112" s="34" t="str">
        <f>IFERROR(COUNTIFS(Tracker[Date],U112,Tracker[Result],"W")/(COUNTIFS(Tracker[Date],U112,Tracker[Result],"W")+COUNTIFS(Tracker[Date],U112,Tracker[Result],"L")),"")</f>
        <v/>
      </c>
      <c r="X112" s="61">
        <f>SUMIF(Tracker[Date],U112,Tracker[Net])</f>
        <v>0</v>
      </c>
      <c r="Y112" s="35" t="str">
        <f>IFERROR("("&amp;ROUND(SUMIF(Tracker[Date],U112,Tracker[Net])/COUNTIF(Tracker[Date],U112),2)*100&amp;"%)","")</f>
        <v/>
      </c>
    </row>
    <row r="113" spans="1:25" x14ac:dyDescent="0.25">
      <c r="A113" s="36">
        <f t="shared" si="33"/>
        <v>12</v>
      </c>
      <c r="B113" s="25">
        <v>43832</v>
      </c>
      <c r="C113" s="25" t="str">
        <f t="shared" si="34"/>
        <v>NBA</v>
      </c>
      <c r="D113" s="26" t="s">
        <v>978</v>
      </c>
      <c r="E113" s="28" t="s">
        <v>980</v>
      </c>
      <c r="F113" s="67">
        <v>0.63588238455193735</v>
      </c>
      <c r="G113" s="75">
        <v>-110</v>
      </c>
      <c r="H113" s="32" t="s">
        <v>57</v>
      </c>
      <c r="I11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1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113" s="40" t="str">
        <f>MID(Tracker[[#This Row],[Game]],SEARCH("@",Tracker[[#This Row],[Game]])+2,LEN(Tracker[[#This Row],[Game]]))</f>
        <v>Kings</v>
      </c>
      <c r="L113" s="40" t="str">
        <f>LEFT(Tracker[[#This Row],[Game]],SEARCH("@",Tracker[[#This Row],[Game]])-2)</f>
        <v>Grizzlies</v>
      </c>
      <c r="M11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113" s="123"/>
      <c r="O113" s="147"/>
      <c r="P113" s="147"/>
      <c r="Q113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13" s="147" t="e">
        <f>IF(AND(Tracker[[#This Row],[Money %]]&lt;&gt;"",Tracker[[#This Row],[Bet %]]&lt;&gt;""),Tracker[[#This Row],[Money %]]-Tracker[[#This Row],[Bet %]],NA())</f>
        <v>#N/A</v>
      </c>
      <c r="S113" s="109"/>
      <c r="T113" s="109"/>
      <c r="U113" s="56">
        <f>IFERROR(INDEX($A$4:$B10109,MATCH(ROW()-3,$A$4:$A$4:$A1109,0),2),0)</f>
        <v>0</v>
      </c>
      <c r="V113" s="33" t="str">
        <f>COUNTIFS(Tracker[Date],U113,Tracker[Result],"W")&amp;"-"&amp;COUNTIFS(Tracker[Date],U113,Tracker[Result],"L")&amp;IF(COUNTIFS(Tracker[Date],U113,Tracker[Result],"Push")&gt;0,"-"&amp;COUNTIFS(Tracker[Date],U113,Tracker[Result],"Push"),"")</f>
        <v>0-0</v>
      </c>
      <c r="W113" s="34" t="str">
        <f>IFERROR(COUNTIFS(Tracker[Date],U113,Tracker[Result],"W")/(COUNTIFS(Tracker[Date],U113,Tracker[Result],"W")+COUNTIFS(Tracker[Date],U113,Tracker[Result],"L")),"")</f>
        <v/>
      </c>
      <c r="X113" s="61">
        <f>SUMIF(Tracker[Date],U113,Tracker[Net])</f>
        <v>0</v>
      </c>
      <c r="Y113" s="35" t="str">
        <f>IFERROR("("&amp;ROUND(SUMIF(Tracker[Date],U113,Tracker[Net])/COUNTIF(Tracker[Date],U113),2)*100&amp;"%)","")</f>
        <v/>
      </c>
    </row>
    <row r="114" spans="1:25" x14ac:dyDescent="0.25">
      <c r="A114" s="36">
        <f t="shared" si="33"/>
        <v>13</v>
      </c>
      <c r="B114" s="25">
        <v>43833</v>
      </c>
      <c r="C114" s="25" t="str">
        <f t="shared" si="34"/>
        <v>NBA</v>
      </c>
      <c r="D114" s="26" t="s">
        <v>985</v>
      </c>
      <c r="E114" s="28" t="s">
        <v>986</v>
      </c>
      <c r="F114" s="67">
        <v>0.7611913737932251</v>
      </c>
      <c r="G114" s="29">
        <v>-110</v>
      </c>
      <c r="H114" s="32" t="s">
        <v>57</v>
      </c>
      <c r="I11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1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114" s="40" t="str">
        <f>MID(Tracker[[#This Row],[Game]],SEARCH("@",Tracker[[#This Row],[Game]])+2,LEN(Tracker[[#This Row],[Game]]))</f>
        <v>Celtics</v>
      </c>
      <c r="L114" s="40" t="str">
        <f>LEFT(Tracker[[#This Row],[Game]],SEARCH("@",Tracker[[#This Row],[Game]])-2)</f>
        <v>Hawks</v>
      </c>
      <c r="M11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114" s="123"/>
      <c r="O114" s="147"/>
      <c r="P114" s="147"/>
      <c r="Q11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14" s="147" t="e">
        <f>IF(AND(Tracker[[#This Row],[Money %]]&lt;&gt;"",Tracker[[#This Row],[Bet %]]&lt;&gt;""),Tracker[[#This Row],[Money %]]-Tracker[[#This Row],[Bet %]],NA())</f>
        <v>#N/A</v>
      </c>
      <c r="S114" s="109"/>
      <c r="T114" s="109"/>
      <c r="U114" s="56">
        <f>IFERROR(INDEX($A$4:$B10110,MATCH(ROW()-3,$A$4:$A$4:$A1110,0),2),0)</f>
        <v>0</v>
      </c>
      <c r="V114" s="33" t="str">
        <f>COUNTIFS(Tracker[Date],U114,Tracker[Result],"W")&amp;"-"&amp;COUNTIFS(Tracker[Date],U114,Tracker[Result],"L")&amp;IF(COUNTIFS(Tracker[Date],U114,Tracker[Result],"Push")&gt;0,"-"&amp;COUNTIFS(Tracker[Date],U114,Tracker[Result],"Push"),"")</f>
        <v>0-0</v>
      </c>
      <c r="W114" s="34" t="str">
        <f>IFERROR(COUNTIFS(Tracker[Date],U114,Tracker[Result],"W")/(COUNTIFS(Tracker[Date],U114,Tracker[Result],"W")+COUNTIFS(Tracker[Date],U114,Tracker[Result],"L")),"")</f>
        <v/>
      </c>
      <c r="X114" s="61">
        <f>SUMIF(Tracker[Date],U114,Tracker[Net])</f>
        <v>0</v>
      </c>
      <c r="Y114" s="35" t="str">
        <f>IFERROR("("&amp;ROUND(SUMIF(Tracker[Date],U114,Tracker[Net])/COUNTIF(Tracker[Date],U114),2)*100&amp;"%)","")</f>
        <v/>
      </c>
    </row>
    <row r="115" spans="1:25" x14ac:dyDescent="0.25">
      <c r="A115" s="36">
        <f t="shared" si="33"/>
        <v>13</v>
      </c>
      <c r="B115" s="25">
        <v>43833</v>
      </c>
      <c r="C115" s="25" t="str">
        <f t="shared" si="34"/>
        <v>NBA</v>
      </c>
      <c r="D115" s="26" t="s">
        <v>985</v>
      </c>
      <c r="E115" s="28" t="s">
        <v>987</v>
      </c>
      <c r="F115" s="67">
        <v>0.62053146842475337</v>
      </c>
      <c r="G115" s="29">
        <v>-110</v>
      </c>
      <c r="H115" s="32" t="s">
        <v>56</v>
      </c>
      <c r="I11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1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115" s="40" t="str">
        <f>MID(Tracker[[#This Row],[Game]],SEARCH("@",Tracker[[#This Row],[Game]])+2,LEN(Tracker[[#This Row],[Game]]))</f>
        <v>Celtics</v>
      </c>
      <c r="L115" s="40" t="str">
        <f>LEFT(Tracker[[#This Row],[Game]],SEARCH("@",Tracker[[#This Row],[Game]])-2)</f>
        <v>Hawks</v>
      </c>
      <c r="M11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115" s="123"/>
      <c r="O115" s="147"/>
      <c r="P115" s="147"/>
      <c r="Q11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15" s="147" t="e">
        <f>IF(AND(Tracker[[#This Row],[Money %]]&lt;&gt;"",Tracker[[#This Row],[Bet %]]&lt;&gt;""),Tracker[[#This Row],[Money %]]-Tracker[[#This Row],[Bet %]],NA())</f>
        <v>#N/A</v>
      </c>
      <c r="S115" s="109"/>
      <c r="T115" s="109"/>
      <c r="U115" s="56">
        <f>IFERROR(INDEX($A$4:$B10111,MATCH(ROW()-3,$A$4:$A$4:$A1111,0),2),0)</f>
        <v>0</v>
      </c>
      <c r="V115" s="33" t="str">
        <f>COUNTIFS(Tracker[Date],U115,Tracker[Result],"W")&amp;"-"&amp;COUNTIFS(Tracker[Date],U115,Tracker[Result],"L")&amp;IF(COUNTIFS(Tracker[Date],U115,Tracker[Result],"Push")&gt;0,"-"&amp;COUNTIFS(Tracker[Date],U115,Tracker[Result],"Push"),"")</f>
        <v>0-0</v>
      </c>
      <c r="W115" s="34" t="str">
        <f>IFERROR(COUNTIFS(Tracker[Date],U115,Tracker[Result],"W")/(COUNTIFS(Tracker[Date],U115,Tracker[Result],"W")+COUNTIFS(Tracker[Date],U115,Tracker[Result],"L")),"")</f>
        <v/>
      </c>
      <c r="X115" s="61">
        <f>SUMIF(Tracker[Date],U115,Tracker[Net])</f>
        <v>0</v>
      </c>
      <c r="Y115" s="35" t="str">
        <f>IFERROR("("&amp;ROUND(SUMIF(Tracker[Date],U115,Tracker[Net])/COUNTIF(Tracker[Date],U115),2)*100&amp;"%)","")</f>
        <v/>
      </c>
    </row>
    <row r="116" spans="1:25" x14ac:dyDescent="0.25">
      <c r="A116" s="36">
        <f t="shared" si="33"/>
        <v>13</v>
      </c>
      <c r="B116" s="25">
        <v>43833</v>
      </c>
      <c r="C116" s="25" t="str">
        <f t="shared" si="34"/>
        <v>NBA</v>
      </c>
      <c r="D116" s="26" t="s">
        <v>988</v>
      </c>
      <c r="E116" s="28" t="s">
        <v>994</v>
      </c>
      <c r="F116" s="67">
        <v>0.60398758807422848</v>
      </c>
      <c r="G116" s="29">
        <v>-110</v>
      </c>
      <c r="H116" s="32" t="s">
        <v>57</v>
      </c>
      <c r="I11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1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116" s="40" t="str">
        <f>MID(Tracker[[#This Row],[Game]],SEARCH("@",Tracker[[#This Row],[Game]])+2,LEN(Tracker[[#This Row],[Game]]))</f>
        <v>Magic</v>
      </c>
      <c r="L116" s="40" t="str">
        <f>LEFT(Tracker[[#This Row],[Game]],SEARCH("@",Tracker[[#This Row],[Game]])-2)</f>
        <v>Heat</v>
      </c>
      <c r="M11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116" s="123"/>
      <c r="O116" s="147"/>
      <c r="P116" s="147"/>
      <c r="Q116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16" s="147" t="e">
        <f>IF(AND(Tracker[[#This Row],[Money %]]&lt;&gt;"",Tracker[[#This Row],[Bet %]]&lt;&gt;""),Tracker[[#This Row],[Money %]]-Tracker[[#This Row],[Bet %]],NA())</f>
        <v>#N/A</v>
      </c>
      <c r="S116" s="109"/>
      <c r="T116" s="109"/>
      <c r="U116" s="56">
        <f>IFERROR(INDEX($A$4:$B10112,MATCH(ROW()-3,$A$4:$A$4:$A1112,0),2),0)</f>
        <v>0</v>
      </c>
      <c r="V116" s="33" t="str">
        <f>COUNTIFS(Tracker[Date],U116,Tracker[Result],"W")&amp;"-"&amp;COUNTIFS(Tracker[Date],U116,Tracker[Result],"L")&amp;IF(COUNTIFS(Tracker[Date],U116,Tracker[Result],"Push")&gt;0,"-"&amp;COUNTIFS(Tracker[Date],U116,Tracker[Result],"Push"),"")</f>
        <v>0-0</v>
      </c>
      <c r="W116" s="34" t="str">
        <f>IFERROR(COUNTIFS(Tracker[Date],U116,Tracker[Result],"W")/(COUNTIFS(Tracker[Date],U116,Tracker[Result],"W")+COUNTIFS(Tracker[Date],U116,Tracker[Result],"L")),"")</f>
        <v/>
      </c>
      <c r="X116" s="61">
        <f>SUMIF(Tracker[Date],U116,Tracker[Net])</f>
        <v>0</v>
      </c>
      <c r="Y116" s="35" t="str">
        <f>IFERROR("("&amp;ROUND(SUMIF(Tracker[Date],U116,Tracker[Net])/COUNTIF(Tracker[Date],U116),2)*100&amp;"%)","")</f>
        <v/>
      </c>
    </row>
    <row r="117" spans="1:25" x14ac:dyDescent="0.25">
      <c r="A117" s="36">
        <f t="shared" si="33"/>
        <v>13</v>
      </c>
      <c r="B117" s="25">
        <v>43833</v>
      </c>
      <c r="C117" s="25" t="str">
        <f t="shared" si="34"/>
        <v>NBA</v>
      </c>
      <c r="D117" s="26" t="s">
        <v>989</v>
      </c>
      <c r="E117" s="28" t="s">
        <v>995</v>
      </c>
      <c r="F117" s="67">
        <v>0.58929639205241835</v>
      </c>
      <c r="G117" s="29">
        <v>-110</v>
      </c>
      <c r="H117" s="32" t="s">
        <v>57</v>
      </c>
      <c r="I11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1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117" s="40" t="str">
        <f>MID(Tracker[[#This Row],[Game]],SEARCH("@",Tracker[[#This Row],[Game]])+2,LEN(Tracker[[#This Row],[Game]]))</f>
        <v>Wizards</v>
      </c>
      <c r="L117" s="40" t="str">
        <f>LEFT(Tracker[[#This Row],[Game]],SEARCH("@",Tracker[[#This Row],[Game]])-2)</f>
        <v>Trail Blazers</v>
      </c>
      <c r="M11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HD</v>
      </c>
      <c r="N117" s="123"/>
      <c r="O117" s="147"/>
      <c r="P117" s="147"/>
      <c r="Q117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17" s="147" t="e">
        <f>IF(AND(Tracker[[#This Row],[Money %]]&lt;&gt;"",Tracker[[#This Row],[Bet %]]&lt;&gt;""),Tracker[[#This Row],[Money %]]-Tracker[[#This Row],[Bet %]],NA())</f>
        <v>#N/A</v>
      </c>
      <c r="S117" s="109"/>
      <c r="T117" s="109"/>
      <c r="U117" s="56">
        <f>IFERROR(INDEX($A$4:$B10113,MATCH(ROW()-3,$A$4:$A$4:$A1113,0),2),0)</f>
        <v>0</v>
      </c>
      <c r="V117" s="33" t="str">
        <f>COUNTIFS(Tracker[Date],U117,Tracker[Result],"W")&amp;"-"&amp;COUNTIFS(Tracker[Date],U117,Tracker[Result],"L")&amp;IF(COUNTIFS(Tracker[Date],U117,Tracker[Result],"Push")&gt;0,"-"&amp;COUNTIFS(Tracker[Date],U117,Tracker[Result],"Push"),"")</f>
        <v>0-0</v>
      </c>
      <c r="W117" s="34" t="str">
        <f>IFERROR(COUNTIFS(Tracker[Date],U117,Tracker[Result],"W")/(COUNTIFS(Tracker[Date],U117,Tracker[Result],"W")+COUNTIFS(Tracker[Date],U117,Tracker[Result],"L")),"")</f>
        <v/>
      </c>
      <c r="X117" s="61">
        <f>SUMIF(Tracker[Date],U117,Tracker[Net])</f>
        <v>0</v>
      </c>
      <c r="Y117" s="35" t="str">
        <f>IFERROR("("&amp;ROUND(SUMIF(Tracker[Date],U117,Tracker[Net])/COUNTIF(Tracker[Date],U117),2)*100&amp;"%)","")</f>
        <v/>
      </c>
    </row>
    <row r="118" spans="1:25" x14ac:dyDescent="0.25">
      <c r="A118" s="36">
        <f t="shared" si="33"/>
        <v>13</v>
      </c>
      <c r="B118" s="25">
        <v>43833</v>
      </c>
      <c r="C118" s="25" t="str">
        <f t="shared" si="34"/>
        <v>NBA</v>
      </c>
      <c r="D118" s="26" t="s">
        <v>990</v>
      </c>
      <c r="E118" s="28" t="s">
        <v>991</v>
      </c>
      <c r="F118" s="67">
        <v>0.58285360703437394</v>
      </c>
      <c r="G118" s="29">
        <v>-110</v>
      </c>
      <c r="H118" s="32" t="s">
        <v>57</v>
      </c>
      <c r="I11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1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118" s="40" t="str">
        <f>MID(Tracker[[#This Row],[Game]],SEARCH("@",Tracker[[#This Row],[Game]])+2,LEN(Tracker[[#This Row],[Game]]))</f>
        <v>Suns</v>
      </c>
      <c r="L118" s="40" t="str">
        <f>LEFT(Tracker[[#This Row],[Game]],SEARCH("@",Tracker[[#This Row],[Game]])-2)</f>
        <v>Knicks</v>
      </c>
      <c r="M11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118" s="123"/>
      <c r="O118" s="147"/>
      <c r="P118" s="147"/>
      <c r="Q118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18" s="147" t="e">
        <f>IF(AND(Tracker[[#This Row],[Money %]]&lt;&gt;"",Tracker[[#This Row],[Bet %]]&lt;&gt;""),Tracker[[#This Row],[Money %]]-Tracker[[#This Row],[Bet %]],NA())</f>
        <v>#N/A</v>
      </c>
      <c r="S118" s="109"/>
      <c r="T118" s="109"/>
      <c r="U118" s="56">
        <f>IFERROR(INDEX($A$4:$B10114,MATCH(ROW()-3,$A$4:$A$4:$A1114,0),2),0)</f>
        <v>0</v>
      </c>
      <c r="V118" s="33" t="str">
        <f>COUNTIFS(Tracker[Date],U118,Tracker[Result],"W")&amp;"-"&amp;COUNTIFS(Tracker[Date],U118,Tracker[Result],"L")&amp;IF(COUNTIFS(Tracker[Date],U118,Tracker[Result],"Push")&gt;0,"-"&amp;COUNTIFS(Tracker[Date],U118,Tracker[Result],"Push"),"")</f>
        <v>0-0</v>
      </c>
      <c r="W118" s="34" t="str">
        <f>IFERROR(COUNTIFS(Tracker[Date],U118,Tracker[Result],"W")/(COUNTIFS(Tracker[Date],U118,Tracker[Result],"W")+COUNTIFS(Tracker[Date],U118,Tracker[Result],"L")),"")</f>
        <v/>
      </c>
      <c r="X118" s="61">
        <f>SUMIF(Tracker[Date],U118,Tracker[Net])</f>
        <v>0</v>
      </c>
      <c r="Y118" s="35" t="str">
        <f>IFERROR("("&amp;ROUND(SUMIF(Tracker[Date],U118,Tracker[Net])/COUNTIF(Tracker[Date],U118),2)*100&amp;"%)","")</f>
        <v/>
      </c>
    </row>
    <row r="119" spans="1:25" x14ac:dyDescent="0.25">
      <c r="A119" s="36">
        <f t="shared" si="33"/>
        <v>13</v>
      </c>
      <c r="B119" s="25">
        <v>43833</v>
      </c>
      <c r="C119" s="25" t="str">
        <f t="shared" si="34"/>
        <v>NBA</v>
      </c>
      <c r="D119" s="26" t="s">
        <v>992</v>
      </c>
      <c r="E119" s="28" t="s">
        <v>993</v>
      </c>
      <c r="F119" s="67">
        <v>0.58554178194749418</v>
      </c>
      <c r="G119" s="29">
        <v>-110</v>
      </c>
      <c r="H119" s="32" t="s">
        <v>57</v>
      </c>
      <c r="I11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1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119" s="40" t="str">
        <f>MID(Tracker[[#This Row],[Game]],SEARCH("@",Tracker[[#This Row],[Game]])+2,LEN(Tracker[[#This Row],[Game]]))</f>
        <v>Lakers</v>
      </c>
      <c r="L119" s="40" t="str">
        <f>LEFT(Tracker[[#This Row],[Game]],SEARCH("@",Tracker[[#This Row],[Game]])-2)</f>
        <v>Pelicans</v>
      </c>
      <c r="M11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119" s="123"/>
      <c r="O119" s="147"/>
      <c r="P119" s="147"/>
      <c r="Q119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19" s="147" t="e">
        <f>IF(AND(Tracker[[#This Row],[Money %]]&lt;&gt;"",Tracker[[#This Row],[Bet %]]&lt;&gt;""),Tracker[[#This Row],[Money %]]-Tracker[[#This Row],[Bet %]],NA())</f>
        <v>#N/A</v>
      </c>
      <c r="S119" s="109"/>
      <c r="T119" s="109"/>
      <c r="U119" s="56">
        <f>IFERROR(INDEX($A$4:$B10115,MATCH(ROW()-3,$A$4:$A$4:$A1115,0),2),0)</f>
        <v>0</v>
      </c>
      <c r="V119" s="33" t="str">
        <f>COUNTIFS(Tracker[Date],U119,Tracker[Result],"W")&amp;"-"&amp;COUNTIFS(Tracker[Date],U119,Tracker[Result],"L")&amp;IF(COUNTIFS(Tracker[Date],U119,Tracker[Result],"Push")&gt;0,"-"&amp;COUNTIFS(Tracker[Date],U119,Tracker[Result],"Push"),"")</f>
        <v>0-0</v>
      </c>
      <c r="W119" s="34" t="str">
        <f>IFERROR(COUNTIFS(Tracker[Date],U119,Tracker[Result],"W")/(COUNTIFS(Tracker[Date],U119,Tracker[Result],"W")+COUNTIFS(Tracker[Date],U119,Tracker[Result],"L")),"")</f>
        <v/>
      </c>
      <c r="X119" s="61">
        <f>SUMIF(Tracker[Date],U119,Tracker[Net])</f>
        <v>0</v>
      </c>
      <c r="Y119" s="35" t="str">
        <f>IFERROR("("&amp;ROUND(SUMIF(Tracker[Date],U119,Tracker[Net])/COUNTIF(Tracker[Date],U119),2)*100&amp;"%)","")</f>
        <v/>
      </c>
    </row>
    <row r="120" spans="1:25" x14ac:dyDescent="0.25">
      <c r="A120" s="36">
        <f t="shared" si="33"/>
        <v>14</v>
      </c>
      <c r="B120" s="25">
        <v>43836</v>
      </c>
      <c r="C120" s="25" t="str">
        <f t="shared" si="34"/>
        <v>NBA</v>
      </c>
      <c r="D120" s="26" t="s">
        <v>998</v>
      </c>
      <c r="E120" s="28" t="s">
        <v>999</v>
      </c>
      <c r="F120" s="67">
        <v>0.55227559094321044</v>
      </c>
      <c r="G120" s="29">
        <v>-110</v>
      </c>
      <c r="H120" s="32" t="s">
        <v>56</v>
      </c>
      <c r="I12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2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120" s="40" t="str">
        <f>MID(Tracker[[#This Row],[Game]],SEARCH("@",Tracker[[#This Row],[Game]])+2,LEN(Tracker[[#This Row],[Game]]))</f>
        <v>Magic</v>
      </c>
      <c r="L120" s="40" t="str">
        <f>LEFT(Tracker[[#This Row],[Game]],SEARCH("@",Tracker[[#This Row],[Game]])-2)</f>
        <v>Nets</v>
      </c>
      <c r="M12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120" s="123"/>
      <c r="O120" s="147"/>
      <c r="P120" s="147"/>
      <c r="Q120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20" s="147" t="e">
        <f>IF(AND(Tracker[[#This Row],[Money %]]&lt;&gt;"",Tracker[[#This Row],[Bet %]]&lt;&gt;""),Tracker[[#This Row],[Money %]]-Tracker[[#This Row],[Bet %]],NA())</f>
        <v>#N/A</v>
      </c>
      <c r="S120" s="109"/>
      <c r="T120" s="109"/>
      <c r="U120" s="56">
        <f>IFERROR(INDEX($A$4:$B10116,MATCH(ROW()-3,$A$4:$A$4:$A1116,0),2),0)</f>
        <v>0</v>
      </c>
      <c r="V120" s="33" t="str">
        <f>COUNTIFS(Tracker[Date],U120,Tracker[Result],"W")&amp;"-"&amp;COUNTIFS(Tracker[Date],U120,Tracker[Result],"L")&amp;IF(COUNTIFS(Tracker[Date],U120,Tracker[Result],"Push")&gt;0,"-"&amp;COUNTIFS(Tracker[Date],U120,Tracker[Result],"Push"),"")</f>
        <v>0-0</v>
      </c>
      <c r="W120" s="34" t="str">
        <f>IFERROR(COUNTIFS(Tracker[Date],U120,Tracker[Result],"W")/(COUNTIFS(Tracker[Date],U120,Tracker[Result],"W")+COUNTIFS(Tracker[Date],U120,Tracker[Result],"L")),"")</f>
        <v/>
      </c>
      <c r="X120" s="61">
        <f>SUMIF(Tracker[Date],U120,Tracker[Net])</f>
        <v>0</v>
      </c>
      <c r="Y120" s="35" t="str">
        <f>IFERROR("("&amp;ROUND(SUMIF(Tracker[Date],U120,Tracker[Net])/COUNTIF(Tracker[Date],U120),2)*100&amp;"%)","")</f>
        <v/>
      </c>
    </row>
    <row r="121" spans="1:25" x14ac:dyDescent="0.25">
      <c r="A121" s="36">
        <f t="shared" si="33"/>
        <v>14</v>
      </c>
      <c r="B121" s="25">
        <v>43836</v>
      </c>
      <c r="C121" s="25" t="str">
        <f t="shared" si="34"/>
        <v>NBA</v>
      </c>
      <c r="D121" s="26" t="s">
        <v>1000</v>
      </c>
      <c r="E121" s="28" t="s">
        <v>1001</v>
      </c>
      <c r="F121" s="67">
        <v>0.58635496773196816</v>
      </c>
      <c r="G121" s="29">
        <v>-110</v>
      </c>
      <c r="H121" s="32" t="s">
        <v>56</v>
      </c>
      <c r="I12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2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121" s="40" t="str">
        <f>MID(Tracker[[#This Row],[Game]],SEARCH("@",Tracker[[#This Row],[Game]])+2,LEN(Tracker[[#This Row],[Game]]))</f>
        <v>76ers</v>
      </c>
      <c r="L121" s="40" t="str">
        <f>LEFT(Tracker[[#This Row],[Game]],SEARCH("@",Tracker[[#This Row],[Game]])-2)</f>
        <v>Thunder</v>
      </c>
      <c r="M12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121" s="123"/>
      <c r="O121" s="147"/>
      <c r="P121" s="147"/>
      <c r="Q121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21" s="147" t="e">
        <f>IF(AND(Tracker[[#This Row],[Money %]]&lt;&gt;"",Tracker[[#This Row],[Bet %]]&lt;&gt;""),Tracker[[#This Row],[Money %]]-Tracker[[#This Row],[Bet %]],NA())</f>
        <v>#N/A</v>
      </c>
      <c r="S121" s="109"/>
      <c r="T121" s="109"/>
      <c r="U121" s="56">
        <f>IFERROR(INDEX($A$4:$B10117,MATCH(ROW()-3,$A$4:$A$4:$A1117,0),2),0)</f>
        <v>0</v>
      </c>
      <c r="V121" s="33" t="str">
        <f>COUNTIFS(Tracker[Date],U121,Tracker[Result],"W")&amp;"-"&amp;COUNTIFS(Tracker[Date],U121,Tracker[Result],"L")&amp;IF(COUNTIFS(Tracker[Date],U121,Tracker[Result],"Push")&gt;0,"-"&amp;COUNTIFS(Tracker[Date],U121,Tracker[Result],"Push"),"")</f>
        <v>0-0</v>
      </c>
      <c r="W121" s="34" t="str">
        <f>IFERROR(COUNTIFS(Tracker[Date],U121,Tracker[Result],"W")/(COUNTIFS(Tracker[Date],U121,Tracker[Result],"W")+COUNTIFS(Tracker[Date],U121,Tracker[Result],"L")),"")</f>
        <v/>
      </c>
      <c r="X121" s="61">
        <f>SUMIF(Tracker[Date],U121,Tracker[Net])</f>
        <v>0</v>
      </c>
      <c r="Y121" s="35" t="str">
        <f>IFERROR("("&amp;ROUND(SUMIF(Tracker[Date],U121,Tracker[Net])/COUNTIF(Tracker[Date],U121),2)*100&amp;"%)","")</f>
        <v/>
      </c>
    </row>
    <row r="122" spans="1:25" x14ac:dyDescent="0.25">
      <c r="A122" s="36">
        <f t="shared" si="33"/>
        <v>14</v>
      </c>
      <c r="B122" s="25">
        <v>43836</v>
      </c>
      <c r="C122" s="25" t="str">
        <f t="shared" si="34"/>
        <v>NBA</v>
      </c>
      <c r="D122" s="26" t="s">
        <v>1000</v>
      </c>
      <c r="E122" s="28" t="s">
        <v>866</v>
      </c>
      <c r="F122" s="67">
        <v>0.60892168353787857</v>
      </c>
      <c r="G122" s="29">
        <v>-110</v>
      </c>
      <c r="H122" s="32" t="s">
        <v>57</v>
      </c>
      <c r="I12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2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122" s="40" t="str">
        <f>MID(Tracker[[#This Row],[Game]],SEARCH("@",Tracker[[#This Row],[Game]])+2,LEN(Tracker[[#This Row],[Game]]))</f>
        <v>76ers</v>
      </c>
      <c r="L122" s="40" t="str">
        <f>LEFT(Tracker[[#This Row],[Game]],SEARCH("@",Tracker[[#This Row],[Game]])-2)</f>
        <v>Thunder</v>
      </c>
      <c r="M12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122" s="123"/>
      <c r="O122" s="147"/>
      <c r="P122" s="147"/>
      <c r="Q122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22" s="147" t="e">
        <f>IF(AND(Tracker[[#This Row],[Money %]]&lt;&gt;"",Tracker[[#This Row],[Bet %]]&lt;&gt;""),Tracker[[#This Row],[Money %]]-Tracker[[#This Row],[Bet %]],NA())</f>
        <v>#N/A</v>
      </c>
      <c r="S122" s="109"/>
      <c r="T122" s="109"/>
      <c r="U122" s="56">
        <f>IFERROR(INDEX($A$4:$B10118,MATCH(ROW()-3,$A$4:$A$4:$A1118,0),2),0)</f>
        <v>0</v>
      </c>
      <c r="V122" s="33" t="str">
        <f>COUNTIFS(Tracker[Date],U122,Tracker[Result],"W")&amp;"-"&amp;COUNTIFS(Tracker[Date],U122,Tracker[Result],"L")&amp;IF(COUNTIFS(Tracker[Date],U122,Tracker[Result],"Push")&gt;0,"-"&amp;COUNTIFS(Tracker[Date],U122,Tracker[Result],"Push"),"")</f>
        <v>0-0</v>
      </c>
      <c r="W122" s="34" t="str">
        <f>IFERROR(COUNTIFS(Tracker[Date],U122,Tracker[Result],"W")/(COUNTIFS(Tracker[Date],U122,Tracker[Result],"W")+COUNTIFS(Tracker[Date],U122,Tracker[Result],"L")),"")</f>
        <v/>
      </c>
      <c r="X122" s="61">
        <f>SUMIF(Tracker[Date],U122,Tracker[Net])</f>
        <v>0</v>
      </c>
      <c r="Y122" s="35" t="str">
        <f>IFERROR("("&amp;ROUND(SUMIF(Tracker[Date],U122,Tracker[Net])/COUNTIF(Tracker[Date],U122),2)*100&amp;"%)","")</f>
        <v/>
      </c>
    </row>
    <row r="123" spans="1:25" x14ac:dyDescent="0.25">
      <c r="A123" s="36">
        <f t="shared" si="33"/>
        <v>14</v>
      </c>
      <c r="B123" s="25">
        <v>43836</v>
      </c>
      <c r="C123" s="25" t="str">
        <f t="shared" si="34"/>
        <v>NBA</v>
      </c>
      <c r="D123" s="26" t="s">
        <v>1002</v>
      </c>
      <c r="E123" s="28" t="s">
        <v>1003</v>
      </c>
      <c r="F123" s="67">
        <v>0.64981107926166293</v>
      </c>
      <c r="G123" s="29">
        <v>-110</v>
      </c>
      <c r="H123" s="32" t="s">
        <v>57</v>
      </c>
      <c r="I12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2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123" s="40" t="str">
        <f>MID(Tracker[[#This Row],[Game]],SEARCH("@",Tracker[[#This Row],[Game]])+2,LEN(Tracker[[#This Row],[Game]]))</f>
        <v>Wizards</v>
      </c>
      <c r="L123" s="40" t="str">
        <f>LEFT(Tracker[[#This Row],[Game]],SEARCH("@",Tracker[[#This Row],[Game]])-2)</f>
        <v>Celtics</v>
      </c>
      <c r="M12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123" s="123"/>
      <c r="O123" s="147"/>
      <c r="P123" s="147"/>
      <c r="Q123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23" s="147" t="e">
        <f>IF(AND(Tracker[[#This Row],[Money %]]&lt;&gt;"",Tracker[[#This Row],[Bet %]]&lt;&gt;""),Tracker[[#This Row],[Money %]]-Tracker[[#This Row],[Bet %]],NA())</f>
        <v>#N/A</v>
      </c>
      <c r="S123" s="109"/>
      <c r="T123" s="109"/>
      <c r="U123" s="56">
        <f>IFERROR(INDEX($A$4:$B10119,MATCH(ROW()-3,$A$4:$A$4:$A1119,0),2),0)</f>
        <v>0</v>
      </c>
      <c r="V123" s="33" t="str">
        <f>COUNTIFS(Tracker[Date],U123,Tracker[Result],"W")&amp;"-"&amp;COUNTIFS(Tracker[Date],U123,Tracker[Result],"L")&amp;IF(COUNTIFS(Tracker[Date],U123,Tracker[Result],"Push")&gt;0,"-"&amp;COUNTIFS(Tracker[Date],U123,Tracker[Result],"Push"),"")</f>
        <v>0-0</v>
      </c>
      <c r="W123" s="34" t="str">
        <f>IFERROR(COUNTIFS(Tracker[Date],U123,Tracker[Result],"W")/(COUNTIFS(Tracker[Date],U123,Tracker[Result],"W")+COUNTIFS(Tracker[Date],U123,Tracker[Result],"L")),"")</f>
        <v/>
      </c>
      <c r="X123" s="61">
        <f>SUMIF(Tracker[Date],U123,Tracker[Net])</f>
        <v>0</v>
      </c>
      <c r="Y123" s="35" t="str">
        <f>IFERROR("("&amp;ROUND(SUMIF(Tracker[Date],U123,Tracker[Net])/COUNTIF(Tracker[Date],U123),2)*100&amp;"%)","")</f>
        <v/>
      </c>
    </row>
    <row r="124" spans="1:25" x14ac:dyDescent="0.25">
      <c r="A124" s="36">
        <f t="shared" si="33"/>
        <v>14</v>
      </c>
      <c r="B124" s="25">
        <v>43836</v>
      </c>
      <c r="C124" s="25" t="str">
        <f t="shared" si="34"/>
        <v>NBA</v>
      </c>
      <c r="D124" s="26" t="s">
        <v>1004</v>
      </c>
      <c r="E124" s="28" t="s">
        <v>1005</v>
      </c>
      <c r="F124" s="67">
        <v>0.69982192011089273</v>
      </c>
      <c r="G124" s="29">
        <v>-110</v>
      </c>
      <c r="H124" s="32" t="s">
        <v>56</v>
      </c>
      <c r="I12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2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124" s="40" t="str">
        <f>MID(Tracker[[#This Row],[Game]],SEARCH("@",Tracker[[#This Row],[Game]])+2,LEN(Tracker[[#This Row],[Game]]))</f>
        <v>Hornets</v>
      </c>
      <c r="L124" s="40" t="str">
        <f>LEFT(Tracker[[#This Row],[Game]],SEARCH("@",Tracker[[#This Row],[Game]])-2)</f>
        <v>Pacers</v>
      </c>
      <c r="M12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124" s="123"/>
      <c r="O124" s="147"/>
      <c r="P124" s="147"/>
      <c r="Q12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24" s="147" t="e">
        <f>IF(AND(Tracker[[#This Row],[Money %]]&lt;&gt;"",Tracker[[#This Row],[Bet %]]&lt;&gt;""),Tracker[[#This Row],[Money %]]-Tracker[[#This Row],[Bet %]],NA())</f>
        <v>#N/A</v>
      </c>
      <c r="S124" s="109"/>
      <c r="T124" s="109"/>
      <c r="U124" s="56">
        <f>IFERROR(INDEX($A$4:$B10120,MATCH(ROW()-3,$A$4:$A$4:$A1120,0),2),0)</f>
        <v>0</v>
      </c>
      <c r="V124" s="33" t="str">
        <f>COUNTIFS(Tracker[Date],U124,Tracker[Result],"W")&amp;"-"&amp;COUNTIFS(Tracker[Date],U124,Tracker[Result],"L")&amp;IF(COUNTIFS(Tracker[Date],U124,Tracker[Result],"Push")&gt;0,"-"&amp;COUNTIFS(Tracker[Date],U124,Tracker[Result],"Push"),"")</f>
        <v>0-0</v>
      </c>
      <c r="W124" s="34" t="str">
        <f>IFERROR(COUNTIFS(Tracker[Date],U124,Tracker[Result],"W")/(COUNTIFS(Tracker[Date],U124,Tracker[Result],"W")+COUNTIFS(Tracker[Date],U124,Tracker[Result],"L")),"")</f>
        <v/>
      </c>
      <c r="X124" s="61">
        <f>SUMIF(Tracker[Date],U124,Tracker[Net])</f>
        <v>0</v>
      </c>
      <c r="Y124" s="35" t="str">
        <f>IFERROR("("&amp;ROUND(SUMIF(Tracker[Date],U124,Tracker[Net])/COUNTIF(Tracker[Date],U124),2)*100&amp;"%)","")</f>
        <v/>
      </c>
    </row>
    <row r="125" spans="1:25" x14ac:dyDescent="0.25">
      <c r="A125" s="36">
        <f t="shared" si="33"/>
        <v>14</v>
      </c>
      <c r="B125" s="25">
        <v>43836</v>
      </c>
      <c r="C125" s="25" t="str">
        <f t="shared" si="34"/>
        <v>NBA</v>
      </c>
      <c r="D125" s="26" t="s">
        <v>1004</v>
      </c>
      <c r="E125" s="28" t="s">
        <v>1006</v>
      </c>
      <c r="F125" s="67">
        <v>0.57427226189298164</v>
      </c>
      <c r="G125" s="29">
        <v>-110</v>
      </c>
      <c r="H125" s="32" t="s">
        <v>57</v>
      </c>
      <c r="I12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2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125" s="40" t="str">
        <f>MID(Tracker[[#This Row],[Game]],SEARCH("@",Tracker[[#This Row],[Game]])+2,LEN(Tracker[[#This Row],[Game]]))</f>
        <v>Hornets</v>
      </c>
      <c r="L125" s="40" t="str">
        <f>LEFT(Tracker[[#This Row],[Game]],SEARCH("@",Tracker[[#This Row],[Game]])-2)</f>
        <v>Pacers</v>
      </c>
      <c r="M12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125" s="123"/>
      <c r="O125" s="147"/>
      <c r="P125" s="147"/>
      <c r="Q12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25" s="147" t="e">
        <f>IF(AND(Tracker[[#This Row],[Money %]]&lt;&gt;"",Tracker[[#This Row],[Bet %]]&lt;&gt;""),Tracker[[#This Row],[Money %]]-Tracker[[#This Row],[Bet %]],NA())</f>
        <v>#N/A</v>
      </c>
      <c r="S125" s="109"/>
      <c r="T125" s="109"/>
      <c r="U125" s="56">
        <f>IFERROR(INDEX($A$4:$B10121,MATCH(ROW()-3,$A$4:$A$4:$A1121,0),2),0)</f>
        <v>0</v>
      </c>
      <c r="V125" s="33" t="str">
        <f>COUNTIFS(Tracker[Date],U125,Tracker[Result],"W")&amp;"-"&amp;COUNTIFS(Tracker[Date],U125,Tracker[Result],"L")&amp;IF(COUNTIFS(Tracker[Date],U125,Tracker[Result],"Push")&gt;0,"-"&amp;COUNTIFS(Tracker[Date],U125,Tracker[Result],"Push"),"")</f>
        <v>0-0</v>
      </c>
      <c r="W125" s="34" t="str">
        <f>IFERROR(COUNTIFS(Tracker[Date],U125,Tracker[Result],"W")/(COUNTIFS(Tracker[Date],U125,Tracker[Result],"W")+COUNTIFS(Tracker[Date],U125,Tracker[Result],"L")),"")</f>
        <v/>
      </c>
      <c r="X125" s="61">
        <f>SUMIF(Tracker[Date],U125,Tracker[Net])</f>
        <v>0</v>
      </c>
      <c r="Y125" s="35" t="str">
        <f>IFERROR("("&amp;ROUND(SUMIF(Tracker[Date],U125,Tracker[Net])/COUNTIF(Tracker[Date],U125),2)*100&amp;"%)","")</f>
        <v/>
      </c>
    </row>
    <row r="126" spans="1:25" x14ac:dyDescent="0.25">
      <c r="A126" s="36">
        <f t="shared" si="33"/>
        <v>14</v>
      </c>
      <c r="B126" s="25">
        <v>43836</v>
      </c>
      <c r="C126" s="25" t="str">
        <f t="shared" si="34"/>
        <v>NBA</v>
      </c>
      <c r="D126" s="26" t="s">
        <v>1007</v>
      </c>
      <c r="E126" s="28" t="s">
        <v>809</v>
      </c>
      <c r="F126" s="67">
        <v>0.69814385940871759</v>
      </c>
      <c r="G126" s="29">
        <v>-110</v>
      </c>
      <c r="H126" s="32" t="s">
        <v>847</v>
      </c>
      <c r="I12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</v>
      </c>
      <c r="J12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126" s="40" t="str">
        <f>MID(Tracker[[#This Row],[Game]],SEARCH("@",Tracker[[#This Row],[Game]])+2,LEN(Tracker[[#This Row],[Game]]))</f>
        <v>Hawks</v>
      </c>
      <c r="L126" s="40" t="str">
        <f>LEFT(Tracker[[#This Row],[Game]],SEARCH("@",Tracker[[#This Row],[Game]])-2)</f>
        <v>Nuggets</v>
      </c>
      <c r="M12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126" s="123"/>
      <c r="O126" s="147"/>
      <c r="P126" s="147"/>
      <c r="Q126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26" s="147" t="e">
        <f>IF(AND(Tracker[[#This Row],[Money %]]&lt;&gt;"",Tracker[[#This Row],[Bet %]]&lt;&gt;""),Tracker[[#This Row],[Money %]]-Tracker[[#This Row],[Bet %]],NA())</f>
        <v>#N/A</v>
      </c>
      <c r="S126" s="109"/>
      <c r="T126" s="109"/>
      <c r="U126" s="56">
        <f>IFERROR(INDEX($A$4:$B10122,MATCH(ROW()-3,$A$4:$A$4:$A1122,0),2),0)</f>
        <v>0</v>
      </c>
      <c r="V126" s="33" t="str">
        <f>COUNTIFS(Tracker[Date],U126,Tracker[Result],"W")&amp;"-"&amp;COUNTIFS(Tracker[Date],U126,Tracker[Result],"L")&amp;IF(COUNTIFS(Tracker[Date],U126,Tracker[Result],"Push")&gt;0,"-"&amp;COUNTIFS(Tracker[Date],U126,Tracker[Result],"Push"),"")</f>
        <v>0-0</v>
      </c>
      <c r="W126" s="34" t="str">
        <f>IFERROR(COUNTIFS(Tracker[Date],U126,Tracker[Result],"W")/(COUNTIFS(Tracker[Date],U126,Tracker[Result],"W")+COUNTIFS(Tracker[Date],U126,Tracker[Result],"L")),"")</f>
        <v/>
      </c>
      <c r="X126" s="61">
        <f>SUMIF(Tracker[Date],U126,Tracker[Net])</f>
        <v>0</v>
      </c>
      <c r="Y126" s="35" t="str">
        <f>IFERROR("("&amp;ROUND(SUMIF(Tracker[Date],U126,Tracker[Net])/COUNTIF(Tracker[Date],U126),2)*100&amp;"%)","")</f>
        <v/>
      </c>
    </row>
    <row r="127" spans="1:25" x14ac:dyDescent="0.25">
      <c r="A127" s="36">
        <f t="shared" si="33"/>
        <v>14</v>
      </c>
      <c r="B127" s="25">
        <v>43836</v>
      </c>
      <c r="C127" s="25" t="str">
        <f t="shared" si="34"/>
        <v>NBA</v>
      </c>
      <c r="D127" s="26" t="s">
        <v>1007</v>
      </c>
      <c r="E127" s="28" t="s">
        <v>868</v>
      </c>
      <c r="F127" s="67">
        <v>0.6507185545259957</v>
      </c>
      <c r="G127" s="29">
        <v>-110</v>
      </c>
      <c r="H127" s="32" t="s">
        <v>57</v>
      </c>
      <c r="I12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2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127" s="40" t="str">
        <f>MID(Tracker[[#This Row],[Game]],SEARCH("@",Tracker[[#This Row],[Game]])+2,LEN(Tracker[[#This Row],[Game]]))</f>
        <v>Hawks</v>
      </c>
      <c r="L127" s="40" t="str">
        <f>LEFT(Tracker[[#This Row],[Game]],SEARCH("@",Tracker[[#This Row],[Game]])-2)</f>
        <v>Nuggets</v>
      </c>
      <c r="M12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127" s="123"/>
      <c r="O127" s="147"/>
      <c r="P127" s="147"/>
      <c r="Q127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27" s="147" t="e">
        <f>IF(AND(Tracker[[#This Row],[Money %]]&lt;&gt;"",Tracker[[#This Row],[Bet %]]&lt;&gt;""),Tracker[[#This Row],[Money %]]-Tracker[[#This Row],[Bet %]],NA())</f>
        <v>#N/A</v>
      </c>
      <c r="S127" s="109"/>
      <c r="T127" s="109"/>
      <c r="U127" s="56">
        <f>IFERROR(INDEX($A$4:$B10123,MATCH(ROW()-3,$A$4:$A$4:$A1123,0),2),0)</f>
        <v>0</v>
      </c>
      <c r="V127" s="33" t="str">
        <f>COUNTIFS(Tracker[Date],U127,Tracker[Result],"W")&amp;"-"&amp;COUNTIFS(Tracker[Date],U127,Tracker[Result],"L")&amp;IF(COUNTIFS(Tracker[Date],U127,Tracker[Result],"Push")&gt;0,"-"&amp;COUNTIFS(Tracker[Date],U127,Tracker[Result],"Push"),"")</f>
        <v>0-0</v>
      </c>
      <c r="W127" s="34" t="str">
        <f>IFERROR(COUNTIFS(Tracker[Date],U127,Tracker[Result],"W")/(COUNTIFS(Tracker[Date],U127,Tracker[Result],"W")+COUNTIFS(Tracker[Date],U127,Tracker[Result],"L")),"")</f>
        <v/>
      </c>
      <c r="X127" s="61">
        <f>SUMIF(Tracker[Date],U127,Tracker[Net])</f>
        <v>0</v>
      </c>
      <c r="Y127" s="35" t="str">
        <f>IFERROR("("&amp;ROUND(SUMIF(Tracker[Date],U127,Tracker[Net])/COUNTIF(Tracker[Date],U127),2)*100&amp;"%)","")</f>
        <v/>
      </c>
    </row>
    <row r="128" spans="1:25" x14ac:dyDescent="0.25">
      <c r="A128" s="36">
        <f t="shared" si="33"/>
        <v>14</v>
      </c>
      <c r="B128" s="25">
        <v>43836</v>
      </c>
      <c r="C128" s="25" t="str">
        <f t="shared" si="34"/>
        <v>NBA</v>
      </c>
      <c r="D128" s="26" t="s">
        <v>1008</v>
      </c>
      <c r="E128" s="28" t="s">
        <v>1009</v>
      </c>
      <c r="F128" s="67">
        <v>0.63332428244599548</v>
      </c>
      <c r="G128" s="29">
        <v>-110</v>
      </c>
      <c r="H128" s="32" t="s">
        <v>57</v>
      </c>
      <c r="I12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2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128" s="40" t="str">
        <f>MID(Tracker[[#This Row],[Game]],SEARCH("@",Tracker[[#This Row],[Game]])+2,LEN(Tracker[[#This Row],[Game]]))</f>
        <v>Pelicans</v>
      </c>
      <c r="L128" s="40" t="str">
        <f>LEFT(Tracker[[#This Row],[Game]],SEARCH("@",Tracker[[#This Row],[Game]])-2)</f>
        <v>Jazz</v>
      </c>
      <c r="M12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128" s="123"/>
      <c r="O128" s="147"/>
      <c r="P128" s="147"/>
      <c r="Q128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28" s="147" t="e">
        <f>IF(AND(Tracker[[#This Row],[Money %]]&lt;&gt;"",Tracker[[#This Row],[Bet %]]&lt;&gt;""),Tracker[[#This Row],[Money %]]-Tracker[[#This Row],[Bet %]],NA())</f>
        <v>#N/A</v>
      </c>
      <c r="S128" s="109"/>
      <c r="T128" s="109"/>
      <c r="U128" s="56">
        <f>IFERROR(INDEX($A$4:$B10124,MATCH(ROW()-3,$A$4:$A$4:$A1124,0),2),0)</f>
        <v>0</v>
      </c>
      <c r="V128" s="33" t="str">
        <f>COUNTIFS(Tracker[Date],U128,Tracker[Result],"W")&amp;"-"&amp;COUNTIFS(Tracker[Date],U128,Tracker[Result],"L")&amp;IF(COUNTIFS(Tracker[Date],U128,Tracker[Result],"Push")&gt;0,"-"&amp;COUNTIFS(Tracker[Date],U128,Tracker[Result],"Push"),"")</f>
        <v>0-0</v>
      </c>
      <c r="W128" s="34" t="str">
        <f>IFERROR(COUNTIFS(Tracker[Date],U128,Tracker[Result],"W")/(COUNTIFS(Tracker[Date],U128,Tracker[Result],"W")+COUNTIFS(Tracker[Date],U128,Tracker[Result],"L")),"")</f>
        <v/>
      </c>
      <c r="X128" s="61">
        <f>SUMIF(Tracker[Date],U128,Tracker[Net])</f>
        <v>0</v>
      </c>
      <c r="Y128" s="35" t="str">
        <f>IFERROR("("&amp;ROUND(SUMIF(Tracker[Date],U128,Tracker[Net])/COUNTIF(Tracker[Date],U128),2)*100&amp;"%)","")</f>
        <v/>
      </c>
    </row>
    <row r="129" spans="1:25" x14ac:dyDescent="0.25">
      <c r="A129" s="36">
        <f t="shared" si="33"/>
        <v>14</v>
      </c>
      <c r="B129" s="25">
        <v>43836</v>
      </c>
      <c r="C129" s="25" t="str">
        <f t="shared" si="34"/>
        <v>NBA</v>
      </c>
      <c r="D129" s="26" t="s">
        <v>1010</v>
      </c>
      <c r="E129" s="28" t="s">
        <v>1011</v>
      </c>
      <c r="F129" s="67">
        <v>0.76311867542257572</v>
      </c>
      <c r="G129" s="29">
        <v>-110</v>
      </c>
      <c r="H129" s="32" t="s">
        <v>57</v>
      </c>
      <c r="I12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2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129" s="40" t="str">
        <f>MID(Tracker[[#This Row],[Game]],SEARCH("@",Tracker[[#This Row],[Game]])+2,LEN(Tracker[[#This Row],[Game]]))</f>
        <v>Spurs</v>
      </c>
      <c r="L129" s="40" t="str">
        <f>LEFT(Tracker[[#This Row],[Game]],SEARCH("@",Tracker[[#This Row],[Game]])-2)</f>
        <v>Bucks</v>
      </c>
      <c r="M12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129" s="123"/>
      <c r="O129" s="147"/>
      <c r="P129" s="147"/>
      <c r="Q129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29" s="147" t="e">
        <f>IF(AND(Tracker[[#This Row],[Money %]]&lt;&gt;"",Tracker[[#This Row],[Bet %]]&lt;&gt;""),Tracker[[#This Row],[Money %]]-Tracker[[#This Row],[Bet %]],NA())</f>
        <v>#N/A</v>
      </c>
      <c r="S129" s="109"/>
      <c r="T129" s="109"/>
      <c r="U129" s="56">
        <f>IFERROR(INDEX($A$4:$B10125,MATCH(ROW()-3,$A$4:$A$4:$A1125,0),2),0)</f>
        <v>0</v>
      </c>
      <c r="V129" s="33" t="str">
        <f>COUNTIFS(Tracker[Date],U129,Tracker[Result],"W")&amp;"-"&amp;COUNTIFS(Tracker[Date],U129,Tracker[Result],"L")&amp;IF(COUNTIFS(Tracker[Date],U129,Tracker[Result],"Push")&gt;0,"-"&amp;COUNTIFS(Tracker[Date],U129,Tracker[Result],"Push"),"")</f>
        <v>0-0</v>
      </c>
      <c r="W129" s="34" t="str">
        <f>IFERROR(COUNTIFS(Tracker[Date],U129,Tracker[Result],"W")/(COUNTIFS(Tracker[Date],U129,Tracker[Result],"W")+COUNTIFS(Tracker[Date],U129,Tracker[Result],"L")),"")</f>
        <v/>
      </c>
      <c r="X129" s="61">
        <f>SUMIF(Tracker[Date],U129,Tracker[Net])</f>
        <v>0</v>
      </c>
      <c r="Y129" s="35" t="str">
        <f>IFERROR("("&amp;ROUND(SUMIF(Tracker[Date],U129,Tracker[Net])/COUNTIF(Tracker[Date],U129),2)*100&amp;"%)","")</f>
        <v/>
      </c>
    </row>
    <row r="130" spans="1:25" x14ac:dyDescent="0.25">
      <c r="A130" s="36">
        <f t="shared" si="33"/>
        <v>14</v>
      </c>
      <c r="B130" s="25">
        <v>43836</v>
      </c>
      <c r="C130" s="25" t="str">
        <f t="shared" si="34"/>
        <v>NBA</v>
      </c>
      <c r="D130" s="26" t="s">
        <v>1012</v>
      </c>
      <c r="E130" s="28" t="s">
        <v>1013</v>
      </c>
      <c r="F130" s="67">
        <v>0.60164855643359827</v>
      </c>
      <c r="G130" s="29">
        <v>-110</v>
      </c>
      <c r="H130" s="32" t="s">
        <v>57</v>
      </c>
      <c r="I13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3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130" s="40" t="str">
        <f>MID(Tracker[[#This Row],[Game]],SEARCH("@",Tracker[[#This Row],[Game]])+2,LEN(Tracker[[#This Row],[Game]]))</f>
        <v>Kings</v>
      </c>
      <c r="L130" s="40" t="str">
        <f>LEFT(Tracker[[#This Row],[Game]],SEARCH("@",Tracker[[#This Row],[Game]])-2)</f>
        <v>Warriors</v>
      </c>
      <c r="M13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130" s="123"/>
      <c r="O130" s="147"/>
      <c r="P130" s="147"/>
      <c r="Q130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30" s="147" t="e">
        <f>IF(AND(Tracker[[#This Row],[Money %]]&lt;&gt;"",Tracker[[#This Row],[Bet %]]&lt;&gt;""),Tracker[[#This Row],[Money %]]-Tracker[[#This Row],[Bet %]],NA())</f>
        <v>#N/A</v>
      </c>
      <c r="S130" s="109"/>
      <c r="T130" s="109"/>
      <c r="U130" s="56">
        <f>IFERROR(INDEX($A$4:$B10126,MATCH(ROW()-3,$A$4:$A$4:$A1126,0),2),0)</f>
        <v>0</v>
      </c>
      <c r="V130" s="33" t="str">
        <f>COUNTIFS(Tracker[Date],U130,Tracker[Result],"W")&amp;"-"&amp;COUNTIFS(Tracker[Date],U130,Tracker[Result],"L")&amp;IF(COUNTIFS(Tracker[Date],U130,Tracker[Result],"Push")&gt;0,"-"&amp;COUNTIFS(Tracker[Date],U130,Tracker[Result],"Push"),"")</f>
        <v>0-0</v>
      </c>
      <c r="W130" s="34" t="str">
        <f>IFERROR(COUNTIFS(Tracker[Date],U130,Tracker[Result],"W")/(COUNTIFS(Tracker[Date],U130,Tracker[Result],"W")+COUNTIFS(Tracker[Date],U130,Tracker[Result],"L")),"")</f>
        <v/>
      </c>
      <c r="X130" s="61">
        <f>SUMIF(Tracker[Date],U130,Tracker[Net])</f>
        <v>0</v>
      </c>
      <c r="Y130" s="35" t="str">
        <f>IFERROR("("&amp;ROUND(SUMIF(Tracker[Date],U130,Tracker[Net])/COUNTIF(Tracker[Date],U130),2)*100&amp;"%)","")</f>
        <v/>
      </c>
    </row>
    <row r="131" spans="1:25" x14ac:dyDescent="0.25">
      <c r="A131" s="36">
        <f t="shared" si="33"/>
        <v>14</v>
      </c>
      <c r="B131" s="25">
        <v>43836</v>
      </c>
      <c r="C131" s="25" t="str">
        <f t="shared" si="34"/>
        <v>NBA</v>
      </c>
      <c r="D131" s="26" t="s">
        <v>1012</v>
      </c>
      <c r="E131" s="28" t="s">
        <v>1014</v>
      </c>
      <c r="F131" s="67">
        <v>0.64580263131284432</v>
      </c>
      <c r="G131" s="29">
        <v>-110</v>
      </c>
      <c r="H131" s="32" t="s">
        <v>56</v>
      </c>
      <c r="I13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3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131" s="40" t="str">
        <f>MID(Tracker[[#This Row],[Game]],SEARCH("@",Tracker[[#This Row],[Game]])+2,LEN(Tracker[[#This Row],[Game]]))</f>
        <v>Kings</v>
      </c>
      <c r="L131" s="40" t="str">
        <f>LEFT(Tracker[[#This Row],[Game]],SEARCH("@",Tracker[[#This Row],[Game]])-2)</f>
        <v>Warriors</v>
      </c>
      <c r="M13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131" s="123"/>
      <c r="O131" s="147"/>
      <c r="P131" s="147"/>
      <c r="Q131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31" s="147" t="e">
        <f>IF(AND(Tracker[[#This Row],[Money %]]&lt;&gt;"",Tracker[[#This Row],[Bet %]]&lt;&gt;""),Tracker[[#This Row],[Money %]]-Tracker[[#This Row],[Bet %]],NA())</f>
        <v>#N/A</v>
      </c>
      <c r="S131" s="109"/>
      <c r="T131" s="109"/>
      <c r="U131" s="56">
        <f>IFERROR(INDEX($A$4:$B10127,MATCH(ROW()-3,$A$4:$A$4:$A1127,0),2),0)</f>
        <v>0</v>
      </c>
      <c r="V131" s="33" t="str">
        <f>COUNTIFS(Tracker[Date],U131,Tracker[Result],"W")&amp;"-"&amp;COUNTIFS(Tracker[Date],U131,Tracker[Result],"L")&amp;IF(COUNTIFS(Tracker[Date],U131,Tracker[Result],"Push")&gt;0,"-"&amp;COUNTIFS(Tracker[Date],U131,Tracker[Result],"Push"),"")</f>
        <v>0-0</v>
      </c>
      <c r="W131" s="34" t="str">
        <f>IFERROR(COUNTIFS(Tracker[Date],U131,Tracker[Result],"W")/(COUNTIFS(Tracker[Date],U131,Tracker[Result],"W")+COUNTIFS(Tracker[Date],U131,Tracker[Result],"L")),"")</f>
        <v/>
      </c>
      <c r="X131" s="61">
        <f>SUMIF(Tracker[Date],U131,Tracker[Net])</f>
        <v>0</v>
      </c>
      <c r="Y131" s="35" t="str">
        <f>IFERROR("("&amp;ROUND(SUMIF(Tracker[Date],U131,Tracker[Net])/COUNTIF(Tracker[Date],U131),2)*100&amp;"%)","")</f>
        <v/>
      </c>
    </row>
    <row r="132" spans="1:25" x14ac:dyDescent="0.25">
      <c r="A132" s="36">
        <f t="shared" si="33"/>
        <v>15</v>
      </c>
      <c r="B132" s="25">
        <v>43837</v>
      </c>
      <c r="C132" s="25" t="str">
        <f t="shared" ref="C132:C163" si="35">"NBA"</f>
        <v>NBA</v>
      </c>
      <c r="D132" s="26" t="s">
        <v>1015</v>
      </c>
      <c r="E132" s="28" t="s">
        <v>1016</v>
      </c>
      <c r="F132" s="67">
        <v>0.56939567294059834</v>
      </c>
      <c r="G132" s="29">
        <v>-110</v>
      </c>
      <c r="H132" s="32" t="s">
        <v>57</v>
      </c>
      <c r="I13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3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132" s="40" t="str">
        <f>MID(Tracker[[#This Row],[Game]],SEARCH("@",Tracker[[#This Row],[Game]])+2,LEN(Tracker[[#This Row],[Game]]))</f>
        <v>Cavaliers</v>
      </c>
      <c r="L132" s="40" t="str">
        <f>LEFT(Tracker[[#This Row],[Game]],SEARCH("@",Tracker[[#This Row],[Game]])-2)</f>
        <v>Pistons</v>
      </c>
      <c r="M13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132" s="123"/>
      <c r="O132" s="147"/>
      <c r="P132" s="147"/>
      <c r="Q132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32" s="147" t="e">
        <f>IF(AND(Tracker[[#This Row],[Money %]]&lt;&gt;"",Tracker[[#This Row],[Bet %]]&lt;&gt;""),Tracker[[#This Row],[Money %]]-Tracker[[#This Row],[Bet %]],NA())</f>
        <v>#N/A</v>
      </c>
      <c r="S132" s="109"/>
      <c r="T132" s="109"/>
      <c r="U132" s="56">
        <f>IFERROR(INDEX($A$4:$B10128,MATCH(ROW()-3,$A$4:$A$4:$A1128,0),2),0)</f>
        <v>0</v>
      </c>
      <c r="V132" s="33" t="str">
        <f>COUNTIFS(Tracker[Date],U132,Tracker[Result],"W")&amp;"-"&amp;COUNTIFS(Tracker[Date],U132,Tracker[Result],"L")&amp;IF(COUNTIFS(Tracker[Date],U132,Tracker[Result],"Push")&gt;0,"-"&amp;COUNTIFS(Tracker[Date],U132,Tracker[Result],"Push"),"")</f>
        <v>0-0</v>
      </c>
      <c r="W132" s="34" t="str">
        <f>IFERROR(COUNTIFS(Tracker[Date],U132,Tracker[Result],"W")/(COUNTIFS(Tracker[Date],U132,Tracker[Result],"W")+COUNTIFS(Tracker[Date],U132,Tracker[Result],"L")),"")</f>
        <v/>
      </c>
      <c r="X132" s="61">
        <f>SUMIF(Tracker[Date],U132,Tracker[Net])</f>
        <v>0</v>
      </c>
      <c r="Y132" s="35" t="str">
        <f>IFERROR("("&amp;ROUND(SUMIF(Tracker[Date],U132,Tracker[Net])/COUNTIF(Tracker[Date],U132),2)*100&amp;"%)","")</f>
        <v/>
      </c>
    </row>
    <row r="133" spans="1:25" x14ac:dyDescent="0.25">
      <c r="A133" s="36">
        <f t="shared" ref="A133:A196" si="36">IF(B133=B132,A132,A132+1)</f>
        <v>15</v>
      </c>
      <c r="B133" s="25">
        <v>43837</v>
      </c>
      <c r="C133" s="25" t="str">
        <f t="shared" si="35"/>
        <v>NBA</v>
      </c>
      <c r="D133" s="26" t="s">
        <v>1015</v>
      </c>
      <c r="E133" s="28" t="s">
        <v>1017</v>
      </c>
      <c r="F133" s="67">
        <v>0.58104752570822171</v>
      </c>
      <c r="G133" s="29">
        <v>-110</v>
      </c>
      <c r="H133" s="32" t="s">
        <v>57</v>
      </c>
      <c r="I13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3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133" s="40" t="str">
        <f>MID(Tracker[[#This Row],[Game]],SEARCH("@",Tracker[[#This Row],[Game]])+2,LEN(Tracker[[#This Row],[Game]]))</f>
        <v>Cavaliers</v>
      </c>
      <c r="L133" s="40" t="str">
        <f>LEFT(Tracker[[#This Row],[Game]],SEARCH("@",Tracker[[#This Row],[Game]])-2)</f>
        <v>Pistons</v>
      </c>
      <c r="M13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133" s="123"/>
      <c r="O133" s="147"/>
      <c r="P133" s="147"/>
      <c r="Q133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33" s="147" t="e">
        <f>IF(AND(Tracker[[#This Row],[Money %]]&lt;&gt;"",Tracker[[#This Row],[Bet %]]&lt;&gt;""),Tracker[[#This Row],[Money %]]-Tracker[[#This Row],[Bet %]],NA())</f>
        <v>#N/A</v>
      </c>
      <c r="S133" s="109"/>
      <c r="T133" s="109"/>
      <c r="U133" s="56">
        <f>IFERROR(INDEX($A$4:$B10129,MATCH(ROW()-3,$A$4:$A$4:$A1129,0),2),0)</f>
        <v>0</v>
      </c>
      <c r="V133" s="33" t="str">
        <f>COUNTIFS(Tracker[Date],U133,Tracker[Result],"W")&amp;"-"&amp;COUNTIFS(Tracker[Date],U133,Tracker[Result],"L")&amp;IF(COUNTIFS(Tracker[Date],U133,Tracker[Result],"Push")&gt;0,"-"&amp;COUNTIFS(Tracker[Date],U133,Tracker[Result],"Push"),"")</f>
        <v>0-0</v>
      </c>
      <c r="W133" s="34" t="str">
        <f>IFERROR(COUNTIFS(Tracker[Date],U133,Tracker[Result],"W")/(COUNTIFS(Tracker[Date],U133,Tracker[Result],"W")+COUNTIFS(Tracker[Date],U133,Tracker[Result],"L")),"")</f>
        <v/>
      </c>
      <c r="X133" s="61">
        <f>SUMIF(Tracker[Date],U133,Tracker[Net])</f>
        <v>0</v>
      </c>
      <c r="Y133" s="35" t="str">
        <f>IFERROR("("&amp;ROUND(SUMIF(Tracker[Date],U133,Tracker[Net])/COUNTIF(Tracker[Date],U133),2)*100&amp;"%)","")</f>
        <v/>
      </c>
    </row>
    <row r="134" spans="1:25" x14ac:dyDescent="0.25">
      <c r="A134" s="36">
        <f t="shared" si="36"/>
        <v>15</v>
      </c>
      <c r="B134" s="25">
        <v>43837</v>
      </c>
      <c r="C134" s="25" t="str">
        <f t="shared" si="35"/>
        <v>NBA</v>
      </c>
      <c r="D134" s="26" t="s">
        <v>1018</v>
      </c>
      <c r="E134" s="28" t="s">
        <v>1019</v>
      </c>
      <c r="F134" s="67">
        <v>0.66303011309127335</v>
      </c>
      <c r="G134" s="29">
        <v>-110</v>
      </c>
      <c r="H134" s="32" t="s">
        <v>57</v>
      </c>
      <c r="I13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3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134" s="40" t="str">
        <f>MID(Tracker[[#This Row],[Game]],SEARCH("@",Tracker[[#This Row],[Game]])+2,LEN(Tracker[[#This Row],[Game]]))</f>
        <v>Raptors</v>
      </c>
      <c r="L134" s="40" t="str">
        <f>LEFT(Tracker[[#This Row],[Game]],SEARCH("@",Tracker[[#This Row],[Game]])-2)</f>
        <v>Trail Blazers</v>
      </c>
      <c r="M13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134" s="123"/>
      <c r="O134" s="147"/>
      <c r="P134" s="147"/>
      <c r="Q13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34" s="147" t="e">
        <f>IF(AND(Tracker[[#This Row],[Money %]]&lt;&gt;"",Tracker[[#This Row],[Bet %]]&lt;&gt;""),Tracker[[#This Row],[Money %]]-Tracker[[#This Row],[Bet %]],NA())</f>
        <v>#N/A</v>
      </c>
      <c r="S134" s="109"/>
      <c r="T134" s="109"/>
      <c r="U134" s="56">
        <f>IFERROR(INDEX($A$4:$B10130,MATCH(ROW()-3,$A$4:$A$4:$A1130,0),2),0)</f>
        <v>0</v>
      </c>
      <c r="V134" s="33" t="str">
        <f>COUNTIFS(Tracker[Date],U134,Tracker[Result],"W")&amp;"-"&amp;COUNTIFS(Tracker[Date],U134,Tracker[Result],"L")&amp;IF(COUNTIFS(Tracker[Date],U134,Tracker[Result],"Push")&gt;0,"-"&amp;COUNTIFS(Tracker[Date],U134,Tracker[Result],"Push"),"")</f>
        <v>0-0</v>
      </c>
      <c r="W134" s="34" t="str">
        <f>IFERROR(COUNTIFS(Tracker[Date],U134,Tracker[Result],"W")/(COUNTIFS(Tracker[Date],U134,Tracker[Result],"W")+COUNTIFS(Tracker[Date],U134,Tracker[Result],"L")),"")</f>
        <v/>
      </c>
      <c r="X134" s="61">
        <f>SUMIF(Tracker[Date],U134,Tracker[Net])</f>
        <v>0</v>
      </c>
      <c r="Y134" s="35" t="str">
        <f>IFERROR("("&amp;ROUND(SUMIF(Tracker[Date],U134,Tracker[Net])/COUNTIF(Tracker[Date],U134),2)*100&amp;"%)","")</f>
        <v/>
      </c>
    </row>
    <row r="135" spans="1:25" x14ac:dyDescent="0.25">
      <c r="A135" s="36">
        <f t="shared" si="36"/>
        <v>15</v>
      </c>
      <c r="B135" s="25">
        <v>43837</v>
      </c>
      <c r="C135" s="25" t="str">
        <f t="shared" si="35"/>
        <v>NBA</v>
      </c>
      <c r="D135" s="26" t="s">
        <v>1018</v>
      </c>
      <c r="E135" s="28" t="s">
        <v>1020</v>
      </c>
      <c r="F135" s="67">
        <v>0.55183455809177828</v>
      </c>
      <c r="G135" s="29">
        <v>-110</v>
      </c>
      <c r="H135" s="32" t="s">
        <v>56</v>
      </c>
      <c r="I13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3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135" s="40" t="str">
        <f>MID(Tracker[[#This Row],[Game]],SEARCH("@",Tracker[[#This Row],[Game]])+2,LEN(Tracker[[#This Row],[Game]]))</f>
        <v>Raptors</v>
      </c>
      <c r="L135" s="40" t="str">
        <f>LEFT(Tracker[[#This Row],[Game]],SEARCH("@",Tracker[[#This Row],[Game]])-2)</f>
        <v>Trail Blazers</v>
      </c>
      <c r="M13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135" s="123"/>
      <c r="O135" s="147"/>
      <c r="P135" s="147"/>
      <c r="Q13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35" s="147" t="e">
        <f>IF(AND(Tracker[[#This Row],[Money %]]&lt;&gt;"",Tracker[[#This Row],[Bet %]]&lt;&gt;""),Tracker[[#This Row],[Money %]]-Tracker[[#This Row],[Bet %]],NA())</f>
        <v>#N/A</v>
      </c>
      <c r="S135" s="109"/>
      <c r="T135" s="109"/>
      <c r="U135" s="56">
        <f>IFERROR(INDEX($A$4:$B10131,MATCH(ROW()-3,$A$4:$A$4:$A1131,0),2),0)</f>
        <v>0</v>
      </c>
      <c r="V135" s="33" t="str">
        <f>COUNTIFS(Tracker[Date],U135,Tracker[Result],"W")&amp;"-"&amp;COUNTIFS(Tracker[Date],U135,Tracker[Result],"L")&amp;IF(COUNTIFS(Tracker[Date],U135,Tracker[Result],"Push")&gt;0,"-"&amp;COUNTIFS(Tracker[Date],U135,Tracker[Result],"Push"),"")</f>
        <v>0-0</v>
      </c>
      <c r="W135" s="34" t="str">
        <f>IFERROR(COUNTIFS(Tracker[Date],U135,Tracker[Result],"W")/(COUNTIFS(Tracker[Date],U135,Tracker[Result],"W")+COUNTIFS(Tracker[Date],U135,Tracker[Result],"L")),"")</f>
        <v/>
      </c>
      <c r="X135" s="61">
        <f>SUMIF(Tracker[Date],U135,Tracker[Net])</f>
        <v>0</v>
      </c>
      <c r="Y135" s="35" t="str">
        <f>IFERROR("("&amp;ROUND(SUMIF(Tracker[Date],U135,Tracker[Net])/COUNTIF(Tracker[Date],U135),2)*100&amp;"%)","")</f>
        <v/>
      </c>
    </row>
    <row r="136" spans="1:25" x14ac:dyDescent="0.25">
      <c r="A136" s="36">
        <f t="shared" si="36"/>
        <v>15</v>
      </c>
      <c r="B136" s="25">
        <v>43837</v>
      </c>
      <c r="C136" s="25" t="str">
        <f t="shared" si="35"/>
        <v>NBA</v>
      </c>
      <c r="D136" s="26" t="s">
        <v>1021</v>
      </c>
      <c r="E136" s="28" t="s">
        <v>1022</v>
      </c>
      <c r="F136" s="67">
        <v>0.55579666580660658</v>
      </c>
      <c r="G136" s="29">
        <v>-110</v>
      </c>
      <c r="H136" s="32" t="s">
        <v>56</v>
      </c>
      <c r="I13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3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136" s="40" t="str">
        <f>MID(Tracker[[#This Row],[Game]],SEARCH("@",Tracker[[#This Row],[Game]])+2,LEN(Tracker[[#This Row],[Game]]))</f>
        <v>Nets</v>
      </c>
      <c r="L136" s="40" t="str">
        <f>LEFT(Tracker[[#This Row],[Game]],SEARCH("@",Tracker[[#This Row],[Game]])-2)</f>
        <v>Thunder</v>
      </c>
      <c r="M13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136" s="123"/>
      <c r="O136" s="147"/>
      <c r="P136" s="147"/>
      <c r="Q136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36" s="147" t="e">
        <f>IF(AND(Tracker[[#This Row],[Money %]]&lt;&gt;"",Tracker[[#This Row],[Bet %]]&lt;&gt;""),Tracker[[#This Row],[Money %]]-Tracker[[#This Row],[Bet %]],NA())</f>
        <v>#N/A</v>
      </c>
      <c r="S136" s="109"/>
      <c r="T136" s="109"/>
      <c r="U136" s="56">
        <f>IFERROR(INDEX($A$4:$B10132,MATCH(ROW()-3,$A$4:$A$4:$A1132,0),2),0)</f>
        <v>0</v>
      </c>
      <c r="V136" s="33" t="str">
        <f>COUNTIFS(Tracker[Date],U136,Tracker[Result],"W")&amp;"-"&amp;COUNTIFS(Tracker[Date],U136,Tracker[Result],"L")&amp;IF(COUNTIFS(Tracker[Date],U136,Tracker[Result],"Push")&gt;0,"-"&amp;COUNTIFS(Tracker[Date],U136,Tracker[Result],"Push"),"")</f>
        <v>0-0</v>
      </c>
      <c r="W136" s="34" t="str">
        <f>IFERROR(COUNTIFS(Tracker[Date],U136,Tracker[Result],"W")/(COUNTIFS(Tracker[Date],U136,Tracker[Result],"W")+COUNTIFS(Tracker[Date],U136,Tracker[Result],"L")),"")</f>
        <v/>
      </c>
      <c r="X136" s="61">
        <f>SUMIF(Tracker[Date],U136,Tracker[Net])</f>
        <v>0</v>
      </c>
      <c r="Y136" s="35" t="str">
        <f>IFERROR("("&amp;ROUND(SUMIF(Tracker[Date],U136,Tracker[Net])/COUNTIF(Tracker[Date],U136),2)*100&amp;"%)","")</f>
        <v/>
      </c>
    </row>
    <row r="137" spans="1:25" x14ac:dyDescent="0.25">
      <c r="A137" s="36">
        <f t="shared" si="36"/>
        <v>15</v>
      </c>
      <c r="B137" s="25">
        <v>43837</v>
      </c>
      <c r="C137" s="25" t="str">
        <f t="shared" si="35"/>
        <v>NBA</v>
      </c>
      <c r="D137" s="26" t="s">
        <v>1023</v>
      </c>
      <c r="E137" s="28" t="s">
        <v>1024</v>
      </c>
      <c r="F137" s="67">
        <v>0.56450297466348587</v>
      </c>
      <c r="G137" s="29">
        <v>-110</v>
      </c>
      <c r="H137" s="32" t="s">
        <v>57</v>
      </c>
      <c r="I13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3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137" s="40" t="str">
        <f>MID(Tracker[[#This Row],[Game]],SEARCH("@",Tracker[[#This Row],[Game]])+2,LEN(Tracker[[#This Row],[Game]]))</f>
        <v>Grizzlies</v>
      </c>
      <c r="L137" s="40" t="str">
        <f>LEFT(Tracker[[#This Row],[Game]],SEARCH("@",Tracker[[#This Row],[Game]])-2)</f>
        <v>Timberwolves</v>
      </c>
      <c r="M13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137" s="123"/>
      <c r="O137" s="147"/>
      <c r="P137" s="147"/>
      <c r="Q137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37" s="147" t="e">
        <f>IF(AND(Tracker[[#This Row],[Money %]]&lt;&gt;"",Tracker[[#This Row],[Bet %]]&lt;&gt;""),Tracker[[#This Row],[Money %]]-Tracker[[#This Row],[Bet %]],NA())</f>
        <v>#N/A</v>
      </c>
      <c r="S137" s="109"/>
      <c r="T137" s="109"/>
      <c r="U137" s="56">
        <f>IFERROR(INDEX($A$4:$B10133,MATCH(ROW()-3,$A$4:$A$4:$A1133,0),2),0)</f>
        <v>0</v>
      </c>
      <c r="V137" s="33" t="str">
        <f>COUNTIFS(Tracker[Date],U137,Tracker[Result],"W")&amp;"-"&amp;COUNTIFS(Tracker[Date],U137,Tracker[Result],"L")&amp;IF(COUNTIFS(Tracker[Date],U137,Tracker[Result],"Push")&gt;0,"-"&amp;COUNTIFS(Tracker[Date],U137,Tracker[Result],"Push"),"")</f>
        <v>0-0</v>
      </c>
      <c r="W137" s="34" t="str">
        <f>IFERROR(COUNTIFS(Tracker[Date],U137,Tracker[Result],"W")/(COUNTIFS(Tracker[Date],U137,Tracker[Result],"W")+COUNTIFS(Tracker[Date],U137,Tracker[Result],"L")),"")</f>
        <v/>
      </c>
      <c r="X137" s="61">
        <f>SUMIF(Tracker[Date],U137,Tracker[Net])</f>
        <v>0</v>
      </c>
      <c r="Y137" s="35" t="str">
        <f>IFERROR("("&amp;ROUND(SUMIF(Tracker[Date],U137,Tracker[Net])/COUNTIF(Tracker[Date],U137),2)*100&amp;"%)","")</f>
        <v/>
      </c>
    </row>
    <row r="138" spans="1:25" x14ac:dyDescent="0.25">
      <c r="A138" s="36">
        <f t="shared" si="36"/>
        <v>15</v>
      </c>
      <c r="B138" s="25">
        <v>43837</v>
      </c>
      <c r="C138" s="25" t="str">
        <f t="shared" si="35"/>
        <v>NBA</v>
      </c>
      <c r="D138" s="26" t="s">
        <v>1025</v>
      </c>
      <c r="E138" s="28" t="s">
        <v>1026</v>
      </c>
      <c r="F138" s="67">
        <v>0.59451997378856003</v>
      </c>
      <c r="G138" s="29">
        <v>-110</v>
      </c>
      <c r="H138" s="32" t="s">
        <v>56</v>
      </c>
      <c r="I13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3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138" s="40" t="str">
        <f>MID(Tracker[[#This Row],[Game]],SEARCH("@",Tracker[[#This Row],[Game]])+2,LEN(Tracker[[#This Row],[Game]]))</f>
        <v>Suns</v>
      </c>
      <c r="L138" s="40" t="str">
        <f>LEFT(Tracker[[#This Row],[Game]],SEARCH("@",Tracker[[#This Row],[Game]])-2)</f>
        <v>Kings</v>
      </c>
      <c r="M13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138" s="123"/>
      <c r="O138" s="147"/>
      <c r="P138" s="147"/>
      <c r="Q138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38" s="147" t="e">
        <f>IF(AND(Tracker[[#This Row],[Money %]]&lt;&gt;"",Tracker[[#This Row],[Bet %]]&lt;&gt;""),Tracker[[#This Row],[Money %]]-Tracker[[#This Row],[Bet %]],NA())</f>
        <v>#N/A</v>
      </c>
      <c r="S138" s="109"/>
      <c r="T138" s="109"/>
      <c r="U138" s="56">
        <f>IFERROR(INDEX($A$4:$B10134,MATCH(ROW()-3,$A$4:$A$4:$A1134,0),2),0)</f>
        <v>0</v>
      </c>
      <c r="V138" s="33" t="str">
        <f>COUNTIFS(Tracker[Date],U138,Tracker[Result],"W")&amp;"-"&amp;COUNTIFS(Tracker[Date],U138,Tracker[Result],"L")&amp;IF(COUNTIFS(Tracker[Date],U138,Tracker[Result],"Push")&gt;0,"-"&amp;COUNTIFS(Tracker[Date],U138,Tracker[Result],"Push"),"")</f>
        <v>0-0</v>
      </c>
      <c r="W138" s="34" t="str">
        <f>IFERROR(COUNTIFS(Tracker[Date],U138,Tracker[Result],"W")/(COUNTIFS(Tracker[Date],U138,Tracker[Result],"W")+COUNTIFS(Tracker[Date],U138,Tracker[Result],"L")),"")</f>
        <v/>
      </c>
      <c r="X138" s="61">
        <f>SUMIF(Tracker[Date],U138,Tracker[Net])</f>
        <v>0</v>
      </c>
      <c r="Y138" s="35" t="str">
        <f>IFERROR("("&amp;ROUND(SUMIF(Tracker[Date],U138,Tracker[Net])/COUNTIF(Tracker[Date],U138),2)*100&amp;"%)","")</f>
        <v/>
      </c>
    </row>
    <row r="139" spans="1:25" x14ac:dyDescent="0.25">
      <c r="A139" s="36">
        <f t="shared" si="36"/>
        <v>15</v>
      </c>
      <c r="B139" s="25">
        <v>43837</v>
      </c>
      <c r="C139" s="25" t="str">
        <f t="shared" si="35"/>
        <v>NBA</v>
      </c>
      <c r="D139" s="26" t="s">
        <v>1025</v>
      </c>
      <c r="E139" s="28" t="s">
        <v>1027</v>
      </c>
      <c r="F139" s="74">
        <v>0.66698289710992031</v>
      </c>
      <c r="G139" s="29">
        <v>-110</v>
      </c>
      <c r="H139" s="50" t="s">
        <v>56</v>
      </c>
      <c r="I13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3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139" s="40" t="str">
        <f>MID(Tracker[[#This Row],[Game]],SEARCH("@",Tracker[[#This Row],[Game]])+2,LEN(Tracker[[#This Row],[Game]]))</f>
        <v>Suns</v>
      </c>
      <c r="L139" s="40" t="str">
        <f>LEFT(Tracker[[#This Row],[Game]],SEARCH("@",Tracker[[#This Row],[Game]])-2)</f>
        <v>Kings</v>
      </c>
      <c r="M13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139" s="123"/>
      <c r="O139" s="147"/>
      <c r="P139" s="147"/>
      <c r="Q139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39" s="147" t="e">
        <f>IF(AND(Tracker[[#This Row],[Money %]]&lt;&gt;"",Tracker[[#This Row],[Bet %]]&lt;&gt;""),Tracker[[#This Row],[Money %]]-Tracker[[#This Row],[Bet %]],NA())</f>
        <v>#N/A</v>
      </c>
      <c r="S139" s="109"/>
      <c r="T139" s="109"/>
      <c r="U139" s="56">
        <f>IFERROR(INDEX($A$4:$B10135,MATCH(ROW()-3,$A$4:$A$4:$A1135,0),2),0)</f>
        <v>0</v>
      </c>
      <c r="V139" s="33" t="str">
        <f>COUNTIFS(Tracker[Date],U139,Tracker[Result],"W")&amp;"-"&amp;COUNTIFS(Tracker[Date],U139,Tracker[Result],"L")&amp;IF(COUNTIFS(Tracker[Date],U139,Tracker[Result],"Push")&gt;0,"-"&amp;COUNTIFS(Tracker[Date],U139,Tracker[Result],"Push"),"")</f>
        <v>0-0</v>
      </c>
      <c r="W139" s="34" t="str">
        <f>IFERROR(COUNTIFS(Tracker[Date],U139,Tracker[Result],"W")/(COUNTIFS(Tracker[Date],U139,Tracker[Result],"W")+COUNTIFS(Tracker[Date],U139,Tracker[Result],"L")),"")</f>
        <v/>
      </c>
      <c r="X139" s="61">
        <f>SUMIF(Tracker[Date],U139,Tracker[Net])</f>
        <v>0</v>
      </c>
      <c r="Y139" s="35" t="str">
        <f>IFERROR("("&amp;ROUND(SUMIF(Tracker[Date],U139,Tracker[Net])/COUNTIF(Tracker[Date],U139),2)*100&amp;"%)","")</f>
        <v/>
      </c>
    </row>
    <row r="140" spans="1:25" x14ac:dyDescent="0.25">
      <c r="A140" s="36">
        <f t="shared" si="36"/>
        <v>15</v>
      </c>
      <c r="B140" s="25">
        <v>43837</v>
      </c>
      <c r="C140" s="25" t="str">
        <f t="shared" si="35"/>
        <v>NBA</v>
      </c>
      <c r="D140" s="26" t="s">
        <v>1028</v>
      </c>
      <c r="E140" s="28" t="s">
        <v>1029</v>
      </c>
      <c r="F140" s="74">
        <v>0.62641450606615001</v>
      </c>
      <c r="G140" s="29">
        <v>-110</v>
      </c>
      <c r="H140" s="50" t="s">
        <v>56</v>
      </c>
      <c r="I14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4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140" s="40" t="str">
        <f>MID(Tracker[[#This Row],[Game]],SEARCH("@",Tracker[[#This Row],[Game]])+2,LEN(Tracker[[#This Row],[Game]]))</f>
        <v>Lakers</v>
      </c>
      <c r="L140" s="40" t="str">
        <f>LEFT(Tracker[[#This Row],[Game]],SEARCH("@",Tracker[[#This Row],[Game]])-2)</f>
        <v>Knicks</v>
      </c>
      <c r="M14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140" s="123"/>
      <c r="O140" s="147"/>
      <c r="P140" s="147"/>
      <c r="Q140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40" s="147" t="e">
        <f>IF(AND(Tracker[[#This Row],[Money %]]&lt;&gt;"",Tracker[[#This Row],[Bet %]]&lt;&gt;""),Tracker[[#This Row],[Money %]]-Tracker[[#This Row],[Bet %]],NA())</f>
        <v>#N/A</v>
      </c>
      <c r="S140" s="109"/>
      <c r="T140" s="109"/>
      <c r="U140" s="56">
        <f>IFERROR(INDEX($A$4:$B10136,MATCH(ROW()-3,$A$4:$A$4:$A1136,0),2),0)</f>
        <v>0</v>
      </c>
      <c r="V140" s="33" t="str">
        <f>COUNTIFS(Tracker[Date],U140,Tracker[Result],"W")&amp;"-"&amp;COUNTIFS(Tracker[Date],U140,Tracker[Result],"L")&amp;IF(COUNTIFS(Tracker[Date],U140,Tracker[Result],"Push")&gt;0,"-"&amp;COUNTIFS(Tracker[Date],U140,Tracker[Result],"Push"),"")</f>
        <v>0-0</v>
      </c>
      <c r="W140" s="34" t="str">
        <f>IFERROR(COUNTIFS(Tracker[Date],U140,Tracker[Result],"W")/(COUNTIFS(Tracker[Date],U140,Tracker[Result],"W")+COUNTIFS(Tracker[Date],U140,Tracker[Result],"L")),"")</f>
        <v/>
      </c>
      <c r="X140" s="61">
        <f>SUMIF(Tracker[Date],U140,Tracker[Net])</f>
        <v>0</v>
      </c>
      <c r="Y140" s="35" t="str">
        <f>IFERROR("("&amp;ROUND(SUMIF(Tracker[Date],U140,Tracker[Net])/COUNTIF(Tracker[Date],U140),2)*100&amp;"%)","")</f>
        <v/>
      </c>
    </row>
    <row r="141" spans="1:25" x14ac:dyDescent="0.25">
      <c r="A141" s="36">
        <f t="shared" si="36"/>
        <v>15</v>
      </c>
      <c r="B141" s="25">
        <v>43837</v>
      </c>
      <c r="C141" s="25" t="str">
        <f t="shared" si="35"/>
        <v>NBA</v>
      </c>
      <c r="D141" s="26" t="s">
        <v>1028</v>
      </c>
      <c r="E141" s="28" t="s">
        <v>1030</v>
      </c>
      <c r="F141" s="74">
        <v>0.64016931710281699</v>
      </c>
      <c r="G141" s="29">
        <v>-110</v>
      </c>
      <c r="H141" s="50" t="s">
        <v>56</v>
      </c>
      <c r="I14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4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141" s="40" t="str">
        <f>MID(Tracker[[#This Row],[Game]],SEARCH("@",Tracker[[#This Row],[Game]])+2,LEN(Tracker[[#This Row],[Game]]))</f>
        <v>Lakers</v>
      </c>
      <c r="L141" s="40" t="str">
        <f>LEFT(Tracker[[#This Row],[Game]],SEARCH("@",Tracker[[#This Row],[Game]])-2)</f>
        <v>Knicks</v>
      </c>
      <c r="M14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141" s="123"/>
      <c r="O141" s="147"/>
      <c r="P141" s="147"/>
      <c r="Q141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41" s="147" t="e">
        <f>IF(AND(Tracker[[#This Row],[Money %]]&lt;&gt;"",Tracker[[#This Row],[Bet %]]&lt;&gt;""),Tracker[[#This Row],[Money %]]-Tracker[[#This Row],[Bet %]],NA())</f>
        <v>#N/A</v>
      </c>
      <c r="S141" s="109"/>
      <c r="T141" s="109"/>
      <c r="U141" s="56">
        <f>IFERROR(INDEX($A$4:$B10137,MATCH(ROW()-3,$A$4:$A$4:$A1137,0),2),0)</f>
        <v>0</v>
      </c>
      <c r="V141" s="33" t="str">
        <f>COUNTIFS(Tracker[Date],U141,Tracker[Result],"W")&amp;"-"&amp;COUNTIFS(Tracker[Date],U141,Tracker[Result],"L")&amp;IF(COUNTIFS(Tracker[Date],U141,Tracker[Result],"Push")&gt;0,"-"&amp;COUNTIFS(Tracker[Date],U141,Tracker[Result],"Push"),"")</f>
        <v>0-0</v>
      </c>
      <c r="W141" s="34" t="str">
        <f>IFERROR(COUNTIFS(Tracker[Date],U141,Tracker[Result],"W")/(COUNTIFS(Tracker[Date],U141,Tracker[Result],"W")+COUNTIFS(Tracker[Date],U141,Tracker[Result],"L")),"")</f>
        <v/>
      </c>
      <c r="X141" s="61">
        <f>SUMIF(Tracker[Date],U141,Tracker[Net])</f>
        <v>0</v>
      </c>
      <c r="Y141" s="35" t="str">
        <f>IFERROR("("&amp;ROUND(SUMIF(Tracker[Date],U141,Tracker[Net])/COUNTIF(Tracker[Date],U141),2)*100&amp;"%)","")</f>
        <v/>
      </c>
    </row>
    <row r="142" spans="1:25" x14ac:dyDescent="0.25">
      <c r="A142" s="36">
        <f t="shared" si="36"/>
        <v>16</v>
      </c>
      <c r="B142" s="25">
        <v>43838</v>
      </c>
      <c r="C142" s="25" t="str">
        <f t="shared" si="35"/>
        <v>NBA</v>
      </c>
      <c r="D142" s="26" t="s">
        <v>1031</v>
      </c>
      <c r="E142" s="28" t="s">
        <v>1032</v>
      </c>
      <c r="F142" s="74">
        <v>0.67058561387716631</v>
      </c>
      <c r="G142" s="29">
        <v>-110</v>
      </c>
      <c r="H142" s="50" t="s">
        <v>57</v>
      </c>
      <c r="I14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4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142" s="40" t="str">
        <f>MID(Tracker[[#This Row],[Game]],SEARCH("@",Tracker[[#This Row],[Game]])+2,LEN(Tracker[[#This Row],[Game]]))</f>
        <v>Celtics</v>
      </c>
      <c r="L142" s="40" t="str">
        <f>LEFT(Tracker[[#This Row],[Game]],SEARCH("@",Tracker[[#This Row],[Game]])-2)</f>
        <v>Spurs</v>
      </c>
      <c r="M14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142" s="123"/>
      <c r="O142" s="147"/>
      <c r="P142" s="147"/>
      <c r="Q142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42" s="147" t="e">
        <f>IF(AND(Tracker[[#This Row],[Money %]]&lt;&gt;"",Tracker[[#This Row],[Bet %]]&lt;&gt;""),Tracker[[#This Row],[Money %]]-Tracker[[#This Row],[Bet %]],NA())</f>
        <v>#N/A</v>
      </c>
      <c r="S142" s="109"/>
      <c r="T142" s="109"/>
      <c r="U142" s="56">
        <f>IFERROR(INDEX($A$4:$B10138,MATCH(ROW()-3,$A$4:$A$4:$A1138,0),2),0)</f>
        <v>0</v>
      </c>
      <c r="V142" s="33" t="str">
        <f>COUNTIFS(Tracker[Date],U142,Tracker[Result],"W")&amp;"-"&amp;COUNTIFS(Tracker[Date],U142,Tracker[Result],"L")&amp;IF(COUNTIFS(Tracker[Date],U142,Tracker[Result],"Push")&gt;0,"-"&amp;COUNTIFS(Tracker[Date],U142,Tracker[Result],"Push"),"")</f>
        <v>0-0</v>
      </c>
      <c r="W142" s="34" t="str">
        <f>IFERROR(COUNTIFS(Tracker[Date],U142,Tracker[Result],"W")/(COUNTIFS(Tracker[Date],U142,Tracker[Result],"W")+COUNTIFS(Tracker[Date],U142,Tracker[Result],"L")),"")</f>
        <v/>
      </c>
      <c r="X142" s="61">
        <f>SUMIF(Tracker[Date],U142,Tracker[Net])</f>
        <v>0</v>
      </c>
      <c r="Y142" s="35" t="str">
        <f>IFERROR("("&amp;ROUND(SUMIF(Tracker[Date],U142,Tracker[Net])/COUNTIF(Tracker[Date],U142),2)*100&amp;"%)","")</f>
        <v/>
      </c>
    </row>
    <row r="143" spans="1:25" x14ac:dyDescent="0.25">
      <c r="A143" s="36">
        <f t="shared" si="36"/>
        <v>16</v>
      </c>
      <c r="B143" s="25">
        <v>43838</v>
      </c>
      <c r="C143" s="25" t="str">
        <f t="shared" si="35"/>
        <v>NBA</v>
      </c>
      <c r="D143" s="26" t="s">
        <v>1031</v>
      </c>
      <c r="E143" s="28" t="s">
        <v>888</v>
      </c>
      <c r="F143" s="74">
        <v>0.60455051745211885</v>
      </c>
      <c r="G143" s="29">
        <v>-110</v>
      </c>
      <c r="H143" s="50" t="s">
        <v>57</v>
      </c>
      <c r="I14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4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143" s="40" t="str">
        <f>MID(Tracker[[#This Row],[Game]],SEARCH("@",Tracker[[#This Row],[Game]])+2,LEN(Tracker[[#This Row],[Game]]))</f>
        <v>Celtics</v>
      </c>
      <c r="L143" s="40" t="str">
        <f>LEFT(Tracker[[#This Row],[Game]],SEARCH("@",Tracker[[#This Row],[Game]])-2)</f>
        <v>Spurs</v>
      </c>
      <c r="M14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143" s="123"/>
      <c r="O143" s="147"/>
      <c r="P143" s="147"/>
      <c r="Q143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43" s="147" t="e">
        <f>IF(AND(Tracker[[#This Row],[Money %]]&lt;&gt;"",Tracker[[#This Row],[Bet %]]&lt;&gt;""),Tracker[[#This Row],[Money %]]-Tracker[[#This Row],[Bet %]],NA())</f>
        <v>#N/A</v>
      </c>
      <c r="S143" s="109"/>
      <c r="T143" s="109"/>
      <c r="U143" s="56">
        <f>IFERROR(INDEX($A$4:$B10139,MATCH(ROW()-3,$A$4:$A$4:$A1139,0),2),0)</f>
        <v>0</v>
      </c>
      <c r="V143" s="33" t="str">
        <f>COUNTIFS(Tracker[Date],U143,Tracker[Result],"W")&amp;"-"&amp;COUNTIFS(Tracker[Date],U143,Tracker[Result],"L")&amp;IF(COUNTIFS(Tracker[Date],U143,Tracker[Result],"Push")&gt;0,"-"&amp;COUNTIFS(Tracker[Date],U143,Tracker[Result],"Push"),"")</f>
        <v>0-0</v>
      </c>
      <c r="W143" s="34" t="str">
        <f>IFERROR(COUNTIFS(Tracker[Date],U143,Tracker[Result],"W")/(COUNTIFS(Tracker[Date],U143,Tracker[Result],"W")+COUNTIFS(Tracker[Date],U143,Tracker[Result],"L")),"")</f>
        <v/>
      </c>
      <c r="X143" s="61">
        <f>SUMIF(Tracker[Date],U143,Tracker[Net])</f>
        <v>0</v>
      </c>
      <c r="Y143" s="35" t="str">
        <f>IFERROR("("&amp;ROUND(SUMIF(Tracker[Date],U143,Tracker[Net])/COUNTIF(Tracker[Date],U143),2)*100&amp;"%)","")</f>
        <v/>
      </c>
    </row>
    <row r="144" spans="1:25" x14ac:dyDescent="0.25">
      <c r="A144" s="36">
        <f t="shared" si="36"/>
        <v>16</v>
      </c>
      <c r="B144" s="25">
        <v>43838</v>
      </c>
      <c r="C144" s="25" t="str">
        <f t="shared" si="35"/>
        <v>NBA</v>
      </c>
      <c r="D144" s="26" t="s">
        <v>1033</v>
      </c>
      <c r="E144" s="28" t="s">
        <v>1034</v>
      </c>
      <c r="F144" s="74">
        <v>0.57365626255156554</v>
      </c>
      <c r="G144" s="29">
        <v>-110</v>
      </c>
      <c r="H144" s="50" t="s">
        <v>56</v>
      </c>
      <c r="I14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4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144" s="40" t="str">
        <f>MID(Tracker[[#This Row],[Game]],SEARCH("@",Tracker[[#This Row],[Game]])+2,LEN(Tracker[[#This Row],[Game]]))</f>
        <v>Pacers</v>
      </c>
      <c r="L144" s="40" t="str">
        <f>LEFT(Tracker[[#This Row],[Game]],SEARCH("@",Tracker[[#This Row],[Game]])-2)</f>
        <v>Heat</v>
      </c>
      <c r="M14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144" s="123"/>
      <c r="O144" s="147"/>
      <c r="P144" s="147"/>
      <c r="Q14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44" s="147" t="e">
        <f>IF(AND(Tracker[[#This Row],[Money %]]&lt;&gt;"",Tracker[[#This Row],[Bet %]]&lt;&gt;""),Tracker[[#This Row],[Money %]]-Tracker[[#This Row],[Bet %]],NA())</f>
        <v>#N/A</v>
      </c>
      <c r="S144" s="109"/>
      <c r="T144" s="109"/>
      <c r="U144" s="56">
        <f>IFERROR(INDEX($A$4:$B10140,MATCH(ROW()-3,$A$4:$A$4:$A1140,0),2),0)</f>
        <v>0</v>
      </c>
      <c r="V144" s="33" t="str">
        <f>COUNTIFS(Tracker[Date],U144,Tracker[Result],"W")&amp;"-"&amp;COUNTIFS(Tracker[Date],U144,Tracker[Result],"L")&amp;IF(COUNTIFS(Tracker[Date],U144,Tracker[Result],"Push")&gt;0,"-"&amp;COUNTIFS(Tracker[Date],U144,Tracker[Result],"Push"),"")</f>
        <v>0-0</v>
      </c>
      <c r="W144" s="34" t="str">
        <f>IFERROR(COUNTIFS(Tracker[Date],U144,Tracker[Result],"W")/(COUNTIFS(Tracker[Date],U144,Tracker[Result],"W")+COUNTIFS(Tracker[Date],U144,Tracker[Result],"L")),"")</f>
        <v/>
      </c>
      <c r="X144" s="61">
        <f>SUMIF(Tracker[Date],U144,Tracker[Net])</f>
        <v>0</v>
      </c>
      <c r="Y144" s="35" t="str">
        <f>IFERROR("("&amp;ROUND(SUMIF(Tracker[Date],U144,Tracker[Net])/COUNTIF(Tracker[Date],U144),2)*100&amp;"%)","")</f>
        <v/>
      </c>
    </row>
    <row r="145" spans="1:25" x14ac:dyDescent="0.25">
      <c r="A145" s="36">
        <f t="shared" si="36"/>
        <v>16</v>
      </c>
      <c r="B145" s="25">
        <v>43838</v>
      </c>
      <c r="C145" s="25" t="str">
        <f t="shared" si="35"/>
        <v>NBA</v>
      </c>
      <c r="D145" s="26" t="s">
        <v>1033</v>
      </c>
      <c r="E145" s="28" t="s">
        <v>1035</v>
      </c>
      <c r="F145" s="74">
        <v>0.57604753345969084</v>
      </c>
      <c r="G145" s="29">
        <v>-110</v>
      </c>
      <c r="H145" s="50" t="s">
        <v>57</v>
      </c>
      <c r="I14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4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145" s="40" t="str">
        <f>MID(Tracker[[#This Row],[Game]],SEARCH("@",Tracker[[#This Row],[Game]])+2,LEN(Tracker[[#This Row],[Game]]))</f>
        <v>Pacers</v>
      </c>
      <c r="L145" s="40" t="str">
        <f>LEFT(Tracker[[#This Row],[Game]],SEARCH("@",Tracker[[#This Row],[Game]])-2)</f>
        <v>Heat</v>
      </c>
      <c r="M14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145" s="123"/>
      <c r="O145" s="147"/>
      <c r="P145" s="147"/>
      <c r="Q14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45" s="147" t="e">
        <f>IF(AND(Tracker[[#This Row],[Money %]]&lt;&gt;"",Tracker[[#This Row],[Bet %]]&lt;&gt;""),Tracker[[#This Row],[Money %]]-Tracker[[#This Row],[Bet %]],NA())</f>
        <v>#N/A</v>
      </c>
      <c r="S145" s="109"/>
      <c r="T145" s="109"/>
      <c r="U145" s="56">
        <f>IFERROR(INDEX($A$4:$B10141,MATCH(ROW()-3,$A$4:$A$4:$A1141,0),2),0)</f>
        <v>0</v>
      </c>
      <c r="V145" s="33" t="str">
        <f>COUNTIFS(Tracker[Date],U145,Tracker[Result],"W")&amp;"-"&amp;COUNTIFS(Tracker[Date],U145,Tracker[Result],"L")&amp;IF(COUNTIFS(Tracker[Date],U145,Tracker[Result],"Push")&gt;0,"-"&amp;COUNTIFS(Tracker[Date],U145,Tracker[Result],"Push"),"")</f>
        <v>0-0</v>
      </c>
      <c r="W145" s="34" t="str">
        <f>IFERROR(COUNTIFS(Tracker[Date],U145,Tracker[Result],"W")/(COUNTIFS(Tracker[Date],U145,Tracker[Result],"W")+COUNTIFS(Tracker[Date],U145,Tracker[Result],"L")),"")</f>
        <v/>
      </c>
      <c r="X145" s="61">
        <f>SUMIF(Tracker[Date],U145,Tracker[Net])</f>
        <v>0</v>
      </c>
      <c r="Y145" s="35" t="str">
        <f>IFERROR("("&amp;ROUND(SUMIF(Tracker[Date],U145,Tracker[Net])/COUNTIF(Tracker[Date],U145),2)*100&amp;"%)","")</f>
        <v/>
      </c>
    </row>
    <row r="146" spans="1:25" x14ac:dyDescent="0.25">
      <c r="A146" s="36">
        <f t="shared" si="36"/>
        <v>16</v>
      </c>
      <c r="B146" s="25">
        <v>43838</v>
      </c>
      <c r="C146" s="25" t="str">
        <f t="shared" si="35"/>
        <v>NBA</v>
      </c>
      <c r="D146" s="26" t="s">
        <v>1036</v>
      </c>
      <c r="E146" s="28" t="s">
        <v>1037</v>
      </c>
      <c r="F146" s="67">
        <v>0.60184194961226001</v>
      </c>
      <c r="G146" s="29">
        <v>-110</v>
      </c>
      <c r="H146" s="50" t="s">
        <v>57</v>
      </c>
      <c r="I14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4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146" s="40" t="str">
        <f>MID(Tracker[[#This Row],[Game]],SEARCH("@",Tracker[[#This Row],[Game]])+2,LEN(Tracker[[#This Row],[Game]]))</f>
        <v>Magic</v>
      </c>
      <c r="L146" s="40" t="str">
        <f>LEFT(Tracker[[#This Row],[Game]],SEARCH("@",Tracker[[#This Row],[Game]])-2)</f>
        <v>Wizards</v>
      </c>
      <c r="M14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146" s="123"/>
      <c r="O146" s="147"/>
      <c r="P146" s="147"/>
      <c r="Q146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46" s="147" t="e">
        <f>IF(AND(Tracker[[#This Row],[Money %]]&lt;&gt;"",Tracker[[#This Row],[Bet %]]&lt;&gt;""),Tracker[[#This Row],[Money %]]-Tracker[[#This Row],[Bet %]],NA())</f>
        <v>#N/A</v>
      </c>
      <c r="S146" s="109"/>
      <c r="T146" s="109"/>
      <c r="U146" s="56">
        <f>IFERROR(INDEX($A$4:$B10142,MATCH(ROW()-3,$A$4:$A$4:$A1142,0),2),0)</f>
        <v>0</v>
      </c>
      <c r="V146" s="33" t="str">
        <f>COUNTIFS(Tracker[Date],U146,Tracker[Result],"W")&amp;"-"&amp;COUNTIFS(Tracker[Date],U146,Tracker[Result],"L")&amp;IF(COUNTIFS(Tracker[Date],U146,Tracker[Result],"Push")&gt;0,"-"&amp;COUNTIFS(Tracker[Date],U146,Tracker[Result],"Push"),"")</f>
        <v>0-0</v>
      </c>
      <c r="W146" s="34" t="str">
        <f>IFERROR(COUNTIFS(Tracker[Date],U146,Tracker[Result],"W")/(COUNTIFS(Tracker[Date],U146,Tracker[Result],"W")+COUNTIFS(Tracker[Date],U146,Tracker[Result],"L")),"")</f>
        <v/>
      </c>
      <c r="X146" s="61">
        <f>SUMIF(Tracker[Date],U146,Tracker[Net])</f>
        <v>0</v>
      </c>
      <c r="Y146" s="35" t="str">
        <f>IFERROR("("&amp;ROUND(SUMIF(Tracker[Date],U146,Tracker[Net])/COUNTIF(Tracker[Date],U146),2)*100&amp;"%)","")</f>
        <v/>
      </c>
    </row>
    <row r="147" spans="1:25" x14ac:dyDescent="0.25">
      <c r="A147" s="36">
        <f t="shared" si="36"/>
        <v>16</v>
      </c>
      <c r="B147" s="25">
        <v>43838</v>
      </c>
      <c r="C147" s="25" t="str">
        <f t="shared" si="35"/>
        <v>NBA</v>
      </c>
      <c r="D147" s="26" t="s">
        <v>1038</v>
      </c>
      <c r="E147" s="28" t="s">
        <v>1019</v>
      </c>
      <c r="F147" s="67">
        <v>0.80328713790882678</v>
      </c>
      <c r="G147" s="29">
        <v>-110</v>
      </c>
      <c r="H147" s="50" t="s">
        <v>57</v>
      </c>
      <c r="I14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4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147" s="40" t="str">
        <f>MID(Tracker[[#This Row],[Game]],SEARCH("@",Tracker[[#This Row],[Game]])+2,LEN(Tracker[[#This Row],[Game]]))</f>
        <v>Hornets</v>
      </c>
      <c r="L147" s="40" t="str">
        <f>LEFT(Tracker[[#This Row],[Game]],SEARCH("@",Tracker[[#This Row],[Game]])-2)</f>
        <v>Raptors</v>
      </c>
      <c r="M14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147" s="123"/>
      <c r="O147" s="147"/>
      <c r="P147" s="147"/>
      <c r="Q147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47" s="147" t="e">
        <f>IF(AND(Tracker[[#This Row],[Money %]]&lt;&gt;"",Tracker[[#This Row],[Bet %]]&lt;&gt;""),Tracker[[#This Row],[Money %]]-Tracker[[#This Row],[Bet %]],NA())</f>
        <v>#N/A</v>
      </c>
      <c r="S147" s="109"/>
      <c r="T147" s="109"/>
      <c r="U147" s="56">
        <f>IFERROR(INDEX($A$4:$B10143,MATCH(ROW()-3,$A$4:$A$4:$A1143,0),2),0)</f>
        <v>0</v>
      </c>
      <c r="V147" s="33" t="str">
        <f>COUNTIFS(Tracker[Date],U147,Tracker[Result],"W")&amp;"-"&amp;COUNTIFS(Tracker[Date],U147,Tracker[Result],"L")&amp;IF(COUNTIFS(Tracker[Date],U147,Tracker[Result],"Push")&gt;0,"-"&amp;COUNTIFS(Tracker[Date],U147,Tracker[Result],"Push"),"")</f>
        <v>0-0</v>
      </c>
      <c r="W147" s="34" t="str">
        <f>IFERROR(COUNTIFS(Tracker[Date],U147,Tracker[Result],"W")/(COUNTIFS(Tracker[Date],U147,Tracker[Result],"W")+COUNTIFS(Tracker[Date],U147,Tracker[Result],"L")),"")</f>
        <v/>
      </c>
      <c r="X147" s="61">
        <f>SUMIF(Tracker[Date],U147,Tracker[Net])</f>
        <v>0</v>
      </c>
      <c r="Y147" s="35" t="str">
        <f>IFERROR("("&amp;ROUND(SUMIF(Tracker[Date],U147,Tracker[Net])/COUNTIF(Tracker[Date],U147),2)*100&amp;"%)","")</f>
        <v/>
      </c>
    </row>
    <row r="148" spans="1:25" x14ac:dyDescent="0.25">
      <c r="A148" s="36">
        <f t="shared" si="36"/>
        <v>16</v>
      </c>
      <c r="B148" s="25">
        <v>43838</v>
      </c>
      <c r="C148" s="25" t="str">
        <f t="shared" si="35"/>
        <v>NBA</v>
      </c>
      <c r="D148" s="26" t="s">
        <v>1039</v>
      </c>
      <c r="E148" s="28" t="s">
        <v>1040</v>
      </c>
      <c r="F148" s="67">
        <v>0.73778409794826916</v>
      </c>
      <c r="G148" s="29">
        <v>-110</v>
      </c>
      <c r="H148" s="50" t="s">
        <v>57</v>
      </c>
      <c r="I14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4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148" s="40" t="str">
        <f>MID(Tracker[[#This Row],[Game]],SEARCH("@",Tracker[[#This Row],[Game]])+2,LEN(Tracker[[#This Row],[Game]]))</f>
        <v>Hawks</v>
      </c>
      <c r="L148" s="40" t="str">
        <f>LEFT(Tracker[[#This Row],[Game]],SEARCH("@",Tracker[[#This Row],[Game]])-2)</f>
        <v>Rockets</v>
      </c>
      <c r="M14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148" s="123"/>
      <c r="O148" s="147"/>
      <c r="P148" s="147"/>
      <c r="Q148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48" s="147" t="e">
        <f>IF(AND(Tracker[[#This Row],[Money %]]&lt;&gt;"",Tracker[[#This Row],[Bet %]]&lt;&gt;""),Tracker[[#This Row],[Money %]]-Tracker[[#This Row],[Bet %]],NA())</f>
        <v>#N/A</v>
      </c>
      <c r="S148" s="109"/>
      <c r="T148" s="109"/>
      <c r="U148" s="56">
        <f>IFERROR(INDEX($A$4:$B10144,MATCH(ROW()-3,$A$4:$A$4:$A1144,0),2),0)</f>
        <v>0</v>
      </c>
      <c r="V148" s="33" t="str">
        <f>COUNTIFS(Tracker[Date],U148,Tracker[Result],"W")&amp;"-"&amp;COUNTIFS(Tracker[Date],U148,Tracker[Result],"L")&amp;IF(COUNTIFS(Tracker[Date],U148,Tracker[Result],"Push")&gt;0,"-"&amp;COUNTIFS(Tracker[Date],U148,Tracker[Result],"Push"),"")</f>
        <v>0-0</v>
      </c>
      <c r="W148" s="34" t="str">
        <f>IFERROR(COUNTIFS(Tracker[Date],U148,Tracker[Result],"W")/(COUNTIFS(Tracker[Date],U148,Tracker[Result],"W")+COUNTIFS(Tracker[Date],U148,Tracker[Result],"L")),"")</f>
        <v/>
      </c>
      <c r="X148" s="61">
        <f>SUMIF(Tracker[Date],U148,Tracker[Net])</f>
        <v>0</v>
      </c>
      <c r="Y148" s="35" t="str">
        <f>IFERROR("("&amp;ROUND(SUMIF(Tracker[Date],U148,Tracker[Net])/COUNTIF(Tracker[Date],U148),2)*100&amp;"%)","")</f>
        <v/>
      </c>
    </row>
    <row r="149" spans="1:25" x14ac:dyDescent="0.25">
      <c r="A149" s="36">
        <f t="shared" si="36"/>
        <v>16</v>
      </c>
      <c r="B149" s="25">
        <v>43838</v>
      </c>
      <c r="C149" s="25" t="str">
        <f t="shared" si="35"/>
        <v>NBA</v>
      </c>
      <c r="D149" s="26" t="s">
        <v>1039</v>
      </c>
      <c r="E149" s="28" t="s">
        <v>1041</v>
      </c>
      <c r="F149" s="67">
        <v>0.59738422757202747</v>
      </c>
      <c r="G149" s="29">
        <v>-110</v>
      </c>
      <c r="H149" s="50" t="s">
        <v>847</v>
      </c>
      <c r="I14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</v>
      </c>
      <c r="J14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149" s="40" t="str">
        <f>MID(Tracker[[#This Row],[Game]],SEARCH("@",Tracker[[#This Row],[Game]])+2,LEN(Tracker[[#This Row],[Game]]))</f>
        <v>Hawks</v>
      </c>
      <c r="L149" s="40" t="str">
        <f>LEFT(Tracker[[#This Row],[Game]],SEARCH("@",Tracker[[#This Row],[Game]])-2)</f>
        <v>Rockets</v>
      </c>
      <c r="M14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149" s="123"/>
      <c r="O149" s="147"/>
      <c r="P149" s="147"/>
      <c r="Q149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49" s="147" t="e">
        <f>IF(AND(Tracker[[#This Row],[Money %]]&lt;&gt;"",Tracker[[#This Row],[Bet %]]&lt;&gt;""),Tracker[[#This Row],[Money %]]-Tracker[[#This Row],[Bet %]],NA())</f>
        <v>#N/A</v>
      </c>
      <c r="S149" s="109"/>
      <c r="T149" s="109"/>
      <c r="U149" s="56">
        <f>IFERROR(INDEX($A$4:$B10145,MATCH(ROW()-3,$A$4:$A$4:$A1145,0),2),0)</f>
        <v>0</v>
      </c>
      <c r="V149" s="33" t="str">
        <f>COUNTIFS(Tracker[Date],U149,Tracker[Result],"W")&amp;"-"&amp;COUNTIFS(Tracker[Date],U149,Tracker[Result],"L")&amp;IF(COUNTIFS(Tracker[Date],U149,Tracker[Result],"Push")&gt;0,"-"&amp;COUNTIFS(Tracker[Date],U149,Tracker[Result],"Push"),"")</f>
        <v>0-0</v>
      </c>
      <c r="W149" s="34" t="str">
        <f>IFERROR(COUNTIFS(Tracker[Date],U149,Tracker[Result],"W")/(COUNTIFS(Tracker[Date],U149,Tracker[Result],"W")+COUNTIFS(Tracker[Date],U149,Tracker[Result],"L")),"")</f>
        <v/>
      </c>
      <c r="X149" s="61">
        <f>SUMIF(Tracker[Date],U149,Tracker[Net])</f>
        <v>0</v>
      </c>
      <c r="Y149" s="35" t="str">
        <f>IFERROR("("&amp;ROUND(SUMIF(Tracker[Date],U149,Tracker[Net])/COUNTIF(Tracker[Date],U149),2)*100&amp;"%)","")</f>
        <v/>
      </c>
    </row>
    <row r="150" spans="1:25" x14ac:dyDescent="0.25">
      <c r="A150" s="36">
        <f t="shared" si="36"/>
        <v>16</v>
      </c>
      <c r="B150" s="25">
        <v>43838</v>
      </c>
      <c r="C150" s="25" t="str">
        <f t="shared" si="35"/>
        <v>NBA</v>
      </c>
      <c r="D150" s="26" t="s">
        <v>1042</v>
      </c>
      <c r="E150" s="28" t="s">
        <v>859</v>
      </c>
      <c r="F150" s="67">
        <v>0.68556028560816618</v>
      </c>
      <c r="G150" s="29">
        <v>-110</v>
      </c>
      <c r="H150" s="50" t="s">
        <v>56</v>
      </c>
      <c r="I15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5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150" s="40" t="str">
        <f>MID(Tracker[[#This Row],[Game]],SEARCH("@",Tracker[[#This Row],[Game]])+2,LEN(Tracker[[#This Row],[Game]]))</f>
        <v>Mavericks</v>
      </c>
      <c r="L150" s="40" t="str">
        <f>LEFT(Tracker[[#This Row],[Game]],SEARCH("@",Tracker[[#This Row],[Game]])-2)</f>
        <v>Nuggets</v>
      </c>
      <c r="M15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150" s="123"/>
      <c r="O150" s="147"/>
      <c r="P150" s="147"/>
      <c r="Q150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50" s="147" t="e">
        <f>IF(AND(Tracker[[#This Row],[Money %]]&lt;&gt;"",Tracker[[#This Row],[Bet %]]&lt;&gt;""),Tracker[[#This Row],[Money %]]-Tracker[[#This Row],[Bet %]],NA())</f>
        <v>#N/A</v>
      </c>
      <c r="S150" s="109"/>
      <c r="T150" s="109"/>
      <c r="U150" s="56">
        <f>IFERROR(INDEX($A$4:$B10146,MATCH(ROW()-3,$A$4:$A$4:$A1146,0),2),0)</f>
        <v>0</v>
      </c>
      <c r="V150" s="33" t="str">
        <f>COUNTIFS(Tracker[Date],U150,Tracker[Result],"W")&amp;"-"&amp;COUNTIFS(Tracker[Date],U150,Tracker[Result],"L")&amp;IF(COUNTIFS(Tracker[Date],U150,Tracker[Result],"Push")&gt;0,"-"&amp;COUNTIFS(Tracker[Date],U150,Tracker[Result],"Push"),"")</f>
        <v>0-0</v>
      </c>
      <c r="W150" s="34" t="str">
        <f>IFERROR(COUNTIFS(Tracker[Date],U150,Tracker[Result],"W")/(COUNTIFS(Tracker[Date],U150,Tracker[Result],"W")+COUNTIFS(Tracker[Date],U150,Tracker[Result],"L")),"")</f>
        <v/>
      </c>
      <c r="X150" s="61">
        <f>SUMIF(Tracker[Date],U150,Tracker[Net])</f>
        <v>0</v>
      </c>
      <c r="Y150" s="35" t="str">
        <f>IFERROR("("&amp;ROUND(SUMIF(Tracker[Date],U150,Tracker[Net])/COUNTIF(Tracker[Date],U150),2)*100&amp;"%)","")</f>
        <v/>
      </c>
    </row>
    <row r="151" spans="1:25" x14ac:dyDescent="0.25">
      <c r="A151" s="36">
        <f t="shared" si="36"/>
        <v>16</v>
      </c>
      <c r="B151" s="25">
        <v>43838</v>
      </c>
      <c r="C151" s="25" t="str">
        <f t="shared" si="35"/>
        <v>NBA</v>
      </c>
      <c r="D151" s="26" t="s">
        <v>1043</v>
      </c>
      <c r="E151" s="28" t="s">
        <v>1044</v>
      </c>
      <c r="F151" s="67">
        <v>0.64543070512547818</v>
      </c>
      <c r="G151" s="29">
        <v>-110</v>
      </c>
      <c r="H151" s="50" t="s">
        <v>57</v>
      </c>
      <c r="I15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5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151" s="40" t="str">
        <f>MID(Tracker[[#This Row],[Game]],SEARCH("@",Tracker[[#This Row],[Game]])+2,LEN(Tracker[[#This Row],[Game]]))</f>
        <v>Pelicans</v>
      </c>
      <c r="L151" s="40" t="str">
        <f>LEFT(Tracker[[#This Row],[Game]],SEARCH("@",Tracker[[#This Row],[Game]])-2)</f>
        <v>Bulls</v>
      </c>
      <c r="M15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151" s="123"/>
      <c r="O151" s="147"/>
      <c r="P151" s="147"/>
      <c r="Q151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51" s="147" t="e">
        <f>IF(AND(Tracker[[#This Row],[Money %]]&lt;&gt;"",Tracker[[#This Row],[Bet %]]&lt;&gt;""),Tracker[[#This Row],[Money %]]-Tracker[[#This Row],[Bet %]],NA())</f>
        <v>#N/A</v>
      </c>
      <c r="S151" s="109"/>
      <c r="T151" s="109"/>
      <c r="U151" s="56">
        <f>IFERROR(INDEX($A$4:$B10147,MATCH(ROW()-3,$A$4:$A$4:$A1147,0),2),0)</f>
        <v>0</v>
      </c>
      <c r="V151" s="33" t="str">
        <f>COUNTIFS(Tracker[Date],U151,Tracker[Result],"W")&amp;"-"&amp;COUNTIFS(Tracker[Date],U151,Tracker[Result],"L")&amp;IF(COUNTIFS(Tracker[Date],U151,Tracker[Result],"Push")&gt;0,"-"&amp;COUNTIFS(Tracker[Date],U151,Tracker[Result],"Push"),"")</f>
        <v>0-0</v>
      </c>
      <c r="W151" s="34" t="str">
        <f>IFERROR(COUNTIFS(Tracker[Date],U151,Tracker[Result],"W")/(COUNTIFS(Tracker[Date],U151,Tracker[Result],"W")+COUNTIFS(Tracker[Date],U151,Tracker[Result],"L")),"")</f>
        <v/>
      </c>
      <c r="X151" s="61">
        <f>SUMIF(Tracker[Date],U151,Tracker[Net])</f>
        <v>0</v>
      </c>
      <c r="Y151" s="35" t="str">
        <f>IFERROR("("&amp;ROUND(SUMIF(Tracker[Date],U151,Tracker[Net])/COUNTIF(Tracker[Date],U151),2)*100&amp;"%)","")</f>
        <v/>
      </c>
    </row>
    <row r="152" spans="1:25" x14ac:dyDescent="0.25">
      <c r="A152" s="36">
        <f t="shared" si="36"/>
        <v>16</v>
      </c>
      <c r="B152" s="25">
        <v>43838</v>
      </c>
      <c r="C152" s="25" t="str">
        <f t="shared" si="35"/>
        <v>NBA</v>
      </c>
      <c r="D152" s="26" t="s">
        <v>1045</v>
      </c>
      <c r="E152" s="28" t="s">
        <v>1017</v>
      </c>
      <c r="F152" s="67">
        <v>0.62303500326908345</v>
      </c>
      <c r="G152" s="29">
        <v>-110</v>
      </c>
      <c r="H152" s="50" t="s">
        <v>57</v>
      </c>
      <c r="I15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5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152" s="40" t="str">
        <f>MID(Tracker[[#This Row],[Game]],SEARCH("@",Tracker[[#This Row],[Game]])+2,LEN(Tracker[[#This Row],[Game]]))</f>
        <v>Jazz</v>
      </c>
      <c r="L152" s="40" t="str">
        <f>LEFT(Tracker[[#This Row],[Game]],SEARCH("@",Tracker[[#This Row],[Game]])-2)</f>
        <v>Knicks</v>
      </c>
      <c r="M15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152" s="123"/>
      <c r="O152" s="147"/>
      <c r="P152" s="147"/>
      <c r="Q152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52" s="147" t="e">
        <f>IF(AND(Tracker[[#This Row],[Money %]]&lt;&gt;"",Tracker[[#This Row],[Bet %]]&lt;&gt;""),Tracker[[#This Row],[Money %]]-Tracker[[#This Row],[Bet %]],NA())</f>
        <v>#N/A</v>
      </c>
      <c r="S152" s="109"/>
      <c r="T152" s="109"/>
      <c r="U152" s="56">
        <f>IFERROR(INDEX($A$4:$B10148,MATCH(ROW()-3,$A$4:$A$4:$A1148,0),2),0)</f>
        <v>0</v>
      </c>
      <c r="V152" s="33" t="str">
        <f>COUNTIFS(Tracker[Date],U152,Tracker[Result],"W")&amp;"-"&amp;COUNTIFS(Tracker[Date],U152,Tracker[Result],"L")&amp;IF(COUNTIFS(Tracker[Date],U152,Tracker[Result],"Push")&gt;0,"-"&amp;COUNTIFS(Tracker[Date],U152,Tracker[Result],"Push"),"")</f>
        <v>0-0</v>
      </c>
      <c r="W152" s="34" t="str">
        <f>IFERROR(COUNTIFS(Tracker[Date],U152,Tracker[Result],"W")/(COUNTIFS(Tracker[Date],U152,Tracker[Result],"W")+COUNTIFS(Tracker[Date],U152,Tracker[Result],"L")),"")</f>
        <v/>
      </c>
      <c r="X152" s="61">
        <f>SUMIF(Tracker[Date],U152,Tracker[Net])</f>
        <v>0</v>
      </c>
      <c r="Y152" s="35" t="str">
        <f>IFERROR("("&amp;ROUND(SUMIF(Tracker[Date],U152,Tracker[Net])/COUNTIF(Tracker[Date],U152),2)*100&amp;"%)","")</f>
        <v/>
      </c>
    </row>
    <row r="153" spans="1:25" x14ac:dyDescent="0.25">
      <c r="A153" s="36">
        <f t="shared" si="36"/>
        <v>16</v>
      </c>
      <c r="B153" s="25">
        <v>43838</v>
      </c>
      <c r="C153" s="25" t="str">
        <f t="shared" si="35"/>
        <v>NBA</v>
      </c>
      <c r="D153" s="26" t="s">
        <v>1046</v>
      </c>
      <c r="E153" s="28" t="s">
        <v>1047</v>
      </c>
      <c r="F153" s="67">
        <v>0.78365587718014218</v>
      </c>
      <c r="G153" s="29">
        <v>-110</v>
      </c>
      <c r="H153" s="50" t="s">
        <v>57</v>
      </c>
      <c r="I15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5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153" s="40" t="str">
        <f>MID(Tracker[[#This Row],[Game]],SEARCH("@",Tracker[[#This Row],[Game]])+2,LEN(Tracker[[#This Row],[Game]]))</f>
        <v>Warriors</v>
      </c>
      <c r="L153" s="40" t="str">
        <f>LEFT(Tracker[[#This Row],[Game]],SEARCH("@",Tracker[[#This Row],[Game]])-2)</f>
        <v>Bucks</v>
      </c>
      <c r="M15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153" s="123"/>
      <c r="O153" s="147"/>
      <c r="P153" s="147"/>
      <c r="Q153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53" s="147" t="e">
        <f>IF(AND(Tracker[[#This Row],[Money %]]&lt;&gt;"",Tracker[[#This Row],[Bet %]]&lt;&gt;""),Tracker[[#This Row],[Money %]]-Tracker[[#This Row],[Bet %]],NA())</f>
        <v>#N/A</v>
      </c>
      <c r="S153" s="109"/>
      <c r="T153" s="109"/>
      <c r="U153" s="56">
        <f>IFERROR(INDEX($A$4:$B10149,MATCH(ROW()-3,$A$4:$A$4:$A1149,0),2),0)</f>
        <v>0</v>
      </c>
      <c r="V153" s="33" t="str">
        <f>COUNTIFS(Tracker[Date],U153,Tracker[Result],"W")&amp;"-"&amp;COUNTIFS(Tracker[Date],U153,Tracker[Result],"L")&amp;IF(COUNTIFS(Tracker[Date],U153,Tracker[Result],"Push")&gt;0,"-"&amp;COUNTIFS(Tracker[Date],U153,Tracker[Result],"Push"),"")</f>
        <v>0-0</v>
      </c>
      <c r="W153" s="34" t="str">
        <f>IFERROR(COUNTIFS(Tracker[Date],U153,Tracker[Result],"W")/(COUNTIFS(Tracker[Date],U153,Tracker[Result],"W")+COUNTIFS(Tracker[Date],U153,Tracker[Result],"L")),"")</f>
        <v/>
      </c>
      <c r="X153" s="61">
        <f>SUMIF(Tracker[Date],U153,Tracker[Net])</f>
        <v>0</v>
      </c>
      <c r="Y153" s="35" t="str">
        <f>IFERROR("("&amp;ROUND(SUMIF(Tracker[Date],U153,Tracker[Net])/COUNTIF(Tracker[Date],U153),2)*100&amp;"%)","")</f>
        <v/>
      </c>
    </row>
    <row r="154" spans="1:25" x14ac:dyDescent="0.25">
      <c r="A154" s="36">
        <f t="shared" si="36"/>
        <v>17</v>
      </c>
      <c r="B154" s="25">
        <v>43839</v>
      </c>
      <c r="C154" s="25" t="str">
        <f t="shared" si="35"/>
        <v>NBA</v>
      </c>
      <c r="D154" s="26" t="s">
        <v>1050</v>
      </c>
      <c r="E154" s="28" t="s">
        <v>1051</v>
      </c>
      <c r="F154" s="67">
        <v>0.72632933723037696</v>
      </c>
      <c r="G154" s="29">
        <v>-110</v>
      </c>
      <c r="H154" s="50" t="s">
        <v>57</v>
      </c>
      <c r="I15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5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154" s="40" t="str">
        <f>MID(Tracker[[#This Row],[Game]],SEARCH("@",Tracker[[#This Row],[Game]])+2,LEN(Tracker[[#This Row],[Game]]))</f>
        <v>76ers</v>
      </c>
      <c r="L154" s="40" t="str">
        <f>LEFT(Tracker[[#This Row],[Game]],SEARCH("@",Tracker[[#This Row],[Game]])-2)</f>
        <v>Celtics</v>
      </c>
      <c r="M15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154" s="123"/>
      <c r="O154" s="147"/>
      <c r="P154" s="147"/>
      <c r="Q15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54" s="147" t="e">
        <f>IF(AND(Tracker[[#This Row],[Money %]]&lt;&gt;"",Tracker[[#This Row],[Bet %]]&lt;&gt;""),Tracker[[#This Row],[Money %]]-Tracker[[#This Row],[Bet %]],NA())</f>
        <v>#N/A</v>
      </c>
      <c r="S154" s="109"/>
      <c r="T154" s="109"/>
      <c r="U154" s="56">
        <f>IFERROR(INDEX($A$4:$B10150,MATCH(ROW()-3,$A$4:$A$4:$A1150,0),2),0)</f>
        <v>0</v>
      </c>
      <c r="V154" s="33" t="str">
        <f>COUNTIFS(Tracker[Date],U154,Tracker[Result],"W")&amp;"-"&amp;COUNTIFS(Tracker[Date],U154,Tracker[Result],"L")&amp;IF(COUNTIFS(Tracker[Date],U154,Tracker[Result],"Push")&gt;0,"-"&amp;COUNTIFS(Tracker[Date],U154,Tracker[Result],"Push"),"")</f>
        <v>0-0</v>
      </c>
      <c r="W154" s="34" t="str">
        <f>IFERROR(COUNTIFS(Tracker[Date],U154,Tracker[Result],"W")/(COUNTIFS(Tracker[Date],U154,Tracker[Result],"W")+COUNTIFS(Tracker[Date],U154,Tracker[Result],"L")),"")</f>
        <v/>
      </c>
      <c r="X154" s="61">
        <f>SUMIF(Tracker[Date],U154,Tracker[Net])</f>
        <v>0</v>
      </c>
      <c r="Y154" s="35" t="str">
        <f>IFERROR("("&amp;ROUND(SUMIF(Tracker[Date],U154,Tracker[Net])/COUNTIF(Tracker[Date],U154),2)*100&amp;"%)","")</f>
        <v/>
      </c>
    </row>
    <row r="155" spans="1:25" x14ac:dyDescent="0.25">
      <c r="A155" s="36">
        <f t="shared" si="36"/>
        <v>17</v>
      </c>
      <c r="B155" s="25">
        <v>43839</v>
      </c>
      <c r="C155" s="25" t="str">
        <f t="shared" si="35"/>
        <v>NBA</v>
      </c>
      <c r="D155" s="26" t="s">
        <v>1050</v>
      </c>
      <c r="E155" s="28" t="s">
        <v>1014</v>
      </c>
      <c r="F155" s="67">
        <v>0.58426310391969705</v>
      </c>
      <c r="G155" s="29">
        <v>-110</v>
      </c>
      <c r="H155" s="50" t="s">
        <v>56</v>
      </c>
      <c r="I15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5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155" s="40" t="str">
        <f>MID(Tracker[[#This Row],[Game]],SEARCH("@",Tracker[[#This Row],[Game]])+2,LEN(Tracker[[#This Row],[Game]]))</f>
        <v>76ers</v>
      </c>
      <c r="L155" s="40" t="str">
        <f>LEFT(Tracker[[#This Row],[Game]],SEARCH("@",Tracker[[#This Row],[Game]])-2)</f>
        <v>Celtics</v>
      </c>
      <c r="M15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155" s="123"/>
      <c r="O155" s="147"/>
      <c r="P155" s="147"/>
      <c r="Q15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55" s="147" t="e">
        <f>IF(AND(Tracker[[#This Row],[Money %]]&lt;&gt;"",Tracker[[#This Row],[Bet %]]&lt;&gt;""),Tracker[[#This Row],[Money %]]-Tracker[[#This Row],[Bet %]],NA())</f>
        <v>#N/A</v>
      </c>
      <c r="S155" s="109"/>
      <c r="T155" s="109"/>
      <c r="U155" s="56">
        <f>IFERROR(INDEX($A$4:$B10151,MATCH(ROW()-3,$A$4:$A$4:$A1151,0),2),0)</f>
        <v>0</v>
      </c>
      <c r="V155" s="33" t="str">
        <f>COUNTIFS(Tracker[Date],U155,Tracker[Result],"W")&amp;"-"&amp;COUNTIFS(Tracker[Date],U155,Tracker[Result],"L")&amp;IF(COUNTIFS(Tracker[Date],U155,Tracker[Result],"Push")&gt;0,"-"&amp;COUNTIFS(Tracker[Date],U155,Tracker[Result],"Push"),"")</f>
        <v>0-0</v>
      </c>
      <c r="W155" s="34" t="str">
        <f>IFERROR(COUNTIFS(Tracker[Date],U155,Tracker[Result],"W")/(COUNTIFS(Tracker[Date],U155,Tracker[Result],"W")+COUNTIFS(Tracker[Date],U155,Tracker[Result],"L")),"")</f>
        <v/>
      </c>
      <c r="X155" s="61">
        <f>SUMIF(Tracker[Date],U155,Tracker[Net])</f>
        <v>0</v>
      </c>
      <c r="Y155" s="35" t="str">
        <f>IFERROR("("&amp;ROUND(SUMIF(Tracker[Date],U155,Tracker[Net])/COUNTIF(Tracker[Date],U155),2)*100&amp;"%)","")</f>
        <v/>
      </c>
    </row>
    <row r="156" spans="1:25" x14ac:dyDescent="0.25">
      <c r="A156" s="36">
        <f t="shared" si="36"/>
        <v>17</v>
      </c>
      <c r="B156" s="25">
        <v>43839</v>
      </c>
      <c r="C156" s="25" t="str">
        <f t="shared" si="35"/>
        <v>NBA</v>
      </c>
      <c r="D156" s="26" t="s">
        <v>1052</v>
      </c>
      <c r="E156" s="28" t="s">
        <v>1053</v>
      </c>
      <c r="F156" s="67">
        <v>0.63376680387353335</v>
      </c>
      <c r="G156" s="29">
        <v>-110</v>
      </c>
      <c r="H156" s="50" t="s">
        <v>57</v>
      </c>
      <c r="I15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5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156" s="40" t="str">
        <f>MID(Tracker[[#This Row],[Game]],SEARCH("@",Tracker[[#This Row],[Game]])+2,LEN(Tracker[[#This Row],[Game]]))</f>
        <v>Timberwolves</v>
      </c>
      <c r="L156" s="40" t="str">
        <f>LEFT(Tracker[[#This Row],[Game]],SEARCH("@",Tracker[[#This Row],[Game]])-2)</f>
        <v>Trail Blazers</v>
      </c>
      <c r="M15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156" s="123"/>
      <c r="O156" s="147"/>
      <c r="P156" s="147"/>
      <c r="Q156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56" s="147" t="e">
        <f>IF(AND(Tracker[[#This Row],[Money %]]&lt;&gt;"",Tracker[[#This Row],[Bet %]]&lt;&gt;""),Tracker[[#This Row],[Money %]]-Tracker[[#This Row],[Bet %]],NA())</f>
        <v>#N/A</v>
      </c>
      <c r="S156" s="109"/>
      <c r="T156" s="109"/>
      <c r="U156" s="56">
        <f>IFERROR(INDEX($A$4:$B10152,MATCH(ROW()-3,$A$4:$A$4:$A1152,0),2),0)</f>
        <v>0</v>
      </c>
      <c r="V156" s="33" t="str">
        <f>COUNTIFS(Tracker[Date],U156,Tracker[Result],"W")&amp;"-"&amp;COUNTIFS(Tracker[Date],U156,Tracker[Result],"L")&amp;IF(COUNTIFS(Tracker[Date],U156,Tracker[Result],"Push")&gt;0,"-"&amp;COUNTIFS(Tracker[Date],U156,Tracker[Result],"Push"),"")</f>
        <v>0-0</v>
      </c>
      <c r="W156" s="34" t="str">
        <f>IFERROR(COUNTIFS(Tracker[Date],U156,Tracker[Result],"W")/(COUNTIFS(Tracker[Date],U156,Tracker[Result],"W")+COUNTIFS(Tracker[Date],U156,Tracker[Result],"L")),"")</f>
        <v/>
      </c>
      <c r="X156" s="61">
        <f>SUMIF(Tracker[Date],U156,Tracker[Net])</f>
        <v>0</v>
      </c>
      <c r="Y156" s="35" t="str">
        <f>IFERROR("("&amp;ROUND(SUMIF(Tracker[Date],U156,Tracker[Net])/COUNTIF(Tracker[Date],U156),2)*100&amp;"%)","")</f>
        <v/>
      </c>
    </row>
    <row r="157" spans="1:25" x14ac:dyDescent="0.25">
      <c r="A157" s="36">
        <f t="shared" si="36"/>
        <v>18</v>
      </c>
      <c r="B157" s="25">
        <v>43840</v>
      </c>
      <c r="C157" s="25" t="str">
        <f t="shared" si="35"/>
        <v>NBA</v>
      </c>
      <c r="D157" s="26" t="s">
        <v>1055</v>
      </c>
      <c r="E157" s="28" t="s">
        <v>1056</v>
      </c>
      <c r="F157" s="67">
        <v>0.5861316101228683</v>
      </c>
      <c r="G157" s="29">
        <v>-110</v>
      </c>
      <c r="H157" s="50" t="s">
        <v>56</v>
      </c>
      <c r="I15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5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157" s="40" t="str">
        <f>MID(Tracker[[#This Row],[Game]],SEARCH("@",Tracker[[#This Row],[Game]])+2,LEN(Tracker[[#This Row],[Game]]))</f>
        <v>Bulls</v>
      </c>
      <c r="L157" s="40" t="str">
        <f>LEFT(Tracker[[#This Row],[Game]],SEARCH("@",Tracker[[#This Row],[Game]])-2)</f>
        <v>Pacers</v>
      </c>
      <c r="M15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157" s="123"/>
      <c r="O157" s="147"/>
      <c r="P157" s="147"/>
      <c r="Q157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57" s="147" t="e">
        <f>IF(AND(Tracker[[#This Row],[Money %]]&lt;&gt;"",Tracker[[#This Row],[Bet %]]&lt;&gt;""),Tracker[[#This Row],[Money %]]-Tracker[[#This Row],[Bet %]],NA())</f>
        <v>#N/A</v>
      </c>
      <c r="S157" s="109"/>
      <c r="T157" s="109"/>
      <c r="U157" s="56">
        <f>IFERROR(INDEX($A$4:$B10153,MATCH(ROW()-3,$A$4:$A$4:$A1153,0),2),0)</f>
        <v>0</v>
      </c>
      <c r="V157" s="33" t="str">
        <f>COUNTIFS(Tracker[Date],U157,Tracker[Result],"W")&amp;"-"&amp;COUNTIFS(Tracker[Date],U157,Tracker[Result],"L")&amp;IF(COUNTIFS(Tracker[Date],U157,Tracker[Result],"Push")&gt;0,"-"&amp;COUNTIFS(Tracker[Date],U157,Tracker[Result],"Push"),"")</f>
        <v>0-0</v>
      </c>
      <c r="W157" s="34" t="str">
        <f>IFERROR(COUNTIFS(Tracker[Date],U157,Tracker[Result],"W")/(COUNTIFS(Tracker[Date],U157,Tracker[Result],"W")+COUNTIFS(Tracker[Date],U157,Tracker[Result],"L")),"")</f>
        <v/>
      </c>
      <c r="X157" s="61">
        <f>SUMIF(Tracker[Date],U157,Tracker[Net])</f>
        <v>0</v>
      </c>
      <c r="Y157" s="35" t="str">
        <f>IFERROR("("&amp;ROUND(SUMIF(Tracker[Date],U157,Tracker[Net])/COUNTIF(Tracker[Date],U157),2)*100&amp;"%)","")</f>
        <v/>
      </c>
    </row>
    <row r="158" spans="1:25" x14ac:dyDescent="0.25">
      <c r="A158" s="36">
        <f t="shared" si="36"/>
        <v>18</v>
      </c>
      <c r="B158" s="25">
        <v>43840</v>
      </c>
      <c r="C158" s="25" t="str">
        <f t="shared" si="35"/>
        <v>NBA</v>
      </c>
      <c r="D158" s="26" t="s">
        <v>1057</v>
      </c>
      <c r="E158" s="28" t="s">
        <v>1058</v>
      </c>
      <c r="F158" s="67">
        <v>0.64336517703232954</v>
      </c>
      <c r="G158" s="29">
        <v>-110</v>
      </c>
      <c r="H158" s="50" t="s">
        <v>56</v>
      </c>
      <c r="I15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5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158" s="40" t="str">
        <f>MID(Tracker[[#This Row],[Game]],SEARCH("@",Tracker[[#This Row],[Game]])+2,LEN(Tracker[[#This Row],[Game]]))</f>
        <v>Wizards</v>
      </c>
      <c r="L158" s="40" t="str">
        <f>LEFT(Tracker[[#This Row],[Game]],SEARCH("@",Tracker[[#This Row],[Game]])-2)</f>
        <v>Hawks</v>
      </c>
      <c r="M15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158" s="123"/>
      <c r="O158" s="147"/>
      <c r="P158" s="147"/>
      <c r="Q158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58" s="147" t="e">
        <f>IF(AND(Tracker[[#This Row],[Money %]]&lt;&gt;"",Tracker[[#This Row],[Bet %]]&lt;&gt;""),Tracker[[#This Row],[Money %]]-Tracker[[#This Row],[Bet %]],NA())</f>
        <v>#N/A</v>
      </c>
      <c r="S158" s="109"/>
      <c r="T158" s="109"/>
      <c r="U158" s="56">
        <f>IFERROR(INDEX($A$4:$B10154,MATCH(ROW()-3,$A$4:$A$4:$A1154,0),2),0)</f>
        <v>0</v>
      </c>
      <c r="V158" s="33" t="str">
        <f>COUNTIFS(Tracker[Date],U158,Tracker[Result],"W")&amp;"-"&amp;COUNTIFS(Tracker[Date],U158,Tracker[Result],"L")&amp;IF(COUNTIFS(Tracker[Date],U158,Tracker[Result],"Push")&gt;0,"-"&amp;COUNTIFS(Tracker[Date],U158,Tracker[Result],"Push"),"")</f>
        <v>0-0</v>
      </c>
      <c r="W158" s="34" t="str">
        <f>IFERROR(COUNTIFS(Tracker[Date],U158,Tracker[Result],"W")/(COUNTIFS(Tracker[Date],U158,Tracker[Result],"W")+COUNTIFS(Tracker[Date],U158,Tracker[Result],"L")),"")</f>
        <v/>
      </c>
      <c r="X158" s="61">
        <f>SUMIF(Tracker[Date],U158,Tracker[Net])</f>
        <v>0</v>
      </c>
      <c r="Y158" s="35" t="str">
        <f>IFERROR("("&amp;ROUND(SUMIF(Tracker[Date],U158,Tracker[Net])/COUNTIF(Tracker[Date],U158),2)*100&amp;"%)","")</f>
        <v/>
      </c>
    </row>
    <row r="159" spans="1:25" x14ac:dyDescent="0.25">
      <c r="A159" s="36">
        <f t="shared" si="36"/>
        <v>18</v>
      </c>
      <c r="B159" s="25">
        <v>43840</v>
      </c>
      <c r="C159" s="25" t="str">
        <f t="shared" si="35"/>
        <v>NBA</v>
      </c>
      <c r="D159" s="26" t="s">
        <v>1057</v>
      </c>
      <c r="E159" s="28" t="s">
        <v>1059</v>
      </c>
      <c r="F159" s="67">
        <v>0.60058145130652718</v>
      </c>
      <c r="G159" s="29">
        <v>-110</v>
      </c>
      <c r="H159" s="50" t="s">
        <v>56</v>
      </c>
      <c r="I15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5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159" s="40" t="str">
        <f>MID(Tracker[[#This Row],[Game]],SEARCH("@",Tracker[[#This Row],[Game]])+2,LEN(Tracker[[#This Row],[Game]]))</f>
        <v>Wizards</v>
      </c>
      <c r="L159" s="40" t="str">
        <f>LEFT(Tracker[[#This Row],[Game]],SEARCH("@",Tracker[[#This Row],[Game]])-2)</f>
        <v>Hawks</v>
      </c>
      <c r="M15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159" s="123"/>
      <c r="O159" s="147"/>
      <c r="P159" s="147"/>
      <c r="Q159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59" s="147" t="e">
        <f>IF(AND(Tracker[[#This Row],[Money %]]&lt;&gt;"",Tracker[[#This Row],[Bet %]]&lt;&gt;""),Tracker[[#This Row],[Money %]]-Tracker[[#This Row],[Bet %]],NA())</f>
        <v>#N/A</v>
      </c>
      <c r="S159" s="109"/>
      <c r="T159" s="109"/>
      <c r="U159" s="56">
        <f>IFERROR(INDEX($A$4:$B10155,MATCH(ROW()-3,$A$4:$A$4:$A1155,0),2),0)</f>
        <v>0</v>
      </c>
      <c r="V159" s="33" t="str">
        <f>COUNTIFS(Tracker[Date],U159,Tracker[Result],"W")&amp;"-"&amp;COUNTIFS(Tracker[Date],U159,Tracker[Result],"L")&amp;IF(COUNTIFS(Tracker[Date],U159,Tracker[Result],"Push")&gt;0,"-"&amp;COUNTIFS(Tracker[Date],U159,Tracker[Result],"Push"),"")</f>
        <v>0-0</v>
      </c>
      <c r="W159" s="34" t="str">
        <f>IFERROR(COUNTIFS(Tracker[Date],U159,Tracker[Result],"W")/(COUNTIFS(Tracker[Date],U159,Tracker[Result],"W")+COUNTIFS(Tracker[Date],U159,Tracker[Result],"L")),"")</f>
        <v/>
      </c>
      <c r="X159" s="61">
        <f>SUMIF(Tracker[Date],U159,Tracker[Net])</f>
        <v>0</v>
      </c>
      <c r="Y159" s="35" t="str">
        <f>IFERROR("("&amp;ROUND(SUMIF(Tracker[Date],U159,Tracker[Net])/COUNTIF(Tracker[Date],U159),2)*100&amp;"%)","")</f>
        <v/>
      </c>
    </row>
    <row r="160" spans="1:25" x14ac:dyDescent="0.25">
      <c r="A160" s="36">
        <f t="shared" si="36"/>
        <v>18</v>
      </c>
      <c r="B160" s="25">
        <v>43840</v>
      </c>
      <c r="C160" s="25" t="str">
        <f t="shared" si="35"/>
        <v>NBA</v>
      </c>
      <c r="D160" s="26" t="s">
        <v>1060</v>
      </c>
      <c r="E160" s="28" t="s">
        <v>1061</v>
      </c>
      <c r="F160" s="67">
        <v>0.56413223059602846</v>
      </c>
      <c r="G160" s="29">
        <v>-110</v>
      </c>
      <c r="H160" s="50" t="s">
        <v>56</v>
      </c>
      <c r="I16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6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160" s="40" t="str">
        <f>MID(Tracker[[#This Row],[Game]],SEARCH("@",Tracker[[#This Row],[Game]])+2,LEN(Tracker[[#This Row],[Game]]))</f>
        <v>Knicks</v>
      </c>
      <c r="L160" s="40" t="str">
        <f>LEFT(Tracker[[#This Row],[Game]],SEARCH("@",Tracker[[#This Row],[Game]])-2)</f>
        <v>Pelicans</v>
      </c>
      <c r="M16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160" s="123"/>
      <c r="O160" s="147"/>
      <c r="P160" s="147"/>
      <c r="Q160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60" s="147" t="e">
        <f>IF(AND(Tracker[[#This Row],[Money %]]&lt;&gt;"",Tracker[[#This Row],[Bet %]]&lt;&gt;""),Tracker[[#This Row],[Money %]]-Tracker[[#This Row],[Bet %]],NA())</f>
        <v>#N/A</v>
      </c>
      <c r="S160" s="109"/>
      <c r="T160" s="109"/>
      <c r="U160" s="56">
        <f>IFERROR(INDEX($A$4:$B10156,MATCH(ROW()-3,$A$4:$A$4:$A1156,0),2),0)</f>
        <v>0</v>
      </c>
      <c r="V160" s="33" t="str">
        <f>COUNTIFS(Tracker[Date],U160,Tracker[Result],"W")&amp;"-"&amp;COUNTIFS(Tracker[Date],U160,Tracker[Result],"L")&amp;IF(COUNTIFS(Tracker[Date],U160,Tracker[Result],"Push")&gt;0,"-"&amp;COUNTIFS(Tracker[Date],U160,Tracker[Result],"Push"),"")</f>
        <v>0-0</v>
      </c>
      <c r="W160" s="34" t="str">
        <f>IFERROR(COUNTIFS(Tracker[Date],U160,Tracker[Result],"W")/(COUNTIFS(Tracker[Date],U160,Tracker[Result],"W")+COUNTIFS(Tracker[Date],U160,Tracker[Result],"L")),"")</f>
        <v/>
      </c>
      <c r="X160" s="61">
        <f>SUMIF(Tracker[Date],U160,Tracker[Net])</f>
        <v>0</v>
      </c>
      <c r="Y160" s="35" t="str">
        <f>IFERROR("("&amp;ROUND(SUMIF(Tracker[Date],U160,Tracker[Net])/COUNTIF(Tracker[Date],U160),2)*100&amp;"%)","")</f>
        <v/>
      </c>
    </row>
    <row r="161" spans="1:25" x14ac:dyDescent="0.25">
      <c r="A161" s="36">
        <f t="shared" si="36"/>
        <v>18</v>
      </c>
      <c r="B161" s="25">
        <v>43840</v>
      </c>
      <c r="C161" s="25" t="str">
        <f t="shared" si="35"/>
        <v>NBA</v>
      </c>
      <c r="D161" s="26" t="s">
        <v>1060</v>
      </c>
      <c r="E161" s="28" t="s">
        <v>911</v>
      </c>
      <c r="F161" s="74">
        <v>0.59868818473202101</v>
      </c>
      <c r="G161" s="29">
        <v>-110</v>
      </c>
      <c r="H161" s="50" t="s">
        <v>57</v>
      </c>
      <c r="I16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6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161" s="40" t="str">
        <f>MID(Tracker[[#This Row],[Game]],SEARCH("@",Tracker[[#This Row],[Game]])+2,LEN(Tracker[[#This Row],[Game]]))</f>
        <v>Knicks</v>
      </c>
      <c r="L161" s="40" t="str">
        <f>LEFT(Tracker[[#This Row],[Game]],SEARCH("@",Tracker[[#This Row],[Game]])-2)</f>
        <v>Pelicans</v>
      </c>
      <c r="M16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161" s="123"/>
      <c r="O161" s="147"/>
      <c r="P161" s="147"/>
      <c r="Q161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61" s="147" t="e">
        <f>IF(AND(Tracker[[#This Row],[Money %]]&lt;&gt;"",Tracker[[#This Row],[Bet %]]&lt;&gt;""),Tracker[[#This Row],[Money %]]-Tracker[[#This Row],[Bet %]],NA())</f>
        <v>#N/A</v>
      </c>
      <c r="S161" s="109"/>
      <c r="T161" s="109"/>
      <c r="U161" s="56">
        <f>IFERROR(INDEX($A$4:$B10157,MATCH(ROW()-3,$A$4:$A$4:$A1157,0),2),0)</f>
        <v>0</v>
      </c>
      <c r="V161" s="33" t="str">
        <f>COUNTIFS(Tracker[Date],U161,Tracker[Result],"W")&amp;"-"&amp;COUNTIFS(Tracker[Date],U161,Tracker[Result],"L")&amp;IF(COUNTIFS(Tracker[Date],U161,Tracker[Result],"Push")&gt;0,"-"&amp;COUNTIFS(Tracker[Date],U161,Tracker[Result],"Push"),"")</f>
        <v>0-0</v>
      </c>
      <c r="W161" s="34" t="str">
        <f>IFERROR(COUNTIFS(Tracker[Date],U161,Tracker[Result],"W")/(COUNTIFS(Tracker[Date],U161,Tracker[Result],"W")+COUNTIFS(Tracker[Date],U161,Tracker[Result],"L")),"")</f>
        <v/>
      </c>
      <c r="X161" s="61">
        <f>SUMIF(Tracker[Date],U161,Tracker[Net])</f>
        <v>0</v>
      </c>
      <c r="Y161" s="35" t="str">
        <f>IFERROR("("&amp;ROUND(SUMIF(Tracker[Date],U161,Tracker[Net])/COUNTIF(Tracker[Date],U161),2)*100&amp;"%)","")</f>
        <v/>
      </c>
    </row>
    <row r="162" spans="1:25" x14ac:dyDescent="0.25">
      <c r="A162" s="36">
        <f t="shared" si="36"/>
        <v>18</v>
      </c>
      <c r="B162" s="25">
        <v>43840</v>
      </c>
      <c r="C162" s="25" t="str">
        <f t="shared" si="35"/>
        <v>NBA</v>
      </c>
      <c r="D162" s="26" t="s">
        <v>1062</v>
      </c>
      <c r="E162" s="28" t="s">
        <v>1063</v>
      </c>
      <c r="F162" s="74">
        <v>0.56298463338130222</v>
      </c>
      <c r="G162" s="29">
        <v>-110</v>
      </c>
      <c r="H162" s="50" t="s">
        <v>57</v>
      </c>
      <c r="I16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6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162" s="40" t="str">
        <f>MID(Tracker[[#This Row],[Game]],SEARCH("@",Tracker[[#This Row],[Game]])+2,LEN(Tracker[[#This Row],[Game]]))</f>
        <v>Nets</v>
      </c>
      <c r="L162" s="40" t="str">
        <f>LEFT(Tracker[[#This Row],[Game]],SEARCH("@",Tracker[[#This Row],[Game]])-2)</f>
        <v>Heat</v>
      </c>
      <c r="M16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162" s="123"/>
      <c r="O162" s="147"/>
      <c r="P162" s="147"/>
      <c r="Q162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62" s="147" t="e">
        <f>IF(AND(Tracker[[#This Row],[Money %]]&lt;&gt;"",Tracker[[#This Row],[Bet %]]&lt;&gt;""),Tracker[[#This Row],[Money %]]-Tracker[[#This Row],[Bet %]],NA())</f>
        <v>#N/A</v>
      </c>
      <c r="S162" s="109"/>
      <c r="T162" s="109"/>
      <c r="U162" s="56">
        <f>IFERROR(INDEX($A$4:$B10158,MATCH(ROW()-3,$A$4:$A$4:$A1158,0),2),0)</f>
        <v>0</v>
      </c>
      <c r="V162" s="33" t="str">
        <f>COUNTIFS(Tracker[Date],U162,Tracker[Result],"W")&amp;"-"&amp;COUNTIFS(Tracker[Date],U162,Tracker[Result],"L")&amp;IF(COUNTIFS(Tracker[Date],U162,Tracker[Result],"Push")&gt;0,"-"&amp;COUNTIFS(Tracker[Date],U162,Tracker[Result],"Push"),"")</f>
        <v>0-0</v>
      </c>
      <c r="W162" s="34" t="str">
        <f>IFERROR(COUNTIFS(Tracker[Date],U162,Tracker[Result],"W")/(COUNTIFS(Tracker[Date],U162,Tracker[Result],"W")+COUNTIFS(Tracker[Date],U162,Tracker[Result],"L")),"")</f>
        <v/>
      </c>
      <c r="X162" s="61">
        <f>SUMIF(Tracker[Date],U162,Tracker[Net])</f>
        <v>0</v>
      </c>
      <c r="Y162" s="35" t="str">
        <f>IFERROR("("&amp;ROUND(SUMIF(Tracker[Date],U162,Tracker[Net])/COUNTIF(Tracker[Date],U162),2)*100&amp;"%)","")</f>
        <v/>
      </c>
    </row>
    <row r="163" spans="1:25" x14ac:dyDescent="0.25">
      <c r="A163" s="36">
        <f t="shared" si="36"/>
        <v>18</v>
      </c>
      <c r="B163" s="25">
        <v>43840</v>
      </c>
      <c r="C163" s="25" t="str">
        <f t="shared" si="35"/>
        <v>NBA</v>
      </c>
      <c r="D163" s="26" t="s">
        <v>1062</v>
      </c>
      <c r="E163" s="28" t="s">
        <v>918</v>
      </c>
      <c r="F163" s="74">
        <v>0.63562168161165578</v>
      </c>
      <c r="G163" s="29">
        <v>-110</v>
      </c>
      <c r="H163" s="50" t="s">
        <v>56</v>
      </c>
      <c r="I16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6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163" s="40" t="str">
        <f>MID(Tracker[[#This Row],[Game]],SEARCH("@",Tracker[[#This Row],[Game]])+2,LEN(Tracker[[#This Row],[Game]]))</f>
        <v>Nets</v>
      </c>
      <c r="L163" s="40" t="str">
        <f>LEFT(Tracker[[#This Row],[Game]],SEARCH("@",Tracker[[#This Row],[Game]])-2)</f>
        <v>Heat</v>
      </c>
      <c r="M16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163" s="123"/>
      <c r="O163" s="147"/>
      <c r="P163" s="147"/>
      <c r="Q163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63" s="147" t="e">
        <f>IF(AND(Tracker[[#This Row],[Money %]]&lt;&gt;"",Tracker[[#This Row],[Bet %]]&lt;&gt;""),Tracker[[#This Row],[Money %]]-Tracker[[#This Row],[Bet %]],NA())</f>
        <v>#N/A</v>
      </c>
      <c r="S163" s="109"/>
      <c r="T163" s="109"/>
      <c r="U163" s="56">
        <f>IFERROR(INDEX($A$4:$B10159,MATCH(ROW()-3,$A$4:$A$4:$A1159,0),2),0)</f>
        <v>0</v>
      </c>
      <c r="V163" s="33" t="str">
        <f>COUNTIFS(Tracker[Date],U163,Tracker[Result],"W")&amp;"-"&amp;COUNTIFS(Tracker[Date],U163,Tracker[Result],"L")&amp;IF(COUNTIFS(Tracker[Date],U163,Tracker[Result],"Push")&gt;0,"-"&amp;COUNTIFS(Tracker[Date],U163,Tracker[Result],"Push"),"")</f>
        <v>0-0</v>
      </c>
      <c r="W163" s="34" t="str">
        <f>IFERROR(COUNTIFS(Tracker[Date],U163,Tracker[Result],"W")/(COUNTIFS(Tracker[Date],U163,Tracker[Result],"W")+COUNTIFS(Tracker[Date],U163,Tracker[Result],"L")),"")</f>
        <v/>
      </c>
      <c r="X163" s="61">
        <f>SUMIF(Tracker[Date],U163,Tracker[Net])</f>
        <v>0</v>
      </c>
      <c r="Y163" s="35" t="str">
        <f>IFERROR("("&amp;ROUND(SUMIF(Tracker[Date],U163,Tracker[Net])/COUNTIF(Tracker[Date],U163),2)*100&amp;"%)","")</f>
        <v/>
      </c>
    </row>
    <row r="164" spans="1:25" x14ac:dyDescent="0.25">
      <c r="A164" s="36">
        <f t="shared" si="36"/>
        <v>18</v>
      </c>
      <c r="B164" s="25">
        <v>43840</v>
      </c>
      <c r="C164" s="25" t="str">
        <f t="shared" ref="C164:C196" si="37">"NBA"</f>
        <v>NBA</v>
      </c>
      <c r="D164" s="26" t="s">
        <v>1064</v>
      </c>
      <c r="E164" s="28" t="s">
        <v>1065</v>
      </c>
      <c r="F164" s="74">
        <v>0.62861431420122305</v>
      </c>
      <c r="G164" s="29">
        <v>-110</v>
      </c>
      <c r="H164" s="50" t="s">
        <v>57</v>
      </c>
      <c r="I16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6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164" s="40" t="str">
        <f>MID(Tracker[[#This Row],[Game]],SEARCH("@",Tracker[[#This Row],[Game]])+2,LEN(Tracker[[#This Row],[Game]]))</f>
        <v>Grizzlies</v>
      </c>
      <c r="L164" s="40" t="str">
        <f>LEFT(Tracker[[#This Row],[Game]],SEARCH("@",Tracker[[#This Row],[Game]])-2)</f>
        <v>Spurs</v>
      </c>
      <c r="M16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164" s="123"/>
      <c r="O164" s="147"/>
      <c r="P164" s="147"/>
      <c r="Q16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64" s="147" t="e">
        <f>IF(AND(Tracker[[#This Row],[Money %]]&lt;&gt;"",Tracker[[#This Row],[Bet %]]&lt;&gt;""),Tracker[[#This Row],[Money %]]-Tracker[[#This Row],[Bet %]],NA())</f>
        <v>#N/A</v>
      </c>
      <c r="S164" s="109"/>
      <c r="T164" s="109"/>
      <c r="U164" s="56">
        <f>IFERROR(INDEX($A$4:$B10160,MATCH(ROW()-3,$A$4:$A$4:$A1160,0),2),0)</f>
        <v>0</v>
      </c>
      <c r="V164" s="33" t="str">
        <f>COUNTIFS(Tracker[Date],U164,Tracker[Result],"W")&amp;"-"&amp;COUNTIFS(Tracker[Date],U164,Tracker[Result],"L")&amp;IF(COUNTIFS(Tracker[Date],U164,Tracker[Result],"Push")&gt;0,"-"&amp;COUNTIFS(Tracker[Date],U164,Tracker[Result],"Push"),"")</f>
        <v>0-0</v>
      </c>
      <c r="W164" s="34" t="str">
        <f>IFERROR(COUNTIFS(Tracker[Date],U164,Tracker[Result],"W")/(COUNTIFS(Tracker[Date],U164,Tracker[Result],"W")+COUNTIFS(Tracker[Date],U164,Tracker[Result],"L")),"")</f>
        <v/>
      </c>
      <c r="X164" s="61">
        <f>SUMIF(Tracker[Date],U164,Tracker[Net])</f>
        <v>0</v>
      </c>
      <c r="Y164" s="35" t="str">
        <f>IFERROR("("&amp;ROUND(SUMIF(Tracker[Date],U164,Tracker[Net])/COUNTIF(Tracker[Date],U164),2)*100&amp;"%)","")</f>
        <v/>
      </c>
    </row>
    <row r="165" spans="1:25" x14ac:dyDescent="0.25">
      <c r="A165" s="36">
        <f t="shared" si="36"/>
        <v>18</v>
      </c>
      <c r="B165" s="25">
        <v>43840</v>
      </c>
      <c r="C165" s="25" t="str">
        <f t="shared" si="37"/>
        <v>NBA</v>
      </c>
      <c r="D165" s="26" t="s">
        <v>1066</v>
      </c>
      <c r="E165" s="28" t="s">
        <v>1067</v>
      </c>
      <c r="F165" s="74">
        <v>0.69675044033754796</v>
      </c>
      <c r="G165" s="29">
        <v>-110</v>
      </c>
      <c r="H165" s="50" t="s">
        <v>57</v>
      </c>
      <c r="I16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6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165" s="40" t="str">
        <f>MID(Tracker[[#This Row],[Game]],SEARCH("@",Tracker[[#This Row],[Game]])+2,LEN(Tracker[[#This Row],[Game]]))</f>
        <v>Suns</v>
      </c>
      <c r="L165" s="40" t="str">
        <f>LEFT(Tracker[[#This Row],[Game]],SEARCH("@",Tracker[[#This Row],[Game]])-2)</f>
        <v>Magic</v>
      </c>
      <c r="M16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165" s="123"/>
      <c r="O165" s="147"/>
      <c r="P165" s="147"/>
      <c r="Q16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65" s="147" t="e">
        <f>IF(AND(Tracker[[#This Row],[Money %]]&lt;&gt;"",Tracker[[#This Row],[Bet %]]&lt;&gt;""),Tracker[[#This Row],[Money %]]-Tracker[[#This Row],[Bet %]],NA())</f>
        <v>#N/A</v>
      </c>
      <c r="S165" s="109"/>
      <c r="T165" s="109"/>
      <c r="U165" s="56">
        <f>IFERROR(INDEX($A$4:$B10161,MATCH(ROW()-3,$A$4:$A$4:$A1161,0),2),0)</f>
        <v>0</v>
      </c>
      <c r="V165" s="33" t="str">
        <f>COUNTIFS(Tracker[Date],U165,Tracker[Result],"W")&amp;"-"&amp;COUNTIFS(Tracker[Date],U165,Tracker[Result],"L")&amp;IF(COUNTIFS(Tracker[Date],U165,Tracker[Result],"Push")&gt;0,"-"&amp;COUNTIFS(Tracker[Date],U165,Tracker[Result],"Push"),"")</f>
        <v>0-0</v>
      </c>
      <c r="W165" s="34" t="str">
        <f>IFERROR(COUNTIFS(Tracker[Date],U165,Tracker[Result],"W")/(COUNTIFS(Tracker[Date],U165,Tracker[Result],"W")+COUNTIFS(Tracker[Date],U165,Tracker[Result],"L")),"")</f>
        <v/>
      </c>
      <c r="X165" s="61">
        <f>SUMIF(Tracker[Date],U165,Tracker[Net])</f>
        <v>0</v>
      </c>
      <c r="Y165" s="35" t="str">
        <f>IFERROR("("&amp;ROUND(SUMIF(Tracker[Date],U165,Tracker[Net])/COUNTIF(Tracker[Date],U165),2)*100&amp;"%)","")</f>
        <v/>
      </c>
    </row>
    <row r="166" spans="1:25" x14ac:dyDescent="0.25">
      <c r="A166" s="36">
        <f t="shared" si="36"/>
        <v>18</v>
      </c>
      <c r="B166" s="25">
        <v>43840</v>
      </c>
      <c r="C166" s="25" t="str">
        <f t="shared" si="37"/>
        <v>NBA</v>
      </c>
      <c r="D166" s="26" t="s">
        <v>1066</v>
      </c>
      <c r="E166" s="28" t="s">
        <v>1068</v>
      </c>
      <c r="F166" s="74">
        <v>0.62956959595977691</v>
      </c>
      <c r="G166" s="29">
        <v>-110</v>
      </c>
      <c r="H166" s="50" t="s">
        <v>57</v>
      </c>
      <c r="I16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6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166" s="40" t="str">
        <f>MID(Tracker[[#This Row],[Game]],SEARCH("@",Tracker[[#This Row],[Game]])+2,LEN(Tracker[[#This Row],[Game]]))</f>
        <v>Suns</v>
      </c>
      <c r="L166" s="40" t="str">
        <f>LEFT(Tracker[[#This Row],[Game]],SEARCH("@",Tracker[[#This Row],[Game]])-2)</f>
        <v>Magic</v>
      </c>
      <c r="M16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166" s="123"/>
      <c r="O166" s="147"/>
      <c r="P166" s="147"/>
      <c r="Q166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66" s="147" t="e">
        <f>IF(AND(Tracker[[#This Row],[Money %]]&lt;&gt;"",Tracker[[#This Row],[Bet %]]&lt;&gt;""),Tracker[[#This Row],[Money %]]-Tracker[[#This Row],[Bet %]],NA())</f>
        <v>#N/A</v>
      </c>
      <c r="S166" s="109"/>
      <c r="T166" s="109"/>
      <c r="U166" s="56">
        <f>IFERROR(INDEX($A$4:$B10162,MATCH(ROW()-3,$A$4:$A$4:$A1162,0),2),0)</f>
        <v>0</v>
      </c>
      <c r="V166" s="33" t="str">
        <f>COUNTIFS(Tracker[Date],U166,Tracker[Result],"W")&amp;"-"&amp;COUNTIFS(Tracker[Date],U166,Tracker[Result],"L")&amp;IF(COUNTIFS(Tracker[Date],U166,Tracker[Result],"Push")&gt;0,"-"&amp;COUNTIFS(Tracker[Date],U166,Tracker[Result],"Push"),"")</f>
        <v>0-0</v>
      </c>
      <c r="W166" s="34" t="str">
        <f>IFERROR(COUNTIFS(Tracker[Date],U166,Tracker[Result],"W")/(COUNTIFS(Tracker[Date],U166,Tracker[Result],"W")+COUNTIFS(Tracker[Date],U166,Tracker[Result],"L")),"")</f>
        <v/>
      </c>
      <c r="X166" s="61">
        <f>SUMIF(Tracker[Date],U166,Tracker[Net])</f>
        <v>0</v>
      </c>
      <c r="Y166" s="35" t="str">
        <f>IFERROR("("&amp;ROUND(SUMIF(Tracker[Date],U166,Tracker[Net])/COUNTIF(Tracker[Date],U166),2)*100&amp;"%)","")</f>
        <v/>
      </c>
    </row>
    <row r="167" spans="1:25" x14ac:dyDescent="0.25">
      <c r="A167" s="36">
        <f t="shared" si="36"/>
        <v>18</v>
      </c>
      <c r="B167" s="25">
        <v>43840</v>
      </c>
      <c r="C167" s="25" t="str">
        <f t="shared" si="37"/>
        <v>NBA</v>
      </c>
      <c r="D167" s="26" t="s">
        <v>1069</v>
      </c>
      <c r="E167" s="28" t="s">
        <v>1070</v>
      </c>
      <c r="F167" s="74">
        <v>0.58165312086489296</v>
      </c>
      <c r="G167" s="29">
        <v>-110</v>
      </c>
      <c r="H167" s="50" t="s">
        <v>56</v>
      </c>
      <c r="I16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6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167" s="40" t="str">
        <f>MID(Tracker[[#This Row],[Game]],SEARCH("@",Tracker[[#This Row],[Game]])+2,LEN(Tracker[[#This Row],[Game]]))</f>
        <v>Mavericks</v>
      </c>
      <c r="L167" s="40" t="str">
        <f>LEFT(Tracker[[#This Row],[Game]],SEARCH("@",Tracker[[#This Row],[Game]])-2)</f>
        <v>Lakers</v>
      </c>
      <c r="M16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167" s="123"/>
      <c r="O167" s="147"/>
      <c r="P167" s="147"/>
      <c r="Q167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67" s="147" t="e">
        <f>IF(AND(Tracker[[#This Row],[Money %]]&lt;&gt;"",Tracker[[#This Row],[Bet %]]&lt;&gt;""),Tracker[[#This Row],[Money %]]-Tracker[[#This Row],[Bet %]],NA())</f>
        <v>#N/A</v>
      </c>
      <c r="S167" s="109"/>
      <c r="T167" s="109"/>
      <c r="U167" s="56">
        <f>IFERROR(INDEX($A$4:$B10163,MATCH(ROW()-3,$A$4:$A$4:$A1163,0),2),0)</f>
        <v>0</v>
      </c>
      <c r="V167" s="33" t="str">
        <f>COUNTIFS(Tracker[Date],U167,Tracker[Result],"W")&amp;"-"&amp;COUNTIFS(Tracker[Date],U167,Tracker[Result],"L")&amp;IF(COUNTIFS(Tracker[Date],U167,Tracker[Result],"Push")&gt;0,"-"&amp;COUNTIFS(Tracker[Date],U167,Tracker[Result],"Push"),"")</f>
        <v>0-0</v>
      </c>
      <c r="W167" s="34" t="str">
        <f>IFERROR(COUNTIFS(Tracker[Date],U167,Tracker[Result],"W")/(COUNTIFS(Tracker[Date],U167,Tracker[Result],"W")+COUNTIFS(Tracker[Date],U167,Tracker[Result],"L")),"")</f>
        <v/>
      </c>
      <c r="X167" s="61">
        <f>SUMIF(Tracker[Date],U167,Tracker[Net])</f>
        <v>0</v>
      </c>
      <c r="Y167" s="35" t="str">
        <f>IFERROR("("&amp;ROUND(SUMIF(Tracker[Date],U167,Tracker[Net])/COUNTIF(Tracker[Date],U167),2)*100&amp;"%)","")</f>
        <v/>
      </c>
    </row>
    <row r="168" spans="1:25" x14ac:dyDescent="0.25">
      <c r="A168" s="36">
        <f t="shared" si="36"/>
        <v>18</v>
      </c>
      <c r="B168" s="25">
        <v>43840</v>
      </c>
      <c r="C168" s="25" t="str">
        <f t="shared" si="37"/>
        <v>NBA</v>
      </c>
      <c r="D168" s="26" t="s">
        <v>1071</v>
      </c>
      <c r="E168" s="28" t="s">
        <v>1072</v>
      </c>
      <c r="F168" s="74">
        <v>0.71332517033552367</v>
      </c>
      <c r="G168" s="29">
        <v>-110</v>
      </c>
      <c r="H168" s="50" t="s">
        <v>56</v>
      </c>
      <c r="I16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6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168" s="40" t="str">
        <f>MID(Tracker[[#This Row],[Game]],SEARCH("@",Tracker[[#This Row],[Game]])+2,LEN(Tracker[[#This Row],[Game]]))</f>
        <v>Kings</v>
      </c>
      <c r="L168" s="40" t="str">
        <f>LEFT(Tracker[[#This Row],[Game]],SEARCH("@",Tracker[[#This Row],[Game]])-2)</f>
        <v>Bucks</v>
      </c>
      <c r="M16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168" s="123"/>
      <c r="O168" s="147"/>
      <c r="P168" s="147"/>
      <c r="Q168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68" s="147" t="e">
        <f>IF(AND(Tracker[[#This Row],[Money %]]&lt;&gt;"",Tracker[[#This Row],[Bet %]]&lt;&gt;""),Tracker[[#This Row],[Money %]]-Tracker[[#This Row],[Bet %]],NA())</f>
        <v>#N/A</v>
      </c>
      <c r="S168" s="109"/>
      <c r="T168" s="109"/>
      <c r="U168" s="56">
        <f>IFERROR(INDEX($A$4:$B10164,MATCH(ROW()-3,$A$4:$A$4:$A1164,0),2),0)</f>
        <v>0</v>
      </c>
      <c r="V168" s="33" t="str">
        <f>COUNTIFS(Tracker[Date],U168,Tracker[Result],"W")&amp;"-"&amp;COUNTIFS(Tracker[Date],U168,Tracker[Result],"L")&amp;IF(COUNTIFS(Tracker[Date],U168,Tracker[Result],"Push")&gt;0,"-"&amp;COUNTIFS(Tracker[Date],U168,Tracker[Result],"Push"),"")</f>
        <v>0-0</v>
      </c>
      <c r="W168" s="34" t="str">
        <f>IFERROR(COUNTIFS(Tracker[Date],U168,Tracker[Result],"W")/(COUNTIFS(Tracker[Date],U168,Tracker[Result],"W")+COUNTIFS(Tracker[Date],U168,Tracker[Result],"L")),"")</f>
        <v/>
      </c>
      <c r="X168" s="61">
        <f>SUMIF(Tracker[Date],U168,Tracker[Net])</f>
        <v>0</v>
      </c>
      <c r="Y168" s="35" t="str">
        <f>IFERROR("("&amp;ROUND(SUMIF(Tracker[Date],U168,Tracker[Net])/COUNTIF(Tracker[Date],U168),2)*100&amp;"%)","")</f>
        <v/>
      </c>
    </row>
    <row r="169" spans="1:25" x14ac:dyDescent="0.25">
      <c r="A169" s="36">
        <f t="shared" si="36"/>
        <v>18</v>
      </c>
      <c r="B169" s="25">
        <v>43840</v>
      </c>
      <c r="C169" s="25" t="str">
        <f t="shared" si="37"/>
        <v>NBA</v>
      </c>
      <c r="D169" s="26" t="s">
        <v>1073</v>
      </c>
      <c r="E169" s="28" t="s">
        <v>1074</v>
      </c>
      <c r="F169" s="74">
        <v>0.55273155210082558</v>
      </c>
      <c r="G169" s="29">
        <v>-110</v>
      </c>
      <c r="H169" s="50" t="s">
        <v>57</v>
      </c>
      <c r="I16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6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169" s="40" t="str">
        <f>MID(Tracker[[#This Row],[Game]],SEARCH("@",Tracker[[#This Row],[Game]])+2,LEN(Tracker[[#This Row],[Game]]))</f>
        <v>Clippers</v>
      </c>
      <c r="L169" s="40" t="str">
        <f>LEFT(Tracker[[#This Row],[Game]],SEARCH("@",Tracker[[#This Row],[Game]])-2)</f>
        <v>Warriors</v>
      </c>
      <c r="M16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169" s="123"/>
      <c r="O169" s="147"/>
      <c r="P169" s="147"/>
      <c r="Q169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69" s="147" t="e">
        <f>IF(AND(Tracker[[#This Row],[Money %]]&lt;&gt;"",Tracker[[#This Row],[Bet %]]&lt;&gt;""),Tracker[[#This Row],[Money %]]-Tracker[[#This Row],[Bet %]],NA())</f>
        <v>#N/A</v>
      </c>
      <c r="S169" s="109"/>
      <c r="T169" s="109"/>
      <c r="U169" s="56">
        <f>IFERROR(INDEX($A$4:$B10165,MATCH(ROW()-3,$A$4:$A$4:$A1165,0),2),0)</f>
        <v>0</v>
      </c>
      <c r="V169" s="33" t="str">
        <f>COUNTIFS(Tracker[Date],U169,Tracker[Result],"W")&amp;"-"&amp;COUNTIFS(Tracker[Date],U169,Tracker[Result],"L")&amp;IF(COUNTIFS(Tracker[Date],U169,Tracker[Result],"Push")&gt;0,"-"&amp;COUNTIFS(Tracker[Date],U169,Tracker[Result],"Push"),"")</f>
        <v>0-0</v>
      </c>
      <c r="W169" s="34" t="str">
        <f>IFERROR(COUNTIFS(Tracker[Date],U169,Tracker[Result],"W")/(COUNTIFS(Tracker[Date],U169,Tracker[Result],"W")+COUNTIFS(Tracker[Date],U169,Tracker[Result],"L")),"")</f>
        <v/>
      </c>
      <c r="X169" s="61">
        <f>SUMIF(Tracker[Date],U169,Tracker[Net])</f>
        <v>0</v>
      </c>
      <c r="Y169" s="35" t="str">
        <f>IFERROR("("&amp;ROUND(SUMIF(Tracker[Date],U169,Tracker[Net])/COUNTIF(Tracker[Date],U169),2)*100&amp;"%)","")</f>
        <v/>
      </c>
    </row>
    <row r="170" spans="1:25" x14ac:dyDescent="0.25">
      <c r="A170" s="36">
        <f t="shared" si="36"/>
        <v>18</v>
      </c>
      <c r="B170" s="25">
        <v>43840</v>
      </c>
      <c r="C170" s="25" t="str">
        <f t="shared" si="37"/>
        <v>NBA</v>
      </c>
      <c r="D170" s="26" t="s">
        <v>1073</v>
      </c>
      <c r="E170" s="28" t="s">
        <v>1075</v>
      </c>
      <c r="F170" s="74">
        <v>0.56588347828025143</v>
      </c>
      <c r="G170" s="29">
        <v>-110</v>
      </c>
      <c r="H170" s="50" t="s">
        <v>57</v>
      </c>
      <c r="I17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7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170" s="40" t="str">
        <f>MID(Tracker[[#This Row],[Game]],SEARCH("@",Tracker[[#This Row],[Game]])+2,LEN(Tracker[[#This Row],[Game]]))</f>
        <v>Clippers</v>
      </c>
      <c r="L170" s="40" t="str">
        <f>LEFT(Tracker[[#This Row],[Game]],SEARCH("@",Tracker[[#This Row],[Game]])-2)</f>
        <v>Warriors</v>
      </c>
      <c r="M17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170" s="123"/>
      <c r="O170" s="147"/>
      <c r="P170" s="147"/>
      <c r="Q170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70" s="147" t="e">
        <f>IF(AND(Tracker[[#This Row],[Money %]]&lt;&gt;"",Tracker[[#This Row],[Bet %]]&lt;&gt;""),Tracker[[#This Row],[Money %]]-Tracker[[#This Row],[Bet %]],NA())</f>
        <v>#N/A</v>
      </c>
      <c r="S170" s="109"/>
      <c r="T170" s="109"/>
      <c r="U170" s="56">
        <f>IFERROR(INDEX($A$4:$B10166,MATCH(ROW()-3,$A$4:$A$4:$A1166,0),2),0)</f>
        <v>0</v>
      </c>
      <c r="V170" s="33" t="str">
        <f>COUNTIFS(Tracker[Date],U170,Tracker[Result],"W")&amp;"-"&amp;COUNTIFS(Tracker[Date],U170,Tracker[Result],"L")&amp;IF(COUNTIFS(Tracker[Date],U170,Tracker[Result],"Push")&gt;0,"-"&amp;COUNTIFS(Tracker[Date],U170,Tracker[Result],"Push"),"")</f>
        <v>0-0</v>
      </c>
      <c r="W170" s="34" t="str">
        <f>IFERROR(COUNTIFS(Tracker[Date],U170,Tracker[Result],"W")/(COUNTIFS(Tracker[Date],U170,Tracker[Result],"W")+COUNTIFS(Tracker[Date],U170,Tracker[Result],"L")),"")</f>
        <v/>
      </c>
      <c r="X170" s="61">
        <f>SUMIF(Tracker[Date],U170,Tracker[Net])</f>
        <v>0</v>
      </c>
      <c r="Y170" s="35" t="str">
        <f>IFERROR("("&amp;ROUND(SUMIF(Tracker[Date],U170,Tracker[Net])/COUNTIF(Tracker[Date],U170),2)*100&amp;"%)","")</f>
        <v/>
      </c>
    </row>
    <row r="171" spans="1:25" ht="120" x14ac:dyDescent="0.25">
      <c r="A171" s="36">
        <f t="shared" si="36"/>
        <v>18</v>
      </c>
      <c r="B171" s="25">
        <v>43840</v>
      </c>
      <c r="C171" s="25" t="str">
        <f t="shared" si="37"/>
        <v>NBA</v>
      </c>
      <c r="D171" s="51" t="s">
        <v>1078</v>
      </c>
      <c r="E171" s="68" t="s">
        <v>1080</v>
      </c>
      <c r="F171" s="73" t="s">
        <v>1079</v>
      </c>
      <c r="G171" s="29">
        <v>1455</v>
      </c>
      <c r="H171" s="50" t="s">
        <v>57</v>
      </c>
      <c r="I17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7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P</v>
      </c>
      <c r="K171" s="40" t="str">
        <f>MID(Tracker[[#This Row],[Game]],SEARCH("@",Tracker[[#This Row],[Game]])+2,LEN(Tracker[[#This Row],[Game]]))</f>
        <v>Bulls
Hawks @ Wizards
Pelicans @ Knicks
Heat @ Nets
Magic @ Suns
Hornets @ Jazz
Bucks @ Kings
Warriors @ Clippers</v>
      </c>
      <c r="L171" s="40" t="str">
        <f>LEFT(Tracker[[#This Row],[Game]],SEARCH("@",Tracker[[#This Row],[Game]])-2)</f>
        <v>Pacers</v>
      </c>
      <c r="M17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P</v>
      </c>
      <c r="N171" s="123"/>
      <c r="O171" s="147"/>
      <c r="P171" s="147"/>
      <c r="Q171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71" s="147" t="e">
        <f>IF(AND(Tracker[[#This Row],[Money %]]&lt;&gt;"",Tracker[[#This Row],[Bet %]]&lt;&gt;""),Tracker[[#This Row],[Money %]]-Tracker[[#This Row],[Bet %]],NA())</f>
        <v>#N/A</v>
      </c>
      <c r="S171" s="109"/>
      <c r="T171" s="109"/>
      <c r="U171" s="56">
        <f>IFERROR(INDEX($A$4:$B10167,MATCH(ROW()-3,$A$4:$A$4:$A1167,0),2),0)</f>
        <v>0</v>
      </c>
      <c r="V171" s="33" t="str">
        <f>COUNTIFS(Tracker[Date],U171,Tracker[Result],"W")&amp;"-"&amp;COUNTIFS(Tracker[Date],U171,Tracker[Result],"L")&amp;IF(COUNTIFS(Tracker[Date],U171,Tracker[Result],"Push")&gt;0,"-"&amp;COUNTIFS(Tracker[Date],U171,Tracker[Result],"Push"),"")</f>
        <v>0-0</v>
      </c>
      <c r="W171" s="34" t="str">
        <f>IFERROR(COUNTIFS(Tracker[Date],U171,Tracker[Result],"W")/(COUNTIFS(Tracker[Date],U171,Tracker[Result],"W")+COUNTIFS(Tracker[Date],U171,Tracker[Result],"L")),"")</f>
        <v/>
      </c>
      <c r="X171" s="61">
        <f>SUMIF(Tracker[Date],U171,Tracker[Net])</f>
        <v>0</v>
      </c>
      <c r="Y171" s="35" t="str">
        <f>IFERROR("("&amp;ROUND(SUMIF(Tracker[Date],U171,Tracker[Net])/COUNTIF(Tracker[Date],U171),2)*100&amp;"%)","")</f>
        <v/>
      </c>
    </row>
    <row r="172" spans="1:25" x14ac:dyDescent="0.25">
      <c r="A172" s="36">
        <f t="shared" si="36"/>
        <v>19</v>
      </c>
      <c r="B172" s="25">
        <v>43843</v>
      </c>
      <c r="C172" s="25" t="str">
        <f t="shared" si="37"/>
        <v>NBA</v>
      </c>
      <c r="D172" s="26" t="s">
        <v>1084</v>
      </c>
      <c r="E172" s="28" t="s">
        <v>1085</v>
      </c>
      <c r="F172" s="74">
        <v>0.59328163307389781</v>
      </c>
      <c r="G172" s="80">
        <v>-110</v>
      </c>
      <c r="H172" s="50" t="s">
        <v>57</v>
      </c>
      <c r="I17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7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172" s="40" t="str">
        <f>MID(Tracker[[#This Row],[Game]],SEARCH("@",Tracker[[#This Row],[Game]])+2,LEN(Tracker[[#This Row],[Game]]))</f>
        <v>Pacers</v>
      </c>
      <c r="L172" s="40" t="str">
        <f>LEFT(Tracker[[#This Row],[Game]],SEARCH("@",Tracker[[#This Row],[Game]])-2)</f>
        <v>76ers</v>
      </c>
      <c r="M17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172" s="123"/>
      <c r="O172" s="147"/>
      <c r="P172" s="147"/>
      <c r="Q172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72" s="147" t="e">
        <f>IF(AND(Tracker[[#This Row],[Money %]]&lt;&gt;"",Tracker[[#This Row],[Bet %]]&lt;&gt;""),Tracker[[#This Row],[Money %]]-Tracker[[#This Row],[Bet %]],NA())</f>
        <v>#N/A</v>
      </c>
      <c r="S172" s="109"/>
      <c r="T172" s="109"/>
      <c r="U172" s="56">
        <f>IFERROR(INDEX($A$4:$B10168,MATCH(ROW()-3,$A$4:$A$4:$A1168,0),2),0)</f>
        <v>0</v>
      </c>
      <c r="V172" s="33" t="str">
        <f>COUNTIFS(Tracker[Date],U172,Tracker[Result],"W")&amp;"-"&amp;COUNTIFS(Tracker[Date],U172,Tracker[Result],"L")&amp;IF(COUNTIFS(Tracker[Date],U172,Tracker[Result],"Push")&gt;0,"-"&amp;COUNTIFS(Tracker[Date],U172,Tracker[Result],"Push"),"")</f>
        <v>0-0</v>
      </c>
      <c r="W172" s="34" t="str">
        <f>IFERROR(COUNTIFS(Tracker[Date],U172,Tracker[Result],"W")/(COUNTIFS(Tracker[Date],U172,Tracker[Result],"W")+COUNTIFS(Tracker[Date],U172,Tracker[Result],"L")),"")</f>
        <v/>
      </c>
      <c r="X172" s="61">
        <f>SUMIF(Tracker[Date],U172,Tracker[Net])</f>
        <v>0</v>
      </c>
      <c r="Y172" s="35" t="str">
        <f>IFERROR("("&amp;ROUND(SUMIF(Tracker[Date],U172,Tracker[Net])/COUNTIF(Tracker[Date],U172),2)*100&amp;"%)","")</f>
        <v/>
      </c>
    </row>
    <row r="173" spans="1:25" x14ac:dyDescent="0.25">
      <c r="A173" s="36">
        <f t="shared" si="36"/>
        <v>19</v>
      </c>
      <c r="B173" s="25">
        <v>43843</v>
      </c>
      <c r="C173" s="25" t="str">
        <f t="shared" si="37"/>
        <v>NBA</v>
      </c>
      <c r="D173" s="26" t="s">
        <v>1084</v>
      </c>
      <c r="E173" s="28" t="s">
        <v>1086</v>
      </c>
      <c r="F173" s="74">
        <v>0.55952170522300504</v>
      </c>
      <c r="G173" s="80">
        <v>-110</v>
      </c>
      <c r="H173" s="50" t="s">
        <v>57</v>
      </c>
      <c r="I17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7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173" s="40" t="str">
        <f>MID(Tracker[[#This Row],[Game]],SEARCH("@",Tracker[[#This Row],[Game]])+2,LEN(Tracker[[#This Row],[Game]]))</f>
        <v>Pacers</v>
      </c>
      <c r="L173" s="40" t="str">
        <f>LEFT(Tracker[[#This Row],[Game]],SEARCH("@",Tracker[[#This Row],[Game]])-2)</f>
        <v>76ers</v>
      </c>
      <c r="M17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173" s="123"/>
      <c r="O173" s="147"/>
      <c r="P173" s="147"/>
      <c r="Q173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73" s="147" t="e">
        <f>IF(AND(Tracker[[#This Row],[Money %]]&lt;&gt;"",Tracker[[#This Row],[Bet %]]&lt;&gt;""),Tracker[[#This Row],[Money %]]-Tracker[[#This Row],[Bet %]],NA())</f>
        <v>#N/A</v>
      </c>
      <c r="S173" s="109"/>
      <c r="T173" s="109"/>
      <c r="U173" s="56">
        <f>IFERROR(INDEX($A$4:$B10169,MATCH(ROW()-3,$A$4:$A$4:$A1169,0),2),0)</f>
        <v>0</v>
      </c>
      <c r="V173" s="33" t="str">
        <f>COUNTIFS(Tracker[Date],U173,Tracker[Result],"W")&amp;"-"&amp;COUNTIFS(Tracker[Date],U173,Tracker[Result],"L")&amp;IF(COUNTIFS(Tracker[Date],U173,Tracker[Result],"Push")&gt;0,"-"&amp;COUNTIFS(Tracker[Date],U173,Tracker[Result],"Push"),"")</f>
        <v>0-0</v>
      </c>
      <c r="W173" s="34" t="str">
        <f>IFERROR(COUNTIFS(Tracker[Date],U173,Tracker[Result],"W")/(COUNTIFS(Tracker[Date],U173,Tracker[Result],"W")+COUNTIFS(Tracker[Date],U173,Tracker[Result],"L")),"")</f>
        <v/>
      </c>
      <c r="X173" s="61">
        <f>SUMIF(Tracker[Date],U173,Tracker[Net])</f>
        <v>0</v>
      </c>
      <c r="Y173" s="35" t="str">
        <f>IFERROR("("&amp;ROUND(SUMIF(Tracker[Date],U173,Tracker[Net])/COUNTIF(Tracker[Date],U173),2)*100&amp;"%)","")</f>
        <v/>
      </c>
    </row>
    <row r="174" spans="1:25" x14ac:dyDescent="0.25">
      <c r="A174" s="36">
        <f t="shared" si="36"/>
        <v>19</v>
      </c>
      <c r="B174" s="25">
        <v>43843</v>
      </c>
      <c r="C174" s="25" t="str">
        <f t="shared" si="37"/>
        <v>NBA</v>
      </c>
      <c r="D174" s="26" t="s">
        <v>1087</v>
      </c>
      <c r="E174" s="28" t="s">
        <v>1088</v>
      </c>
      <c r="F174" s="74">
        <v>0.58257191008007003</v>
      </c>
      <c r="G174" s="80">
        <v>-110</v>
      </c>
      <c r="H174" s="50" t="s">
        <v>56</v>
      </c>
      <c r="I17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7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174" s="40" t="str">
        <f>MID(Tracker[[#This Row],[Game]],SEARCH("@",Tracker[[#This Row],[Game]])+2,LEN(Tracker[[#This Row],[Game]]))</f>
        <v>Timberwolves</v>
      </c>
      <c r="L174" s="40" t="str">
        <f>LEFT(Tracker[[#This Row],[Game]],SEARCH("@",Tracker[[#This Row],[Game]])-2)</f>
        <v>Thunder</v>
      </c>
      <c r="M17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174" s="123"/>
      <c r="O174" s="147"/>
      <c r="P174" s="147"/>
      <c r="Q17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74" s="147" t="e">
        <f>IF(AND(Tracker[[#This Row],[Money %]]&lt;&gt;"",Tracker[[#This Row],[Bet %]]&lt;&gt;""),Tracker[[#This Row],[Money %]]-Tracker[[#This Row],[Bet %]],NA())</f>
        <v>#N/A</v>
      </c>
      <c r="S174" s="109"/>
      <c r="T174" s="109"/>
      <c r="U174" s="56">
        <f>IFERROR(INDEX($A$4:$B10170,MATCH(ROW()-3,$A$4:$A$4:$A1170,0),2),0)</f>
        <v>0</v>
      </c>
      <c r="V174" s="33" t="str">
        <f>COUNTIFS(Tracker[Date],U174,Tracker[Result],"W")&amp;"-"&amp;COUNTIFS(Tracker[Date],U174,Tracker[Result],"L")&amp;IF(COUNTIFS(Tracker[Date],U174,Tracker[Result],"Push")&gt;0,"-"&amp;COUNTIFS(Tracker[Date],U174,Tracker[Result],"Push"),"")</f>
        <v>0-0</v>
      </c>
      <c r="W174" s="34" t="str">
        <f>IFERROR(COUNTIFS(Tracker[Date],U174,Tracker[Result],"W")/(COUNTIFS(Tracker[Date],U174,Tracker[Result],"W")+COUNTIFS(Tracker[Date],U174,Tracker[Result],"L")),"")</f>
        <v/>
      </c>
      <c r="X174" s="61">
        <f>SUMIF(Tracker[Date],U174,Tracker[Net])</f>
        <v>0</v>
      </c>
      <c r="Y174" s="35" t="str">
        <f>IFERROR("("&amp;ROUND(SUMIF(Tracker[Date],U174,Tracker[Net])/COUNTIF(Tracker[Date],U174),2)*100&amp;"%)","")</f>
        <v/>
      </c>
    </row>
    <row r="175" spans="1:25" x14ac:dyDescent="0.25">
      <c r="A175" s="36">
        <f t="shared" si="36"/>
        <v>19</v>
      </c>
      <c r="B175" s="25">
        <v>43843</v>
      </c>
      <c r="C175" s="25" t="str">
        <f t="shared" si="37"/>
        <v>NBA</v>
      </c>
      <c r="D175" s="26" t="s">
        <v>1087</v>
      </c>
      <c r="E175" s="28" t="s">
        <v>1089</v>
      </c>
      <c r="F175" s="74">
        <v>0.63464690290943282</v>
      </c>
      <c r="G175" s="80">
        <v>-110</v>
      </c>
      <c r="H175" s="50" t="s">
        <v>56</v>
      </c>
      <c r="I17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7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175" s="40" t="str">
        <f>MID(Tracker[[#This Row],[Game]],SEARCH("@",Tracker[[#This Row],[Game]])+2,LEN(Tracker[[#This Row],[Game]]))</f>
        <v>Timberwolves</v>
      </c>
      <c r="L175" s="40" t="str">
        <f>LEFT(Tracker[[#This Row],[Game]],SEARCH("@",Tracker[[#This Row],[Game]])-2)</f>
        <v>Thunder</v>
      </c>
      <c r="M17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175" s="123"/>
      <c r="O175" s="147"/>
      <c r="P175" s="147"/>
      <c r="Q17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75" s="147" t="e">
        <f>IF(AND(Tracker[[#This Row],[Money %]]&lt;&gt;"",Tracker[[#This Row],[Bet %]]&lt;&gt;""),Tracker[[#This Row],[Money %]]-Tracker[[#This Row],[Bet %]],NA())</f>
        <v>#N/A</v>
      </c>
      <c r="S175" s="109"/>
      <c r="T175" s="109"/>
      <c r="U175" s="56">
        <f>IFERROR(INDEX($A$4:$B10171,MATCH(ROW()-3,$A$4:$A$4:$A1171,0),2),0)</f>
        <v>0</v>
      </c>
      <c r="V175" s="33" t="str">
        <f>COUNTIFS(Tracker[Date],U175,Tracker[Result],"W")&amp;"-"&amp;COUNTIFS(Tracker[Date],U175,Tracker[Result],"L")&amp;IF(COUNTIFS(Tracker[Date],U175,Tracker[Result],"Push")&gt;0,"-"&amp;COUNTIFS(Tracker[Date],U175,Tracker[Result],"Push"),"")</f>
        <v>0-0</v>
      </c>
      <c r="W175" s="34" t="str">
        <f>IFERROR(COUNTIFS(Tracker[Date],U175,Tracker[Result],"W")/(COUNTIFS(Tracker[Date],U175,Tracker[Result],"W")+COUNTIFS(Tracker[Date],U175,Tracker[Result],"L")),"")</f>
        <v/>
      </c>
      <c r="X175" s="61">
        <f>SUMIF(Tracker[Date],U175,Tracker[Net])</f>
        <v>0</v>
      </c>
      <c r="Y175" s="35" t="str">
        <f>IFERROR("("&amp;ROUND(SUMIF(Tracker[Date],U175,Tracker[Net])/COUNTIF(Tracker[Date],U175),2)*100&amp;"%)","")</f>
        <v/>
      </c>
    </row>
    <row r="176" spans="1:25" x14ac:dyDescent="0.25">
      <c r="A176" s="36">
        <f t="shared" si="36"/>
        <v>19</v>
      </c>
      <c r="B176" s="25">
        <v>43843</v>
      </c>
      <c r="C176" s="25" t="str">
        <f t="shared" si="37"/>
        <v>NBA</v>
      </c>
      <c r="D176" s="26" t="s">
        <v>1090</v>
      </c>
      <c r="E176" s="28" t="s">
        <v>870</v>
      </c>
      <c r="F176" s="74">
        <v>0.61466723706171722</v>
      </c>
      <c r="G176" s="80">
        <v>-110</v>
      </c>
      <c r="H176" s="50" t="s">
        <v>56</v>
      </c>
      <c r="I17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7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176" s="40" t="str">
        <f>MID(Tracker[[#This Row],[Game]],SEARCH("@",Tracker[[#This Row],[Game]])+2,LEN(Tracker[[#This Row],[Game]]))</f>
        <v>Trail Blazers</v>
      </c>
      <c r="L176" s="40" t="str">
        <f>LEFT(Tracker[[#This Row],[Game]],SEARCH("@",Tracker[[#This Row],[Game]])-2)</f>
        <v>Hornets</v>
      </c>
      <c r="M17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176" s="123"/>
      <c r="O176" s="147"/>
      <c r="P176" s="147"/>
      <c r="Q176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76" s="147" t="e">
        <f>IF(AND(Tracker[[#This Row],[Money %]]&lt;&gt;"",Tracker[[#This Row],[Bet %]]&lt;&gt;""),Tracker[[#This Row],[Money %]]-Tracker[[#This Row],[Bet %]],NA())</f>
        <v>#N/A</v>
      </c>
      <c r="S176" s="109"/>
      <c r="T176" s="109"/>
      <c r="U176" s="56">
        <f>IFERROR(INDEX($A$4:$B10172,MATCH(ROW()-3,$A$4:$A$4:$A1172,0),2),0)</f>
        <v>0</v>
      </c>
      <c r="V176" s="33" t="str">
        <f>COUNTIFS(Tracker[Date],U176,Tracker[Result],"W")&amp;"-"&amp;COUNTIFS(Tracker[Date],U176,Tracker[Result],"L")&amp;IF(COUNTIFS(Tracker[Date],U176,Tracker[Result],"Push")&gt;0,"-"&amp;COUNTIFS(Tracker[Date],U176,Tracker[Result],"Push"),"")</f>
        <v>0-0</v>
      </c>
      <c r="W176" s="34" t="str">
        <f>IFERROR(COUNTIFS(Tracker[Date],U176,Tracker[Result],"W")/(COUNTIFS(Tracker[Date],U176,Tracker[Result],"W")+COUNTIFS(Tracker[Date],U176,Tracker[Result],"L")),"")</f>
        <v/>
      </c>
      <c r="X176" s="61">
        <f>SUMIF(Tracker[Date],U176,Tracker[Net])</f>
        <v>0</v>
      </c>
      <c r="Y176" s="35" t="str">
        <f>IFERROR("("&amp;ROUND(SUMIF(Tracker[Date],U176,Tracker[Net])/COUNTIF(Tracker[Date],U176),2)*100&amp;"%)","")</f>
        <v/>
      </c>
    </row>
    <row r="177" spans="1:25" x14ac:dyDescent="0.25">
      <c r="A177" s="36">
        <f t="shared" si="36"/>
        <v>19</v>
      </c>
      <c r="B177" s="25">
        <v>43843</v>
      </c>
      <c r="C177" s="25" t="str">
        <f t="shared" si="37"/>
        <v>NBA</v>
      </c>
      <c r="D177" s="26" t="s">
        <v>1091</v>
      </c>
      <c r="E177" s="28" t="s">
        <v>1092</v>
      </c>
      <c r="F177" s="74">
        <v>0.6731863809953551</v>
      </c>
      <c r="G177" s="80">
        <v>-110</v>
      </c>
      <c r="H177" s="50" t="s">
        <v>56</v>
      </c>
      <c r="I17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7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177" s="40" t="str">
        <f>MID(Tracker[[#This Row],[Game]],SEARCH("@",Tracker[[#This Row],[Game]])+2,LEN(Tracker[[#This Row],[Game]]))</f>
        <v>Kings</v>
      </c>
      <c r="L177" s="40" t="str">
        <f>LEFT(Tracker[[#This Row],[Game]],SEARCH("@",Tracker[[#This Row],[Game]])-2)</f>
        <v>Magic</v>
      </c>
      <c r="M17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177" s="123"/>
      <c r="O177" s="147"/>
      <c r="P177" s="147"/>
      <c r="Q177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77" s="147" t="e">
        <f>IF(AND(Tracker[[#This Row],[Money %]]&lt;&gt;"",Tracker[[#This Row],[Bet %]]&lt;&gt;""),Tracker[[#This Row],[Money %]]-Tracker[[#This Row],[Bet %]],NA())</f>
        <v>#N/A</v>
      </c>
      <c r="S177" s="109"/>
      <c r="T177" s="109"/>
      <c r="U177" s="56">
        <f>IFERROR(INDEX($A$4:$B10173,MATCH(ROW()-3,$A$4:$A$4:$A1173,0),2),0)</f>
        <v>0</v>
      </c>
      <c r="V177" s="33" t="str">
        <f>COUNTIFS(Tracker[Date],U177,Tracker[Result],"W")&amp;"-"&amp;COUNTIFS(Tracker[Date],U177,Tracker[Result],"L")&amp;IF(COUNTIFS(Tracker[Date],U177,Tracker[Result],"Push")&gt;0,"-"&amp;COUNTIFS(Tracker[Date],U177,Tracker[Result],"Push"),"")</f>
        <v>0-0</v>
      </c>
      <c r="W177" s="34" t="str">
        <f>IFERROR(COUNTIFS(Tracker[Date],U177,Tracker[Result],"W")/(COUNTIFS(Tracker[Date],U177,Tracker[Result],"W")+COUNTIFS(Tracker[Date],U177,Tracker[Result],"L")),"")</f>
        <v/>
      </c>
      <c r="X177" s="61">
        <f>SUMIF(Tracker[Date],U177,Tracker[Net])</f>
        <v>0</v>
      </c>
      <c r="Y177" s="35" t="str">
        <f>IFERROR("("&amp;ROUND(SUMIF(Tracker[Date],U177,Tracker[Net])/COUNTIF(Tracker[Date],U177),2)*100&amp;"%)","")</f>
        <v/>
      </c>
    </row>
    <row r="178" spans="1:25" x14ac:dyDescent="0.25">
      <c r="A178" s="36">
        <f t="shared" si="36"/>
        <v>19</v>
      </c>
      <c r="B178" s="25">
        <v>43843</v>
      </c>
      <c r="C178" s="25" t="str">
        <f t="shared" si="37"/>
        <v>NBA</v>
      </c>
      <c r="D178" s="26" t="s">
        <v>1091</v>
      </c>
      <c r="E178" s="28" t="s">
        <v>919</v>
      </c>
      <c r="F178" s="74">
        <v>0.579825351918696</v>
      </c>
      <c r="G178" s="80">
        <v>-110</v>
      </c>
      <c r="H178" s="50" t="s">
        <v>56</v>
      </c>
      <c r="I17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7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178" s="40" t="str">
        <f>MID(Tracker[[#This Row],[Game]],SEARCH("@",Tracker[[#This Row],[Game]])+2,LEN(Tracker[[#This Row],[Game]]))</f>
        <v>Kings</v>
      </c>
      <c r="L178" s="40" t="str">
        <f>LEFT(Tracker[[#This Row],[Game]],SEARCH("@",Tracker[[#This Row],[Game]])-2)</f>
        <v>Magic</v>
      </c>
      <c r="M17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178" s="123"/>
      <c r="O178" s="147"/>
      <c r="P178" s="147"/>
      <c r="Q178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78" s="147" t="e">
        <f>IF(AND(Tracker[[#This Row],[Money %]]&lt;&gt;"",Tracker[[#This Row],[Bet %]]&lt;&gt;""),Tracker[[#This Row],[Money %]]-Tracker[[#This Row],[Bet %]],NA())</f>
        <v>#N/A</v>
      </c>
      <c r="S178" s="109"/>
      <c r="T178" s="109"/>
      <c r="U178" s="56">
        <f>IFERROR(INDEX($A$4:$B10174,MATCH(ROW()-3,$A$4:$A$4:$A1174,0),2),0)</f>
        <v>0</v>
      </c>
      <c r="V178" s="33" t="str">
        <f>COUNTIFS(Tracker[Date],U178,Tracker[Result],"W")&amp;"-"&amp;COUNTIFS(Tracker[Date],U178,Tracker[Result],"L")&amp;IF(COUNTIFS(Tracker[Date],U178,Tracker[Result],"Push")&gt;0,"-"&amp;COUNTIFS(Tracker[Date],U178,Tracker[Result],"Push"),"")</f>
        <v>0-0</v>
      </c>
      <c r="W178" s="34" t="str">
        <f>IFERROR(COUNTIFS(Tracker[Date],U178,Tracker[Result],"W")/(COUNTIFS(Tracker[Date],U178,Tracker[Result],"W")+COUNTIFS(Tracker[Date],U178,Tracker[Result],"L")),"")</f>
        <v/>
      </c>
      <c r="X178" s="61">
        <f>SUMIF(Tracker[Date],U178,Tracker[Net])</f>
        <v>0</v>
      </c>
      <c r="Y178" s="35" t="str">
        <f>IFERROR("("&amp;ROUND(SUMIF(Tracker[Date],U178,Tracker[Net])/COUNTIF(Tracker[Date],U178),2)*100&amp;"%)","")</f>
        <v/>
      </c>
    </row>
    <row r="179" spans="1:25" x14ac:dyDescent="0.25">
      <c r="A179" s="36">
        <f t="shared" si="36"/>
        <v>19</v>
      </c>
      <c r="B179" s="25">
        <v>43843</v>
      </c>
      <c r="C179" s="25" t="str">
        <f t="shared" si="37"/>
        <v>NBA</v>
      </c>
      <c r="D179" s="26" t="s">
        <v>1093</v>
      </c>
      <c r="E179" s="28" t="s">
        <v>1094</v>
      </c>
      <c r="F179" s="74">
        <v>0.61585309289779933</v>
      </c>
      <c r="G179" s="80">
        <v>-110</v>
      </c>
      <c r="H179" s="50" t="s">
        <v>56</v>
      </c>
      <c r="I17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7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179" s="40" t="str">
        <f>MID(Tracker[[#This Row],[Game]],SEARCH("@",Tracker[[#This Row],[Game]])+2,LEN(Tracker[[#This Row],[Game]]))</f>
        <v>Lakers</v>
      </c>
      <c r="L179" s="40" t="str">
        <f>LEFT(Tracker[[#This Row],[Game]],SEARCH("@",Tracker[[#This Row],[Game]])-2)</f>
        <v>Cavaliers</v>
      </c>
      <c r="M17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179" s="123"/>
      <c r="O179" s="147"/>
      <c r="P179" s="147"/>
      <c r="Q179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79" s="147" t="e">
        <f>IF(AND(Tracker[[#This Row],[Money %]]&lt;&gt;"",Tracker[[#This Row],[Bet %]]&lt;&gt;""),Tracker[[#This Row],[Money %]]-Tracker[[#This Row],[Bet %]],NA())</f>
        <v>#N/A</v>
      </c>
      <c r="S179" s="109"/>
      <c r="T179" s="109"/>
      <c r="U179" s="56">
        <f>IFERROR(INDEX($A$4:$B10175,MATCH(ROW()-3,$A$4:$A$4:$A1175,0),2),0)</f>
        <v>0</v>
      </c>
      <c r="V179" s="33" t="str">
        <f>COUNTIFS(Tracker[Date],U179,Tracker[Result],"W")&amp;"-"&amp;COUNTIFS(Tracker[Date],U179,Tracker[Result],"L")&amp;IF(COUNTIFS(Tracker[Date],U179,Tracker[Result],"Push")&gt;0,"-"&amp;COUNTIFS(Tracker[Date],U179,Tracker[Result],"Push"),"")</f>
        <v>0-0</v>
      </c>
      <c r="W179" s="34" t="str">
        <f>IFERROR(COUNTIFS(Tracker[Date],U179,Tracker[Result],"W")/(COUNTIFS(Tracker[Date],U179,Tracker[Result],"W")+COUNTIFS(Tracker[Date],U179,Tracker[Result],"L")),"")</f>
        <v/>
      </c>
      <c r="X179" s="61">
        <f>SUMIF(Tracker[Date],U179,Tracker[Net])</f>
        <v>0</v>
      </c>
      <c r="Y179" s="35" t="str">
        <f>IFERROR("("&amp;ROUND(SUMIF(Tracker[Date],U179,Tracker[Net])/COUNTIF(Tracker[Date],U179),2)*100&amp;"%)","")</f>
        <v/>
      </c>
    </row>
    <row r="180" spans="1:25" x14ac:dyDescent="0.25">
      <c r="A180" s="36">
        <f t="shared" si="36"/>
        <v>20</v>
      </c>
      <c r="B180" s="25">
        <v>43846</v>
      </c>
      <c r="C180" s="25" t="str">
        <f t="shared" si="37"/>
        <v>NBA</v>
      </c>
      <c r="D180" s="26" t="s">
        <v>1113</v>
      </c>
      <c r="E180" s="28" t="s">
        <v>1114</v>
      </c>
      <c r="F180" s="74">
        <v>0.60218287145457527</v>
      </c>
      <c r="G180" s="29">
        <v>-110</v>
      </c>
      <c r="H180" s="50" t="s">
        <v>56</v>
      </c>
      <c r="I18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8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180" s="40" t="str">
        <f>MID(Tracker[[#This Row],[Game]],SEARCH("@",Tracker[[#This Row],[Game]])+2,LEN(Tracker[[#This Row],[Game]]))</f>
        <v>Knicks</v>
      </c>
      <c r="L180" s="40" t="str">
        <f>LEFT(Tracker[[#This Row],[Game]],SEARCH("@",Tracker[[#This Row],[Game]])-2)</f>
        <v>Suns</v>
      </c>
      <c r="M18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180" s="123"/>
      <c r="O180" s="147"/>
      <c r="P180" s="147"/>
      <c r="Q180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80" s="147" t="e">
        <f>IF(AND(Tracker[[#This Row],[Money %]]&lt;&gt;"",Tracker[[#This Row],[Bet %]]&lt;&gt;""),Tracker[[#This Row],[Money %]]-Tracker[[#This Row],[Bet %]],NA())</f>
        <v>#N/A</v>
      </c>
      <c r="S180" s="109"/>
      <c r="T180" s="109"/>
      <c r="U180" s="56">
        <f>IFERROR(INDEX($A$4:$B10176,MATCH(ROW()-3,$A$4:$A$4:$A1176,0),2),0)</f>
        <v>0</v>
      </c>
      <c r="V180" s="33" t="str">
        <f>COUNTIFS(Tracker[Date],U180,Tracker[Result],"W")&amp;"-"&amp;COUNTIFS(Tracker[Date],U180,Tracker[Result],"L")&amp;IF(COUNTIFS(Tracker[Date],U180,Tracker[Result],"Push")&gt;0,"-"&amp;COUNTIFS(Tracker[Date],U180,Tracker[Result],"Push"),"")</f>
        <v>0-0</v>
      </c>
      <c r="W180" s="34" t="str">
        <f>IFERROR(COUNTIFS(Tracker[Date],U180,Tracker[Result],"W")/(COUNTIFS(Tracker[Date],U180,Tracker[Result],"W")+COUNTIFS(Tracker[Date],U180,Tracker[Result],"L")),"")</f>
        <v/>
      </c>
      <c r="X180" s="61">
        <f>SUMIF(Tracker[Date],U180,Tracker[Net])</f>
        <v>0</v>
      </c>
      <c r="Y180" s="35" t="str">
        <f>IFERROR("("&amp;ROUND(SUMIF(Tracker[Date],U180,Tracker[Net])/COUNTIF(Tracker[Date],U180),2)*100&amp;"%)","")</f>
        <v/>
      </c>
    </row>
    <row r="181" spans="1:25" x14ac:dyDescent="0.25">
      <c r="A181" s="36">
        <f t="shared" si="36"/>
        <v>20</v>
      </c>
      <c r="B181" s="25">
        <v>43846</v>
      </c>
      <c r="C181" s="25" t="str">
        <f t="shared" si="37"/>
        <v>NBA</v>
      </c>
      <c r="D181" s="26" t="s">
        <v>1115</v>
      </c>
      <c r="E181" s="28" t="s">
        <v>1116</v>
      </c>
      <c r="F181" s="74">
        <v>0.63036892389649002</v>
      </c>
      <c r="G181" s="29">
        <v>-110</v>
      </c>
      <c r="H181" s="50" t="s">
        <v>56</v>
      </c>
      <c r="I18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8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181" s="40" t="str">
        <f>MID(Tracker[[#This Row],[Game]],SEARCH("@",Tracker[[#This Row],[Game]])+2,LEN(Tracker[[#This Row],[Game]]))</f>
        <v>Bucks</v>
      </c>
      <c r="L181" s="40" t="str">
        <f>LEFT(Tracker[[#This Row],[Game]],SEARCH("@",Tracker[[#This Row],[Game]])-2)</f>
        <v>Celtics</v>
      </c>
      <c r="M18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181" s="123"/>
      <c r="O181" s="147"/>
      <c r="P181" s="147"/>
      <c r="Q181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81" s="147" t="e">
        <f>IF(AND(Tracker[[#This Row],[Money %]]&lt;&gt;"",Tracker[[#This Row],[Bet %]]&lt;&gt;""),Tracker[[#This Row],[Money %]]-Tracker[[#This Row],[Bet %]],NA())</f>
        <v>#N/A</v>
      </c>
      <c r="S181" s="109"/>
      <c r="T181" s="109"/>
      <c r="U181" s="56">
        <f>IFERROR(INDEX($A$4:$B10177,MATCH(ROW()-3,$A$4:$A$4:$A1177,0),2),0)</f>
        <v>0</v>
      </c>
      <c r="V181" s="33" t="str">
        <f>COUNTIFS(Tracker[Date],U181,Tracker[Result],"W")&amp;"-"&amp;COUNTIFS(Tracker[Date],U181,Tracker[Result],"L")&amp;IF(COUNTIFS(Tracker[Date],U181,Tracker[Result],"Push")&gt;0,"-"&amp;COUNTIFS(Tracker[Date],U181,Tracker[Result],"Push"),"")</f>
        <v>0-0</v>
      </c>
      <c r="W181" s="34" t="str">
        <f>IFERROR(COUNTIFS(Tracker[Date],U181,Tracker[Result],"W")/(COUNTIFS(Tracker[Date],U181,Tracker[Result],"W")+COUNTIFS(Tracker[Date],U181,Tracker[Result],"L")),"")</f>
        <v/>
      </c>
      <c r="X181" s="61">
        <f>SUMIF(Tracker[Date],U181,Tracker[Net])</f>
        <v>0</v>
      </c>
      <c r="Y181" s="35" t="str">
        <f>IFERROR("("&amp;ROUND(SUMIF(Tracker[Date],U181,Tracker[Net])/COUNTIF(Tracker[Date],U181),2)*100&amp;"%)","")</f>
        <v/>
      </c>
    </row>
    <row r="182" spans="1:25" x14ac:dyDescent="0.25">
      <c r="A182" s="36">
        <f t="shared" si="36"/>
        <v>20</v>
      </c>
      <c r="B182" s="25">
        <v>43846</v>
      </c>
      <c r="C182" s="25" t="str">
        <f t="shared" si="37"/>
        <v>NBA</v>
      </c>
      <c r="D182" s="26" t="s">
        <v>1117</v>
      </c>
      <c r="E182" s="28" t="s">
        <v>1118</v>
      </c>
      <c r="F182" s="74">
        <v>0.68043428591572241</v>
      </c>
      <c r="G182" s="29">
        <v>-110</v>
      </c>
      <c r="H182" s="50" t="s">
        <v>57</v>
      </c>
      <c r="I18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8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182" s="40" t="str">
        <f>MID(Tracker[[#This Row],[Game]],SEARCH("@",Tracker[[#This Row],[Game]])+2,LEN(Tracker[[#This Row],[Game]]))</f>
        <v>Warriors</v>
      </c>
      <c r="L182" s="40" t="str">
        <f>LEFT(Tracker[[#This Row],[Game]],SEARCH("@",Tracker[[#This Row],[Game]])-2)</f>
        <v>Nuggets</v>
      </c>
      <c r="M18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182" s="123"/>
      <c r="O182" s="147"/>
      <c r="P182" s="147"/>
      <c r="Q182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82" s="147" t="e">
        <f>IF(AND(Tracker[[#This Row],[Money %]]&lt;&gt;"",Tracker[[#This Row],[Bet %]]&lt;&gt;""),Tracker[[#This Row],[Money %]]-Tracker[[#This Row],[Bet %]],NA())</f>
        <v>#N/A</v>
      </c>
      <c r="S182" s="109"/>
      <c r="T182" s="109"/>
      <c r="U182" s="56">
        <f>IFERROR(INDEX($A$4:$B10178,MATCH(ROW()-3,$A$4:$A$4:$A1178,0),2),0)</f>
        <v>0</v>
      </c>
      <c r="V182" s="33" t="str">
        <f>COUNTIFS(Tracker[Date],U182,Tracker[Result],"W")&amp;"-"&amp;COUNTIFS(Tracker[Date],U182,Tracker[Result],"L")&amp;IF(COUNTIFS(Tracker[Date],U182,Tracker[Result],"Push")&gt;0,"-"&amp;COUNTIFS(Tracker[Date],U182,Tracker[Result],"Push"),"")</f>
        <v>0-0</v>
      </c>
      <c r="W182" s="34" t="str">
        <f>IFERROR(COUNTIFS(Tracker[Date],U182,Tracker[Result],"W")/(COUNTIFS(Tracker[Date],U182,Tracker[Result],"W")+COUNTIFS(Tracker[Date],U182,Tracker[Result],"L")),"")</f>
        <v/>
      </c>
      <c r="X182" s="61">
        <f>SUMIF(Tracker[Date],U182,Tracker[Net])</f>
        <v>0</v>
      </c>
      <c r="Y182" s="35" t="str">
        <f>IFERROR("("&amp;ROUND(SUMIF(Tracker[Date],U182,Tracker[Net])/COUNTIF(Tracker[Date],U182),2)*100&amp;"%)","")</f>
        <v/>
      </c>
    </row>
    <row r="183" spans="1:25" x14ac:dyDescent="0.25">
      <c r="A183" s="36">
        <f t="shared" si="36"/>
        <v>20</v>
      </c>
      <c r="B183" s="25">
        <v>43846</v>
      </c>
      <c r="C183" s="25" t="str">
        <f t="shared" si="37"/>
        <v>NBA</v>
      </c>
      <c r="D183" s="26" t="s">
        <v>1119</v>
      </c>
      <c r="E183" s="28" t="s">
        <v>1120</v>
      </c>
      <c r="F183" s="74">
        <v>0.60190476784461122</v>
      </c>
      <c r="G183" s="29">
        <v>-110</v>
      </c>
      <c r="H183" s="50" t="s">
        <v>57</v>
      </c>
      <c r="I18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8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183" s="40" t="str">
        <f>MID(Tracker[[#This Row],[Game]],SEARCH("@",Tracker[[#This Row],[Game]])+2,LEN(Tracker[[#This Row],[Game]]))</f>
        <v>Clippers</v>
      </c>
      <c r="L183" s="40" t="str">
        <f>LEFT(Tracker[[#This Row],[Game]],SEARCH("@",Tracker[[#This Row],[Game]])-2)</f>
        <v>Magic</v>
      </c>
      <c r="M18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183" s="123"/>
      <c r="O183" s="147"/>
      <c r="P183" s="147"/>
      <c r="Q183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83" s="147" t="e">
        <f>IF(AND(Tracker[[#This Row],[Money %]]&lt;&gt;"",Tracker[[#This Row],[Bet %]]&lt;&gt;""),Tracker[[#This Row],[Money %]]-Tracker[[#This Row],[Bet %]],NA())</f>
        <v>#N/A</v>
      </c>
      <c r="S183" s="109"/>
      <c r="T183" s="109"/>
      <c r="U183" s="56">
        <f>IFERROR(INDEX($A$4:$B10179,MATCH(ROW()-3,$A$4:$A$4:$A1179,0),2),0)</f>
        <v>0</v>
      </c>
      <c r="V183" s="33" t="str">
        <f>COUNTIFS(Tracker[Date],U183,Tracker[Result],"W")&amp;"-"&amp;COUNTIFS(Tracker[Date],U183,Tracker[Result],"L")&amp;IF(COUNTIFS(Tracker[Date],U183,Tracker[Result],"Push")&gt;0,"-"&amp;COUNTIFS(Tracker[Date],U183,Tracker[Result],"Push"),"")</f>
        <v>0-0</v>
      </c>
      <c r="W183" s="34" t="str">
        <f>IFERROR(COUNTIFS(Tracker[Date],U183,Tracker[Result],"W")/(COUNTIFS(Tracker[Date],U183,Tracker[Result],"W")+COUNTIFS(Tracker[Date],U183,Tracker[Result],"L")),"")</f>
        <v/>
      </c>
      <c r="X183" s="61">
        <f>SUMIF(Tracker[Date],U183,Tracker[Net])</f>
        <v>0</v>
      </c>
      <c r="Y183" s="35" t="str">
        <f>IFERROR("("&amp;ROUND(SUMIF(Tracker[Date],U183,Tracker[Net])/COUNTIF(Tracker[Date],U183),2)*100&amp;"%)","")</f>
        <v/>
      </c>
    </row>
    <row r="184" spans="1:25" x14ac:dyDescent="0.25">
      <c r="A184" s="36">
        <f t="shared" si="36"/>
        <v>20</v>
      </c>
      <c r="B184" s="25">
        <v>43846</v>
      </c>
      <c r="C184" s="25" t="str">
        <f t="shared" si="37"/>
        <v>NBA</v>
      </c>
      <c r="D184" s="26" t="s">
        <v>1119</v>
      </c>
      <c r="E184" s="28" t="s">
        <v>918</v>
      </c>
      <c r="F184" s="74">
        <v>0.58789386508085317</v>
      </c>
      <c r="G184" s="29">
        <v>-110</v>
      </c>
      <c r="H184" s="50" t="s">
        <v>847</v>
      </c>
      <c r="I18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</v>
      </c>
      <c r="J18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184" s="40" t="str">
        <f>MID(Tracker[[#This Row],[Game]],SEARCH("@",Tracker[[#This Row],[Game]])+2,LEN(Tracker[[#This Row],[Game]]))</f>
        <v>Clippers</v>
      </c>
      <c r="L184" s="40" t="str">
        <f>LEFT(Tracker[[#This Row],[Game]],SEARCH("@",Tracker[[#This Row],[Game]])-2)</f>
        <v>Magic</v>
      </c>
      <c r="M18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184" s="123"/>
      <c r="O184" s="147"/>
      <c r="P184" s="147"/>
      <c r="Q18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84" s="147" t="e">
        <f>IF(AND(Tracker[[#This Row],[Money %]]&lt;&gt;"",Tracker[[#This Row],[Bet %]]&lt;&gt;""),Tracker[[#This Row],[Money %]]-Tracker[[#This Row],[Bet %]],NA())</f>
        <v>#N/A</v>
      </c>
      <c r="S184" s="109"/>
      <c r="T184" s="109"/>
      <c r="U184" s="56">
        <f>IFERROR(INDEX($A$4:$B10180,MATCH(ROW()-3,$A$4:$A$4:$A1180,0),2),0)</f>
        <v>0</v>
      </c>
      <c r="V184" s="33" t="str">
        <f>COUNTIFS(Tracker[Date],U184,Tracker[Result],"W")&amp;"-"&amp;COUNTIFS(Tracker[Date],U184,Tracker[Result],"L")&amp;IF(COUNTIFS(Tracker[Date],U184,Tracker[Result],"Push")&gt;0,"-"&amp;COUNTIFS(Tracker[Date],U184,Tracker[Result],"Push"),"")</f>
        <v>0-0</v>
      </c>
      <c r="W184" s="34" t="str">
        <f>IFERROR(COUNTIFS(Tracker[Date],U184,Tracker[Result],"W")/(COUNTIFS(Tracker[Date],U184,Tracker[Result],"W")+COUNTIFS(Tracker[Date],U184,Tracker[Result],"L")),"")</f>
        <v/>
      </c>
      <c r="X184" s="61">
        <f>SUMIF(Tracker[Date],U184,Tracker[Net])</f>
        <v>0</v>
      </c>
      <c r="Y184" s="35" t="str">
        <f>IFERROR("("&amp;ROUND(SUMIF(Tracker[Date],U184,Tracker[Net])/COUNTIF(Tracker[Date],U184),2)*100&amp;"%)","")</f>
        <v/>
      </c>
    </row>
    <row r="185" spans="1:25" x14ac:dyDescent="0.25">
      <c r="A185" s="36">
        <f t="shared" si="36"/>
        <v>21</v>
      </c>
      <c r="B185" s="25">
        <v>43847</v>
      </c>
      <c r="C185" s="25" t="str">
        <f t="shared" si="37"/>
        <v>NBA</v>
      </c>
      <c r="D185" s="26" t="s">
        <v>1098</v>
      </c>
      <c r="E185" s="28" t="s">
        <v>1099</v>
      </c>
      <c r="F185" s="74">
        <v>0.59245320299977844</v>
      </c>
      <c r="G185" s="29">
        <v>-110</v>
      </c>
      <c r="H185" s="50" t="s">
        <v>56</v>
      </c>
      <c r="I18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8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185" s="40" t="str">
        <f>MID(Tracker[[#This Row],[Game]],SEARCH("@",Tracker[[#This Row],[Game]])+2,LEN(Tracker[[#This Row],[Game]]))</f>
        <v>Pacers</v>
      </c>
      <c r="L185" s="40" t="str">
        <f>LEFT(Tracker[[#This Row],[Game]],SEARCH("@",Tracker[[#This Row],[Game]])-2)</f>
        <v>Timberwolves</v>
      </c>
      <c r="M18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185" s="123"/>
      <c r="O185" s="147"/>
      <c r="P185" s="147"/>
      <c r="Q18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85" s="147" t="e">
        <f>IF(AND(Tracker[[#This Row],[Money %]]&lt;&gt;"",Tracker[[#This Row],[Bet %]]&lt;&gt;""),Tracker[[#This Row],[Money %]]-Tracker[[#This Row],[Bet %]],NA())</f>
        <v>#N/A</v>
      </c>
      <c r="S185" s="109"/>
      <c r="T185" s="109"/>
      <c r="U185" s="56">
        <f>IFERROR(INDEX($A$4:$B10181,MATCH(ROW()-3,$A$4:$A$4:$A1181,0),2),0)</f>
        <v>0</v>
      </c>
      <c r="V185" s="33" t="str">
        <f>COUNTIFS(Tracker[Date],U185,Tracker[Result],"W")&amp;"-"&amp;COUNTIFS(Tracker[Date],U185,Tracker[Result],"L")&amp;IF(COUNTIFS(Tracker[Date],U185,Tracker[Result],"Push")&gt;0,"-"&amp;COUNTIFS(Tracker[Date],U185,Tracker[Result],"Push"),"")</f>
        <v>0-0</v>
      </c>
      <c r="W185" s="34" t="str">
        <f>IFERROR(COUNTIFS(Tracker[Date],U185,Tracker[Result],"W")/(COUNTIFS(Tracker[Date],U185,Tracker[Result],"W")+COUNTIFS(Tracker[Date],U185,Tracker[Result],"L")),"")</f>
        <v/>
      </c>
      <c r="X185" s="61">
        <f>SUMIF(Tracker[Date],U185,Tracker[Net])</f>
        <v>0</v>
      </c>
      <c r="Y185" s="35" t="str">
        <f>IFERROR("("&amp;ROUND(SUMIF(Tracker[Date],U185,Tracker[Net])/COUNTIF(Tracker[Date],U185),2)*100&amp;"%)","")</f>
        <v/>
      </c>
    </row>
    <row r="186" spans="1:25" x14ac:dyDescent="0.25">
      <c r="A186" s="36">
        <f t="shared" si="36"/>
        <v>21</v>
      </c>
      <c r="B186" s="25">
        <v>43847</v>
      </c>
      <c r="C186" s="25" t="str">
        <f t="shared" si="37"/>
        <v>NBA</v>
      </c>
      <c r="D186" s="26" t="s">
        <v>1098</v>
      </c>
      <c r="E186" s="28" t="s">
        <v>1100</v>
      </c>
      <c r="F186" s="74">
        <v>0.78048457689909145</v>
      </c>
      <c r="G186" s="29">
        <v>-110</v>
      </c>
      <c r="H186" s="50" t="s">
        <v>56</v>
      </c>
      <c r="I18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8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186" s="40" t="str">
        <f>MID(Tracker[[#This Row],[Game]],SEARCH("@",Tracker[[#This Row],[Game]])+2,LEN(Tracker[[#This Row],[Game]]))</f>
        <v>Pacers</v>
      </c>
      <c r="L186" s="40" t="str">
        <f>LEFT(Tracker[[#This Row],[Game]],SEARCH("@",Tracker[[#This Row],[Game]])-2)</f>
        <v>Timberwolves</v>
      </c>
      <c r="M18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186" s="123"/>
      <c r="O186" s="147"/>
      <c r="P186" s="147"/>
      <c r="Q186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86" s="147" t="e">
        <f>IF(AND(Tracker[[#This Row],[Money %]]&lt;&gt;"",Tracker[[#This Row],[Bet %]]&lt;&gt;""),Tracker[[#This Row],[Money %]]-Tracker[[#This Row],[Bet %]],NA())</f>
        <v>#N/A</v>
      </c>
      <c r="S186" s="109"/>
      <c r="T186" s="109"/>
      <c r="U186" s="56">
        <f>IFERROR(INDEX($A$4:$B10182,MATCH(ROW()-3,$A$4:$A$4:$A1182,0),2),0)</f>
        <v>0</v>
      </c>
      <c r="V186" s="33" t="str">
        <f>COUNTIFS(Tracker[Date],U186,Tracker[Result],"W")&amp;"-"&amp;COUNTIFS(Tracker[Date],U186,Tracker[Result],"L")&amp;IF(COUNTIFS(Tracker[Date],U186,Tracker[Result],"Push")&gt;0,"-"&amp;COUNTIFS(Tracker[Date],U186,Tracker[Result],"Push"),"")</f>
        <v>0-0</v>
      </c>
      <c r="W186" s="34" t="str">
        <f>IFERROR(COUNTIFS(Tracker[Date],U186,Tracker[Result],"W")/(COUNTIFS(Tracker[Date],U186,Tracker[Result],"W")+COUNTIFS(Tracker[Date],U186,Tracker[Result],"L")),"")</f>
        <v/>
      </c>
      <c r="X186" s="61">
        <f>SUMIF(Tracker[Date],U186,Tracker[Net])</f>
        <v>0</v>
      </c>
      <c r="Y186" s="35" t="str">
        <f>IFERROR("("&amp;ROUND(SUMIF(Tracker[Date],U186,Tracker[Net])/COUNTIF(Tracker[Date],U186),2)*100&amp;"%)","")</f>
        <v/>
      </c>
    </row>
    <row r="187" spans="1:25" x14ac:dyDescent="0.25">
      <c r="A187" s="36">
        <f t="shared" si="36"/>
        <v>21</v>
      </c>
      <c r="B187" s="25">
        <v>43847</v>
      </c>
      <c r="C187" s="25" t="str">
        <f t="shared" si="37"/>
        <v>NBA</v>
      </c>
      <c r="D187" s="26" t="s">
        <v>1101</v>
      </c>
      <c r="E187" s="28" t="s">
        <v>1102</v>
      </c>
      <c r="F187" s="74">
        <v>0.58241733313662869</v>
      </c>
      <c r="G187" s="29">
        <v>-110</v>
      </c>
      <c r="H187" s="50" t="s">
        <v>57</v>
      </c>
      <c r="I18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8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187" s="40" t="str">
        <f>MID(Tracker[[#This Row],[Game]],SEARCH("@",Tracker[[#This Row],[Game]])+2,LEN(Tracker[[#This Row],[Game]]))</f>
        <v>76ers</v>
      </c>
      <c r="L187" s="40" t="str">
        <f>LEFT(Tracker[[#This Row],[Game]],SEARCH("@",Tracker[[#This Row],[Game]])-2)</f>
        <v>Bulls</v>
      </c>
      <c r="M18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187" s="123"/>
      <c r="O187" s="147"/>
      <c r="P187" s="147"/>
      <c r="Q187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87" s="147" t="e">
        <f>IF(AND(Tracker[[#This Row],[Money %]]&lt;&gt;"",Tracker[[#This Row],[Bet %]]&lt;&gt;""),Tracker[[#This Row],[Money %]]-Tracker[[#This Row],[Bet %]],NA())</f>
        <v>#N/A</v>
      </c>
      <c r="S187" s="109"/>
      <c r="T187" s="109"/>
      <c r="U187" s="56">
        <f>IFERROR(INDEX($A$4:$B10183,MATCH(ROW()-3,$A$4:$A$4:$A1183,0),2),0)</f>
        <v>0</v>
      </c>
      <c r="V187" s="33" t="str">
        <f>COUNTIFS(Tracker[Date],U187,Tracker[Result],"W")&amp;"-"&amp;COUNTIFS(Tracker[Date],U187,Tracker[Result],"L")&amp;IF(COUNTIFS(Tracker[Date],U187,Tracker[Result],"Push")&gt;0,"-"&amp;COUNTIFS(Tracker[Date],U187,Tracker[Result],"Push"),"")</f>
        <v>0-0</v>
      </c>
      <c r="W187" s="34" t="str">
        <f>IFERROR(COUNTIFS(Tracker[Date],U187,Tracker[Result],"W")/(COUNTIFS(Tracker[Date],U187,Tracker[Result],"W")+COUNTIFS(Tracker[Date],U187,Tracker[Result],"L")),"")</f>
        <v/>
      </c>
      <c r="X187" s="61">
        <f>SUMIF(Tracker[Date],U187,Tracker[Net])</f>
        <v>0</v>
      </c>
    </row>
    <row r="188" spans="1:25" x14ac:dyDescent="0.25">
      <c r="A188" s="36">
        <f t="shared" si="36"/>
        <v>21</v>
      </c>
      <c r="B188" s="25">
        <v>43847</v>
      </c>
      <c r="C188" s="25" t="str">
        <f t="shared" si="37"/>
        <v>NBA</v>
      </c>
      <c r="D188" s="26" t="s">
        <v>1101</v>
      </c>
      <c r="E188" s="28" t="s">
        <v>1103</v>
      </c>
      <c r="F188" s="74">
        <v>0.668810095220567</v>
      </c>
      <c r="G188" s="29">
        <v>-110</v>
      </c>
      <c r="H188" s="50" t="s">
        <v>57</v>
      </c>
      <c r="I18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8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188" s="40" t="str">
        <f>MID(Tracker[[#This Row],[Game]],SEARCH("@",Tracker[[#This Row],[Game]])+2,LEN(Tracker[[#This Row],[Game]]))</f>
        <v>76ers</v>
      </c>
      <c r="L188" s="40" t="str">
        <f>LEFT(Tracker[[#This Row],[Game]],SEARCH("@",Tracker[[#This Row],[Game]])-2)</f>
        <v>Bulls</v>
      </c>
      <c r="M18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188" s="123"/>
      <c r="O188" s="147"/>
      <c r="P188" s="147"/>
      <c r="Q188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88" s="147" t="e">
        <f>IF(AND(Tracker[[#This Row],[Money %]]&lt;&gt;"",Tracker[[#This Row],[Bet %]]&lt;&gt;""),Tracker[[#This Row],[Money %]]-Tracker[[#This Row],[Bet %]],NA())</f>
        <v>#N/A</v>
      </c>
      <c r="S188" s="109"/>
      <c r="T188" s="109"/>
      <c r="U188" s="56">
        <f>IFERROR(INDEX($A$4:$B10184,MATCH(ROW()-3,$A$4:$A$4:$A1184,0),2),0)</f>
        <v>0</v>
      </c>
      <c r="V188" s="33" t="str">
        <f>COUNTIFS(Tracker[Date],U188,Tracker[Result],"W")&amp;"-"&amp;COUNTIFS(Tracker[Date],U188,Tracker[Result],"L")&amp;IF(COUNTIFS(Tracker[Date],U188,Tracker[Result],"Push")&gt;0,"-"&amp;COUNTIFS(Tracker[Date],U188,Tracker[Result],"Push"),"")</f>
        <v>0-0</v>
      </c>
      <c r="W188" s="34" t="str">
        <f>IFERROR(COUNTIFS(Tracker[Date],U188,Tracker[Result],"W")/(COUNTIFS(Tracker[Date],U188,Tracker[Result],"W")+COUNTIFS(Tracker[Date],U188,Tracker[Result],"L")),"")</f>
        <v/>
      </c>
      <c r="X188" s="61">
        <f>SUMIF(Tracker[Date],U188,Tracker[Net])</f>
        <v>0</v>
      </c>
    </row>
    <row r="189" spans="1:25" x14ac:dyDescent="0.25">
      <c r="A189" s="36">
        <f t="shared" si="36"/>
        <v>21</v>
      </c>
      <c r="B189" s="25">
        <v>43847</v>
      </c>
      <c r="C189" s="25" t="str">
        <f t="shared" si="37"/>
        <v>NBA</v>
      </c>
      <c r="D189" s="81" t="s">
        <v>1104</v>
      </c>
      <c r="E189" s="82" t="s">
        <v>1105</v>
      </c>
      <c r="F189" s="74">
        <v>0.58716230952501858</v>
      </c>
      <c r="G189" s="29">
        <v>-110</v>
      </c>
      <c r="H189" s="50" t="s">
        <v>56</v>
      </c>
      <c r="I18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8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189" s="40" t="str">
        <f>MID(Tracker[[#This Row],[Game]],SEARCH("@",Tracker[[#This Row],[Game]])+2,LEN(Tracker[[#This Row],[Game]]))</f>
        <v>Raptors</v>
      </c>
      <c r="L189" s="40" t="str">
        <f>LEFT(Tracker[[#This Row],[Game]],SEARCH("@",Tracker[[#This Row],[Game]])-2)</f>
        <v>Wizards</v>
      </c>
      <c r="M18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189" s="123"/>
      <c r="O189" s="147"/>
      <c r="P189" s="147"/>
      <c r="Q189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89" s="147" t="e">
        <f>IF(AND(Tracker[[#This Row],[Money %]]&lt;&gt;"",Tracker[[#This Row],[Bet %]]&lt;&gt;""),Tracker[[#This Row],[Money %]]-Tracker[[#This Row],[Bet %]],NA())</f>
        <v>#N/A</v>
      </c>
      <c r="S189" s="109"/>
      <c r="T189" s="109"/>
      <c r="U189" s="56">
        <f>IFERROR(INDEX($A$4:$B10185,MATCH(ROW()-3,$A$4:$A$4:$A1185,0),2),0)</f>
        <v>0</v>
      </c>
      <c r="V189" s="33" t="str">
        <f>COUNTIFS(Tracker[Date],U189,Tracker[Result],"W")&amp;"-"&amp;COUNTIFS(Tracker[Date],U189,Tracker[Result],"L")&amp;IF(COUNTIFS(Tracker[Date],U189,Tracker[Result],"Push")&gt;0,"-"&amp;COUNTIFS(Tracker[Date],U189,Tracker[Result],"Push"),"")</f>
        <v>0-0</v>
      </c>
      <c r="W189" s="34" t="str">
        <f>IFERROR(COUNTIFS(Tracker[Date],U189,Tracker[Result],"W")/(COUNTIFS(Tracker[Date],U189,Tracker[Result],"W")+COUNTIFS(Tracker[Date],U189,Tracker[Result],"L")),"")</f>
        <v/>
      </c>
      <c r="X189" s="61">
        <f>SUMIF(Tracker[Date],U189,Tracker[Net])</f>
        <v>0</v>
      </c>
    </row>
    <row r="190" spans="1:25" x14ac:dyDescent="0.25">
      <c r="A190" s="36">
        <f t="shared" si="36"/>
        <v>21</v>
      </c>
      <c r="B190" s="25">
        <v>43847</v>
      </c>
      <c r="C190" s="25" t="str">
        <f t="shared" si="37"/>
        <v>NBA</v>
      </c>
      <c r="D190" s="81" t="s">
        <v>1106</v>
      </c>
      <c r="E190" s="82" t="s">
        <v>1100</v>
      </c>
      <c r="F190" s="83">
        <v>0.66483486619937282</v>
      </c>
      <c r="G190" s="29">
        <v>-110</v>
      </c>
      <c r="H190" s="50" t="s">
        <v>56</v>
      </c>
      <c r="I19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9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190" s="40" t="str">
        <f>MID(Tracker[[#This Row],[Game]],SEARCH("@",Tracker[[#This Row],[Game]])+2,LEN(Tracker[[#This Row],[Game]]))</f>
        <v>Thunder</v>
      </c>
      <c r="L190" s="40" t="str">
        <f>LEFT(Tracker[[#This Row],[Game]],SEARCH("@",Tracker[[#This Row],[Game]])-2)</f>
        <v>Heat</v>
      </c>
      <c r="M19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190" s="123"/>
      <c r="O190" s="147"/>
      <c r="P190" s="147"/>
      <c r="Q190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90" s="147" t="e">
        <f>IF(AND(Tracker[[#This Row],[Money %]]&lt;&gt;"",Tracker[[#This Row],[Bet %]]&lt;&gt;""),Tracker[[#This Row],[Money %]]-Tracker[[#This Row],[Bet %]],NA())</f>
        <v>#N/A</v>
      </c>
      <c r="S190" s="109"/>
      <c r="T190" s="109"/>
      <c r="U190" s="56">
        <f>IFERROR(INDEX($A$4:$B10186,MATCH(ROW()-3,$A$4:$A$4:$A1186,0),2),0)</f>
        <v>0</v>
      </c>
      <c r="V190" s="33" t="str">
        <f>COUNTIFS(Tracker[Date],U190,Tracker[Result],"W")&amp;"-"&amp;COUNTIFS(Tracker[Date],U190,Tracker[Result],"L")&amp;IF(COUNTIFS(Tracker[Date],U190,Tracker[Result],"Push")&gt;0,"-"&amp;COUNTIFS(Tracker[Date],U190,Tracker[Result],"Push"),"")</f>
        <v>0-0</v>
      </c>
      <c r="W190" s="34" t="str">
        <f>IFERROR(COUNTIFS(Tracker[Date],U190,Tracker[Result],"W")/(COUNTIFS(Tracker[Date],U190,Tracker[Result],"W")+COUNTIFS(Tracker[Date],U190,Tracker[Result],"L")),"")</f>
        <v/>
      </c>
      <c r="X190" s="61">
        <f>SUMIF(Tracker[Date],U190,Tracker[Net])</f>
        <v>0</v>
      </c>
    </row>
    <row r="191" spans="1:25" x14ac:dyDescent="0.25">
      <c r="A191" s="36">
        <f t="shared" si="36"/>
        <v>21</v>
      </c>
      <c r="B191" s="25">
        <v>43847</v>
      </c>
      <c r="C191" s="25" t="str">
        <f t="shared" si="37"/>
        <v>NBA</v>
      </c>
      <c r="D191" s="81" t="s">
        <v>1107</v>
      </c>
      <c r="E191" s="82" t="s">
        <v>1108</v>
      </c>
      <c r="F191" s="83">
        <v>0.68236558819189697</v>
      </c>
      <c r="G191" s="29">
        <v>-110</v>
      </c>
      <c r="H191" s="50" t="s">
        <v>56</v>
      </c>
      <c r="I19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9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191" s="40" t="str">
        <f>MID(Tracker[[#This Row],[Game]],SEARCH("@",Tracker[[#This Row],[Game]])+2,LEN(Tracker[[#This Row],[Game]]))</f>
        <v>Grizzlies</v>
      </c>
      <c r="L191" s="40" t="str">
        <f>LEFT(Tracker[[#This Row],[Game]],SEARCH("@",Tracker[[#This Row],[Game]])-2)</f>
        <v>Cavaliers</v>
      </c>
      <c r="M19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191" s="123"/>
      <c r="O191" s="147"/>
      <c r="P191" s="147"/>
      <c r="Q191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91" s="147" t="e">
        <f>IF(AND(Tracker[[#This Row],[Money %]]&lt;&gt;"",Tracker[[#This Row],[Bet %]]&lt;&gt;""),Tracker[[#This Row],[Money %]]-Tracker[[#This Row],[Bet %]],NA())</f>
        <v>#N/A</v>
      </c>
      <c r="S191" s="109"/>
      <c r="T191" s="109"/>
      <c r="U191" s="56">
        <f>IFERROR(INDEX($A$4:$B10187,MATCH(ROW()-3,$A$4:$A$4:$A1187,0),2),0)</f>
        <v>0</v>
      </c>
      <c r="V191" s="33" t="str">
        <f>COUNTIFS(Tracker[Date],U191,Tracker[Result],"W")&amp;"-"&amp;COUNTIFS(Tracker[Date],U191,Tracker[Result],"L")&amp;IF(COUNTIFS(Tracker[Date],U191,Tracker[Result],"Push")&gt;0,"-"&amp;COUNTIFS(Tracker[Date],U191,Tracker[Result],"Push"),"")</f>
        <v>0-0</v>
      </c>
      <c r="W191" s="34" t="str">
        <f>IFERROR(COUNTIFS(Tracker[Date],U191,Tracker[Result],"W")/(COUNTIFS(Tracker[Date],U191,Tracker[Result],"W")+COUNTIFS(Tracker[Date],U191,Tracker[Result],"L")),"")</f>
        <v/>
      </c>
      <c r="X191" s="61">
        <f>SUMIF(Tracker[Date],U191,Tracker[Net])</f>
        <v>0</v>
      </c>
    </row>
    <row r="192" spans="1:25" x14ac:dyDescent="0.25">
      <c r="A192" s="36">
        <f t="shared" si="36"/>
        <v>21</v>
      </c>
      <c r="B192" s="25">
        <v>43847</v>
      </c>
      <c r="C192" s="25" t="str">
        <f t="shared" si="37"/>
        <v>NBA</v>
      </c>
      <c r="D192" s="81" t="s">
        <v>1107</v>
      </c>
      <c r="E192" s="82" t="s">
        <v>1112</v>
      </c>
      <c r="F192" s="83">
        <v>0.64415580526233518</v>
      </c>
      <c r="G192" s="29">
        <v>-110</v>
      </c>
      <c r="H192" s="50" t="s">
        <v>57</v>
      </c>
      <c r="I19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9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192" s="40" t="str">
        <f>MID(Tracker[[#This Row],[Game]],SEARCH("@",Tracker[[#This Row],[Game]])+2,LEN(Tracker[[#This Row],[Game]]))</f>
        <v>Grizzlies</v>
      </c>
      <c r="L192" s="40" t="str">
        <f>LEFT(Tracker[[#This Row],[Game]],SEARCH("@",Tracker[[#This Row],[Game]])-2)</f>
        <v>Cavaliers</v>
      </c>
      <c r="M19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192" s="123"/>
      <c r="O192" s="147"/>
      <c r="P192" s="147"/>
      <c r="Q192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92" s="147" t="e">
        <f>IF(AND(Tracker[[#This Row],[Money %]]&lt;&gt;"",Tracker[[#This Row],[Bet %]]&lt;&gt;""),Tracker[[#This Row],[Money %]]-Tracker[[#This Row],[Bet %]],NA())</f>
        <v>#N/A</v>
      </c>
      <c r="S192" s="109"/>
      <c r="T192" s="109"/>
      <c r="U192" s="56">
        <f>IFERROR(INDEX($A$4:$B10188,MATCH(ROW()-3,$A$4:$A$4:$A1188,0),2),0)</f>
        <v>0</v>
      </c>
      <c r="V192" s="33" t="str">
        <f>COUNTIFS(Tracker[Date],U192,Tracker[Result],"W")&amp;"-"&amp;COUNTIFS(Tracker[Date],U192,Tracker[Result],"L")&amp;IF(COUNTIFS(Tracker[Date],U192,Tracker[Result],"Push")&gt;0,"-"&amp;COUNTIFS(Tracker[Date],U192,Tracker[Result],"Push"),"")</f>
        <v>0-0</v>
      </c>
      <c r="W192" s="34" t="str">
        <f>IFERROR(COUNTIFS(Tracker[Date],U192,Tracker[Result],"W")/(COUNTIFS(Tracker[Date],U192,Tracker[Result],"W")+COUNTIFS(Tracker[Date],U192,Tracker[Result],"L")),"")</f>
        <v/>
      </c>
      <c r="X192" s="61">
        <f>SUMIF(Tracker[Date],U192,Tracker[Net])</f>
        <v>0</v>
      </c>
    </row>
    <row r="193" spans="1:24" x14ac:dyDescent="0.25">
      <c r="A193" s="36">
        <f t="shared" si="36"/>
        <v>21</v>
      </c>
      <c r="B193" s="25">
        <v>43847</v>
      </c>
      <c r="C193" s="25" t="str">
        <f t="shared" si="37"/>
        <v>NBA</v>
      </c>
      <c r="D193" s="81" t="s">
        <v>1109</v>
      </c>
      <c r="E193" s="82" t="s">
        <v>1110</v>
      </c>
      <c r="F193" s="83">
        <v>0.59167146468735288</v>
      </c>
      <c r="G193" s="29">
        <v>-110</v>
      </c>
      <c r="H193" s="50" t="s">
        <v>56</v>
      </c>
      <c r="I19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9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193" s="40" t="str">
        <f>MID(Tracker[[#This Row],[Game]],SEARCH("@",Tracker[[#This Row],[Game]])+2,LEN(Tracker[[#This Row],[Game]]))</f>
        <v>Spurs</v>
      </c>
      <c r="L193" s="40" t="str">
        <f>LEFT(Tracker[[#This Row],[Game]],SEARCH("@",Tracker[[#This Row],[Game]])-2)</f>
        <v>Hawks</v>
      </c>
      <c r="M19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193" s="123"/>
      <c r="O193" s="147"/>
      <c r="P193" s="147"/>
      <c r="Q193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93" s="147" t="e">
        <f>IF(AND(Tracker[[#This Row],[Money %]]&lt;&gt;"",Tracker[[#This Row],[Bet %]]&lt;&gt;""),Tracker[[#This Row],[Money %]]-Tracker[[#This Row],[Bet %]],NA())</f>
        <v>#N/A</v>
      </c>
      <c r="S193" s="109"/>
      <c r="T193" s="109"/>
      <c r="U193" s="56">
        <f>IFERROR(INDEX($A$4:$B10189,MATCH(ROW()-3,$A$4:$A$4:$A1189,0),2),0)</f>
        <v>0</v>
      </c>
      <c r="V193" s="33" t="str">
        <f>COUNTIFS(Tracker[Date],U193,Tracker[Result],"W")&amp;"-"&amp;COUNTIFS(Tracker[Date],U193,Tracker[Result],"L")&amp;IF(COUNTIFS(Tracker[Date],U193,Tracker[Result],"Push")&gt;0,"-"&amp;COUNTIFS(Tracker[Date],U193,Tracker[Result],"Push"),"")</f>
        <v>0-0</v>
      </c>
      <c r="W193" s="34" t="str">
        <f>IFERROR(COUNTIFS(Tracker[Date],U193,Tracker[Result],"W")/(COUNTIFS(Tracker[Date],U193,Tracker[Result],"W")+COUNTIFS(Tracker[Date],U193,Tracker[Result],"L")),"")</f>
        <v/>
      </c>
      <c r="X193" s="61">
        <f>SUMIF(Tracker[Date],U193,Tracker[Net])</f>
        <v>0</v>
      </c>
    </row>
    <row r="194" spans="1:24" x14ac:dyDescent="0.25">
      <c r="A194" s="36">
        <f t="shared" si="36"/>
        <v>21</v>
      </c>
      <c r="B194" s="25">
        <v>43847</v>
      </c>
      <c r="C194" s="25" t="str">
        <f t="shared" si="37"/>
        <v>NBA</v>
      </c>
      <c r="D194" s="81" t="s">
        <v>1109</v>
      </c>
      <c r="E194" s="82" t="s">
        <v>1121</v>
      </c>
      <c r="F194" s="83">
        <v>0.61920995169500503</v>
      </c>
      <c r="G194" s="29">
        <v>-110</v>
      </c>
      <c r="H194" s="50" t="s">
        <v>56</v>
      </c>
      <c r="I19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9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194" s="40" t="str">
        <f>MID(Tracker[[#This Row],[Game]],SEARCH("@",Tracker[[#This Row],[Game]])+2,LEN(Tracker[[#This Row],[Game]]))</f>
        <v>Spurs</v>
      </c>
      <c r="L194" s="40" t="str">
        <f>LEFT(Tracker[[#This Row],[Game]],SEARCH("@",Tracker[[#This Row],[Game]])-2)</f>
        <v>Hawks</v>
      </c>
      <c r="M19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194" s="123"/>
      <c r="O194" s="147"/>
      <c r="P194" s="147"/>
      <c r="Q19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94" s="147" t="e">
        <f>IF(AND(Tracker[[#This Row],[Money %]]&lt;&gt;"",Tracker[[#This Row],[Bet %]]&lt;&gt;""),Tracker[[#This Row],[Money %]]-Tracker[[#This Row],[Bet %]],NA())</f>
        <v>#N/A</v>
      </c>
      <c r="S194" s="109"/>
      <c r="T194" s="109"/>
      <c r="U194" s="56">
        <f>IFERROR(INDEX($A$4:$B10190,MATCH(ROW()-3,$A$4:$A$4:$A1190,0),2),0)</f>
        <v>0</v>
      </c>
      <c r="V194" s="33" t="str">
        <f>COUNTIFS(Tracker[Date],U194,Tracker[Result],"W")&amp;"-"&amp;COUNTIFS(Tracker[Date],U194,Tracker[Result],"L")&amp;IF(COUNTIFS(Tracker[Date],U194,Tracker[Result],"Push")&gt;0,"-"&amp;COUNTIFS(Tracker[Date],U194,Tracker[Result],"Push"),"")</f>
        <v>0-0</v>
      </c>
      <c r="W194" s="34" t="str">
        <f>IFERROR(COUNTIFS(Tracker[Date],U194,Tracker[Result],"W")/(COUNTIFS(Tracker[Date],U194,Tracker[Result],"W")+COUNTIFS(Tracker[Date],U194,Tracker[Result],"L")),"")</f>
        <v/>
      </c>
      <c r="X194" s="61">
        <f>SUMIF(Tracker[Date],U194,Tracker[Net])</f>
        <v>0</v>
      </c>
    </row>
    <row r="195" spans="1:24" x14ac:dyDescent="0.25">
      <c r="A195" s="36">
        <f t="shared" si="36"/>
        <v>21</v>
      </c>
      <c r="B195" s="25">
        <v>43847</v>
      </c>
      <c r="C195" s="25" t="str">
        <f t="shared" si="37"/>
        <v>NBA</v>
      </c>
      <c r="D195" s="81" t="s">
        <v>1111</v>
      </c>
      <c r="E195" s="82" t="s">
        <v>976</v>
      </c>
      <c r="F195" s="74">
        <v>0.57819119485557113</v>
      </c>
      <c r="G195" s="29">
        <v>-110</v>
      </c>
      <c r="H195" s="50" t="s">
        <v>56</v>
      </c>
      <c r="I19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9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195" s="40" t="str">
        <f>MID(Tracker[[#This Row],[Game]],SEARCH("@",Tracker[[#This Row],[Game]])+2,LEN(Tracker[[#This Row],[Game]]))</f>
        <v>Mavericks</v>
      </c>
      <c r="L195" s="40" t="str">
        <f>LEFT(Tracker[[#This Row],[Game]],SEARCH("@",Tracker[[#This Row],[Game]])-2)</f>
        <v>Trail Blazers</v>
      </c>
      <c r="M19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195" s="123"/>
      <c r="O195" s="147"/>
      <c r="P195" s="147"/>
      <c r="Q19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95" s="147" t="e">
        <f>IF(AND(Tracker[[#This Row],[Money %]]&lt;&gt;"",Tracker[[#This Row],[Bet %]]&lt;&gt;""),Tracker[[#This Row],[Money %]]-Tracker[[#This Row],[Bet %]],NA())</f>
        <v>#N/A</v>
      </c>
      <c r="S195" s="109"/>
      <c r="T195" s="109"/>
      <c r="U195" s="56">
        <f>IFERROR(INDEX($A$4:$B10191,MATCH(ROW()-3,$A$4:$A$4:$A1191,0),2),0)</f>
        <v>0</v>
      </c>
      <c r="V195" s="33" t="str">
        <f>COUNTIFS(Tracker[Date],U195,Tracker[Result],"W")&amp;"-"&amp;COUNTIFS(Tracker[Date],U195,Tracker[Result],"L")&amp;IF(COUNTIFS(Tracker[Date],U195,Tracker[Result],"Push")&gt;0,"-"&amp;COUNTIFS(Tracker[Date],U195,Tracker[Result],"Push"),"")</f>
        <v>0-0</v>
      </c>
      <c r="W195" s="34" t="str">
        <f>IFERROR(COUNTIFS(Tracker[Date],U195,Tracker[Result],"W")/(COUNTIFS(Tracker[Date],U195,Tracker[Result],"W")+COUNTIFS(Tracker[Date],U195,Tracker[Result],"L")),"")</f>
        <v/>
      </c>
      <c r="X195" s="61">
        <f>SUMIF(Tracker[Date],U195,Tracker[Net])</f>
        <v>0</v>
      </c>
    </row>
    <row r="196" spans="1:24" x14ac:dyDescent="0.25">
      <c r="A196" s="36">
        <f t="shared" si="36"/>
        <v>21</v>
      </c>
      <c r="B196" s="25">
        <v>43847</v>
      </c>
      <c r="C196" s="25" t="str">
        <f t="shared" si="37"/>
        <v>NBA</v>
      </c>
      <c r="D196" s="81" t="s">
        <v>1111</v>
      </c>
      <c r="E196" s="82" t="s">
        <v>1112</v>
      </c>
      <c r="F196" s="74">
        <v>0.56078749988264798</v>
      </c>
      <c r="G196" s="29">
        <v>-110</v>
      </c>
      <c r="H196" s="50" t="s">
        <v>56</v>
      </c>
      <c r="I19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19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196" s="40" t="str">
        <f>MID(Tracker[[#This Row],[Game]],SEARCH("@",Tracker[[#This Row],[Game]])+2,LEN(Tracker[[#This Row],[Game]]))</f>
        <v>Mavericks</v>
      </c>
      <c r="L196" s="40" t="str">
        <f>LEFT(Tracker[[#This Row],[Game]],SEARCH("@",Tracker[[#This Row],[Game]])-2)</f>
        <v>Trail Blazers</v>
      </c>
      <c r="M19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196" s="123"/>
      <c r="O196" s="147"/>
      <c r="P196" s="147"/>
      <c r="Q196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96" s="147" t="e">
        <f>IF(AND(Tracker[[#This Row],[Money %]]&lt;&gt;"",Tracker[[#This Row],[Bet %]]&lt;&gt;""),Tracker[[#This Row],[Money %]]-Tracker[[#This Row],[Bet %]],NA())</f>
        <v>#N/A</v>
      </c>
      <c r="S196" s="109"/>
      <c r="T196" s="109"/>
      <c r="U196" s="56">
        <f>IFERROR(INDEX($A$4:$B10192,MATCH(ROW()-3,$A$4:$A$4:$A1192,0),2),0)</f>
        <v>0</v>
      </c>
      <c r="V196" s="33" t="str">
        <f>COUNTIFS(Tracker[Date],U196,Tracker[Result],"W")&amp;"-"&amp;COUNTIFS(Tracker[Date],U196,Tracker[Result],"L")&amp;IF(COUNTIFS(Tracker[Date],U196,Tracker[Result],"Push")&gt;0,"-"&amp;COUNTIFS(Tracker[Date],U196,Tracker[Result],"Push"),"")</f>
        <v>0-0</v>
      </c>
      <c r="W196" s="34" t="str">
        <f>IFERROR(COUNTIFS(Tracker[Date],U196,Tracker[Result],"W")/(COUNTIFS(Tracker[Date],U196,Tracker[Result],"W")+COUNTIFS(Tracker[Date],U196,Tracker[Result],"L")),"")</f>
        <v/>
      </c>
      <c r="X196" s="61">
        <f>SUMIF(Tracker[Date],U196,Tracker[Net])</f>
        <v>0</v>
      </c>
    </row>
    <row r="197" spans="1:24" x14ac:dyDescent="0.25">
      <c r="A197" s="36">
        <f t="shared" ref="A197:A260" si="38">IF(B197=B196,A196,A196+1)</f>
        <v>22</v>
      </c>
      <c r="B197" s="25">
        <v>43850</v>
      </c>
      <c r="C197" s="25" t="str">
        <f t="shared" ref="C197:C220" si="39">"NBA"</f>
        <v>NBA</v>
      </c>
      <c r="D197" s="26" t="s">
        <v>1123</v>
      </c>
      <c r="E197" s="28" t="s">
        <v>1124</v>
      </c>
      <c r="F197" s="74">
        <v>0.63376657246837897</v>
      </c>
      <c r="G197" s="29">
        <v>-110</v>
      </c>
      <c r="H197" s="50" t="s">
        <v>57</v>
      </c>
      <c r="I19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9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197" s="40" t="str">
        <f>MID(Tracker[[#This Row],[Game]],SEARCH("@",Tracker[[#This Row],[Game]])+2,LEN(Tracker[[#This Row],[Game]]))</f>
        <v>Wizards</v>
      </c>
      <c r="L197" s="40" t="str">
        <f>LEFT(Tracker[[#This Row],[Game]],SEARCH("@",Tracker[[#This Row],[Game]])-2)</f>
        <v>Pistons</v>
      </c>
      <c r="M19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197" s="123"/>
      <c r="O197" s="147"/>
      <c r="P197" s="147"/>
      <c r="Q197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97" s="147" t="e">
        <f>IF(AND(Tracker[[#This Row],[Money %]]&lt;&gt;"",Tracker[[#This Row],[Bet %]]&lt;&gt;""),Tracker[[#This Row],[Money %]]-Tracker[[#This Row],[Bet %]],NA())</f>
        <v>#N/A</v>
      </c>
      <c r="S197" s="109"/>
      <c r="T197" s="109"/>
      <c r="U197" s="56">
        <f>IFERROR(INDEX($A$4:$B10193,MATCH(ROW()-3,$A$4:$A$4:$A1193,0),2),0)</f>
        <v>0</v>
      </c>
      <c r="V197" s="33" t="str">
        <f>COUNTIFS(Tracker[Date],U197,Tracker[Result],"W")&amp;"-"&amp;COUNTIFS(Tracker[Date],U197,Tracker[Result],"L")&amp;IF(COUNTIFS(Tracker[Date],U197,Tracker[Result],"Push")&gt;0,"-"&amp;COUNTIFS(Tracker[Date],U197,Tracker[Result],"Push"),"")</f>
        <v>0-0</v>
      </c>
      <c r="W197" s="34" t="str">
        <f>IFERROR(COUNTIFS(Tracker[Date],U197,Tracker[Result],"W")/(COUNTIFS(Tracker[Date],U197,Tracker[Result],"W")+COUNTIFS(Tracker[Date],U197,Tracker[Result],"L")),"")</f>
        <v/>
      </c>
      <c r="X197" s="61">
        <f>SUMIF(Tracker[Date],U197,Tracker[Net])</f>
        <v>0</v>
      </c>
    </row>
    <row r="198" spans="1:24" x14ac:dyDescent="0.25">
      <c r="A198" s="36">
        <f t="shared" si="38"/>
        <v>22</v>
      </c>
      <c r="B198" s="25">
        <v>43850</v>
      </c>
      <c r="C198" s="25" t="str">
        <f t="shared" si="39"/>
        <v>NBA</v>
      </c>
      <c r="D198" s="26" t="s">
        <v>1123</v>
      </c>
      <c r="E198" s="28" t="s">
        <v>1125</v>
      </c>
      <c r="F198" s="74">
        <v>0.57685281884919781</v>
      </c>
      <c r="G198" s="29">
        <v>-110</v>
      </c>
      <c r="H198" s="50" t="s">
        <v>57</v>
      </c>
      <c r="I19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9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198" s="40" t="str">
        <f>MID(Tracker[[#This Row],[Game]],SEARCH("@",Tracker[[#This Row],[Game]])+2,LEN(Tracker[[#This Row],[Game]]))</f>
        <v>Wizards</v>
      </c>
      <c r="L198" s="40" t="str">
        <f>LEFT(Tracker[[#This Row],[Game]],SEARCH("@",Tracker[[#This Row],[Game]])-2)</f>
        <v>Pistons</v>
      </c>
      <c r="M19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198" s="123"/>
      <c r="O198" s="147"/>
      <c r="P198" s="147"/>
      <c r="Q198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98" s="147" t="e">
        <f>IF(AND(Tracker[[#This Row],[Money %]]&lt;&gt;"",Tracker[[#This Row],[Bet %]]&lt;&gt;""),Tracker[[#This Row],[Money %]]-Tracker[[#This Row],[Bet %]],NA())</f>
        <v>#N/A</v>
      </c>
      <c r="S198" s="109"/>
      <c r="T198" s="109"/>
      <c r="U198" s="56">
        <f>IFERROR(INDEX($A$4:$B10194,MATCH(ROW()-3,$A$4:$A$4:$A1194,0),2),0)</f>
        <v>0</v>
      </c>
      <c r="V198" s="33" t="str">
        <f>COUNTIFS(Tracker[Date],U198,Tracker[Result],"W")&amp;"-"&amp;COUNTIFS(Tracker[Date],U198,Tracker[Result],"L")&amp;IF(COUNTIFS(Tracker[Date],U198,Tracker[Result],"Push")&gt;0,"-"&amp;COUNTIFS(Tracker[Date],U198,Tracker[Result],"Push"),"")</f>
        <v>0-0</v>
      </c>
      <c r="W198" s="34" t="str">
        <f>IFERROR(COUNTIFS(Tracker[Date],U198,Tracker[Result],"W")/(COUNTIFS(Tracker[Date],U198,Tracker[Result],"W")+COUNTIFS(Tracker[Date],U198,Tracker[Result],"L")),"")</f>
        <v/>
      </c>
      <c r="X198" s="61">
        <f>SUMIF(Tracker[Date],U198,Tracker[Net])</f>
        <v>0</v>
      </c>
    </row>
    <row r="199" spans="1:24" x14ac:dyDescent="0.25">
      <c r="A199" s="36">
        <f t="shared" si="38"/>
        <v>22</v>
      </c>
      <c r="B199" s="25">
        <v>43850</v>
      </c>
      <c r="C199" s="25" t="str">
        <f t="shared" si="39"/>
        <v>NBA</v>
      </c>
      <c r="D199" s="26" t="s">
        <v>1126</v>
      </c>
      <c r="E199" s="28" t="s">
        <v>1127</v>
      </c>
      <c r="F199" s="74">
        <v>0.62793047779999989</v>
      </c>
      <c r="G199" s="29">
        <v>-110</v>
      </c>
      <c r="H199" s="50" t="s">
        <v>57</v>
      </c>
      <c r="I19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19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199" s="40" t="str">
        <f>MID(Tracker[[#This Row],[Game]],SEARCH("@",Tracker[[#This Row],[Game]])+2,LEN(Tracker[[#This Row],[Game]]))</f>
        <v>Hawks</v>
      </c>
      <c r="L199" s="40" t="str">
        <f>LEFT(Tracker[[#This Row],[Game]],SEARCH("@",Tracker[[#This Row],[Game]])-2)</f>
        <v>Raptors</v>
      </c>
      <c r="M19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199" s="123"/>
      <c r="O199" s="147"/>
      <c r="P199" s="147"/>
      <c r="Q199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199" s="147" t="e">
        <f>IF(AND(Tracker[[#This Row],[Money %]]&lt;&gt;"",Tracker[[#This Row],[Bet %]]&lt;&gt;""),Tracker[[#This Row],[Money %]]-Tracker[[#This Row],[Bet %]],NA())</f>
        <v>#N/A</v>
      </c>
      <c r="S199" s="109"/>
      <c r="T199" s="109"/>
      <c r="U199" s="56">
        <f>IFERROR(INDEX($A$4:$B10195,MATCH(ROW()-3,$A$4:$A$4:$A1195,0),2),0)</f>
        <v>0</v>
      </c>
      <c r="V199" s="33" t="str">
        <f>COUNTIFS(Tracker[Date],U199,Tracker[Result],"W")&amp;"-"&amp;COUNTIFS(Tracker[Date],U199,Tracker[Result],"L")&amp;IF(COUNTIFS(Tracker[Date],U199,Tracker[Result],"Push")&gt;0,"-"&amp;COUNTIFS(Tracker[Date],U199,Tracker[Result],"Push"),"")</f>
        <v>0-0</v>
      </c>
      <c r="W199" s="34" t="str">
        <f>IFERROR(COUNTIFS(Tracker[Date],U199,Tracker[Result],"W")/(COUNTIFS(Tracker[Date],U199,Tracker[Result],"W")+COUNTIFS(Tracker[Date],U199,Tracker[Result],"L")),"")</f>
        <v/>
      </c>
      <c r="X199" s="61">
        <f>SUMIF(Tracker[Date],U199,Tracker[Net])</f>
        <v>0</v>
      </c>
    </row>
    <row r="200" spans="1:24" x14ac:dyDescent="0.25">
      <c r="A200" s="36">
        <f t="shared" si="38"/>
        <v>22</v>
      </c>
      <c r="B200" s="25">
        <v>43850</v>
      </c>
      <c r="C200" s="25" t="str">
        <f t="shared" si="39"/>
        <v>NBA</v>
      </c>
      <c r="D200" s="26" t="s">
        <v>1126</v>
      </c>
      <c r="E200" s="28" t="s">
        <v>1128</v>
      </c>
      <c r="F200" s="74">
        <v>0.56494906830481062</v>
      </c>
      <c r="G200" s="29">
        <v>-110</v>
      </c>
      <c r="H200" s="50" t="s">
        <v>56</v>
      </c>
      <c r="I20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0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200" s="40" t="str">
        <f>MID(Tracker[[#This Row],[Game]],SEARCH("@",Tracker[[#This Row],[Game]])+2,LEN(Tracker[[#This Row],[Game]]))</f>
        <v>Hawks</v>
      </c>
      <c r="L200" s="40" t="str">
        <f>LEFT(Tracker[[#This Row],[Game]],SEARCH("@",Tracker[[#This Row],[Game]])-2)</f>
        <v>Raptors</v>
      </c>
      <c r="M20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200" s="123"/>
      <c r="O200" s="147"/>
      <c r="P200" s="147"/>
      <c r="Q200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00" s="147" t="e">
        <f>IF(AND(Tracker[[#This Row],[Money %]]&lt;&gt;"",Tracker[[#This Row],[Bet %]]&lt;&gt;""),Tracker[[#This Row],[Money %]]-Tracker[[#This Row],[Bet %]],NA())</f>
        <v>#N/A</v>
      </c>
      <c r="S200" s="109"/>
      <c r="T200" s="109"/>
      <c r="U200" s="56">
        <f>IFERROR(INDEX($A$4:$B10196,MATCH(ROW()-3,$A$4:$A$4:$A1196,0),2),0)</f>
        <v>0</v>
      </c>
      <c r="V200" s="33" t="str">
        <f>COUNTIFS(Tracker[Date],U200,Tracker[Result],"W")&amp;"-"&amp;COUNTIFS(Tracker[Date],U200,Tracker[Result],"L")&amp;IF(COUNTIFS(Tracker[Date],U200,Tracker[Result],"Push")&gt;0,"-"&amp;COUNTIFS(Tracker[Date],U200,Tracker[Result],"Push"),"")</f>
        <v>0-0</v>
      </c>
      <c r="W200" s="34" t="str">
        <f>IFERROR(COUNTIFS(Tracker[Date],U200,Tracker[Result],"W")/(COUNTIFS(Tracker[Date],U200,Tracker[Result],"W")+COUNTIFS(Tracker[Date],U200,Tracker[Result],"L")),"")</f>
        <v/>
      </c>
      <c r="X200" s="61">
        <f>SUMIF(Tracker[Date],U200,Tracker[Net])</f>
        <v>0</v>
      </c>
    </row>
    <row r="201" spans="1:24" x14ac:dyDescent="0.25">
      <c r="A201" s="36">
        <f t="shared" si="38"/>
        <v>22</v>
      </c>
      <c r="B201" s="25">
        <v>43850</v>
      </c>
      <c r="C201" s="25" t="str">
        <f t="shared" si="39"/>
        <v>NBA</v>
      </c>
      <c r="D201" s="26" t="s">
        <v>1129</v>
      </c>
      <c r="E201" s="28" t="s">
        <v>1130</v>
      </c>
      <c r="F201" s="74">
        <v>0.66539366834135993</v>
      </c>
      <c r="G201" s="29">
        <v>-110</v>
      </c>
      <c r="H201" s="50" t="s">
        <v>56</v>
      </c>
      <c r="I20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0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201" s="40" t="str">
        <f>MID(Tracker[[#This Row],[Game]],SEARCH("@",Tracker[[#This Row],[Game]])+2,LEN(Tracker[[#This Row],[Game]]))</f>
        <v>Nets</v>
      </c>
      <c r="L201" s="40" t="str">
        <f>LEFT(Tracker[[#This Row],[Game]],SEARCH("@",Tracker[[#This Row],[Game]])-2)</f>
        <v>76ers</v>
      </c>
      <c r="M20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201" s="123"/>
      <c r="O201" s="147"/>
      <c r="P201" s="147"/>
      <c r="Q201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01" s="147" t="e">
        <f>IF(AND(Tracker[[#This Row],[Money %]]&lt;&gt;"",Tracker[[#This Row],[Bet %]]&lt;&gt;""),Tracker[[#This Row],[Money %]]-Tracker[[#This Row],[Bet %]],NA())</f>
        <v>#N/A</v>
      </c>
      <c r="S201" s="109"/>
      <c r="T201" s="109"/>
      <c r="U201" s="56">
        <f>IFERROR(INDEX($A$4:$B10197,MATCH(ROW()-3,$A$4:$A$4:$A1197,0),2),0)</f>
        <v>0</v>
      </c>
      <c r="V201" s="33" t="str">
        <f>COUNTIFS(Tracker[Date],U201,Tracker[Result],"W")&amp;"-"&amp;COUNTIFS(Tracker[Date],U201,Tracker[Result],"L")&amp;IF(COUNTIFS(Tracker[Date],U201,Tracker[Result],"Push")&gt;0,"-"&amp;COUNTIFS(Tracker[Date],U201,Tracker[Result],"Push"),"")</f>
        <v>0-0</v>
      </c>
      <c r="W201" s="34" t="str">
        <f>IFERROR(COUNTIFS(Tracker[Date],U201,Tracker[Result],"W")/(COUNTIFS(Tracker[Date],U201,Tracker[Result],"W")+COUNTIFS(Tracker[Date],U201,Tracker[Result],"L")),"")</f>
        <v/>
      </c>
      <c r="X201" s="61">
        <f>SUMIF(Tracker[Date],U201,Tracker[Net])</f>
        <v>0</v>
      </c>
    </row>
    <row r="202" spans="1:24" x14ac:dyDescent="0.25">
      <c r="A202" s="36">
        <f t="shared" si="38"/>
        <v>22</v>
      </c>
      <c r="B202" s="25">
        <v>43850</v>
      </c>
      <c r="C202" s="25" t="str">
        <f t="shared" si="39"/>
        <v>NBA</v>
      </c>
      <c r="D202" s="26" t="s">
        <v>1129</v>
      </c>
      <c r="E202" s="28" t="s">
        <v>1075</v>
      </c>
      <c r="F202" s="74">
        <v>0.66961366222314334</v>
      </c>
      <c r="G202" s="29">
        <v>-110</v>
      </c>
      <c r="H202" s="50" t="s">
        <v>56</v>
      </c>
      <c r="I20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0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202" s="40" t="str">
        <f>MID(Tracker[[#This Row],[Game]],SEARCH("@",Tracker[[#This Row],[Game]])+2,LEN(Tracker[[#This Row],[Game]]))</f>
        <v>Nets</v>
      </c>
      <c r="L202" s="40" t="str">
        <f>LEFT(Tracker[[#This Row],[Game]],SEARCH("@",Tracker[[#This Row],[Game]])-2)</f>
        <v>76ers</v>
      </c>
      <c r="M20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202" s="123"/>
      <c r="O202" s="147"/>
      <c r="P202" s="147"/>
      <c r="Q202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02" s="147" t="e">
        <f>IF(AND(Tracker[[#This Row],[Money %]]&lt;&gt;"",Tracker[[#This Row],[Bet %]]&lt;&gt;""),Tracker[[#This Row],[Money %]]-Tracker[[#This Row],[Bet %]],NA())</f>
        <v>#N/A</v>
      </c>
      <c r="S202" s="109"/>
      <c r="T202" s="109"/>
      <c r="U202" s="56">
        <f>IFERROR(INDEX($A$4:$B10198,MATCH(ROW()-3,$A$4:$A$4:$A1198,0),2),0)</f>
        <v>0</v>
      </c>
      <c r="V202" s="33" t="str">
        <f>COUNTIFS(Tracker[Date],U202,Tracker[Result],"W")&amp;"-"&amp;COUNTIFS(Tracker[Date],U202,Tracker[Result],"L")&amp;IF(COUNTIFS(Tracker[Date],U202,Tracker[Result],"Push")&gt;0,"-"&amp;COUNTIFS(Tracker[Date],U202,Tracker[Result],"Push"),"")</f>
        <v>0-0</v>
      </c>
      <c r="W202" s="34" t="str">
        <f>IFERROR(COUNTIFS(Tracker[Date],U202,Tracker[Result],"W")/(COUNTIFS(Tracker[Date],U202,Tracker[Result],"W")+COUNTIFS(Tracker[Date],U202,Tracker[Result],"L")),"")</f>
        <v/>
      </c>
      <c r="X202" s="61">
        <f>SUMIF(Tracker[Date],U202,Tracker[Net])</f>
        <v>0</v>
      </c>
    </row>
    <row r="203" spans="1:24" x14ac:dyDescent="0.25">
      <c r="A203" s="36">
        <f t="shared" si="38"/>
        <v>22</v>
      </c>
      <c r="B203" s="25">
        <v>43850</v>
      </c>
      <c r="C203" s="25" t="str">
        <f t="shared" si="39"/>
        <v>NBA</v>
      </c>
      <c r="D203" s="26" t="s">
        <v>1131</v>
      </c>
      <c r="E203" s="28" t="s">
        <v>1132</v>
      </c>
      <c r="F203" s="74">
        <v>0.57894364396979181</v>
      </c>
      <c r="G203" s="29">
        <v>-110</v>
      </c>
      <c r="H203" s="50" t="s">
        <v>57</v>
      </c>
      <c r="I20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0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203" s="40" t="str">
        <f>MID(Tracker[[#This Row],[Game]],SEARCH("@",Tracker[[#This Row],[Game]])+2,LEN(Tracker[[#This Row],[Game]]))</f>
        <v>Cavaliers</v>
      </c>
      <c r="L203" s="40" t="str">
        <f>LEFT(Tracker[[#This Row],[Game]],SEARCH("@",Tracker[[#This Row],[Game]])-2)</f>
        <v>Knicks</v>
      </c>
      <c r="M20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203" s="123"/>
      <c r="O203" s="147"/>
      <c r="P203" s="147"/>
      <c r="Q203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03" s="147" t="e">
        <f>IF(AND(Tracker[[#This Row],[Money %]]&lt;&gt;"",Tracker[[#This Row],[Bet %]]&lt;&gt;""),Tracker[[#This Row],[Money %]]-Tracker[[#This Row],[Bet %]],NA())</f>
        <v>#N/A</v>
      </c>
      <c r="S203" s="109"/>
      <c r="T203" s="109"/>
      <c r="U203" s="56">
        <f>IFERROR(INDEX($A$4:$B10199,MATCH(ROW()-3,$A$4:$A$4:$A1199,0),2),0)</f>
        <v>0</v>
      </c>
      <c r="V203" s="33" t="str">
        <f>COUNTIFS(Tracker[Date],U203,Tracker[Result],"W")&amp;"-"&amp;COUNTIFS(Tracker[Date],U203,Tracker[Result],"L")&amp;IF(COUNTIFS(Tracker[Date],U203,Tracker[Result],"Push")&gt;0,"-"&amp;COUNTIFS(Tracker[Date],U203,Tracker[Result],"Push"),"")</f>
        <v>0-0</v>
      </c>
      <c r="W203" s="34" t="str">
        <f>IFERROR(COUNTIFS(Tracker[Date],U203,Tracker[Result],"W")/(COUNTIFS(Tracker[Date],U203,Tracker[Result],"W")+COUNTIFS(Tracker[Date],U203,Tracker[Result],"L")),"")</f>
        <v/>
      </c>
      <c r="X203" s="61">
        <f>SUMIF(Tracker[Date],U203,Tracker[Net])</f>
        <v>0</v>
      </c>
    </row>
    <row r="204" spans="1:24" x14ac:dyDescent="0.25">
      <c r="A204" s="36">
        <f t="shared" si="38"/>
        <v>22</v>
      </c>
      <c r="B204" s="25">
        <v>43850</v>
      </c>
      <c r="C204" s="25" t="str">
        <f t="shared" si="39"/>
        <v>NBA</v>
      </c>
      <c r="D204" s="26" t="s">
        <v>1131</v>
      </c>
      <c r="E204" s="28" t="s">
        <v>1133</v>
      </c>
      <c r="F204" s="74">
        <v>0.62239135480681429</v>
      </c>
      <c r="G204" s="29">
        <v>-110</v>
      </c>
      <c r="H204" s="50" t="s">
        <v>57</v>
      </c>
      <c r="I20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0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204" s="40" t="str">
        <f>MID(Tracker[[#This Row],[Game]],SEARCH("@",Tracker[[#This Row],[Game]])+2,LEN(Tracker[[#This Row],[Game]]))</f>
        <v>Cavaliers</v>
      </c>
      <c r="L204" s="40" t="str">
        <f>LEFT(Tracker[[#This Row],[Game]],SEARCH("@",Tracker[[#This Row],[Game]])-2)</f>
        <v>Knicks</v>
      </c>
      <c r="M20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204" s="123"/>
      <c r="O204" s="147"/>
      <c r="P204" s="147"/>
      <c r="Q20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04" s="147" t="e">
        <f>IF(AND(Tracker[[#This Row],[Money %]]&lt;&gt;"",Tracker[[#This Row],[Bet %]]&lt;&gt;""),Tracker[[#This Row],[Money %]]-Tracker[[#This Row],[Bet %]],NA())</f>
        <v>#N/A</v>
      </c>
      <c r="S204" s="109"/>
      <c r="T204" s="109"/>
      <c r="U204" s="56">
        <f>IFERROR(INDEX($A$4:$B10200,MATCH(ROW()-3,$A$4:$A$4:$A1200,0),2),0)</f>
        <v>0</v>
      </c>
      <c r="V204" s="33" t="str">
        <f>COUNTIFS(Tracker[Date],U204,Tracker[Result],"W")&amp;"-"&amp;COUNTIFS(Tracker[Date],U204,Tracker[Result],"L")&amp;IF(COUNTIFS(Tracker[Date],U204,Tracker[Result],"Push")&gt;0,"-"&amp;COUNTIFS(Tracker[Date],U204,Tracker[Result],"Push"),"")</f>
        <v>0-0</v>
      </c>
      <c r="W204" s="34" t="str">
        <f>IFERROR(COUNTIFS(Tracker[Date],U204,Tracker[Result],"W")/(COUNTIFS(Tracker[Date],U204,Tracker[Result],"W")+COUNTIFS(Tracker[Date],U204,Tracker[Result],"L")),"")</f>
        <v/>
      </c>
      <c r="X204" s="61">
        <f>SUMIF(Tracker[Date],U204,Tracker[Net])</f>
        <v>0</v>
      </c>
    </row>
    <row r="205" spans="1:24" x14ac:dyDescent="0.25">
      <c r="A205" s="36">
        <f t="shared" si="38"/>
        <v>22</v>
      </c>
      <c r="B205" s="25">
        <v>43850</v>
      </c>
      <c r="C205" s="25" t="str">
        <f t="shared" si="39"/>
        <v>NBA</v>
      </c>
      <c r="D205" s="26" t="s">
        <v>1134</v>
      </c>
      <c r="E205" s="28" t="s">
        <v>1001</v>
      </c>
      <c r="F205" s="74">
        <v>0.63949163611226001</v>
      </c>
      <c r="G205" s="29">
        <v>-110</v>
      </c>
      <c r="H205" s="50" t="s">
        <v>56</v>
      </c>
      <c r="I20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0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205" s="40" t="str">
        <f>MID(Tracker[[#This Row],[Game]],SEARCH("@",Tracker[[#This Row],[Game]])+2,LEN(Tracker[[#This Row],[Game]]))</f>
        <v>Rockets</v>
      </c>
      <c r="L205" s="40" t="str">
        <f>LEFT(Tracker[[#This Row],[Game]],SEARCH("@",Tracker[[#This Row],[Game]])-2)</f>
        <v>Thunder</v>
      </c>
      <c r="M20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205" s="123"/>
      <c r="O205" s="147"/>
      <c r="P205" s="147"/>
      <c r="Q20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05" s="147" t="e">
        <f>IF(AND(Tracker[[#This Row],[Money %]]&lt;&gt;"",Tracker[[#This Row],[Bet %]]&lt;&gt;""),Tracker[[#This Row],[Money %]]-Tracker[[#This Row],[Bet %]],NA())</f>
        <v>#N/A</v>
      </c>
      <c r="S205" s="109"/>
      <c r="T205" s="109"/>
      <c r="U205" s="56">
        <f>IFERROR(INDEX($A$4:$B10201,MATCH(ROW()-3,$A$4:$A$4:$A1201,0),2),0)</f>
        <v>0</v>
      </c>
      <c r="V205" s="33" t="str">
        <f>COUNTIFS(Tracker[Date],U205,Tracker[Result],"W")&amp;"-"&amp;COUNTIFS(Tracker[Date],U205,Tracker[Result],"L")&amp;IF(COUNTIFS(Tracker[Date],U205,Tracker[Result],"Push")&gt;0,"-"&amp;COUNTIFS(Tracker[Date],U205,Tracker[Result],"Push"),"")</f>
        <v>0-0</v>
      </c>
      <c r="W205" s="34" t="str">
        <f>IFERROR(COUNTIFS(Tracker[Date],U205,Tracker[Result],"W")/(COUNTIFS(Tracker[Date],U205,Tracker[Result],"W")+COUNTIFS(Tracker[Date],U205,Tracker[Result],"L")),"")</f>
        <v/>
      </c>
      <c r="X205" s="61">
        <f>SUMIF(Tracker[Date],U205,Tracker[Net])</f>
        <v>0</v>
      </c>
    </row>
    <row r="206" spans="1:24" x14ac:dyDescent="0.25">
      <c r="A206" s="36">
        <f t="shared" si="38"/>
        <v>22</v>
      </c>
      <c r="B206" s="25">
        <v>43850</v>
      </c>
      <c r="C206" s="25" t="str">
        <f t="shared" si="39"/>
        <v>NBA</v>
      </c>
      <c r="D206" s="26" t="s">
        <v>1134</v>
      </c>
      <c r="E206" s="28" t="s">
        <v>1105</v>
      </c>
      <c r="F206" s="74">
        <v>0.65880615574491819</v>
      </c>
      <c r="G206" s="29">
        <v>-110</v>
      </c>
      <c r="H206" s="50" t="s">
        <v>57</v>
      </c>
      <c r="I20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0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206" s="40" t="str">
        <f>MID(Tracker[[#This Row],[Game]],SEARCH("@",Tracker[[#This Row],[Game]])+2,LEN(Tracker[[#This Row],[Game]]))</f>
        <v>Rockets</v>
      </c>
      <c r="L206" s="40" t="str">
        <f>LEFT(Tracker[[#This Row],[Game]],SEARCH("@",Tracker[[#This Row],[Game]])-2)</f>
        <v>Thunder</v>
      </c>
      <c r="M20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206" s="123"/>
      <c r="O206" s="147"/>
      <c r="P206" s="147"/>
      <c r="Q206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06" s="147" t="e">
        <f>IF(AND(Tracker[[#This Row],[Money %]]&lt;&gt;"",Tracker[[#This Row],[Bet %]]&lt;&gt;""),Tracker[[#This Row],[Money %]]-Tracker[[#This Row],[Bet %]],NA())</f>
        <v>#N/A</v>
      </c>
      <c r="S206" s="109"/>
      <c r="T206" s="109"/>
      <c r="U206" s="56">
        <f>IFERROR(INDEX($A$4:$B10202,MATCH(ROW()-3,$A$4:$A$4:$A1202,0),2),0)</f>
        <v>0</v>
      </c>
      <c r="V206" s="33" t="str">
        <f>COUNTIFS(Tracker[Date],U206,Tracker[Result],"W")&amp;"-"&amp;COUNTIFS(Tracker[Date],U206,Tracker[Result],"L")&amp;IF(COUNTIFS(Tracker[Date],U206,Tracker[Result],"Push")&gt;0,"-"&amp;COUNTIFS(Tracker[Date],U206,Tracker[Result],"Push"),"")</f>
        <v>0-0</v>
      </c>
      <c r="W206" s="34" t="str">
        <f>IFERROR(COUNTIFS(Tracker[Date],U206,Tracker[Result],"W")/(COUNTIFS(Tracker[Date],U206,Tracker[Result],"W")+COUNTIFS(Tracker[Date],U206,Tracker[Result],"L")),"")</f>
        <v/>
      </c>
      <c r="X206" s="61">
        <f>SUMIF(Tracker[Date],U206,Tracker[Net])</f>
        <v>0</v>
      </c>
    </row>
    <row r="207" spans="1:24" x14ac:dyDescent="0.25">
      <c r="A207" s="36">
        <f t="shared" si="38"/>
        <v>22</v>
      </c>
      <c r="B207" s="25">
        <v>43850</v>
      </c>
      <c r="C207" s="25" t="str">
        <f t="shared" si="39"/>
        <v>NBA</v>
      </c>
      <c r="D207" s="26" t="s">
        <v>1135</v>
      </c>
      <c r="E207" s="28" t="s">
        <v>1026</v>
      </c>
      <c r="F207" s="74">
        <v>0.55493819019837365</v>
      </c>
      <c r="G207" s="29">
        <v>-110</v>
      </c>
      <c r="H207" s="50" t="s">
        <v>57</v>
      </c>
      <c r="I20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0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207" s="40" t="str">
        <f>MID(Tracker[[#This Row],[Game]],SEARCH("@",Tracker[[#This Row],[Game]])+2,LEN(Tracker[[#This Row],[Game]]))</f>
        <v>Heat</v>
      </c>
      <c r="L207" s="40" t="str">
        <f>LEFT(Tracker[[#This Row],[Game]],SEARCH("@",Tracker[[#This Row],[Game]])-2)</f>
        <v>Kings</v>
      </c>
      <c r="M20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207" s="123"/>
      <c r="O207" s="147"/>
      <c r="P207" s="147"/>
      <c r="Q207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07" s="147" t="e">
        <f>IF(AND(Tracker[[#This Row],[Money %]]&lt;&gt;"",Tracker[[#This Row],[Bet %]]&lt;&gt;""),Tracker[[#This Row],[Money %]]-Tracker[[#This Row],[Bet %]],NA())</f>
        <v>#N/A</v>
      </c>
      <c r="S207" s="109"/>
      <c r="T207" s="109"/>
      <c r="U207" s="56">
        <f>IFERROR(INDEX($A$4:$B10203,MATCH(ROW()-3,$A$4:$A$4:$A1203,0),2),0)</f>
        <v>0</v>
      </c>
      <c r="V207" s="33" t="str">
        <f>COUNTIFS(Tracker[Date],U207,Tracker[Result],"W")&amp;"-"&amp;COUNTIFS(Tracker[Date],U207,Tracker[Result],"L")&amp;IF(COUNTIFS(Tracker[Date],U207,Tracker[Result],"Push")&gt;0,"-"&amp;COUNTIFS(Tracker[Date],U207,Tracker[Result],"Push"),"")</f>
        <v>0-0</v>
      </c>
      <c r="W207" s="34" t="str">
        <f>IFERROR(COUNTIFS(Tracker[Date],U207,Tracker[Result],"W")/(COUNTIFS(Tracker[Date],U207,Tracker[Result],"W")+COUNTIFS(Tracker[Date],U207,Tracker[Result],"L")),"")</f>
        <v/>
      </c>
      <c r="X207" s="61">
        <f>SUMIF(Tracker[Date],U207,Tracker[Net])</f>
        <v>0</v>
      </c>
    </row>
    <row r="208" spans="1:24" x14ac:dyDescent="0.25">
      <c r="A208" s="36">
        <f t="shared" si="38"/>
        <v>22</v>
      </c>
      <c r="B208" s="25">
        <v>43850</v>
      </c>
      <c r="C208" s="25" t="str">
        <f t="shared" si="39"/>
        <v>NBA</v>
      </c>
      <c r="D208" s="26" t="s">
        <v>1135</v>
      </c>
      <c r="E208" s="28" t="s">
        <v>1075</v>
      </c>
      <c r="F208" s="74">
        <v>0.5817572394068673</v>
      </c>
      <c r="G208" s="29">
        <v>-110</v>
      </c>
      <c r="H208" s="50" t="s">
        <v>56</v>
      </c>
      <c r="I20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0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208" s="40" t="str">
        <f>MID(Tracker[[#This Row],[Game]],SEARCH("@",Tracker[[#This Row],[Game]])+2,LEN(Tracker[[#This Row],[Game]]))</f>
        <v>Heat</v>
      </c>
      <c r="L208" s="40" t="str">
        <f>LEFT(Tracker[[#This Row],[Game]],SEARCH("@",Tracker[[#This Row],[Game]])-2)</f>
        <v>Kings</v>
      </c>
      <c r="M20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208" s="123"/>
      <c r="O208" s="147"/>
      <c r="P208" s="147"/>
      <c r="Q208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08" s="147" t="e">
        <f>IF(AND(Tracker[[#This Row],[Money %]]&lt;&gt;"",Tracker[[#This Row],[Bet %]]&lt;&gt;""),Tracker[[#This Row],[Money %]]-Tracker[[#This Row],[Bet %]],NA())</f>
        <v>#N/A</v>
      </c>
      <c r="S208" s="109"/>
      <c r="T208" s="109"/>
      <c r="U208" s="56">
        <f>IFERROR(INDEX($A$4:$B10204,MATCH(ROW()-3,$A$4:$A$4:$A1204,0),2),0)</f>
        <v>0</v>
      </c>
      <c r="V208" s="33" t="str">
        <f>COUNTIFS(Tracker[Date],U208,Tracker[Result],"W")&amp;"-"&amp;COUNTIFS(Tracker[Date],U208,Tracker[Result],"L")&amp;IF(COUNTIFS(Tracker[Date],U208,Tracker[Result],"Push")&gt;0,"-"&amp;COUNTIFS(Tracker[Date],U208,Tracker[Result],"Push"),"")</f>
        <v>0-0</v>
      </c>
      <c r="W208" s="34" t="str">
        <f>IFERROR(COUNTIFS(Tracker[Date],U208,Tracker[Result],"W")/(COUNTIFS(Tracker[Date],U208,Tracker[Result],"W")+COUNTIFS(Tracker[Date],U208,Tracker[Result],"L")),"")</f>
        <v/>
      </c>
      <c r="X208" s="61">
        <f>SUMIF(Tracker[Date],U208,Tracker[Net])</f>
        <v>0</v>
      </c>
    </row>
    <row r="209" spans="1:24" x14ac:dyDescent="0.25">
      <c r="A209" s="36">
        <f t="shared" si="38"/>
        <v>22</v>
      </c>
      <c r="B209" s="25">
        <v>43850</v>
      </c>
      <c r="C209" s="25" t="str">
        <f t="shared" si="39"/>
        <v>NBA</v>
      </c>
      <c r="D209" s="26" t="s">
        <v>1136</v>
      </c>
      <c r="E209" s="28" t="s">
        <v>1137</v>
      </c>
      <c r="F209" s="74">
        <v>0.72253584729772835</v>
      </c>
      <c r="G209" s="29">
        <v>-110</v>
      </c>
      <c r="H209" s="50" t="s">
        <v>57</v>
      </c>
      <c r="I20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0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209" s="40" t="str">
        <f>MID(Tracker[[#This Row],[Game]],SEARCH("@",Tracker[[#This Row],[Game]])+2,LEN(Tracker[[#This Row],[Game]]))</f>
        <v>Bucks</v>
      </c>
      <c r="L209" s="40" t="str">
        <f>LEFT(Tracker[[#This Row],[Game]],SEARCH("@",Tracker[[#This Row],[Game]])-2)</f>
        <v>Bulls</v>
      </c>
      <c r="M20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209" s="123"/>
      <c r="O209" s="147"/>
      <c r="P209" s="147"/>
      <c r="Q209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09" s="147" t="e">
        <f>IF(AND(Tracker[[#This Row],[Money %]]&lt;&gt;"",Tracker[[#This Row],[Bet %]]&lt;&gt;""),Tracker[[#This Row],[Money %]]-Tracker[[#This Row],[Bet %]],NA())</f>
        <v>#N/A</v>
      </c>
      <c r="S209" s="109"/>
      <c r="T209" s="109"/>
      <c r="U209" s="56">
        <f>IFERROR(INDEX($A$4:$B10205,MATCH(ROW()-3,$A$4:$A$4:$A1205,0),2),0)</f>
        <v>0</v>
      </c>
      <c r="V209" s="33" t="str">
        <f>COUNTIFS(Tracker[Date],U209,Tracker[Result],"W")&amp;"-"&amp;COUNTIFS(Tracker[Date],U209,Tracker[Result],"L")&amp;IF(COUNTIFS(Tracker[Date],U209,Tracker[Result],"Push")&gt;0,"-"&amp;COUNTIFS(Tracker[Date],U209,Tracker[Result],"Push"),"")</f>
        <v>0-0</v>
      </c>
      <c r="W209" s="34" t="str">
        <f>IFERROR(COUNTIFS(Tracker[Date],U209,Tracker[Result],"W")/(COUNTIFS(Tracker[Date],U209,Tracker[Result],"W")+COUNTIFS(Tracker[Date],U209,Tracker[Result],"L")),"")</f>
        <v/>
      </c>
      <c r="X209" s="61">
        <f>SUMIF(Tracker[Date],U209,Tracker[Net])</f>
        <v>0</v>
      </c>
    </row>
    <row r="210" spans="1:24" x14ac:dyDescent="0.25">
      <c r="A210" s="36">
        <f t="shared" si="38"/>
        <v>22</v>
      </c>
      <c r="B210" s="25">
        <v>43850</v>
      </c>
      <c r="C210" s="25" t="str">
        <f t="shared" si="39"/>
        <v>NBA</v>
      </c>
      <c r="D210" s="26" t="s">
        <v>1138</v>
      </c>
      <c r="E210" s="28" t="s">
        <v>1139</v>
      </c>
      <c r="F210" s="74">
        <v>0.60380710912932312</v>
      </c>
      <c r="G210" s="29">
        <v>-110</v>
      </c>
      <c r="H210" s="50" t="s">
        <v>56</v>
      </c>
      <c r="I21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1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210" s="40" t="str">
        <f>MID(Tracker[[#This Row],[Game]],SEARCH("@",Tracker[[#This Row],[Game]])+2,LEN(Tracker[[#This Row],[Game]]))</f>
        <v>Grizzlies</v>
      </c>
      <c r="L210" s="40" t="str">
        <f>LEFT(Tracker[[#This Row],[Game]],SEARCH("@",Tracker[[#This Row],[Game]])-2)</f>
        <v>Pelicans</v>
      </c>
      <c r="M21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210" s="123"/>
      <c r="O210" s="147"/>
      <c r="P210" s="147"/>
      <c r="Q210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10" s="147" t="e">
        <f>IF(AND(Tracker[[#This Row],[Money %]]&lt;&gt;"",Tracker[[#This Row],[Bet %]]&lt;&gt;""),Tracker[[#This Row],[Money %]]-Tracker[[#This Row],[Bet %]],NA())</f>
        <v>#N/A</v>
      </c>
      <c r="S210" s="109"/>
      <c r="T210" s="109"/>
      <c r="U210" s="56">
        <f>IFERROR(INDEX($A$4:$B10206,MATCH(ROW()-3,$A$4:$A$4:$A1206,0),2),0)</f>
        <v>0</v>
      </c>
      <c r="V210" s="33" t="str">
        <f>COUNTIFS(Tracker[Date],U210,Tracker[Result],"W")&amp;"-"&amp;COUNTIFS(Tracker[Date],U210,Tracker[Result],"L")&amp;IF(COUNTIFS(Tracker[Date],U210,Tracker[Result],"Push")&gt;0,"-"&amp;COUNTIFS(Tracker[Date],U210,Tracker[Result],"Push"),"")</f>
        <v>0-0</v>
      </c>
      <c r="W210" s="34" t="str">
        <f>IFERROR(COUNTIFS(Tracker[Date],U210,Tracker[Result],"W")/(COUNTIFS(Tracker[Date],U210,Tracker[Result],"W")+COUNTIFS(Tracker[Date],U210,Tracker[Result],"L")),"")</f>
        <v/>
      </c>
      <c r="X210" s="61">
        <f>SUMIF(Tracker[Date],U210,Tracker[Net])</f>
        <v>0</v>
      </c>
    </row>
    <row r="211" spans="1:24" x14ac:dyDescent="0.25">
      <c r="A211" s="36">
        <f t="shared" si="38"/>
        <v>22</v>
      </c>
      <c r="B211" s="25">
        <v>43850</v>
      </c>
      <c r="C211" s="25" t="str">
        <f t="shared" si="39"/>
        <v>NBA</v>
      </c>
      <c r="D211" s="26" t="s">
        <v>1140</v>
      </c>
      <c r="E211" s="28" t="s">
        <v>1141</v>
      </c>
      <c r="F211" s="74">
        <v>0.64007922528514116</v>
      </c>
      <c r="G211" s="29">
        <v>-110</v>
      </c>
      <c r="H211" s="50" t="s">
        <v>56</v>
      </c>
      <c r="I21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1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211" s="40" t="str">
        <f>MID(Tracker[[#This Row],[Game]],SEARCH("@",Tracker[[#This Row],[Game]])+2,LEN(Tracker[[#This Row],[Game]]))</f>
        <v>Hornets</v>
      </c>
      <c r="L211" s="40" t="str">
        <f>LEFT(Tracker[[#This Row],[Game]],SEARCH("@",Tracker[[#This Row],[Game]])-2)</f>
        <v>Magic</v>
      </c>
      <c r="M21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211" s="123"/>
      <c r="O211" s="147"/>
      <c r="P211" s="147"/>
      <c r="Q211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11" s="147" t="e">
        <f>IF(AND(Tracker[[#This Row],[Money %]]&lt;&gt;"",Tracker[[#This Row],[Bet %]]&lt;&gt;""),Tracker[[#This Row],[Money %]]-Tracker[[#This Row],[Bet %]],NA())</f>
        <v>#N/A</v>
      </c>
      <c r="S211" s="109"/>
      <c r="T211" s="109"/>
      <c r="U211" s="56">
        <f>IFERROR(INDEX($A$4:$B10207,MATCH(ROW()-3,$A$4:$A$4:$A1207,0),2),0)</f>
        <v>0</v>
      </c>
      <c r="V211" s="33" t="str">
        <f>COUNTIFS(Tracker[Date],U211,Tracker[Result],"W")&amp;"-"&amp;COUNTIFS(Tracker[Date],U211,Tracker[Result],"L")&amp;IF(COUNTIFS(Tracker[Date],U211,Tracker[Result],"Push")&gt;0,"-"&amp;COUNTIFS(Tracker[Date],U211,Tracker[Result],"Push"),"")</f>
        <v>0-0</v>
      </c>
      <c r="W211" s="34" t="str">
        <f>IFERROR(COUNTIFS(Tracker[Date],U211,Tracker[Result],"W")/(COUNTIFS(Tracker[Date],U211,Tracker[Result],"W")+COUNTIFS(Tracker[Date],U211,Tracker[Result],"L")),"")</f>
        <v/>
      </c>
      <c r="X211" s="61">
        <f>SUMIF(Tracker[Date],U211,Tracker[Net])</f>
        <v>0</v>
      </c>
    </row>
    <row r="212" spans="1:24" x14ac:dyDescent="0.25">
      <c r="A212" s="36">
        <f t="shared" si="38"/>
        <v>22</v>
      </c>
      <c r="B212" s="25">
        <v>43850</v>
      </c>
      <c r="C212" s="25" t="str">
        <f t="shared" si="39"/>
        <v>NBA</v>
      </c>
      <c r="D212" s="26" t="s">
        <v>1140</v>
      </c>
      <c r="E212" s="28" t="s">
        <v>1142</v>
      </c>
      <c r="F212" s="74">
        <v>0.68625155654518966</v>
      </c>
      <c r="G212" s="29">
        <v>-110</v>
      </c>
      <c r="H212" s="50" t="s">
        <v>57</v>
      </c>
      <c r="I21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1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212" s="40" t="str">
        <f>MID(Tracker[[#This Row],[Game]],SEARCH("@",Tracker[[#This Row],[Game]])+2,LEN(Tracker[[#This Row],[Game]]))</f>
        <v>Hornets</v>
      </c>
      <c r="L212" s="40" t="str">
        <f>LEFT(Tracker[[#This Row],[Game]],SEARCH("@",Tracker[[#This Row],[Game]])-2)</f>
        <v>Magic</v>
      </c>
      <c r="M21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212" s="123"/>
      <c r="O212" s="147"/>
      <c r="P212" s="147"/>
      <c r="Q212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12" s="147" t="e">
        <f>IF(AND(Tracker[[#This Row],[Money %]]&lt;&gt;"",Tracker[[#This Row],[Bet %]]&lt;&gt;""),Tracker[[#This Row],[Money %]]-Tracker[[#This Row],[Bet %]],NA())</f>
        <v>#N/A</v>
      </c>
      <c r="S212" s="109"/>
      <c r="T212" s="109"/>
      <c r="U212" s="56">
        <f>IFERROR(INDEX($A$4:$B10208,MATCH(ROW()-3,$A$4:$A$4:$A1208,0),2),0)</f>
        <v>0</v>
      </c>
      <c r="V212" s="33" t="str">
        <f>COUNTIFS(Tracker[Date],U212,Tracker[Result],"W")&amp;"-"&amp;COUNTIFS(Tracker[Date],U212,Tracker[Result],"L")&amp;IF(COUNTIFS(Tracker[Date],U212,Tracker[Result],"Push")&gt;0,"-"&amp;COUNTIFS(Tracker[Date],U212,Tracker[Result],"Push"),"")</f>
        <v>0-0</v>
      </c>
      <c r="W212" s="34" t="str">
        <f>IFERROR(COUNTIFS(Tracker[Date],U212,Tracker[Result],"W")/(COUNTIFS(Tracker[Date],U212,Tracker[Result],"W")+COUNTIFS(Tracker[Date],U212,Tracker[Result],"L")),"")</f>
        <v/>
      </c>
      <c r="X212" s="61">
        <f>SUMIF(Tracker[Date],U212,Tracker[Net])</f>
        <v>0</v>
      </c>
    </row>
    <row r="213" spans="1:24" x14ac:dyDescent="0.25">
      <c r="A213" s="36">
        <f t="shared" si="38"/>
        <v>22</v>
      </c>
      <c r="B213" s="25">
        <v>43850</v>
      </c>
      <c r="C213" s="25" t="str">
        <f t="shared" si="39"/>
        <v>NBA</v>
      </c>
      <c r="D213" s="26" t="s">
        <v>1143</v>
      </c>
      <c r="E213" s="28" t="s">
        <v>1144</v>
      </c>
      <c r="F213" s="74">
        <v>0.60514787237681111</v>
      </c>
      <c r="G213" s="29">
        <v>-110</v>
      </c>
      <c r="H213" s="50" t="s">
        <v>56</v>
      </c>
      <c r="I21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1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213" s="40" t="str">
        <f>MID(Tracker[[#This Row],[Game]],SEARCH("@",Tracker[[#This Row],[Game]])+2,LEN(Tracker[[#This Row],[Game]]))</f>
        <v>Celtics</v>
      </c>
      <c r="L213" s="40" t="str">
        <f>LEFT(Tracker[[#This Row],[Game]],SEARCH("@",Tracker[[#This Row],[Game]])-2)</f>
        <v>Lakers</v>
      </c>
      <c r="M21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213" s="123"/>
      <c r="O213" s="147"/>
      <c r="P213" s="147"/>
      <c r="Q213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13" s="147" t="e">
        <f>IF(AND(Tracker[[#This Row],[Money %]]&lt;&gt;"",Tracker[[#This Row],[Bet %]]&lt;&gt;""),Tracker[[#This Row],[Money %]]-Tracker[[#This Row],[Bet %]],NA())</f>
        <v>#N/A</v>
      </c>
      <c r="S213" s="109"/>
      <c r="T213" s="109"/>
      <c r="U213" s="56">
        <f>IFERROR(INDEX($A$4:$B10209,MATCH(ROW()-3,$A$4:$A$4:$A1209,0),2),0)</f>
        <v>0</v>
      </c>
      <c r="V213" s="33" t="str">
        <f>COUNTIFS(Tracker[Date],U213,Tracker[Result],"W")&amp;"-"&amp;COUNTIFS(Tracker[Date],U213,Tracker[Result],"L")&amp;IF(COUNTIFS(Tracker[Date],U213,Tracker[Result],"Push")&gt;0,"-"&amp;COUNTIFS(Tracker[Date],U213,Tracker[Result],"Push"),"")</f>
        <v>0-0</v>
      </c>
      <c r="W213" s="34" t="str">
        <f>IFERROR(COUNTIFS(Tracker[Date],U213,Tracker[Result],"W")/(COUNTIFS(Tracker[Date],U213,Tracker[Result],"W")+COUNTIFS(Tracker[Date],U213,Tracker[Result],"L")),"")</f>
        <v/>
      </c>
      <c r="X213" s="61">
        <f>SUMIF(Tracker[Date],U213,Tracker[Net])</f>
        <v>0</v>
      </c>
    </row>
    <row r="214" spans="1:24" x14ac:dyDescent="0.25">
      <c r="A214" s="36">
        <f t="shared" si="38"/>
        <v>22</v>
      </c>
      <c r="B214" s="25">
        <v>43850</v>
      </c>
      <c r="C214" s="25" t="str">
        <f t="shared" si="39"/>
        <v>NBA</v>
      </c>
      <c r="D214" s="51" t="s">
        <v>1145</v>
      </c>
      <c r="E214" s="28" t="s">
        <v>1146</v>
      </c>
      <c r="F214" s="74">
        <v>0.73736637221678047</v>
      </c>
      <c r="G214" s="29">
        <v>-110</v>
      </c>
      <c r="H214" s="50" t="s">
        <v>56</v>
      </c>
      <c r="I21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1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214" s="40" t="str">
        <f>MID(Tracker[[#This Row],[Game]],SEARCH("@",Tracker[[#This Row],[Game]])+2,LEN(Tracker[[#This Row],[Game]]))</f>
        <v>Timberwolves</v>
      </c>
      <c r="L214" s="40" t="str">
        <f>LEFT(Tracker[[#This Row],[Game]],SEARCH("@",Tracker[[#This Row],[Game]])-2)</f>
        <v>Nuggets</v>
      </c>
      <c r="M21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214" s="123"/>
      <c r="O214" s="147"/>
      <c r="P214" s="147"/>
      <c r="Q21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14" s="147" t="e">
        <f>IF(AND(Tracker[[#This Row],[Money %]]&lt;&gt;"",Tracker[[#This Row],[Bet %]]&lt;&gt;""),Tracker[[#This Row],[Money %]]-Tracker[[#This Row],[Bet %]],NA())</f>
        <v>#N/A</v>
      </c>
      <c r="S214" s="109"/>
      <c r="T214" s="109"/>
      <c r="U214" s="56">
        <f>IFERROR(INDEX($A$4:$B10210,MATCH(ROW()-3,$A$4:$A$4:$A1210,0),2),0)</f>
        <v>0</v>
      </c>
      <c r="V214" s="33" t="str">
        <f>COUNTIFS(Tracker[Date],U214,Tracker[Result],"W")&amp;"-"&amp;COUNTIFS(Tracker[Date],U214,Tracker[Result],"L")&amp;IF(COUNTIFS(Tracker[Date],U214,Tracker[Result],"Push")&gt;0,"-"&amp;COUNTIFS(Tracker[Date],U214,Tracker[Result],"Push"),"")</f>
        <v>0-0</v>
      </c>
      <c r="W214" s="34" t="str">
        <f>IFERROR(COUNTIFS(Tracker[Date],U214,Tracker[Result],"W")/(COUNTIFS(Tracker[Date],U214,Tracker[Result],"W")+COUNTIFS(Tracker[Date],U214,Tracker[Result],"L")),"")</f>
        <v/>
      </c>
      <c r="X214" s="61">
        <f>SUMIF(Tracker[Date],U214,Tracker[Net])</f>
        <v>0</v>
      </c>
    </row>
    <row r="215" spans="1:24" x14ac:dyDescent="0.25">
      <c r="A215" s="36">
        <f t="shared" si="38"/>
        <v>22</v>
      </c>
      <c r="B215" s="25">
        <v>43850</v>
      </c>
      <c r="C215" s="25" t="str">
        <f t="shared" si="39"/>
        <v>NBA</v>
      </c>
      <c r="D215" s="26" t="s">
        <v>1145</v>
      </c>
      <c r="E215" s="28" t="s">
        <v>1133</v>
      </c>
      <c r="F215" s="74">
        <v>0.68914395229599168</v>
      </c>
      <c r="G215" s="29">
        <v>-110</v>
      </c>
      <c r="H215" s="50" t="s">
        <v>57</v>
      </c>
      <c r="I21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1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215" s="40" t="str">
        <f>MID(Tracker[[#This Row],[Game]],SEARCH("@",Tracker[[#This Row],[Game]])+2,LEN(Tracker[[#This Row],[Game]]))</f>
        <v>Timberwolves</v>
      </c>
      <c r="L215" s="40" t="str">
        <f>LEFT(Tracker[[#This Row],[Game]],SEARCH("@",Tracker[[#This Row],[Game]])-2)</f>
        <v>Nuggets</v>
      </c>
      <c r="M21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215" s="123"/>
      <c r="O215" s="147"/>
      <c r="P215" s="147"/>
      <c r="Q21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15" s="147" t="e">
        <f>IF(AND(Tracker[[#This Row],[Money %]]&lt;&gt;"",Tracker[[#This Row],[Bet %]]&lt;&gt;""),Tracker[[#This Row],[Money %]]-Tracker[[#This Row],[Bet %]],NA())</f>
        <v>#N/A</v>
      </c>
      <c r="S215" s="109"/>
      <c r="T215" s="109"/>
      <c r="U215" s="56">
        <f>IFERROR(INDEX($A$4:$B10211,MATCH(ROW()-3,$A$4:$A$4:$A1211,0),2),0)</f>
        <v>0</v>
      </c>
      <c r="V215" s="33" t="str">
        <f>COUNTIFS(Tracker[Date],U215,Tracker[Result],"W")&amp;"-"&amp;COUNTIFS(Tracker[Date],U215,Tracker[Result],"L")&amp;IF(COUNTIFS(Tracker[Date],U215,Tracker[Result],"Push")&gt;0,"-"&amp;COUNTIFS(Tracker[Date],U215,Tracker[Result],"Push"),"")</f>
        <v>0-0</v>
      </c>
      <c r="W215" s="34" t="str">
        <f>IFERROR(COUNTIFS(Tracker[Date],U215,Tracker[Result],"W")/(COUNTIFS(Tracker[Date],U215,Tracker[Result],"W")+COUNTIFS(Tracker[Date],U215,Tracker[Result],"L")),"")</f>
        <v/>
      </c>
      <c r="X215" s="61">
        <f>SUMIF(Tracker[Date],U215,Tracker[Net])</f>
        <v>0</v>
      </c>
    </row>
    <row r="216" spans="1:24" x14ac:dyDescent="0.25">
      <c r="A216" s="36">
        <f t="shared" si="38"/>
        <v>22</v>
      </c>
      <c r="B216" s="25">
        <v>43850</v>
      </c>
      <c r="C216" s="25" t="str">
        <f t="shared" si="39"/>
        <v>NBA</v>
      </c>
      <c r="D216" s="26" t="s">
        <v>1147</v>
      </c>
      <c r="E216" s="28" t="s">
        <v>1148</v>
      </c>
      <c r="F216" s="74">
        <v>0.61249449667191103</v>
      </c>
      <c r="G216" s="29">
        <v>-110</v>
      </c>
      <c r="H216" s="50" t="s">
        <v>56</v>
      </c>
      <c r="I21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1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216" s="40" t="str">
        <f>MID(Tracker[[#This Row],[Game]],SEARCH("@",Tracker[[#This Row],[Game]])+2,LEN(Tracker[[#This Row],[Game]]))</f>
        <v>Suns</v>
      </c>
      <c r="L216" s="40" t="str">
        <f>LEFT(Tracker[[#This Row],[Game]],SEARCH("@",Tracker[[#This Row],[Game]])-2)</f>
        <v>Spurs</v>
      </c>
      <c r="M21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216" s="123"/>
      <c r="O216" s="147"/>
      <c r="P216" s="147"/>
      <c r="Q216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16" s="147" t="e">
        <f>IF(AND(Tracker[[#This Row],[Money %]]&lt;&gt;"",Tracker[[#This Row],[Bet %]]&lt;&gt;""),Tracker[[#This Row],[Money %]]-Tracker[[#This Row],[Bet %]],NA())</f>
        <v>#N/A</v>
      </c>
      <c r="S216" s="109"/>
      <c r="T216" s="109"/>
      <c r="U216" s="56">
        <f>IFERROR(INDEX($A$4:$B10212,MATCH(ROW()-3,$A$4:$A$4:$A1212,0),2),0)</f>
        <v>0</v>
      </c>
      <c r="V216" s="33" t="str">
        <f>COUNTIFS(Tracker[Date],U216,Tracker[Result],"W")&amp;"-"&amp;COUNTIFS(Tracker[Date],U216,Tracker[Result],"L")&amp;IF(COUNTIFS(Tracker[Date],U216,Tracker[Result],"Push")&gt;0,"-"&amp;COUNTIFS(Tracker[Date],U216,Tracker[Result],"Push"),"")</f>
        <v>0-0</v>
      </c>
      <c r="W216" s="34" t="str">
        <f>IFERROR(COUNTIFS(Tracker[Date],U216,Tracker[Result],"W")/(COUNTIFS(Tracker[Date],U216,Tracker[Result],"W")+COUNTIFS(Tracker[Date],U216,Tracker[Result],"L")),"")</f>
        <v/>
      </c>
      <c r="X216" s="61">
        <f>SUMIF(Tracker[Date],U216,Tracker[Net])</f>
        <v>0</v>
      </c>
    </row>
    <row r="217" spans="1:24" x14ac:dyDescent="0.25">
      <c r="A217" s="36">
        <f t="shared" si="38"/>
        <v>22</v>
      </c>
      <c r="B217" s="25">
        <v>43850</v>
      </c>
      <c r="C217" s="25" t="str">
        <f t="shared" si="39"/>
        <v>NBA</v>
      </c>
      <c r="D217" s="26" t="s">
        <v>1147</v>
      </c>
      <c r="E217" s="28" t="s">
        <v>1112</v>
      </c>
      <c r="F217" s="74">
        <v>0.69365437865846147</v>
      </c>
      <c r="G217" s="29">
        <v>-110</v>
      </c>
      <c r="H217" s="50" t="s">
        <v>56</v>
      </c>
      <c r="I21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1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217" s="40" t="str">
        <f>MID(Tracker[[#This Row],[Game]],SEARCH("@",Tracker[[#This Row],[Game]])+2,LEN(Tracker[[#This Row],[Game]]))</f>
        <v>Suns</v>
      </c>
      <c r="L217" s="40" t="str">
        <f>LEFT(Tracker[[#This Row],[Game]],SEARCH("@",Tracker[[#This Row],[Game]])-2)</f>
        <v>Spurs</v>
      </c>
      <c r="M21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217" s="123"/>
      <c r="O217" s="147"/>
      <c r="P217" s="147"/>
      <c r="Q217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17" s="147" t="e">
        <f>IF(AND(Tracker[[#This Row],[Money %]]&lt;&gt;"",Tracker[[#This Row],[Bet %]]&lt;&gt;""),Tracker[[#This Row],[Money %]]-Tracker[[#This Row],[Bet %]],NA())</f>
        <v>#N/A</v>
      </c>
      <c r="S217" s="109"/>
      <c r="T217" s="109"/>
      <c r="U217" s="56">
        <f>IFERROR(INDEX($A$4:$B10213,MATCH(ROW()-3,$A$4:$A$4:$A1213,0),2),0)</f>
        <v>0</v>
      </c>
      <c r="V217" s="33" t="str">
        <f>COUNTIFS(Tracker[Date],U217,Tracker[Result],"W")&amp;"-"&amp;COUNTIFS(Tracker[Date],U217,Tracker[Result],"L")&amp;IF(COUNTIFS(Tracker[Date],U217,Tracker[Result],"Push")&gt;0,"-"&amp;COUNTIFS(Tracker[Date],U217,Tracker[Result],"Push"),"")</f>
        <v>0-0</v>
      </c>
      <c r="W217" s="34" t="str">
        <f>IFERROR(COUNTIFS(Tracker[Date],U217,Tracker[Result],"W")/(COUNTIFS(Tracker[Date],U217,Tracker[Result],"W")+COUNTIFS(Tracker[Date],U217,Tracker[Result],"L")),"")</f>
        <v/>
      </c>
      <c r="X217" s="61">
        <f>SUMIF(Tracker[Date],U217,Tracker[Net])</f>
        <v>0</v>
      </c>
    </row>
    <row r="218" spans="1:24" x14ac:dyDescent="0.25">
      <c r="A218" s="36">
        <f t="shared" si="38"/>
        <v>22</v>
      </c>
      <c r="B218" s="25">
        <v>43850</v>
      </c>
      <c r="C218" s="25" t="str">
        <f t="shared" si="39"/>
        <v>NBA</v>
      </c>
      <c r="D218" s="26" t="s">
        <v>1149</v>
      </c>
      <c r="E218" s="28" t="s">
        <v>1150</v>
      </c>
      <c r="F218" s="74">
        <v>0.6712510382385346</v>
      </c>
      <c r="G218" s="29">
        <v>-110</v>
      </c>
      <c r="H218" s="50" t="s">
        <v>57</v>
      </c>
      <c r="I21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1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218" s="40" t="str">
        <f>MID(Tracker[[#This Row],[Game]],SEARCH("@",Tracker[[#This Row],[Game]])+2,LEN(Tracker[[#This Row],[Game]]))</f>
        <v>Jazz</v>
      </c>
      <c r="L218" s="40" t="str">
        <f>LEFT(Tracker[[#This Row],[Game]],SEARCH("@",Tracker[[#This Row],[Game]])-2)</f>
        <v>Pacers</v>
      </c>
      <c r="M21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218" s="123"/>
      <c r="O218" s="147"/>
      <c r="P218" s="147"/>
      <c r="Q218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18" s="147" t="e">
        <f>IF(AND(Tracker[[#This Row],[Money %]]&lt;&gt;"",Tracker[[#This Row],[Bet %]]&lt;&gt;""),Tracker[[#This Row],[Money %]]-Tracker[[#This Row],[Bet %]],NA())</f>
        <v>#N/A</v>
      </c>
      <c r="S218" s="109"/>
      <c r="T218" s="109"/>
      <c r="U218" s="56">
        <f>IFERROR(INDEX($A$4:$B10214,MATCH(ROW()-3,$A$4:$A$4:$A1214,0),2),0)</f>
        <v>0</v>
      </c>
      <c r="V218" s="33" t="str">
        <f>COUNTIFS(Tracker[Date],U218,Tracker[Result],"W")&amp;"-"&amp;COUNTIFS(Tracker[Date],U218,Tracker[Result],"L")&amp;IF(COUNTIFS(Tracker[Date],U218,Tracker[Result],"Push")&gt;0,"-"&amp;COUNTIFS(Tracker[Date],U218,Tracker[Result],"Push"),"")</f>
        <v>0-0</v>
      </c>
      <c r="W218" s="34" t="str">
        <f>IFERROR(COUNTIFS(Tracker[Date],U218,Tracker[Result],"W")/(COUNTIFS(Tracker[Date],U218,Tracker[Result],"W")+COUNTIFS(Tracker[Date],U218,Tracker[Result],"L")),"")</f>
        <v/>
      </c>
      <c r="X218" s="61">
        <f>SUMIF(Tracker[Date],U218,Tracker[Net])</f>
        <v>0</v>
      </c>
    </row>
    <row r="219" spans="1:24" x14ac:dyDescent="0.25">
      <c r="A219" s="36">
        <f t="shared" si="38"/>
        <v>22</v>
      </c>
      <c r="B219" s="25">
        <v>43850</v>
      </c>
      <c r="C219" s="25" t="str">
        <f t="shared" si="39"/>
        <v>NBA</v>
      </c>
      <c r="D219" s="26" t="s">
        <v>1149</v>
      </c>
      <c r="E219" s="28" t="s">
        <v>1151</v>
      </c>
      <c r="F219" s="74">
        <v>0.72463201380486297</v>
      </c>
      <c r="G219" s="29">
        <v>-110</v>
      </c>
      <c r="H219" s="50" t="s">
        <v>57</v>
      </c>
      <c r="I21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1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219" s="40" t="str">
        <f>MID(Tracker[[#This Row],[Game]],SEARCH("@",Tracker[[#This Row],[Game]])+2,LEN(Tracker[[#This Row],[Game]]))</f>
        <v>Jazz</v>
      </c>
      <c r="L219" s="40" t="str">
        <f>LEFT(Tracker[[#This Row],[Game]],SEARCH("@",Tracker[[#This Row],[Game]])-2)</f>
        <v>Pacers</v>
      </c>
      <c r="M21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219" s="123"/>
      <c r="O219" s="147"/>
      <c r="P219" s="147"/>
      <c r="Q219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19" s="147" t="e">
        <f>IF(AND(Tracker[[#This Row],[Money %]]&lt;&gt;"",Tracker[[#This Row],[Bet %]]&lt;&gt;""),Tracker[[#This Row],[Money %]]-Tracker[[#This Row],[Bet %]],NA())</f>
        <v>#N/A</v>
      </c>
      <c r="S219" s="109"/>
      <c r="T219" s="109"/>
      <c r="U219" s="56">
        <f>IFERROR(INDEX($A$4:$B10215,MATCH(ROW()-3,$A$4:$A$4:$A1215,0),2),0)</f>
        <v>0</v>
      </c>
      <c r="V219" s="33" t="str">
        <f>COUNTIFS(Tracker[Date],U219,Tracker[Result],"W")&amp;"-"&amp;COUNTIFS(Tracker[Date],U219,Tracker[Result],"L")&amp;IF(COUNTIFS(Tracker[Date],U219,Tracker[Result],"Push")&gt;0,"-"&amp;COUNTIFS(Tracker[Date],U219,Tracker[Result],"Push"),"")</f>
        <v>0-0</v>
      </c>
      <c r="W219" s="34" t="str">
        <f>IFERROR(COUNTIFS(Tracker[Date],U219,Tracker[Result],"W")/(COUNTIFS(Tracker[Date],U219,Tracker[Result],"W")+COUNTIFS(Tracker[Date],U219,Tracker[Result],"L")),"")</f>
        <v/>
      </c>
      <c r="X219" s="61">
        <f>SUMIF(Tracker[Date],U219,Tracker[Net])</f>
        <v>0</v>
      </c>
    </row>
    <row r="220" spans="1:24" x14ac:dyDescent="0.25">
      <c r="A220" s="36">
        <f t="shared" si="38"/>
        <v>22</v>
      </c>
      <c r="B220" s="25">
        <v>43850</v>
      </c>
      <c r="C220" s="25" t="str">
        <f t="shared" si="39"/>
        <v>NBA</v>
      </c>
      <c r="D220" s="26" t="s">
        <v>1152</v>
      </c>
      <c r="E220" s="28" t="s">
        <v>1153</v>
      </c>
      <c r="F220" s="74">
        <v>0.56894045366227752</v>
      </c>
      <c r="G220" s="29">
        <v>-110</v>
      </c>
      <c r="H220" s="50" t="s">
        <v>57</v>
      </c>
      <c r="I22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2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220" s="40" t="str">
        <f>MID(Tracker[[#This Row],[Game]],SEARCH("@",Tracker[[#This Row],[Game]])+2,LEN(Tracker[[#This Row],[Game]]))</f>
        <v>Trail Blazers</v>
      </c>
      <c r="L220" s="40" t="str">
        <f>LEFT(Tracker[[#This Row],[Game]],SEARCH("@",Tracker[[#This Row],[Game]])-2)</f>
        <v>Warriors</v>
      </c>
      <c r="M22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220" s="123"/>
      <c r="O220" s="147"/>
      <c r="P220" s="147"/>
      <c r="Q220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20" s="147" t="e">
        <f>IF(AND(Tracker[[#This Row],[Money %]]&lt;&gt;"",Tracker[[#This Row],[Bet %]]&lt;&gt;""),Tracker[[#This Row],[Money %]]-Tracker[[#This Row],[Bet %]],NA())</f>
        <v>#N/A</v>
      </c>
      <c r="S220" s="109"/>
      <c r="T220" s="109"/>
      <c r="U220" s="56">
        <f>IFERROR(INDEX($A$4:$B10216,MATCH(ROW()-3,$A$4:$A$4:$A1216,0),2),0)</f>
        <v>0</v>
      </c>
      <c r="V220" s="33" t="str">
        <f>COUNTIFS(Tracker[Date],U220,Tracker[Result],"W")&amp;"-"&amp;COUNTIFS(Tracker[Date],U220,Tracker[Result],"L")&amp;IF(COUNTIFS(Tracker[Date],U220,Tracker[Result],"Push")&gt;0,"-"&amp;COUNTIFS(Tracker[Date],U220,Tracker[Result],"Push"),"")</f>
        <v>0-0</v>
      </c>
      <c r="W220" s="34" t="str">
        <f>IFERROR(COUNTIFS(Tracker[Date],U220,Tracker[Result],"W")/(COUNTIFS(Tracker[Date],U220,Tracker[Result],"W")+COUNTIFS(Tracker[Date],U220,Tracker[Result],"L")),"")</f>
        <v/>
      </c>
      <c r="X220" s="61">
        <f>SUMIF(Tracker[Date],U220,Tracker[Net])</f>
        <v>0</v>
      </c>
    </row>
    <row r="221" spans="1:24" x14ac:dyDescent="0.25">
      <c r="A221" s="36">
        <f t="shared" si="38"/>
        <v>23</v>
      </c>
      <c r="B221" s="25">
        <v>43851</v>
      </c>
      <c r="C221" s="25" t="str">
        <f>"NBA"</f>
        <v>NBA</v>
      </c>
      <c r="D221" s="26" t="s">
        <v>1156</v>
      </c>
      <c r="E221" s="28" t="s">
        <v>908</v>
      </c>
      <c r="F221" s="74">
        <v>0.55777120584731588</v>
      </c>
      <c r="G221" s="29">
        <v>-110</v>
      </c>
      <c r="H221" s="50" t="s">
        <v>56</v>
      </c>
      <c r="I22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2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221" s="40" t="str">
        <f>MID(Tracker[[#This Row],[Game]],SEARCH("@",Tracker[[#This Row],[Game]])+2,LEN(Tracker[[#This Row],[Game]]))</f>
        <v>Mavericks</v>
      </c>
      <c r="L221" s="40" t="str">
        <f>LEFT(Tracker[[#This Row],[Game]],SEARCH("@",Tracker[[#This Row],[Game]])-2)</f>
        <v>Clippers</v>
      </c>
      <c r="M22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221" s="123"/>
      <c r="O221" s="147"/>
      <c r="P221" s="147"/>
      <c r="Q221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21" s="147" t="e">
        <f>IF(AND(Tracker[[#This Row],[Money %]]&lt;&gt;"",Tracker[[#This Row],[Bet %]]&lt;&gt;""),Tracker[[#This Row],[Money %]]-Tracker[[#This Row],[Bet %]],NA())</f>
        <v>#N/A</v>
      </c>
      <c r="S221" s="109"/>
      <c r="T221" s="109"/>
      <c r="U221" s="56">
        <f>IFERROR(INDEX($A$4:$B10217,MATCH(ROW()-3,$A$4:$A$4:$A1217,0),2),0)</f>
        <v>0</v>
      </c>
      <c r="V221" s="33" t="str">
        <f>COUNTIFS(Tracker[Date],U221,Tracker[Result],"W")&amp;"-"&amp;COUNTIFS(Tracker[Date],U221,Tracker[Result],"L")&amp;IF(COUNTIFS(Tracker[Date],U221,Tracker[Result],"Push")&gt;0,"-"&amp;COUNTIFS(Tracker[Date],U221,Tracker[Result],"Push"),"")</f>
        <v>0-0</v>
      </c>
      <c r="W221" s="34" t="str">
        <f>IFERROR(COUNTIFS(Tracker[Date],U221,Tracker[Result],"W")/(COUNTIFS(Tracker[Date],U221,Tracker[Result],"W")+COUNTIFS(Tracker[Date],U221,Tracker[Result],"L")),"")</f>
        <v/>
      </c>
      <c r="X221" s="61">
        <f>SUMIF(Tracker[Date],U221,Tracker[Net])</f>
        <v>0</v>
      </c>
    </row>
    <row r="222" spans="1:24" x14ac:dyDescent="0.25">
      <c r="A222" s="36">
        <f t="shared" si="38"/>
        <v>24</v>
      </c>
      <c r="B222" s="25">
        <v>43852</v>
      </c>
      <c r="C222" s="25" t="str">
        <f t="shared" ref="C222:C234" si="40">"NBA"</f>
        <v>NBA</v>
      </c>
      <c r="D222" s="26" t="s">
        <v>1158</v>
      </c>
      <c r="E222" s="28" t="s">
        <v>1159</v>
      </c>
      <c r="F222" s="74">
        <v>0.6071974571258506</v>
      </c>
      <c r="G222" s="29">
        <v>-110</v>
      </c>
      <c r="H222" s="50" t="s">
        <v>56</v>
      </c>
      <c r="I22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2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222" s="40" t="str">
        <f>MID(Tracker[[#This Row],[Game]],SEARCH("@",Tracker[[#This Row],[Game]])+2,LEN(Tracker[[#This Row],[Game]]))</f>
        <v>Pistons</v>
      </c>
      <c r="L222" s="40" t="str">
        <f>LEFT(Tracker[[#This Row],[Game]],SEARCH("@",Tracker[[#This Row],[Game]])-2)</f>
        <v>Kings</v>
      </c>
      <c r="M22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222" s="123"/>
      <c r="O222" s="147"/>
      <c r="P222" s="147"/>
      <c r="Q222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22" s="147" t="e">
        <f>IF(AND(Tracker[[#This Row],[Money %]]&lt;&gt;"",Tracker[[#This Row],[Bet %]]&lt;&gt;""),Tracker[[#This Row],[Money %]]-Tracker[[#This Row],[Bet %]],NA())</f>
        <v>#N/A</v>
      </c>
      <c r="S222" s="109"/>
      <c r="T222" s="109"/>
      <c r="U222" s="56">
        <f>IFERROR(INDEX($A$4:$B10218,MATCH(ROW()-3,$A$4:$A$4:$A1218,0),2),0)</f>
        <v>0</v>
      </c>
      <c r="V222" s="33" t="str">
        <f>COUNTIFS(Tracker[Date],U222,Tracker[Result],"W")&amp;"-"&amp;COUNTIFS(Tracker[Date],U222,Tracker[Result],"L")&amp;IF(COUNTIFS(Tracker[Date],U222,Tracker[Result],"Push")&gt;0,"-"&amp;COUNTIFS(Tracker[Date],U222,Tracker[Result],"Push"),"")</f>
        <v>0-0</v>
      </c>
      <c r="W222" s="34" t="str">
        <f>IFERROR(COUNTIFS(Tracker[Date],U222,Tracker[Result],"W")/(COUNTIFS(Tracker[Date],U222,Tracker[Result],"W")+COUNTIFS(Tracker[Date],U222,Tracker[Result],"L")),"")</f>
        <v/>
      </c>
      <c r="X222" s="61">
        <f>SUMIF(Tracker[Date],U222,Tracker[Net])</f>
        <v>0</v>
      </c>
    </row>
    <row r="223" spans="1:24" x14ac:dyDescent="0.25">
      <c r="A223" s="36">
        <f t="shared" si="38"/>
        <v>24</v>
      </c>
      <c r="B223" s="25">
        <v>43852</v>
      </c>
      <c r="C223" s="25" t="str">
        <f t="shared" si="40"/>
        <v>NBA</v>
      </c>
      <c r="D223" s="26" t="s">
        <v>1158</v>
      </c>
      <c r="E223" s="28" t="s">
        <v>895</v>
      </c>
      <c r="F223" s="74">
        <v>0.59885039448657762</v>
      </c>
      <c r="G223" s="29">
        <v>-110</v>
      </c>
      <c r="H223" s="50" t="s">
        <v>57</v>
      </c>
      <c r="I22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2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223" s="40" t="str">
        <f>MID(Tracker[[#This Row],[Game]],SEARCH("@",Tracker[[#This Row],[Game]])+2,LEN(Tracker[[#This Row],[Game]]))</f>
        <v>Pistons</v>
      </c>
      <c r="L223" s="40" t="str">
        <f>LEFT(Tracker[[#This Row],[Game]],SEARCH("@",Tracker[[#This Row],[Game]])-2)</f>
        <v>Kings</v>
      </c>
      <c r="M22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223" s="123"/>
      <c r="O223" s="147"/>
      <c r="P223" s="147"/>
      <c r="Q223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23" s="147" t="e">
        <f>IF(AND(Tracker[[#This Row],[Money %]]&lt;&gt;"",Tracker[[#This Row],[Bet %]]&lt;&gt;""),Tracker[[#This Row],[Money %]]-Tracker[[#This Row],[Bet %]],NA())</f>
        <v>#N/A</v>
      </c>
      <c r="S223" s="109"/>
      <c r="T223" s="109"/>
      <c r="U223" s="56">
        <f>IFERROR(INDEX($A$4:$B10219,MATCH(ROW()-3,$A$4:$A$4:$A1219,0),2),0)</f>
        <v>0</v>
      </c>
      <c r="V223" s="33" t="str">
        <f>COUNTIFS(Tracker[Date],U223,Tracker[Result],"W")&amp;"-"&amp;COUNTIFS(Tracker[Date],U223,Tracker[Result],"L")&amp;IF(COUNTIFS(Tracker[Date],U223,Tracker[Result],"Push")&gt;0,"-"&amp;COUNTIFS(Tracker[Date],U223,Tracker[Result],"Push"),"")</f>
        <v>0-0</v>
      </c>
      <c r="W223" s="34" t="str">
        <f>IFERROR(COUNTIFS(Tracker[Date],U223,Tracker[Result],"W")/(COUNTIFS(Tracker[Date],U223,Tracker[Result],"W")+COUNTIFS(Tracker[Date],U223,Tracker[Result],"L")),"")</f>
        <v/>
      </c>
      <c r="X223" s="61">
        <f>SUMIF(Tracker[Date],U223,Tracker[Net])</f>
        <v>0</v>
      </c>
    </row>
    <row r="224" spans="1:24" x14ac:dyDescent="0.25">
      <c r="A224" s="36">
        <f t="shared" si="38"/>
        <v>24</v>
      </c>
      <c r="B224" s="25">
        <v>43852</v>
      </c>
      <c r="C224" s="25" t="str">
        <f t="shared" si="40"/>
        <v>NBA</v>
      </c>
      <c r="D224" s="26" t="s">
        <v>1160</v>
      </c>
      <c r="E224" s="28" t="s">
        <v>877</v>
      </c>
      <c r="F224" s="74">
        <v>0.55485196191471042</v>
      </c>
      <c r="G224" s="29">
        <v>-110</v>
      </c>
      <c r="H224" s="50" t="s">
        <v>56</v>
      </c>
      <c r="I22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2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224" s="40" t="str">
        <f>MID(Tracker[[#This Row],[Game]],SEARCH("@",Tracker[[#This Row],[Game]])+2,LEN(Tracker[[#This Row],[Game]]))</f>
        <v>Magic</v>
      </c>
      <c r="L224" s="40" t="str">
        <f>LEFT(Tracker[[#This Row],[Game]],SEARCH("@",Tracker[[#This Row],[Game]])-2)</f>
        <v>Thunder</v>
      </c>
      <c r="M22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224" s="123"/>
      <c r="O224" s="147"/>
      <c r="P224" s="147"/>
      <c r="Q22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24" s="147" t="e">
        <f>IF(AND(Tracker[[#This Row],[Money %]]&lt;&gt;"",Tracker[[#This Row],[Bet %]]&lt;&gt;""),Tracker[[#This Row],[Money %]]-Tracker[[#This Row],[Bet %]],NA())</f>
        <v>#N/A</v>
      </c>
      <c r="S224" s="109"/>
      <c r="T224" s="109"/>
      <c r="U224" s="56">
        <f>IFERROR(INDEX($A$4:$B10220,MATCH(ROW()-3,$A$4:$A$4:$A1220,0),2),0)</f>
        <v>0</v>
      </c>
      <c r="V224" s="33" t="str">
        <f>COUNTIFS(Tracker[Date],U224,Tracker[Result],"W")&amp;"-"&amp;COUNTIFS(Tracker[Date],U224,Tracker[Result],"L")&amp;IF(COUNTIFS(Tracker[Date],U224,Tracker[Result],"Push")&gt;0,"-"&amp;COUNTIFS(Tracker[Date],U224,Tracker[Result],"Push"),"")</f>
        <v>0-0</v>
      </c>
      <c r="W224" s="34" t="str">
        <f>IFERROR(COUNTIFS(Tracker[Date],U224,Tracker[Result],"W")/(COUNTIFS(Tracker[Date],U224,Tracker[Result],"W")+COUNTIFS(Tracker[Date],U224,Tracker[Result],"L")),"")</f>
        <v/>
      </c>
      <c r="X224" s="61">
        <f>SUMIF(Tracker[Date],U224,Tracker[Net])</f>
        <v>0</v>
      </c>
    </row>
    <row r="225" spans="1:24" x14ac:dyDescent="0.25">
      <c r="A225" s="36">
        <f t="shared" si="38"/>
        <v>24</v>
      </c>
      <c r="B225" s="25">
        <v>43852</v>
      </c>
      <c r="C225" s="25" t="str">
        <f t="shared" si="40"/>
        <v>NBA</v>
      </c>
      <c r="D225" s="26" t="s">
        <v>1160</v>
      </c>
      <c r="E225" s="28" t="s">
        <v>939</v>
      </c>
      <c r="F225" s="74">
        <v>0.81986447608061086</v>
      </c>
      <c r="G225" s="29">
        <v>-110</v>
      </c>
      <c r="H225" s="50" t="s">
        <v>56</v>
      </c>
      <c r="I22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2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225" s="40" t="str">
        <f>MID(Tracker[[#This Row],[Game]],SEARCH("@",Tracker[[#This Row],[Game]])+2,LEN(Tracker[[#This Row],[Game]]))</f>
        <v>Magic</v>
      </c>
      <c r="L225" s="40" t="str">
        <f>LEFT(Tracker[[#This Row],[Game]],SEARCH("@",Tracker[[#This Row],[Game]])-2)</f>
        <v>Thunder</v>
      </c>
      <c r="M22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225" s="123"/>
      <c r="O225" s="147"/>
      <c r="P225" s="147"/>
      <c r="Q22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25" s="147" t="e">
        <f>IF(AND(Tracker[[#This Row],[Money %]]&lt;&gt;"",Tracker[[#This Row],[Bet %]]&lt;&gt;""),Tracker[[#This Row],[Money %]]-Tracker[[#This Row],[Bet %]],NA())</f>
        <v>#N/A</v>
      </c>
      <c r="S225" s="109"/>
      <c r="T225" s="109"/>
      <c r="U225" s="56">
        <f>IFERROR(INDEX($A$4:$B10221,MATCH(ROW()-3,$A$4:$A$4:$A1221,0),2),0)</f>
        <v>0</v>
      </c>
      <c r="V225" s="33" t="str">
        <f>COUNTIFS(Tracker[Date],U225,Tracker[Result],"W")&amp;"-"&amp;COUNTIFS(Tracker[Date],U225,Tracker[Result],"L")&amp;IF(COUNTIFS(Tracker[Date],U225,Tracker[Result],"Push")&gt;0,"-"&amp;COUNTIFS(Tracker[Date],U225,Tracker[Result],"Push"),"")</f>
        <v>0-0</v>
      </c>
      <c r="W225" s="34" t="str">
        <f>IFERROR(COUNTIFS(Tracker[Date],U225,Tracker[Result],"W")/(COUNTIFS(Tracker[Date],U225,Tracker[Result],"W")+COUNTIFS(Tracker[Date],U225,Tracker[Result],"L")),"")</f>
        <v/>
      </c>
      <c r="X225" s="61">
        <f>SUMIF(Tracker[Date],U225,Tracker[Net])</f>
        <v>0</v>
      </c>
    </row>
    <row r="226" spans="1:24" x14ac:dyDescent="0.25">
      <c r="A226" s="36">
        <f t="shared" si="38"/>
        <v>24</v>
      </c>
      <c r="B226" s="25">
        <v>43852</v>
      </c>
      <c r="C226" s="25" t="str">
        <f t="shared" si="40"/>
        <v>NBA</v>
      </c>
      <c r="D226" s="26" t="s">
        <v>1161</v>
      </c>
      <c r="E226" s="28" t="s">
        <v>834</v>
      </c>
      <c r="F226" s="74">
        <v>0.73133933014932362</v>
      </c>
      <c r="G226" s="29">
        <v>-110</v>
      </c>
      <c r="H226" s="50" t="s">
        <v>57</v>
      </c>
      <c r="I22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2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226" s="40" t="str">
        <f>MID(Tracker[[#This Row],[Game]],SEARCH("@",Tracker[[#This Row],[Game]])+2,LEN(Tracker[[#This Row],[Game]]))</f>
        <v>Raptors</v>
      </c>
      <c r="L226" s="40" t="str">
        <f>LEFT(Tracker[[#This Row],[Game]],SEARCH("@",Tracker[[#This Row],[Game]])-2)</f>
        <v>76ers</v>
      </c>
      <c r="M22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226" s="123"/>
      <c r="O226" s="147"/>
      <c r="P226" s="147"/>
      <c r="Q226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26" s="147" t="e">
        <f>IF(AND(Tracker[[#This Row],[Money %]]&lt;&gt;"",Tracker[[#This Row],[Bet %]]&lt;&gt;""),Tracker[[#This Row],[Money %]]-Tracker[[#This Row],[Bet %]],NA())</f>
        <v>#N/A</v>
      </c>
      <c r="S226" s="109"/>
      <c r="T226" s="109"/>
      <c r="U226" s="56">
        <f>IFERROR(INDEX($A$4:$B10222,MATCH(ROW()-3,$A$4:$A$4:$A1222,0),2),0)</f>
        <v>0</v>
      </c>
      <c r="V226" s="33" t="str">
        <f>COUNTIFS(Tracker[Date],U226,Tracker[Result],"W")&amp;"-"&amp;COUNTIFS(Tracker[Date],U226,Tracker[Result],"L")&amp;IF(COUNTIFS(Tracker[Date],U226,Tracker[Result],"Push")&gt;0,"-"&amp;COUNTIFS(Tracker[Date],U226,Tracker[Result],"Push"),"")</f>
        <v>0-0</v>
      </c>
      <c r="W226" s="34" t="str">
        <f>IFERROR(COUNTIFS(Tracker[Date],U226,Tracker[Result],"W")/(COUNTIFS(Tracker[Date],U226,Tracker[Result],"W")+COUNTIFS(Tracker[Date],U226,Tracker[Result],"L")),"")</f>
        <v/>
      </c>
      <c r="X226" s="61">
        <f>SUMIF(Tracker[Date],U226,Tracker[Net])</f>
        <v>0</v>
      </c>
    </row>
    <row r="227" spans="1:24" x14ac:dyDescent="0.25">
      <c r="A227" s="36">
        <f t="shared" si="38"/>
        <v>24</v>
      </c>
      <c r="B227" s="25">
        <v>43852</v>
      </c>
      <c r="C227" s="25" t="str">
        <f t="shared" si="40"/>
        <v>NBA</v>
      </c>
      <c r="D227" s="26" t="s">
        <v>1162</v>
      </c>
      <c r="E227" s="28" t="s">
        <v>1163</v>
      </c>
      <c r="F227" s="74">
        <v>0.84643240825637944</v>
      </c>
      <c r="G227" s="29">
        <v>-110</v>
      </c>
      <c r="H227" s="50" t="s">
        <v>56</v>
      </c>
      <c r="I22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2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227" s="40" t="str">
        <f>MID(Tracker[[#This Row],[Game]],SEARCH("@",Tracker[[#This Row],[Game]])+2,LEN(Tracker[[#This Row],[Game]]))</f>
        <v>Celtics</v>
      </c>
      <c r="L227" s="40" t="str">
        <f>LEFT(Tracker[[#This Row],[Game]],SEARCH("@",Tracker[[#This Row],[Game]])-2)</f>
        <v>Grizzlies</v>
      </c>
      <c r="M22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227" s="123"/>
      <c r="O227" s="147"/>
      <c r="P227" s="147"/>
      <c r="Q227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27" s="147" t="e">
        <f>IF(AND(Tracker[[#This Row],[Money %]]&lt;&gt;"",Tracker[[#This Row],[Bet %]]&lt;&gt;""),Tracker[[#This Row],[Money %]]-Tracker[[#This Row],[Bet %]],NA())</f>
        <v>#N/A</v>
      </c>
      <c r="S227" s="109"/>
      <c r="T227" s="109"/>
      <c r="U227" s="56">
        <f>IFERROR(INDEX($A$4:$B10223,MATCH(ROW()-3,$A$4:$A$4:$A1223,0),2),0)</f>
        <v>0</v>
      </c>
      <c r="V227" s="33" t="str">
        <f>COUNTIFS(Tracker[Date],U227,Tracker[Result],"W")&amp;"-"&amp;COUNTIFS(Tracker[Date],U227,Tracker[Result],"L")&amp;IF(COUNTIFS(Tracker[Date],U227,Tracker[Result],"Push")&gt;0,"-"&amp;COUNTIFS(Tracker[Date],U227,Tracker[Result],"Push"),"")</f>
        <v>0-0</v>
      </c>
      <c r="W227" s="34" t="str">
        <f>IFERROR(COUNTIFS(Tracker[Date],U227,Tracker[Result],"W")/(COUNTIFS(Tracker[Date],U227,Tracker[Result],"W")+COUNTIFS(Tracker[Date],U227,Tracker[Result],"L")),"")</f>
        <v/>
      </c>
      <c r="X227" s="61">
        <f>SUMIF(Tracker[Date],U227,Tracker[Net])</f>
        <v>0</v>
      </c>
    </row>
    <row r="228" spans="1:24" x14ac:dyDescent="0.25">
      <c r="A228" s="36">
        <f t="shared" si="38"/>
        <v>24</v>
      </c>
      <c r="B228" s="25">
        <v>43852</v>
      </c>
      <c r="C228" s="25" t="str">
        <f t="shared" si="40"/>
        <v>NBA</v>
      </c>
      <c r="D228" s="26" t="s">
        <v>1164</v>
      </c>
      <c r="E228" s="28" t="s">
        <v>1165</v>
      </c>
      <c r="F228" s="74">
        <v>0.61930264440139149</v>
      </c>
      <c r="G228" s="29">
        <v>-110</v>
      </c>
      <c r="H228" s="50" t="s">
        <v>57</v>
      </c>
      <c r="I22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2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228" s="40" t="str">
        <f>MID(Tracker[[#This Row],[Game]],SEARCH("@",Tracker[[#This Row],[Game]])+2,LEN(Tracker[[#This Row],[Game]]))</f>
        <v>Knicks</v>
      </c>
      <c r="L228" s="40" t="str">
        <f>LEFT(Tracker[[#This Row],[Game]],SEARCH("@",Tracker[[#This Row],[Game]])-2)</f>
        <v>Lakers</v>
      </c>
      <c r="M22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228" s="123"/>
      <c r="O228" s="147"/>
      <c r="P228" s="147"/>
      <c r="Q228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28" s="147" t="e">
        <f>IF(AND(Tracker[[#This Row],[Money %]]&lt;&gt;"",Tracker[[#This Row],[Bet %]]&lt;&gt;""),Tracker[[#This Row],[Money %]]-Tracker[[#This Row],[Bet %]],NA())</f>
        <v>#N/A</v>
      </c>
      <c r="S228" s="109"/>
      <c r="T228" s="109"/>
      <c r="U228" s="56">
        <f>IFERROR(INDEX($A$4:$B10224,MATCH(ROW()-3,$A$4:$A$4:$A1224,0),2),0)</f>
        <v>0</v>
      </c>
      <c r="V228" s="33" t="str">
        <f>COUNTIFS(Tracker[Date],U228,Tracker[Result],"W")&amp;"-"&amp;COUNTIFS(Tracker[Date],U228,Tracker[Result],"L")&amp;IF(COUNTIFS(Tracker[Date],U228,Tracker[Result],"Push")&gt;0,"-"&amp;COUNTIFS(Tracker[Date],U228,Tracker[Result],"Push"),"")</f>
        <v>0-0</v>
      </c>
      <c r="W228" s="34" t="str">
        <f>IFERROR(COUNTIFS(Tracker[Date],U228,Tracker[Result],"W")/(COUNTIFS(Tracker[Date],U228,Tracker[Result],"W")+COUNTIFS(Tracker[Date],U228,Tracker[Result],"L")),"")</f>
        <v/>
      </c>
      <c r="X228" s="61">
        <f>SUMIF(Tracker[Date],U228,Tracker[Net])</f>
        <v>0</v>
      </c>
    </row>
    <row r="229" spans="1:24" x14ac:dyDescent="0.25">
      <c r="A229" s="36">
        <f t="shared" si="38"/>
        <v>24</v>
      </c>
      <c r="B229" s="25">
        <v>43852</v>
      </c>
      <c r="C229" s="25" t="str">
        <f t="shared" si="40"/>
        <v>NBA</v>
      </c>
      <c r="D229" s="26" t="s">
        <v>1166</v>
      </c>
      <c r="E229" s="28" t="s">
        <v>1089</v>
      </c>
      <c r="F229" s="74">
        <v>0.82232763165680056</v>
      </c>
      <c r="G229" s="29">
        <v>-110</v>
      </c>
      <c r="H229" s="50" t="s">
        <v>56</v>
      </c>
      <c r="I22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2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229" s="40" t="str">
        <f>MID(Tracker[[#This Row],[Game]],SEARCH("@",Tracker[[#This Row],[Game]])+2,LEN(Tracker[[#This Row],[Game]]))</f>
        <v>Bulls</v>
      </c>
      <c r="L229" s="40" t="str">
        <f>LEFT(Tracker[[#This Row],[Game]],SEARCH("@",Tracker[[#This Row],[Game]])-2)</f>
        <v>Timberwolves</v>
      </c>
      <c r="M22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229" s="123"/>
      <c r="O229" s="147"/>
      <c r="P229" s="147"/>
      <c r="Q229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29" s="147" t="e">
        <f>IF(AND(Tracker[[#This Row],[Money %]]&lt;&gt;"",Tracker[[#This Row],[Bet %]]&lt;&gt;""),Tracker[[#This Row],[Money %]]-Tracker[[#This Row],[Bet %]],NA())</f>
        <v>#N/A</v>
      </c>
      <c r="S229" s="109"/>
      <c r="T229" s="109"/>
      <c r="U229" s="56">
        <f>IFERROR(INDEX($A$4:$B10225,MATCH(ROW()-3,$A$4:$A$4:$A1225,0),2),0)</f>
        <v>0</v>
      </c>
      <c r="V229" s="33" t="str">
        <f>COUNTIFS(Tracker[Date],U229,Tracker[Result],"W")&amp;"-"&amp;COUNTIFS(Tracker[Date],U229,Tracker[Result],"L")&amp;IF(COUNTIFS(Tracker[Date],U229,Tracker[Result],"Push")&gt;0,"-"&amp;COUNTIFS(Tracker[Date],U229,Tracker[Result],"Push"),"")</f>
        <v>0-0</v>
      </c>
      <c r="W229" s="34" t="str">
        <f>IFERROR(COUNTIFS(Tracker[Date],U229,Tracker[Result],"W")/(COUNTIFS(Tracker[Date],U229,Tracker[Result],"W")+COUNTIFS(Tracker[Date],U229,Tracker[Result],"L")),"")</f>
        <v/>
      </c>
      <c r="X229" s="61">
        <f>SUMIF(Tracker[Date],U229,Tracker[Net])</f>
        <v>0</v>
      </c>
    </row>
    <row r="230" spans="1:24" x14ac:dyDescent="0.25">
      <c r="A230" s="36">
        <f t="shared" si="38"/>
        <v>24</v>
      </c>
      <c r="B230" s="25">
        <v>43852</v>
      </c>
      <c r="C230" s="25" t="str">
        <f t="shared" si="40"/>
        <v>NBA</v>
      </c>
      <c r="D230" s="26" t="s">
        <v>1167</v>
      </c>
      <c r="E230" s="28" t="s">
        <v>1168</v>
      </c>
      <c r="F230" s="74">
        <v>0.68000996384961665</v>
      </c>
      <c r="G230" s="29">
        <v>-110</v>
      </c>
      <c r="H230" s="50" t="s">
        <v>57</v>
      </c>
      <c r="I23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3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230" s="40" t="str">
        <f>MID(Tracker[[#This Row],[Game]],SEARCH("@",Tracker[[#This Row],[Game]])+2,LEN(Tracker[[#This Row],[Game]]))</f>
        <v>Rockets</v>
      </c>
      <c r="L230" s="40" t="str">
        <f>LEFT(Tracker[[#This Row],[Game]],SEARCH("@",Tracker[[#This Row],[Game]])-2)</f>
        <v>Nuggets</v>
      </c>
      <c r="M23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230" s="123"/>
      <c r="O230" s="147"/>
      <c r="P230" s="147"/>
      <c r="Q230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30" s="147" t="e">
        <f>IF(AND(Tracker[[#This Row],[Money %]]&lt;&gt;"",Tracker[[#This Row],[Bet %]]&lt;&gt;""),Tracker[[#This Row],[Money %]]-Tracker[[#This Row],[Bet %]],NA())</f>
        <v>#N/A</v>
      </c>
      <c r="S230" s="109"/>
      <c r="T230" s="109"/>
      <c r="U230" s="56">
        <f>IFERROR(INDEX($A$4:$B10226,MATCH(ROW()-3,$A$4:$A$4:$A1226,0),2),0)</f>
        <v>0</v>
      </c>
      <c r="V230" s="33" t="str">
        <f>COUNTIFS(Tracker[Date],U230,Tracker[Result],"W")&amp;"-"&amp;COUNTIFS(Tracker[Date],U230,Tracker[Result],"L")&amp;IF(COUNTIFS(Tracker[Date],U230,Tracker[Result],"Push")&gt;0,"-"&amp;COUNTIFS(Tracker[Date],U230,Tracker[Result],"Push"),"")</f>
        <v>0-0</v>
      </c>
      <c r="W230" s="34" t="str">
        <f>IFERROR(COUNTIFS(Tracker[Date],U230,Tracker[Result],"W")/(COUNTIFS(Tracker[Date],U230,Tracker[Result],"W")+COUNTIFS(Tracker[Date],U230,Tracker[Result],"L")),"")</f>
        <v/>
      </c>
      <c r="X230" s="61">
        <f>SUMIF(Tracker[Date],U230,Tracker[Net])</f>
        <v>0</v>
      </c>
    </row>
    <row r="231" spans="1:24" x14ac:dyDescent="0.25">
      <c r="A231" s="36">
        <f t="shared" si="38"/>
        <v>24</v>
      </c>
      <c r="B231" s="25">
        <v>43852</v>
      </c>
      <c r="C231" s="25" t="str">
        <f t="shared" si="40"/>
        <v>NBA</v>
      </c>
      <c r="D231" s="26" t="s">
        <v>1167</v>
      </c>
      <c r="E231" s="28" t="s">
        <v>1112</v>
      </c>
      <c r="F231" s="74">
        <v>0.55937009119783143</v>
      </c>
      <c r="G231" s="29">
        <v>-110</v>
      </c>
      <c r="H231" s="50" t="s">
        <v>57</v>
      </c>
      <c r="I23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3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231" s="40" t="str">
        <f>MID(Tracker[[#This Row],[Game]],SEARCH("@",Tracker[[#This Row],[Game]])+2,LEN(Tracker[[#This Row],[Game]]))</f>
        <v>Rockets</v>
      </c>
      <c r="L231" s="40" t="str">
        <f>LEFT(Tracker[[#This Row],[Game]],SEARCH("@",Tracker[[#This Row],[Game]])-2)</f>
        <v>Nuggets</v>
      </c>
      <c r="M23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231" s="123"/>
      <c r="O231" s="147"/>
      <c r="P231" s="147"/>
      <c r="Q231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31" s="147" t="e">
        <f>IF(AND(Tracker[[#This Row],[Money %]]&lt;&gt;"",Tracker[[#This Row],[Bet %]]&lt;&gt;""),Tracker[[#This Row],[Money %]]-Tracker[[#This Row],[Bet %]],NA())</f>
        <v>#N/A</v>
      </c>
      <c r="S231" s="109"/>
      <c r="T231" s="109"/>
      <c r="U231" s="56">
        <f>IFERROR(INDEX($A$4:$B10227,MATCH(ROW()-3,$A$4:$A$4:$A1227,0),2),0)</f>
        <v>0</v>
      </c>
      <c r="V231" s="33" t="str">
        <f>COUNTIFS(Tracker[Date],U231,Tracker[Result],"W")&amp;"-"&amp;COUNTIFS(Tracker[Date],U231,Tracker[Result],"L")&amp;IF(COUNTIFS(Tracker[Date],U231,Tracker[Result],"Push")&gt;0,"-"&amp;COUNTIFS(Tracker[Date],U231,Tracker[Result],"Push"),"")</f>
        <v>0-0</v>
      </c>
      <c r="W231" s="34" t="str">
        <f>IFERROR(COUNTIFS(Tracker[Date],U231,Tracker[Result],"W")/(COUNTIFS(Tracker[Date],U231,Tracker[Result],"W")+COUNTIFS(Tracker[Date],U231,Tracker[Result],"L")),"")</f>
        <v/>
      </c>
      <c r="X231" s="61">
        <f>SUMIF(Tracker[Date],U231,Tracker[Net])</f>
        <v>0</v>
      </c>
    </row>
    <row r="232" spans="1:24" x14ac:dyDescent="0.25">
      <c r="A232" s="36">
        <f t="shared" si="38"/>
        <v>24</v>
      </c>
      <c r="B232" s="25">
        <v>43852</v>
      </c>
      <c r="C232" s="25" t="str">
        <f t="shared" si="40"/>
        <v>NBA</v>
      </c>
      <c r="D232" s="26" t="s">
        <v>1169</v>
      </c>
      <c r="E232" s="28" t="s">
        <v>1170</v>
      </c>
      <c r="F232" s="74">
        <v>0.75445762994084087</v>
      </c>
      <c r="G232" s="29">
        <v>-110</v>
      </c>
      <c r="H232" s="50" t="s">
        <v>56</v>
      </c>
      <c r="I23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3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232" s="40" t="str">
        <f>MID(Tracker[[#This Row],[Game]],SEARCH("@",Tracker[[#This Row],[Game]])+2,LEN(Tracker[[#This Row],[Game]]))</f>
        <v>Suns</v>
      </c>
      <c r="L232" s="40" t="str">
        <f>LEFT(Tracker[[#This Row],[Game]],SEARCH("@",Tracker[[#This Row],[Game]])-2)</f>
        <v>Pacers</v>
      </c>
      <c r="M23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232" s="123"/>
      <c r="O232" s="147"/>
      <c r="P232" s="147"/>
      <c r="Q232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32" s="147" t="e">
        <f>IF(AND(Tracker[[#This Row],[Money %]]&lt;&gt;"",Tracker[[#This Row],[Bet %]]&lt;&gt;""),Tracker[[#This Row],[Money %]]-Tracker[[#This Row],[Bet %]],NA())</f>
        <v>#N/A</v>
      </c>
      <c r="S232" s="109"/>
      <c r="T232" s="109"/>
      <c r="U232" s="56">
        <f>IFERROR(INDEX($A$4:$B10228,MATCH(ROW()-3,$A$4:$A$4:$A1228,0),2),0)</f>
        <v>0</v>
      </c>
      <c r="V232" s="33" t="str">
        <f>COUNTIFS(Tracker[Date],U232,Tracker[Result],"W")&amp;"-"&amp;COUNTIFS(Tracker[Date],U232,Tracker[Result],"L")&amp;IF(COUNTIFS(Tracker[Date],U232,Tracker[Result],"Push")&gt;0,"-"&amp;COUNTIFS(Tracker[Date],U232,Tracker[Result],"Push"),"")</f>
        <v>0-0</v>
      </c>
      <c r="W232" s="34" t="str">
        <f>IFERROR(COUNTIFS(Tracker[Date],U232,Tracker[Result],"W")/(COUNTIFS(Tracker[Date],U232,Tracker[Result],"W")+COUNTIFS(Tracker[Date],U232,Tracker[Result],"L")),"")</f>
        <v/>
      </c>
      <c r="X232" s="61">
        <f>SUMIF(Tracker[Date],U232,Tracker[Net])</f>
        <v>0</v>
      </c>
    </row>
    <row r="233" spans="1:24" x14ac:dyDescent="0.25">
      <c r="A233" s="36">
        <f t="shared" si="38"/>
        <v>24</v>
      </c>
      <c r="B233" s="25">
        <v>43852</v>
      </c>
      <c r="C233" s="25" t="str">
        <f t="shared" si="40"/>
        <v>NBA</v>
      </c>
      <c r="D233" s="26" t="s">
        <v>1169</v>
      </c>
      <c r="E233" s="28" t="s">
        <v>1075</v>
      </c>
      <c r="F233" s="67">
        <v>0.77738902043899383</v>
      </c>
      <c r="G233" s="29">
        <v>-110</v>
      </c>
      <c r="H233" s="50" t="s">
        <v>57</v>
      </c>
      <c r="I23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3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233" s="40" t="str">
        <f>MID(Tracker[[#This Row],[Game]],SEARCH("@",Tracker[[#This Row],[Game]])+2,LEN(Tracker[[#This Row],[Game]]))</f>
        <v>Suns</v>
      </c>
      <c r="L233" s="40" t="str">
        <f>LEFT(Tracker[[#This Row],[Game]],SEARCH("@",Tracker[[#This Row],[Game]])-2)</f>
        <v>Pacers</v>
      </c>
      <c r="M23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233" s="123"/>
      <c r="O233" s="147"/>
      <c r="P233" s="147"/>
      <c r="Q233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33" s="147" t="e">
        <f>IF(AND(Tracker[[#This Row],[Money %]]&lt;&gt;"",Tracker[[#This Row],[Bet %]]&lt;&gt;""),Tracker[[#This Row],[Money %]]-Tracker[[#This Row],[Bet %]],NA())</f>
        <v>#N/A</v>
      </c>
      <c r="S233" s="109"/>
      <c r="T233" s="109"/>
      <c r="U233" s="56">
        <f>IFERROR(INDEX($A$4:$B10229,MATCH(ROW()-3,$A$4:$A$4:$A1229,0),2),0)</f>
        <v>0</v>
      </c>
      <c r="V233" s="33" t="str">
        <f>COUNTIFS(Tracker[Date],U233,Tracker[Result],"W")&amp;"-"&amp;COUNTIFS(Tracker[Date],U233,Tracker[Result],"L")&amp;IF(COUNTIFS(Tracker[Date],U233,Tracker[Result],"Push")&gt;0,"-"&amp;COUNTIFS(Tracker[Date],U233,Tracker[Result],"Push"),"")</f>
        <v>0-0</v>
      </c>
      <c r="W233" s="34" t="str">
        <f>IFERROR(COUNTIFS(Tracker[Date],U233,Tracker[Result],"W")/(COUNTIFS(Tracker[Date],U233,Tracker[Result],"W")+COUNTIFS(Tracker[Date],U233,Tracker[Result],"L")),"")</f>
        <v/>
      </c>
      <c r="X233" s="61">
        <f>SUMIF(Tracker[Date],U233,Tracker[Net])</f>
        <v>0</v>
      </c>
    </row>
    <row r="234" spans="1:24" x14ac:dyDescent="0.25">
      <c r="A234" s="36">
        <f t="shared" si="38"/>
        <v>24</v>
      </c>
      <c r="B234" s="25">
        <v>43852</v>
      </c>
      <c r="C234" s="25" t="str">
        <f t="shared" si="40"/>
        <v>NBA</v>
      </c>
      <c r="D234" s="26" t="s">
        <v>1171</v>
      </c>
      <c r="E234" s="28" t="s">
        <v>1172</v>
      </c>
      <c r="F234" s="67">
        <v>0.86880010843518707</v>
      </c>
      <c r="G234" s="29">
        <v>-110</v>
      </c>
      <c r="H234" s="50" t="s">
        <v>56</v>
      </c>
      <c r="I23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3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234" s="40" t="str">
        <f>MID(Tracker[[#This Row],[Game]],SEARCH("@",Tracker[[#This Row],[Game]])+2,LEN(Tracker[[#This Row],[Game]]))</f>
        <v>Pelicans</v>
      </c>
      <c r="L234" s="40" t="str">
        <f>LEFT(Tracker[[#This Row],[Game]],SEARCH("@",Tracker[[#This Row],[Game]])-2)</f>
        <v>Spurs</v>
      </c>
      <c r="M23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234" s="123"/>
      <c r="O234" s="147"/>
      <c r="P234" s="147"/>
      <c r="Q23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34" s="147" t="e">
        <f>IF(AND(Tracker[[#This Row],[Money %]]&lt;&gt;"",Tracker[[#This Row],[Bet %]]&lt;&gt;""),Tracker[[#This Row],[Money %]]-Tracker[[#This Row],[Bet %]],NA())</f>
        <v>#N/A</v>
      </c>
      <c r="S234" s="109"/>
      <c r="T234" s="109"/>
      <c r="U234" s="56">
        <f>IFERROR(INDEX($A$4:$B10230,MATCH(ROW()-3,$A$4:$A$4:$A1230,0),2),0)</f>
        <v>0</v>
      </c>
      <c r="V234" s="33" t="str">
        <f>COUNTIFS(Tracker[Date],U234,Tracker[Result],"W")&amp;"-"&amp;COUNTIFS(Tracker[Date],U234,Tracker[Result],"L")&amp;IF(COUNTIFS(Tracker[Date],U234,Tracker[Result],"Push")&gt;0,"-"&amp;COUNTIFS(Tracker[Date],U234,Tracker[Result],"Push"),"")</f>
        <v>0-0</v>
      </c>
      <c r="W234" s="34" t="str">
        <f>IFERROR(COUNTIFS(Tracker[Date],U234,Tracker[Result],"W")/(COUNTIFS(Tracker[Date],U234,Tracker[Result],"W")+COUNTIFS(Tracker[Date],U234,Tracker[Result],"L")),"")</f>
        <v/>
      </c>
      <c r="X234" s="61">
        <f>SUMIF(Tracker[Date],U234,Tracker[Net])</f>
        <v>0</v>
      </c>
    </row>
    <row r="235" spans="1:24" x14ac:dyDescent="0.25">
      <c r="A235" s="36">
        <f t="shared" si="38"/>
        <v>24</v>
      </c>
      <c r="B235" s="25">
        <v>43852</v>
      </c>
      <c r="C235" s="25" t="str">
        <f t="shared" ref="C235:C237" si="41">"NBA"</f>
        <v>NBA</v>
      </c>
      <c r="D235" s="26" t="s">
        <v>1173</v>
      </c>
      <c r="E235" s="28" t="s">
        <v>1174</v>
      </c>
      <c r="F235" s="67">
        <v>0.74600246424451822</v>
      </c>
      <c r="G235" s="29">
        <v>-110</v>
      </c>
      <c r="H235" s="50" t="s">
        <v>57</v>
      </c>
      <c r="I23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3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235" s="40" t="str">
        <f>MID(Tracker[[#This Row],[Game]],SEARCH("@",Tracker[[#This Row],[Game]])+2,LEN(Tracker[[#This Row],[Game]]))</f>
        <v>Hawks</v>
      </c>
      <c r="L235" s="40" t="str">
        <f>LEFT(Tracker[[#This Row],[Game]],SEARCH("@",Tracker[[#This Row],[Game]])-2)</f>
        <v>Clippers</v>
      </c>
      <c r="M23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235" s="123"/>
      <c r="O235" s="147"/>
      <c r="P235" s="147"/>
      <c r="Q23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35" s="147" t="e">
        <f>IF(AND(Tracker[[#This Row],[Money %]]&lt;&gt;"",Tracker[[#This Row],[Bet %]]&lt;&gt;""),Tracker[[#This Row],[Money %]]-Tracker[[#This Row],[Bet %]],NA())</f>
        <v>#N/A</v>
      </c>
      <c r="S235" s="109"/>
      <c r="T235" s="109"/>
      <c r="U235" s="56">
        <f>IFERROR(INDEX($A$4:$B10231,MATCH(ROW()-3,$A$4:$A$4:$A1231,0),2),0)</f>
        <v>0</v>
      </c>
      <c r="V235" s="33" t="str">
        <f>COUNTIFS(Tracker[Date],U235,Tracker[Result],"W")&amp;"-"&amp;COUNTIFS(Tracker[Date],U235,Tracker[Result],"L")&amp;IF(COUNTIFS(Tracker[Date],U235,Tracker[Result],"Push")&gt;0,"-"&amp;COUNTIFS(Tracker[Date],U235,Tracker[Result],"Push"),"")</f>
        <v>0-0</v>
      </c>
      <c r="W235" s="34" t="str">
        <f>IFERROR(COUNTIFS(Tracker[Date],U235,Tracker[Result],"W")/(COUNTIFS(Tracker[Date],U235,Tracker[Result],"W")+COUNTIFS(Tracker[Date],U235,Tracker[Result],"L")),"")</f>
        <v/>
      </c>
      <c r="X235" s="61">
        <f>SUMIF(Tracker[Date],U235,Tracker[Net])</f>
        <v>0</v>
      </c>
    </row>
    <row r="236" spans="1:24" x14ac:dyDescent="0.25">
      <c r="A236" s="36">
        <f t="shared" si="38"/>
        <v>24</v>
      </c>
      <c r="B236" s="25">
        <v>43852</v>
      </c>
      <c r="C236" s="25" t="str">
        <f t="shared" si="41"/>
        <v>NBA</v>
      </c>
      <c r="D236" s="26" t="s">
        <v>1175</v>
      </c>
      <c r="E236" s="28" t="s">
        <v>1176</v>
      </c>
      <c r="F236" s="67">
        <v>0.71538574941380373</v>
      </c>
      <c r="G236" s="29">
        <v>-110</v>
      </c>
      <c r="H236" s="50" t="s">
        <v>56</v>
      </c>
      <c r="I23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3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236" s="40" t="str">
        <f>MID(Tracker[[#This Row],[Game]],SEARCH("@",Tracker[[#This Row],[Game]])+2,LEN(Tracker[[#This Row],[Game]]))</f>
        <v>Warriors</v>
      </c>
      <c r="L236" s="40" t="str">
        <f>LEFT(Tracker[[#This Row],[Game]],SEARCH("@",Tracker[[#This Row],[Game]])-2)</f>
        <v>Jazz</v>
      </c>
      <c r="M23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236" s="123"/>
      <c r="O236" s="147"/>
      <c r="P236" s="147"/>
      <c r="Q236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36" s="147" t="e">
        <f>IF(AND(Tracker[[#This Row],[Money %]]&lt;&gt;"",Tracker[[#This Row],[Bet %]]&lt;&gt;""),Tracker[[#This Row],[Money %]]-Tracker[[#This Row],[Bet %]],NA())</f>
        <v>#N/A</v>
      </c>
      <c r="S236" s="109"/>
      <c r="T236" s="109"/>
      <c r="U236" s="56">
        <f>IFERROR(INDEX($A$4:$B10232,MATCH(ROW()-3,$A$4:$A$4:$A1232,0),2),0)</f>
        <v>0</v>
      </c>
      <c r="V236" s="33" t="str">
        <f>COUNTIFS(Tracker[Date],U236,Tracker[Result],"W")&amp;"-"&amp;COUNTIFS(Tracker[Date],U236,Tracker[Result],"L")&amp;IF(COUNTIFS(Tracker[Date],U236,Tracker[Result],"Push")&gt;0,"-"&amp;COUNTIFS(Tracker[Date],U236,Tracker[Result],"Push"),"")</f>
        <v>0-0</v>
      </c>
      <c r="W236" s="34" t="str">
        <f>IFERROR(COUNTIFS(Tracker[Date],U236,Tracker[Result],"W")/(COUNTIFS(Tracker[Date],U236,Tracker[Result],"W")+COUNTIFS(Tracker[Date],U236,Tracker[Result],"L")),"")</f>
        <v/>
      </c>
      <c r="X236" s="61">
        <f>SUMIF(Tracker[Date],U236,Tracker[Net])</f>
        <v>0</v>
      </c>
    </row>
    <row r="237" spans="1:24" x14ac:dyDescent="0.25">
      <c r="A237" s="36">
        <f t="shared" si="38"/>
        <v>24</v>
      </c>
      <c r="B237" s="25">
        <v>43852</v>
      </c>
      <c r="C237" s="25" t="str">
        <f t="shared" si="41"/>
        <v>NBA</v>
      </c>
      <c r="D237" s="26" t="s">
        <v>1175</v>
      </c>
      <c r="E237" s="28" t="s">
        <v>946</v>
      </c>
      <c r="F237" s="67">
        <v>0.69786153958973451</v>
      </c>
      <c r="G237" s="29">
        <v>-110</v>
      </c>
      <c r="H237" s="50" t="s">
        <v>57</v>
      </c>
      <c r="I23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3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237" s="40" t="str">
        <f>MID(Tracker[[#This Row],[Game]],SEARCH("@",Tracker[[#This Row],[Game]])+2,LEN(Tracker[[#This Row],[Game]]))</f>
        <v>Warriors</v>
      </c>
      <c r="L237" s="40" t="str">
        <f>LEFT(Tracker[[#This Row],[Game]],SEARCH("@",Tracker[[#This Row],[Game]])-2)</f>
        <v>Jazz</v>
      </c>
      <c r="M23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237" s="123"/>
      <c r="O237" s="147"/>
      <c r="P237" s="147"/>
      <c r="Q237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37" s="147" t="e">
        <f>IF(AND(Tracker[[#This Row],[Money %]]&lt;&gt;"",Tracker[[#This Row],[Bet %]]&lt;&gt;""),Tracker[[#This Row],[Money %]]-Tracker[[#This Row],[Bet %]],NA())</f>
        <v>#N/A</v>
      </c>
      <c r="S237" s="109"/>
      <c r="T237" s="109"/>
      <c r="U237" s="56">
        <f>IFERROR(INDEX($A$4:$B10233,MATCH(ROW()-3,$A$4:$A$4:$A1233,0),2),0)</f>
        <v>0</v>
      </c>
      <c r="V237" s="33" t="str">
        <f>COUNTIFS(Tracker[Date],U237,Tracker[Result],"W")&amp;"-"&amp;COUNTIFS(Tracker[Date],U237,Tracker[Result],"L")&amp;IF(COUNTIFS(Tracker[Date],U237,Tracker[Result],"Push")&gt;0,"-"&amp;COUNTIFS(Tracker[Date],U237,Tracker[Result],"Push"),"")</f>
        <v>0-0</v>
      </c>
      <c r="W237" s="34" t="str">
        <f>IFERROR(COUNTIFS(Tracker[Date],U237,Tracker[Result],"W")/(COUNTIFS(Tracker[Date],U237,Tracker[Result],"W")+COUNTIFS(Tracker[Date],U237,Tracker[Result],"L")),"")</f>
        <v/>
      </c>
      <c r="X237" s="61">
        <f>SUMIF(Tracker[Date],U237,Tracker[Net])</f>
        <v>0</v>
      </c>
    </row>
    <row r="238" spans="1:24" x14ac:dyDescent="0.25">
      <c r="A238" s="36">
        <f t="shared" si="38"/>
        <v>25</v>
      </c>
      <c r="B238" s="25">
        <v>43853</v>
      </c>
      <c r="C238" s="25" t="str">
        <f t="shared" ref="C238:C242" si="42">"NBA"</f>
        <v>NBA</v>
      </c>
      <c r="D238" s="26" t="s">
        <v>1177</v>
      </c>
      <c r="E238" s="28" t="s">
        <v>794</v>
      </c>
      <c r="F238" s="67">
        <v>0.6453254710849915</v>
      </c>
      <c r="G238" s="29">
        <v>-110</v>
      </c>
      <c r="H238" s="50" t="s">
        <v>57</v>
      </c>
      <c r="I23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3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238" s="40" t="str">
        <f>MID(Tracker[[#This Row],[Game]],SEARCH("@",Tracker[[#This Row],[Game]])+2,LEN(Tracker[[#This Row],[Game]]))</f>
        <v>Cavaliers</v>
      </c>
      <c r="L238" s="40" t="str">
        <f>LEFT(Tracker[[#This Row],[Game]],SEARCH("@",Tracker[[#This Row],[Game]])-2)</f>
        <v>Wizards</v>
      </c>
      <c r="M23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238" s="123"/>
      <c r="O238" s="147"/>
      <c r="P238" s="147"/>
      <c r="Q238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38" s="147" t="e">
        <f>IF(AND(Tracker[[#This Row],[Money %]]&lt;&gt;"",Tracker[[#This Row],[Bet %]]&lt;&gt;""),Tracker[[#This Row],[Money %]]-Tracker[[#This Row],[Bet %]],NA())</f>
        <v>#N/A</v>
      </c>
      <c r="S238" s="109"/>
      <c r="T238" s="109"/>
      <c r="U238" s="56">
        <f>IFERROR(INDEX($A$4:$B10234,MATCH(ROW()-3,$A$4:$A$4:$A1234,0),2),0)</f>
        <v>0</v>
      </c>
      <c r="V238" s="33" t="str">
        <f>COUNTIFS(Tracker[Date],U238,Tracker[Result],"W")&amp;"-"&amp;COUNTIFS(Tracker[Date],U238,Tracker[Result],"L")&amp;IF(COUNTIFS(Tracker[Date],U238,Tracker[Result],"Push")&gt;0,"-"&amp;COUNTIFS(Tracker[Date],U238,Tracker[Result],"Push"),"")</f>
        <v>0-0</v>
      </c>
      <c r="W238" s="34" t="str">
        <f>IFERROR(COUNTIFS(Tracker[Date],U238,Tracker[Result],"W")/(COUNTIFS(Tracker[Date],U238,Tracker[Result],"W")+COUNTIFS(Tracker[Date],U238,Tracker[Result],"L")),"")</f>
        <v/>
      </c>
      <c r="X238" s="61">
        <f>SUMIF(Tracker[Date],U238,Tracker[Net])</f>
        <v>0</v>
      </c>
    </row>
    <row r="239" spans="1:24" x14ac:dyDescent="0.25">
      <c r="A239" s="36">
        <f t="shared" si="38"/>
        <v>25</v>
      </c>
      <c r="B239" s="25">
        <v>43853</v>
      </c>
      <c r="C239" s="25" t="str">
        <f t="shared" si="42"/>
        <v>NBA</v>
      </c>
      <c r="D239" s="26" t="s">
        <v>1178</v>
      </c>
      <c r="E239" s="28" t="s">
        <v>1179</v>
      </c>
      <c r="F239" s="67">
        <v>0.8092683281792945</v>
      </c>
      <c r="G239" s="29">
        <v>-110</v>
      </c>
      <c r="H239" s="50" t="s">
        <v>56</v>
      </c>
      <c r="I23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3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239" s="40" t="str">
        <f>MID(Tracker[[#This Row],[Game]],SEARCH("@",Tracker[[#This Row],[Game]])+2,LEN(Tracker[[#This Row],[Game]]))</f>
        <v>Nets</v>
      </c>
      <c r="L239" s="40" t="str">
        <f>LEFT(Tracker[[#This Row],[Game]],SEARCH("@",Tracker[[#This Row],[Game]])-2)</f>
        <v>Lakers</v>
      </c>
      <c r="M23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239" s="123"/>
      <c r="O239" s="147"/>
      <c r="P239" s="147"/>
      <c r="Q239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39" s="147" t="e">
        <f>IF(AND(Tracker[[#This Row],[Money %]]&lt;&gt;"",Tracker[[#This Row],[Bet %]]&lt;&gt;""),Tracker[[#This Row],[Money %]]-Tracker[[#This Row],[Bet %]],NA())</f>
        <v>#N/A</v>
      </c>
      <c r="S239" s="109"/>
      <c r="T239" s="109"/>
      <c r="U239" s="56">
        <f>IFERROR(INDEX($A$4:$B10235,MATCH(ROW()-3,$A$4:$A$4:$A1235,0),2),0)</f>
        <v>0</v>
      </c>
      <c r="V239" s="33" t="str">
        <f>COUNTIFS(Tracker[Date],U239,Tracker[Result],"W")&amp;"-"&amp;COUNTIFS(Tracker[Date],U239,Tracker[Result],"L")&amp;IF(COUNTIFS(Tracker[Date],U239,Tracker[Result],"Push")&gt;0,"-"&amp;COUNTIFS(Tracker[Date],U239,Tracker[Result],"Push"),"")</f>
        <v>0-0</v>
      </c>
      <c r="W239" s="34" t="str">
        <f>IFERROR(COUNTIFS(Tracker[Date],U239,Tracker[Result],"W")/(COUNTIFS(Tracker[Date],U239,Tracker[Result],"W")+COUNTIFS(Tracker[Date],U239,Tracker[Result],"L")),"")</f>
        <v/>
      </c>
      <c r="X239" s="61">
        <f>SUMIF(Tracker[Date],U239,Tracker[Net])</f>
        <v>0</v>
      </c>
    </row>
    <row r="240" spans="1:24" x14ac:dyDescent="0.25">
      <c r="A240" s="36">
        <f t="shared" si="38"/>
        <v>25</v>
      </c>
      <c r="B240" s="25">
        <v>43853</v>
      </c>
      <c r="C240" s="25" t="str">
        <f t="shared" si="42"/>
        <v>NBA</v>
      </c>
      <c r="D240" s="26" t="s">
        <v>1178</v>
      </c>
      <c r="E240" s="28" t="s">
        <v>1180</v>
      </c>
      <c r="F240" s="67">
        <v>0.69710983978765229</v>
      </c>
      <c r="G240" s="29">
        <v>-110</v>
      </c>
      <c r="H240" s="50" t="s">
        <v>57</v>
      </c>
      <c r="I24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4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240" s="40" t="str">
        <f>MID(Tracker[[#This Row],[Game]],SEARCH("@",Tracker[[#This Row],[Game]])+2,LEN(Tracker[[#This Row],[Game]]))</f>
        <v>Nets</v>
      </c>
      <c r="L240" s="40" t="str">
        <f>LEFT(Tracker[[#This Row],[Game]],SEARCH("@",Tracker[[#This Row],[Game]])-2)</f>
        <v>Lakers</v>
      </c>
      <c r="M24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240" s="123"/>
      <c r="O240" s="147"/>
      <c r="P240" s="147"/>
      <c r="Q240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40" s="147" t="e">
        <f>IF(AND(Tracker[[#This Row],[Money %]]&lt;&gt;"",Tracker[[#This Row],[Bet %]]&lt;&gt;""),Tracker[[#This Row],[Money %]]-Tracker[[#This Row],[Bet %]],NA())</f>
        <v>#N/A</v>
      </c>
      <c r="S240" s="109"/>
      <c r="T240" s="109"/>
      <c r="U240" s="56">
        <f>IFERROR(INDEX($A$4:$B10236,MATCH(ROW()-3,$A$4:$A$4:$A1236,0),2),0)</f>
        <v>0</v>
      </c>
      <c r="V240" s="33" t="str">
        <f>COUNTIFS(Tracker[Date],U240,Tracker[Result],"W")&amp;"-"&amp;COUNTIFS(Tracker[Date],U240,Tracker[Result],"L")&amp;IF(COUNTIFS(Tracker[Date],U240,Tracker[Result],"Push")&gt;0,"-"&amp;COUNTIFS(Tracker[Date],U240,Tracker[Result],"Push"),"")</f>
        <v>0-0</v>
      </c>
      <c r="W240" s="34" t="str">
        <f>IFERROR(COUNTIFS(Tracker[Date],U240,Tracker[Result],"W")/(COUNTIFS(Tracker[Date],U240,Tracker[Result],"W")+COUNTIFS(Tracker[Date],U240,Tracker[Result],"L")),"")</f>
        <v/>
      </c>
      <c r="X240" s="61">
        <f>SUMIF(Tracker[Date],U240,Tracker[Net])</f>
        <v>0</v>
      </c>
    </row>
    <row r="241" spans="1:24" x14ac:dyDescent="0.25">
      <c r="A241" s="36">
        <f t="shared" si="38"/>
        <v>25</v>
      </c>
      <c r="B241" s="25">
        <v>43853</v>
      </c>
      <c r="C241" s="25" t="str">
        <f t="shared" si="42"/>
        <v>NBA</v>
      </c>
      <c r="D241" s="26" t="s">
        <v>1181</v>
      </c>
      <c r="E241" s="28" t="s">
        <v>1182</v>
      </c>
      <c r="F241" s="67">
        <v>0.71024311601564172</v>
      </c>
      <c r="G241" s="29">
        <v>-110</v>
      </c>
      <c r="H241" s="50" t="s">
        <v>56</v>
      </c>
      <c r="I24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4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241" s="40" t="str">
        <f>MID(Tracker[[#This Row],[Game]],SEARCH("@",Tracker[[#This Row],[Game]])+2,LEN(Tracker[[#This Row],[Game]]))</f>
        <v>Trail Blazers</v>
      </c>
      <c r="L241" s="40" t="str">
        <f>LEFT(Tracker[[#This Row],[Game]],SEARCH("@",Tracker[[#This Row],[Game]])-2)</f>
        <v>Mavericks</v>
      </c>
      <c r="M24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241" s="123"/>
      <c r="O241" s="147"/>
      <c r="P241" s="147"/>
      <c r="Q241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41" s="147" t="e">
        <f>IF(AND(Tracker[[#This Row],[Money %]]&lt;&gt;"",Tracker[[#This Row],[Bet %]]&lt;&gt;""),Tracker[[#This Row],[Money %]]-Tracker[[#This Row],[Bet %]],NA())</f>
        <v>#N/A</v>
      </c>
      <c r="S241" s="109"/>
      <c r="T241" s="109"/>
      <c r="U241" s="56">
        <f>IFERROR(INDEX($A$4:$B10237,MATCH(ROW()-3,$A$4:$A$4:$A1237,0),2),0)</f>
        <v>0</v>
      </c>
      <c r="V241" s="33" t="str">
        <f>COUNTIFS(Tracker[Date],U241,Tracker[Result],"W")&amp;"-"&amp;COUNTIFS(Tracker[Date],U241,Tracker[Result],"L")&amp;IF(COUNTIFS(Tracker[Date],U241,Tracker[Result],"Push")&gt;0,"-"&amp;COUNTIFS(Tracker[Date],U241,Tracker[Result],"Push"),"")</f>
        <v>0-0</v>
      </c>
      <c r="W241" s="34" t="str">
        <f>IFERROR(COUNTIFS(Tracker[Date],U241,Tracker[Result],"W")/(COUNTIFS(Tracker[Date],U241,Tracker[Result],"W")+COUNTIFS(Tracker[Date],U241,Tracker[Result],"L")),"")</f>
        <v/>
      </c>
      <c r="X241" s="61">
        <f>SUMIF(Tracker[Date],U241,Tracker[Net])</f>
        <v>0</v>
      </c>
    </row>
    <row r="242" spans="1:24" x14ac:dyDescent="0.25">
      <c r="A242" s="36">
        <f t="shared" si="38"/>
        <v>25</v>
      </c>
      <c r="B242" s="25">
        <v>43853</v>
      </c>
      <c r="C242" s="25" t="str">
        <f t="shared" si="42"/>
        <v>NBA</v>
      </c>
      <c r="D242" s="26" t="s">
        <v>1181</v>
      </c>
      <c r="E242" s="28" t="s">
        <v>1183</v>
      </c>
      <c r="F242" s="67">
        <v>0.73516257438666321</v>
      </c>
      <c r="G242" s="29">
        <v>-110</v>
      </c>
      <c r="H242" s="50" t="s">
        <v>57</v>
      </c>
      <c r="I24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4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242" s="40" t="str">
        <f>MID(Tracker[[#This Row],[Game]],SEARCH("@",Tracker[[#This Row],[Game]])+2,LEN(Tracker[[#This Row],[Game]]))</f>
        <v>Trail Blazers</v>
      </c>
      <c r="L242" s="40" t="str">
        <f>LEFT(Tracker[[#This Row],[Game]],SEARCH("@",Tracker[[#This Row],[Game]])-2)</f>
        <v>Mavericks</v>
      </c>
      <c r="M24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242" s="123"/>
      <c r="O242" s="147"/>
      <c r="P242" s="147"/>
      <c r="Q242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42" s="147" t="e">
        <f>IF(AND(Tracker[[#This Row],[Money %]]&lt;&gt;"",Tracker[[#This Row],[Bet %]]&lt;&gt;""),Tracker[[#This Row],[Money %]]-Tracker[[#This Row],[Bet %]],NA())</f>
        <v>#N/A</v>
      </c>
      <c r="S242" s="109"/>
      <c r="T242" s="109"/>
      <c r="U242" s="56">
        <f>IFERROR(INDEX($A$4:$B10238,MATCH(ROW()-3,$A$4:$A$4:$A1238,0),2),0)</f>
        <v>0</v>
      </c>
      <c r="V242" s="33" t="str">
        <f>COUNTIFS(Tracker[Date],U242,Tracker[Result],"W")&amp;"-"&amp;COUNTIFS(Tracker[Date],U242,Tracker[Result],"L")&amp;IF(COUNTIFS(Tracker[Date],U242,Tracker[Result],"Push")&gt;0,"-"&amp;COUNTIFS(Tracker[Date],U242,Tracker[Result],"Push"),"")</f>
        <v>0-0</v>
      </c>
      <c r="W242" s="34" t="str">
        <f>IFERROR(COUNTIFS(Tracker[Date],U242,Tracker[Result],"W")/(COUNTIFS(Tracker[Date],U242,Tracker[Result],"W")+COUNTIFS(Tracker[Date],U242,Tracker[Result],"L")),"")</f>
        <v/>
      </c>
      <c r="X242" s="61">
        <f>SUMIF(Tracker[Date],U242,Tracker[Net])</f>
        <v>0</v>
      </c>
    </row>
    <row r="243" spans="1:24" x14ac:dyDescent="0.25">
      <c r="A243" s="36">
        <f t="shared" si="38"/>
        <v>26</v>
      </c>
      <c r="B243" s="25">
        <v>43854</v>
      </c>
      <c r="C243" s="25" t="str">
        <f t="shared" ref="C243:C258" si="43">"NBA"</f>
        <v>NBA</v>
      </c>
      <c r="D243" s="26" t="s">
        <v>1184</v>
      </c>
      <c r="E243" s="28" t="s">
        <v>1185</v>
      </c>
      <c r="F243" s="67">
        <v>0.87088555296495085</v>
      </c>
      <c r="G243" s="29">
        <v>-110</v>
      </c>
      <c r="H243" s="50" t="s">
        <v>57</v>
      </c>
      <c r="I24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4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243" s="40" t="str">
        <f>MID(Tracker[[#This Row],[Game]],SEARCH("@",Tracker[[#This Row],[Game]])+2,LEN(Tracker[[#This Row],[Game]]))</f>
        <v>Hornets</v>
      </c>
      <c r="L243" s="40" t="str">
        <f>LEFT(Tracker[[#This Row],[Game]],SEARCH("@",Tracker[[#This Row],[Game]])-2)</f>
        <v>Bucks</v>
      </c>
      <c r="M24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243" s="123"/>
      <c r="O243" s="147"/>
      <c r="P243" s="147"/>
      <c r="Q243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43" s="147" t="e">
        <f>IF(AND(Tracker[[#This Row],[Money %]]&lt;&gt;"",Tracker[[#This Row],[Bet %]]&lt;&gt;""),Tracker[[#This Row],[Money %]]-Tracker[[#This Row],[Bet %]],NA())</f>
        <v>#N/A</v>
      </c>
      <c r="S243" s="109"/>
      <c r="T243" s="109"/>
      <c r="U243" s="56">
        <f>IFERROR(INDEX($A$4:$B10239,MATCH(ROW()-3,$A$4:$A$4:$A1239,0),2),0)</f>
        <v>0</v>
      </c>
      <c r="V243" s="33" t="str">
        <f>COUNTIFS(Tracker[Date],U243,Tracker[Result],"W")&amp;"-"&amp;COUNTIFS(Tracker[Date],U243,Tracker[Result],"L")&amp;IF(COUNTIFS(Tracker[Date],U243,Tracker[Result],"Push")&gt;0,"-"&amp;COUNTIFS(Tracker[Date],U243,Tracker[Result],"Push"),"")</f>
        <v>0-0</v>
      </c>
      <c r="W243" s="34" t="str">
        <f>IFERROR(COUNTIFS(Tracker[Date],U243,Tracker[Result],"W")/(COUNTIFS(Tracker[Date],U243,Tracker[Result],"W")+COUNTIFS(Tracker[Date],U243,Tracker[Result],"L")),"")</f>
        <v/>
      </c>
      <c r="X243" s="61">
        <f>SUMIF(Tracker[Date],U243,Tracker[Net])</f>
        <v>0</v>
      </c>
    </row>
    <row r="244" spans="1:24" x14ac:dyDescent="0.25">
      <c r="A244" s="36">
        <f t="shared" si="38"/>
        <v>26</v>
      </c>
      <c r="B244" s="25">
        <v>43854</v>
      </c>
      <c r="C244" s="25" t="str">
        <f t="shared" si="43"/>
        <v>NBA</v>
      </c>
      <c r="D244" s="26" t="s">
        <v>1184</v>
      </c>
      <c r="E244" s="28" t="s">
        <v>946</v>
      </c>
      <c r="F244" s="67">
        <v>0.7559101045494675</v>
      </c>
      <c r="G244" s="29">
        <v>-110</v>
      </c>
      <c r="H244" s="50" t="s">
        <v>57</v>
      </c>
      <c r="I24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4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244" s="40" t="str">
        <f>MID(Tracker[[#This Row],[Game]],SEARCH("@",Tracker[[#This Row],[Game]])+2,LEN(Tracker[[#This Row],[Game]]))</f>
        <v>Hornets</v>
      </c>
      <c r="L244" s="40" t="str">
        <f>LEFT(Tracker[[#This Row],[Game]],SEARCH("@",Tracker[[#This Row],[Game]])-2)</f>
        <v>Bucks</v>
      </c>
      <c r="M24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244" s="123"/>
      <c r="O244" s="147"/>
      <c r="P244" s="147"/>
      <c r="Q24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44" s="147" t="e">
        <f>IF(AND(Tracker[[#This Row],[Money %]]&lt;&gt;"",Tracker[[#This Row],[Bet %]]&lt;&gt;""),Tracker[[#This Row],[Money %]]-Tracker[[#This Row],[Bet %]],NA())</f>
        <v>#N/A</v>
      </c>
      <c r="S244" s="109"/>
      <c r="T244" s="109"/>
      <c r="U244" s="56">
        <f>IFERROR(INDEX($A$4:$B10240,MATCH(ROW()-3,$A$4:$A$4:$A1240,0),2),0)</f>
        <v>0</v>
      </c>
      <c r="V244" s="33" t="str">
        <f>COUNTIFS(Tracker[Date],U244,Tracker[Result],"W")&amp;"-"&amp;COUNTIFS(Tracker[Date],U244,Tracker[Result],"L")&amp;IF(COUNTIFS(Tracker[Date],U244,Tracker[Result],"Push")&gt;0,"-"&amp;COUNTIFS(Tracker[Date],U244,Tracker[Result],"Push"),"")</f>
        <v>0-0</v>
      </c>
      <c r="W244" s="34" t="str">
        <f>IFERROR(COUNTIFS(Tracker[Date],U244,Tracker[Result],"W")/(COUNTIFS(Tracker[Date],U244,Tracker[Result],"W")+COUNTIFS(Tracker[Date],U244,Tracker[Result],"L")),"")</f>
        <v/>
      </c>
      <c r="X244" s="61">
        <f>SUMIF(Tracker[Date],U244,Tracker[Net])</f>
        <v>0</v>
      </c>
    </row>
    <row r="245" spans="1:24" x14ac:dyDescent="0.25">
      <c r="A245" s="36">
        <f t="shared" si="38"/>
        <v>26</v>
      </c>
      <c r="B245" s="25">
        <v>43854</v>
      </c>
      <c r="C245" s="25" t="str">
        <f t="shared" si="43"/>
        <v>NBA</v>
      </c>
      <c r="D245" s="26" t="s">
        <v>1186</v>
      </c>
      <c r="E245" s="28" t="s">
        <v>1187</v>
      </c>
      <c r="F245" s="67">
        <v>0.71602400343543882</v>
      </c>
      <c r="G245" s="29">
        <v>-110</v>
      </c>
      <c r="H245" s="50" t="s">
        <v>56</v>
      </c>
      <c r="I24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4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245" s="40" t="str">
        <f>MID(Tracker[[#This Row],[Game]],SEARCH("@",Tracker[[#This Row],[Game]])+2,LEN(Tracker[[#This Row],[Game]]))</f>
        <v>Magic</v>
      </c>
      <c r="L245" s="40" t="str">
        <f>LEFT(Tracker[[#This Row],[Game]],SEARCH("@",Tracker[[#This Row],[Game]])-2)</f>
        <v>Celtics</v>
      </c>
      <c r="M24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245" s="123"/>
      <c r="O245" s="147"/>
      <c r="P245" s="147"/>
      <c r="Q24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45" s="147" t="e">
        <f>IF(AND(Tracker[[#This Row],[Money %]]&lt;&gt;"",Tracker[[#This Row],[Bet %]]&lt;&gt;""),Tracker[[#This Row],[Money %]]-Tracker[[#This Row],[Bet %]],NA())</f>
        <v>#N/A</v>
      </c>
      <c r="S245" s="109"/>
      <c r="T245" s="109"/>
      <c r="U245" s="56">
        <f>IFERROR(INDEX($A$4:$B10241,MATCH(ROW()-3,$A$4:$A$4:$A1241,0),2),0)</f>
        <v>0</v>
      </c>
      <c r="V245" s="33" t="str">
        <f>COUNTIFS(Tracker[Date],U245,Tracker[Result],"W")&amp;"-"&amp;COUNTIFS(Tracker[Date],U245,Tracker[Result],"L")&amp;IF(COUNTIFS(Tracker[Date],U245,Tracker[Result],"Push")&gt;0,"-"&amp;COUNTIFS(Tracker[Date],U245,Tracker[Result],"Push"),"")</f>
        <v>0-0</v>
      </c>
      <c r="W245" s="34" t="str">
        <f>IFERROR(COUNTIFS(Tracker[Date],U245,Tracker[Result],"W")/(COUNTIFS(Tracker[Date],U245,Tracker[Result],"W")+COUNTIFS(Tracker[Date],U245,Tracker[Result],"L")),"")</f>
        <v/>
      </c>
      <c r="X245" s="61">
        <f>SUMIF(Tracker[Date],U245,Tracker[Net])</f>
        <v>0</v>
      </c>
    </row>
    <row r="246" spans="1:24" x14ac:dyDescent="0.25">
      <c r="A246" s="36">
        <f t="shared" si="38"/>
        <v>26</v>
      </c>
      <c r="B246" s="25">
        <v>43854</v>
      </c>
      <c r="C246" s="25" t="str">
        <f t="shared" si="43"/>
        <v>NBA</v>
      </c>
      <c r="D246" s="26" t="s">
        <v>1188</v>
      </c>
      <c r="E246" s="28" t="s">
        <v>1189</v>
      </c>
      <c r="F246" s="67">
        <v>0.80464978585299751</v>
      </c>
      <c r="G246" s="29">
        <v>-110</v>
      </c>
      <c r="H246" s="50" t="s">
        <v>57</v>
      </c>
      <c r="I24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4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246" s="40" t="str">
        <f>MID(Tracker[[#This Row],[Game]],SEARCH("@",Tracker[[#This Row],[Game]])+2,LEN(Tracker[[#This Row],[Game]]))</f>
        <v>Knicks</v>
      </c>
      <c r="L246" s="40" t="str">
        <f>LEFT(Tracker[[#This Row],[Game]],SEARCH("@",Tracker[[#This Row],[Game]])-2)</f>
        <v>Raptors</v>
      </c>
      <c r="M24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246" s="123"/>
      <c r="O246" s="147"/>
      <c r="P246" s="147"/>
      <c r="Q246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46" s="147" t="e">
        <f>IF(AND(Tracker[[#This Row],[Money %]]&lt;&gt;"",Tracker[[#This Row],[Bet %]]&lt;&gt;""),Tracker[[#This Row],[Money %]]-Tracker[[#This Row],[Bet %]],NA())</f>
        <v>#N/A</v>
      </c>
      <c r="S246" s="109"/>
      <c r="T246" s="109"/>
      <c r="U246" s="56">
        <f>IFERROR(INDEX($A$4:$B10242,MATCH(ROW()-3,$A$4:$A$4:$A1242,0),2),0)</f>
        <v>0</v>
      </c>
      <c r="V246" s="33" t="str">
        <f>COUNTIFS(Tracker[Date],U246,Tracker[Result],"W")&amp;"-"&amp;COUNTIFS(Tracker[Date],U246,Tracker[Result],"L")&amp;IF(COUNTIFS(Tracker[Date],U246,Tracker[Result],"Push")&gt;0,"-"&amp;COUNTIFS(Tracker[Date],U246,Tracker[Result],"Push"),"")</f>
        <v>0-0</v>
      </c>
      <c r="W246" s="34" t="str">
        <f>IFERROR(COUNTIFS(Tracker[Date],U246,Tracker[Result],"W")/(COUNTIFS(Tracker[Date],U246,Tracker[Result],"W")+COUNTIFS(Tracker[Date],U246,Tracker[Result],"L")),"")</f>
        <v/>
      </c>
      <c r="X246" s="61">
        <f>SUMIF(Tracker[Date],U246,Tracker[Net])</f>
        <v>0</v>
      </c>
    </row>
    <row r="247" spans="1:24" x14ac:dyDescent="0.25">
      <c r="A247" s="36">
        <f t="shared" si="38"/>
        <v>26</v>
      </c>
      <c r="B247" s="25">
        <v>43854</v>
      </c>
      <c r="C247" s="25" t="str">
        <f t="shared" si="43"/>
        <v>NBA</v>
      </c>
      <c r="D247" s="26" t="s">
        <v>1188</v>
      </c>
      <c r="E247" s="28" t="s">
        <v>1068</v>
      </c>
      <c r="F247" s="67">
        <v>0.59106529618910519</v>
      </c>
      <c r="G247" s="29">
        <v>-110</v>
      </c>
      <c r="H247" s="50" t="s">
        <v>56</v>
      </c>
      <c r="I24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4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247" s="40" t="str">
        <f>MID(Tracker[[#This Row],[Game]],SEARCH("@",Tracker[[#This Row],[Game]])+2,LEN(Tracker[[#This Row],[Game]]))</f>
        <v>Knicks</v>
      </c>
      <c r="L247" s="40" t="str">
        <f>LEFT(Tracker[[#This Row],[Game]],SEARCH("@",Tracker[[#This Row],[Game]])-2)</f>
        <v>Raptors</v>
      </c>
      <c r="M24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247" s="123"/>
      <c r="O247" s="147"/>
      <c r="P247" s="147"/>
      <c r="Q247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47" s="147" t="e">
        <f>IF(AND(Tracker[[#This Row],[Money %]]&lt;&gt;"",Tracker[[#This Row],[Bet %]]&lt;&gt;""),Tracker[[#This Row],[Money %]]-Tracker[[#This Row],[Bet %]],NA())</f>
        <v>#N/A</v>
      </c>
      <c r="S247" s="109"/>
      <c r="T247" s="109"/>
      <c r="U247" s="56">
        <f>IFERROR(INDEX($A$4:$B10243,MATCH(ROW()-3,$A$4:$A$4:$A1243,0),2),0)</f>
        <v>0</v>
      </c>
      <c r="V247" s="33" t="str">
        <f>COUNTIFS(Tracker[Date],U247,Tracker[Result],"W")&amp;"-"&amp;COUNTIFS(Tracker[Date],U247,Tracker[Result],"L")&amp;IF(COUNTIFS(Tracker[Date],U247,Tracker[Result],"Push")&gt;0,"-"&amp;COUNTIFS(Tracker[Date],U247,Tracker[Result],"Push"),"")</f>
        <v>0-0</v>
      </c>
      <c r="W247" s="34" t="str">
        <f>IFERROR(COUNTIFS(Tracker[Date],U247,Tracker[Result],"W")/(COUNTIFS(Tracker[Date],U247,Tracker[Result],"W")+COUNTIFS(Tracker[Date],U247,Tracker[Result],"L")),"")</f>
        <v/>
      </c>
      <c r="X247" s="61">
        <f>SUMIF(Tracker[Date],U247,Tracker[Net])</f>
        <v>0</v>
      </c>
    </row>
    <row r="248" spans="1:24" x14ac:dyDescent="0.25">
      <c r="A248" s="36">
        <f t="shared" si="38"/>
        <v>26</v>
      </c>
      <c r="B248" s="25">
        <v>43854</v>
      </c>
      <c r="C248" s="25" t="str">
        <f t="shared" si="43"/>
        <v>NBA</v>
      </c>
      <c r="D248" s="26" t="s">
        <v>1190</v>
      </c>
      <c r="E248" s="28" t="s">
        <v>1191</v>
      </c>
      <c r="F248" s="67">
        <v>0.77988859876840344</v>
      </c>
      <c r="G248" s="29">
        <v>-110</v>
      </c>
      <c r="H248" s="50" t="s">
        <v>56</v>
      </c>
      <c r="I24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4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248" s="40" t="str">
        <f>MID(Tracker[[#This Row],[Game]],SEARCH("@",Tracker[[#This Row],[Game]])+2,LEN(Tracker[[#This Row],[Game]]))</f>
        <v>Pelicans</v>
      </c>
      <c r="L248" s="40" t="str">
        <f>LEFT(Tracker[[#This Row],[Game]],SEARCH("@",Tracker[[#This Row],[Game]])-2)</f>
        <v>Nuggets</v>
      </c>
      <c r="M24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248" s="123"/>
      <c r="O248" s="147"/>
      <c r="P248" s="147"/>
      <c r="Q248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48" s="147" t="e">
        <f>IF(AND(Tracker[[#This Row],[Money %]]&lt;&gt;"",Tracker[[#This Row],[Bet %]]&lt;&gt;""),Tracker[[#This Row],[Money %]]-Tracker[[#This Row],[Bet %]],NA())</f>
        <v>#N/A</v>
      </c>
      <c r="S248" s="109"/>
      <c r="T248" s="109"/>
      <c r="U248" s="56">
        <f>IFERROR(INDEX($A$4:$B10244,MATCH(ROW()-3,$A$4:$A$4:$A1244,0),2),0)</f>
        <v>0</v>
      </c>
      <c r="V248" s="33" t="str">
        <f>COUNTIFS(Tracker[Date],U248,Tracker[Result],"W")&amp;"-"&amp;COUNTIFS(Tracker[Date],U248,Tracker[Result],"L")&amp;IF(COUNTIFS(Tracker[Date],U248,Tracker[Result],"Push")&gt;0,"-"&amp;COUNTIFS(Tracker[Date],U248,Tracker[Result],"Push"),"")</f>
        <v>0-0</v>
      </c>
      <c r="W248" s="34" t="str">
        <f>IFERROR(COUNTIFS(Tracker[Date],U248,Tracker[Result],"W")/(COUNTIFS(Tracker[Date],U248,Tracker[Result],"W")+COUNTIFS(Tracker[Date],U248,Tracker[Result],"L")),"")</f>
        <v/>
      </c>
      <c r="X248" s="61">
        <f>SUMIF(Tracker[Date],U248,Tracker[Net])</f>
        <v>0</v>
      </c>
    </row>
    <row r="249" spans="1:24" x14ac:dyDescent="0.25">
      <c r="A249" s="36">
        <f t="shared" si="38"/>
        <v>26</v>
      </c>
      <c r="B249" s="25">
        <v>43854</v>
      </c>
      <c r="C249" s="25" t="str">
        <f t="shared" si="43"/>
        <v>NBA</v>
      </c>
      <c r="D249" s="26" t="s">
        <v>1190</v>
      </c>
      <c r="E249" s="28" t="s">
        <v>862</v>
      </c>
      <c r="F249" s="67">
        <v>0.55406354055748874</v>
      </c>
      <c r="G249" s="29">
        <v>-110</v>
      </c>
      <c r="H249" s="50" t="s">
        <v>56</v>
      </c>
      <c r="I24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4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249" s="40" t="str">
        <f>MID(Tracker[[#This Row],[Game]],SEARCH("@",Tracker[[#This Row],[Game]])+2,LEN(Tracker[[#This Row],[Game]]))</f>
        <v>Pelicans</v>
      </c>
      <c r="L249" s="40" t="str">
        <f>LEFT(Tracker[[#This Row],[Game]],SEARCH("@",Tracker[[#This Row],[Game]])-2)</f>
        <v>Nuggets</v>
      </c>
      <c r="M24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249" s="123"/>
      <c r="O249" s="147"/>
      <c r="P249" s="147"/>
      <c r="Q249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49" s="147" t="e">
        <f>IF(AND(Tracker[[#This Row],[Money %]]&lt;&gt;"",Tracker[[#This Row],[Bet %]]&lt;&gt;""),Tracker[[#This Row],[Money %]]-Tracker[[#This Row],[Bet %]],NA())</f>
        <v>#N/A</v>
      </c>
      <c r="S249" s="109"/>
      <c r="T249" s="109"/>
      <c r="U249" s="56">
        <f>IFERROR(INDEX($A$4:$B10245,MATCH(ROW()-3,$A$4:$A$4:$A1245,0),2),0)</f>
        <v>0</v>
      </c>
      <c r="V249" s="33" t="str">
        <f>COUNTIFS(Tracker[Date],U249,Tracker[Result],"W")&amp;"-"&amp;COUNTIFS(Tracker[Date],U249,Tracker[Result],"L")&amp;IF(COUNTIFS(Tracker[Date],U249,Tracker[Result],"Push")&gt;0,"-"&amp;COUNTIFS(Tracker[Date],U249,Tracker[Result],"Push"),"")</f>
        <v>0-0</v>
      </c>
      <c r="W249" s="34" t="str">
        <f>IFERROR(COUNTIFS(Tracker[Date],U249,Tracker[Result],"W")/(COUNTIFS(Tracker[Date],U249,Tracker[Result],"W")+COUNTIFS(Tracker[Date],U249,Tracker[Result],"L")),"")</f>
        <v/>
      </c>
      <c r="X249" s="61">
        <f>SUMIF(Tracker[Date],U249,Tracker[Net])</f>
        <v>0</v>
      </c>
    </row>
    <row r="250" spans="1:24" x14ac:dyDescent="0.25">
      <c r="A250" s="36">
        <f t="shared" si="38"/>
        <v>26</v>
      </c>
      <c r="B250" s="25">
        <v>43854</v>
      </c>
      <c r="C250" s="25" t="str">
        <f t="shared" si="43"/>
        <v>NBA</v>
      </c>
      <c r="D250" s="26" t="s">
        <v>1192</v>
      </c>
      <c r="E250" s="28" t="s">
        <v>1193</v>
      </c>
      <c r="F250" s="74">
        <v>0.8014753332647595</v>
      </c>
      <c r="G250" s="29">
        <v>-110</v>
      </c>
      <c r="H250" s="50" t="s">
        <v>57</v>
      </c>
      <c r="I25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5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250" s="40" t="str">
        <f>MID(Tracker[[#This Row],[Game]],SEARCH("@",Tracker[[#This Row],[Game]])+2,LEN(Tracker[[#This Row],[Game]]))</f>
        <v>Bulls</v>
      </c>
      <c r="L250" s="40" t="str">
        <f>LEFT(Tracker[[#This Row],[Game]],SEARCH("@",Tracker[[#This Row],[Game]])-2)</f>
        <v>Kings</v>
      </c>
      <c r="M25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250" s="123"/>
      <c r="O250" s="147"/>
      <c r="P250" s="147"/>
      <c r="Q250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50" s="147" t="e">
        <f>IF(AND(Tracker[[#This Row],[Money %]]&lt;&gt;"",Tracker[[#This Row],[Bet %]]&lt;&gt;""),Tracker[[#This Row],[Money %]]-Tracker[[#This Row],[Bet %]],NA())</f>
        <v>#N/A</v>
      </c>
      <c r="S250" s="109"/>
      <c r="T250" s="109"/>
      <c r="U250" s="56">
        <f>IFERROR(INDEX($A$4:$B10246,MATCH(ROW()-3,$A$4:$A$4:$A1246,0),2),0)</f>
        <v>0</v>
      </c>
      <c r="V250" s="33" t="str">
        <f>COUNTIFS(Tracker[Date],U250,Tracker[Result],"W")&amp;"-"&amp;COUNTIFS(Tracker[Date],U250,Tracker[Result],"L")&amp;IF(COUNTIFS(Tracker[Date],U250,Tracker[Result],"Push")&gt;0,"-"&amp;COUNTIFS(Tracker[Date],U250,Tracker[Result],"Push"),"")</f>
        <v>0-0</v>
      </c>
      <c r="W250" s="34" t="str">
        <f>IFERROR(COUNTIFS(Tracker[Date],U250,Tracker[Result],"W")/(COUNTIFS(Tracker[Date],U250,Tracker[Result],"W")+COUNTIFS(Tracker[Date],U250,Tracker[Result],"L")),"")</f>
        <v/>
      </c>
      <c r="X250" s="61">
        <f>SUMIF(Tracker[Date],U250,Tracker[Net])</f>
        <v>0</v>
      </c>
    </row>
    <row r="251" spans="1:24" x14ac:dyDescent="0.25">
      <c r="A251" s="36">
        <f t="shared" si="38"/>
        <v>26</v>
      </c>
      <c r="B251" s="25">
        <v>43854</v>
      </c>
      <c r="C251" s="25" t="str">
        <f t="shared" si="43"/>
        <v>NBA</v>
      </c>
      <c r="D251" s="26" t="s">
        <v>1194</v>
      </c>
      <c r="E251" s="28" t="s">
        <v>1195</v>
      </c>
      <c r="F251" s="74">
        <v>0.64090841870258219</v>
      </c>
      <c r="G251" s="29">
        <v>-110</v>
      </c>
      <c r="H251" s="50" t="s">
        <v>56</v>
      </c>
      <c r="I25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5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251" s="40" t="str">
        <f>MID(Tracker[[#This Row],[Game]],SEARCH("@",Tracker[[#This Row],[Game]])+2,LEN(Tracker[[#This Row],[Game]]))</f>
        <v>Heat</v>
      </c>
      <c r="L251" s="40" t="str">
        <f>LEFT(Tracker[[#This Row],[Game]],SEARCH("@",Tracker[[#This Row],[Game]])-2)</f>
        <v>Clippers</v>
      </c>
      <c r="M25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251" s="123"/>
      <c r="O251" s="147"/>
      <c r="P251" s="147"/>
      <c r="Q251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51" s="147" t="e">
        <f>IF(AND(Tracker[[#This Row],[Money %]]&lt;&gt;"",Tracker[[#This Row],[Bet %]]&lt;&gt;""),Tracker[[#This Row],[Money %]]-Tracker[[#This Row],[Bet %]],NA())</f>
        <v>#N/A</v>
      </c>
      <c r="S251" s="109"/>
      <c r="T251" s="109"/>
      <c r="U251" s="56">
        <f>IFERROR(INDEX($A$4:$B10247,MATCH(ROW()-3,$A$4:$A$4:$A1247,0),2),0)</f>
        <v>0</v>
      </c>
      <c r="V251" s="33" t="str">
        <f>COUNTIFS(Tracker[Date],U251,Tracker[Result],"W")&amp;"-"&amp;COUNTIFS(Tracker[Date],U251,Tracker[Result],"L")&amp;IF(COUNTIFS(Tracker[Date],U251,Tracker[Result],"Push")&gt;0,"-"&amp;COUNTIFS(Tracker[Date],U251,Tracker[Result],"Push"),"")</f>
        <v>0-0</v>
      </c>
      <c r="W251" s="34" t="str">
        <f>IFERROR(COUNTIFS(Tracker[Date],U251,Tracker[Result],"W")/(COUNTIFS(Tracker[Date],U251,Tracker[Result],"W")+COUNTIFS(Tracker[Date],U251,Tracker[Result],"L")),"")</f>
        <v/>
      </c>
      <c r="X251" s="61">
        <f>SUMIF(Tracker[Date],U251,Tracker[Net])</f>
        <v>0</v>
      </c>
    </row>
    <row r="252" spans="1:24" x14ac:dyDescent="0.25">
      <c r="A252" s="36">
        <f t="shared" si="38"/>
        <v>26</v>
      </c>
      <c r="B252" s="25">
        <v>43854</v>
      </c>
      <c r="C252" s="25" t="str">
        <f t="shared" si="43"/>
        <v>NBA</v>
      </c>
      <c r="D252" s="26" t="s">
        <v>1196</v>
      </c>
      <c r="E252" s="28" t="s">
        <v>1197</v>
      </c>
      <c r="F252" s="74">
        <v>0.66891848517621344</v>
      </c>
      <c r="G252" s="29">
        <v>-110</v>
      </c>
      <c r="H252" s="50" t="s">
        <v>56</v>
      </c>
      <c r="I25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5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252" s="40" t="str">
        <f>MID(Tracker[[#This Row],[Game]],SEARCH("@",Tracker[[#This Row],[Game]])+2,LEN(Tracker[[#This Row],[Game]]))</f>
        <v>Timberwolves</v>
      </c>
      <c r="L252" s="40" t="str">
        <f>LEFT(Tracker[[#This Row],[Game]],SEARCH("@",Tracker[[#This Row],[Game]])-2)</f>
        <v>Rockets</v>
      </c>
      <c r="M25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252" s="123"/>
      <c r="O252" s="147"/>
      <c r="P252" s="147"/>
      <c r="Q252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52" s="147" t="e">
        <f>IF(AND(Tracker[[#This Row],[Money %]]&lt;&gt;"",Tracker[[#This Row],[Bet %]]&lt;&gt;""),Tracker[[#This Row],[Money %]]-Tracker[[#This Row],[Bet %]],NA())</f>
        <v>#N/A</v>
      </c>
      <c r="S252" s="109"/>
      <c r="T252" s="109"/>
      <c r="U252" s="56">
        <f>IFERROR(INDEX($A$4:$B10248,MATCH(ROW()-3,$A$4:$A$4:$A1248,0),2),0)</f>
        <v>0</v>
      </c>
      <c r="V252" s="33" t="str">
        <f>COUNTIFS(Tracker[Date],U252,Tracker[Result],"W")&amp;"-"&amp;COUNTIFS(Tracker[Date],U252,Tracker[Result],"L")&amp;IF(COUNTIFS(Tracker[Date],U252,Tracker[Result],"Push")&gt;0,"-"&amp;COUNTIFS(Tracker[Date],U252,Tracker[Result],"Push"),"")</f>
        <v>0-0</v>
      </c>
      <c r="W252" s="34" t="str">
        <f>IFERROR(COUNTIFS(Tracker[Date],U252,Tracker[Result],"W")/(COUNTIFS(Tracker[Date],U252,Tracker[Result],"W")+COUNTIFS(Tracker[Date],U252,Tracker[Result],"L")),"")</f>
        <v/>
      </c>
      <c r="X252" s="61">
        <f>SUMIF(Tracker[Date],U252,Tracker[Net])</f>
        <v>0</v>
      </c>
    </row>
    <row r="253" spans="1:24" x14ac:dyDescent="0.25">
      <c r="A253" s="36">
        <f t="shared" si="38"/>
        <v>26</v>
      </c>
      <c r="B253" s="25">
        <v>43854</v>
      </c>
      <c r="C253" s="25" t="str">
        <f t="shared" si="43"/>
        <v>NBA</v>
      </c>
      <c r="D253" s="26" t="s">
        <v>1198</v>
      </c>
      <c r="E253" s="28" t="s">
        <v>1199</v>
      </c>
      <c r="F253" s="74">
        <v>0.55577202433864625</v>
      </c>
      <c r="G253" s="29">
        <v>-110</v>
      </c>
      <c r="H253" s="50" t="s">
        <v>56</v>
      </c>
      <c r="I25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5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253" s="40" t="str">
        <f>MID(Tracker[[#This Row],[Game]],SEARCH("@",Tracker[[#This Row],[Game]])+2,LEN(Tracker[[#This Row],[Game]]))</f>
        <v>Thunder</v>
      </c>
      <c r="L253" s="40" t="str">
        <f>LEFT(Tracker[[#This Row],[Game]],SEARCH("@",Tracker[[#This Row],[Game]])-2)</f>
        <v>Hawks</v>
      </c>
      <c r="M25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253" s="123"/>
      <c r="O253" s="147"/>
      <c r="P253" s="147"/>
      <c r="Q253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53" s="147" t="e">
        <f>IF(AND(Tracker[[#This Row],[Money %]]&lt;&gt;"",Tracker[[#This Row],[Bet %]]&lt;&gt;""),Tracker[[#This Row],[Money %]]-Tracker[[#This Row],[Bet %]],NA())</f>
        <v>#N/A</v>
      </c>
      <c r="S253" s="109"/>
      <c r="T253" s="109"/>
      <c r="U253" s="56">
        <f>IFERROR(INDEX($A$4:$B10249,MATCH(ROW()-3,$A$4:$A$4:$A1249,0),2),0)</f>
        <v>0</v>
      </c>
      <c r="V253" s="33" t="str">
        <f>COUNTIFS(Tracker[Date],U253,Tracker[Result],"W")&amp;"-"&amp;COUNTIFS(Tracker[Date],U253,Tracker[Result],"L")&amp;IF(COUNTIFS(Tracker[Date],U253,Tracker[Result],"Push")&gt;0,"-"&amp;COUNTIFS(Tracker[Date],U253,Tracker[Result],"Push"),"")</f>
        <v>0-0</v>
      </c>
      <c r="W253" s="34" t="str">
        <f>IFERROR(COUNTIFS(Tracker[Date],U253,Tracker[Result],"W")/(COUNTIFS(Tracker[Date],U253,Tracker[Result],"W")+COUNTIFS(Tracker[Date],U253,Tracker[Result],"L")),"")</f>
        <v/>
      </c>
      <c r="X253" s="61">
        <f>SUMIF(Tracker[Date],U253,Tracker[Net])</f>
        <v>0</v>
      </c>
    </row>
    <row r="254" spans="1:24" x14ac:dyDescent="0.25">
      <c r="A254" s="36">
        <f t="shared" si="38"/>
        <v>26</v>
      </c>
      <c r="B254" s="25">
        <v>43854</v>
      </c>
      <c r="C254" s="25" t="str">
        <f t="shared" si="43"/>
        <v>NBA</v>
      </c>
      <c r="D254" s="26" t="s">
        <v>1198</v>
      </c>
      <c r="E254" s="28" t="s">
        <v>1128</v>
      </c>
      <c r="F254" s="74">
        <v>0.63609130746935005</v>
      </c>
      <c r="G254" s="29">
        <v>-110</v>
      </c>
      <c r="H254" s="50" t="s">
        <v>56</v>
      </c>
      <c r="I25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5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254" s="40" t="str">
        <f>MID(Tracker[[#This Row],[Game]],SEARCH("@",Tracker[[#This Row],[Game]])+2,LEN(Tracker[[#This Row],[Game]]))</f>
        <v>Thunder</v>
      </c>
      <c r="L254" s="40" t="str">
        <f>LEFT(Tracker[[#This Row],[Game]],SEARCH("@",Tracker[[#This Row],[Game]])-2)</f>
        <v>Hawks</v>
      </c>
      <c r="M25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254" s="123"/>
      <c r="O254" s="147"/>
      <c r="P254" s="147"/>
      <c r="Q25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54" s="147" t="e">
        <f>IF(AND(Tracker[[#This Row],[Money %]]&lt;&gt;"",Tracker[[#This Row],[Bet %]]&lt;&gt;""),Tracker[[#This Row],[Money %]]-Tracker[[#This Row],[Bet %]],NA())</f>
        <v>#N/A</v>
      </c>
      <c r="S254" s="109"/>
      <c r="T254" s="109"/>
      <c r="U254" s="56">
        <f>IFERROR(INDEX($A$4:$B10250,MATCH(ROW()-3,$A$4:$A$4:$A1250,0),2),0)</f>
        <v>0</v>
      </c>
      <c r="V254" s="33" t="str">
        <f>COUNTIFS(Tracker[Date],U254,Tracker[Result],"W")&amp;"-"&amp;COUNTIFS(Tracker[Date],U254,Tracker[Result],"L")&amp;IF(COUNTIFS(Tracker[Date],U254,Tracker[Result],"Push")&gt;0,"-"&amp;COUNTIFS(Tracker[Date],U254,Tracker[Result],"Push"),"")</f>
        <v>0-0</v>
      </c>
      <c r="W254" s="34" t="str">
        <f>IFERROR(COUNTIFS(Tracker[Date],U254,Tracker[Result],"W")/(COUNTIFS(Tracker[Date],U254,Tracker[Result],"W")+COUNTIFS(Tracker[Date],U254,Tracker[Result],"L")),"")</f>
        <v/>
      </c>
      <c r="X254" s="61">
        <f>SUMIF(Tracker[Date],U254,Tracker[Net])</f>
        <v>0</v>
      </c>
    </row>
    <row r="255" spans="1:24" x14ac:dyDescent="0.25">
      <c r="A255" s="36">
        <f t="shared" si="38"/>
        <v>26</v>
      </c>
      <c r="B255" s="25">
        <v>43854</v>
      </c>
      <c r="C255" s="25" t="str">
        <f t="shared" si="43"/>
        <v>NBA</v>
      </c>
      <c r="D255" s="26" t="s">
        <v>1200</v>
      </c>
      <c r="E255" s="28" t="s">
        <v>1201</v>
      </c>
      <c r="F255" s="74">
        <v>0.57256808906430501</v>
      </c>
      <c r="G255" s="29">
        <v>-110</v>
      </c>
      <c r="H255" s="50" t="s">
        <v>57</v>
      </c>
      <c r="I25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5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255" s="40" t="str">
        <f>MID(Tracker[[#This Row],[Game]],SEARCH("@",Tracker[[#This Row],[Game]])+2,LEN(Tracker[[#This Row],[Game]]))</f>
        <v>Spurs</v>
      </c>
      <c r="L255" s="40" t="str">
        <f>LEFT(Tracker[[#This Row],[Game]],SEARCH("@",Tracker[[#This Row],[Game]])-2)</f>
        <v>Suns</v>
      </c>
      <c r="M25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255" s="123"/>
      <c r="O255" s="147"/>
      <c r="P255" s="147"/>
      <c r="Q25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55" s="147" t="e">
        <f>IF(AND(Tracker[[#This Row],[Money %]]&lt;&gt;"",Tracker[[#This Row],[Bet %]]&lt;&gt;""),Tracker[[#This Row],[Money %]]-Tracker[[#This Row],[Bet %]],NA())</f>
        <v>#N/A</v>
      </c>
      <c r="S255" s="109"/>
      <c r="T255" s="109"/>
      <c r="U255" s="56">
        <f>IFERROR(INDEX($A$4:$B10251,MATCH(ROW()-3,$A$4:$A$4:$A1251,0),2),0)</f>
        <v>0</v>
      </c>
      <c r="V255" s="33" t="str">
        <f>COUNTIFS(Tracker[Date],U255,Tracker[Result],"W")&amp;"-"&amp;COUNTIFS(Tracker[Date],U255,Tracker[Result],"L")&amp;IF(COUNTIFS(Tracker[Date],U255,Tracker[Result],"Push")&gt;0,"-"&amp;COUNTIFS(Tracker[Date],U255,Tracker[Result],"Push"),"")</f>
        <v>0-0</v>
      </c>
      <c r="W255" s="34" t="str">
        <f>IFERROR(COUNTIFS(Tracker[Date],U255,Tracker[Result],"W")/(COUNTIFS(Tracker[Date],U255,Tracker[Result],"W")+COUNTIFS(Tracker[Date],U255,Tracker[Result],"L")),"")</f>
        <v/>
      </c>
      <c r="X255" s="61">
        <f>SUMIF(Tracker[Date],U255,Tracker[Net])</f>
        <v>0</v>
      </c>
    </row>
    <row r="256" spans="1:24" x14ac:dyDescent="0.25">
      <c r="A256" s="36">
        <f t="shared" si="38"/>
        <v>26</v>
      </c>
      <c r="B256" s="25">
        <v>43854</v>
      </c>
      <c r="C256" s="25" t="str">
        <f t="shared" si="43"/>
        <v>NBA</v>
      </c>
      <c r="D256" s="26" t="s">
        <v>1200</v>
      </c>
      <c r="E256" s="28" t="s">
        <v>1202</v>
      </c>
      <c r="F256" s="74">
        <v>0.64777148094216774</v>
      </c>
      <c r="G256" s="29">
        <v>-110</v>
      </c>
      <c r="H256" s="50" t="s">
        <v>57</v>
      </c>
      <c r="I25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5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256" s="40" t="str">
        <f>MID(Tracker[[#This Row],[Game]],SEARCH("@",Tracker[[#This Row],[Game]])+2,LEN(Tracker[[#This Row],[Game]]))</f>
        <v>Spurs</v>
      </c>
      <c r="L256" s="40" t="str">
        <f>LEFT(Tracker[[#This Row],[Game]],SEARCH("@",Tracker[[#This Row],[Game]])-2)</f>
        <v>Suns</v>
      </c>
      <c r="M25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256" s="123"/>
      <c r="O256" s="147"/>
      <c r="P256" s="147"/>
      <c r="Q256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56" s="147" t="e">
        <f>IF(AND(Tracker[[#This Row],[Money %]]&lt;&gt;"",Tracker[[#This Row],[Bet %]]&lt;&gt;""),Tracker[[#This Row],[Money %]]-Tracker[[#This Row],[Bet %]],NA())</f>
        <v>#N/A</v>
      </c>
      <c r="S256" s="109"/>
      <c r="T256" s="109"/>
      <c r="U256" s="56">
        <f>IFERROR(INDEX($A$4:$B10252,MATCH(ROW()-3,$A$4:$A$4:$A1252,0),2),0)</f>
        <v>0</v>
      </c>
      <c r="V256" s="33" t="str">
        <f>COUNTIFS(Tracker[Date],U256,Tracker[Result],"W")&amp;"-"&amp;COUNTIFS(Tracker[Date],U256,Tracker[Result],"L")&amp;IF(COUNTIFS(Tracker[Date],U256,Tracker[Result],"Push")&gt;0,"-"&amp;COUNTIFS(Tracker[Date],U256,Tracker[Result],"Push"),"")</f>
        <v>0-0</v>
      </c>
      <c r="W256" s="34" t="str">
        <f>IFERROR(COUNTIFS(Tracker[Date],U256,Tracker[Result],"W")/(COUNTIFS(Tracker[Date],U256,Tracker[Result],"W")+COUNTIFS(Tracker[Date],U256,Tracker[Result],"L")),"")</f>
        <v/>
      </c>
      <c r="X256" s="61">
        <f>SUMIF(Tracker[Date],U256,Tracker[Net])</f>
        <v>0</v>
      </c>
    </row>
    <row r="257" spans="1:24" x14ac:dyDescent="0.25">
      <c r="A257" s="36">
        <f t="shared" si="38"/>
        <v>26</v>
      </c>
      <c r="B257" s="25">
        <v>43854</v>
      </c>
      <c r="C257" s="25" t="str">
        <f t="shared" si="43"/>
        <v>NBA</v>
      </c>
      <c r="D257" s="26" t="s">
        <v>1203</v>
      </c>
      <c r="E257" s="28" t="s">
        <v>898</v>
      </c>
      <c r="F257" s="74">
        <v>0.88235695648863943</v>
      </c>
      <c r="G257" s="29">
        <v>-110</v>
      </c>
      <c r="H257" s="50" t="s">
        <v>56</v>
      </c>
      <c r="I25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5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257" s="40" t="str">
        <f>MID(Tracker[[#This Row],[Game]],SEARCH("@",Tracker[[#This Row],[Game]])+2,LEN(Tracker[[#This Row],[Game]]))</f>
        <v>Warriors</v>
      </c>
      <c r="L257" s="40" t="str">
        <f>LEFT(Tracker[[#This Row],[Game]],SEARCH("@",Tracker[[#This Row],[Game]])-2)</f>
        <v>Pacers</v>
      </c>
      <c r="M25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257" s="123"/>
      <c r="O257" s="147"/>
      <c r="P257" s="147"/>
      <c r="Q257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57" s="147" t="e">
        <f>IF(AND(Tracker[[#This Row],[Money %]]&lt;&gt;"",Tracker[[#This Row],[Bet %]]&lt;&gt;""),Tracker[[#This Row],[Money %]]-Tracker[[#This Row],[Bet %]],NA())</f>
        <v>#N/A</v>
      </c>
      <c r="S257" s="109"/>
      <c r="T257" s="109"/>
      <c r="U257" s="56">
        <f>IFERROR(INDEX($A$4:$B10253,MATCH(ROW()-3,$A$4:$A$4:$A1253,0),2),0)</f>
        <v>0</v>
      </c>
      <c r="V257" s="33" t="str">
        <f>COUNTIFS(Tracker[Date],U257,Tracker[Result],"W")&amp;"-"&amp;COUNTIFS(Tracker[Date],U257,Tracker[Result],"L")&amp;IF(COUNTIFS(Tracker[Date],U257,Tracker[Result],"Push")&gt;0,"-"&amp;COUNTIFS(Tracker[Date],U257,Tracker[Result],"Push"),"")</f>
        <v>0-0</v>
      </c>
      <c r="W257" s="34" t="str">
        <f>IFERROR(COUNTIFS(Tracker[Date],U257,Tracker[Result],"W")/(COUNTIFS(Tracker[Date],U257,Tracker[Result],"W")+COUNTIFS(Tracker[Date],U257,Tracker[Result],"L")),"")</f>
        <v/>
      </c>
      <c r="X257" s="61">
        <f>SUMIF(Tracker[Date],U257,Tracker[Net])</f>
        <v>0</v>
      </c>
    </row>
    <row r="258" spans="1:24" x14ac:dyDescent="0.25">
      <c r="A258" s="36">
        <f t="shared" si="38"/>
        <v>26</v>
      </c>
      <c r="B258" s="25">
        <v>43854</v>
      </c>
      <c r="C258" s="25" t="str">
        <f t="shared" si="43"/>
        <v>NBA</v>
      </c>
      <c r="D258" s="26" t="s">
        <v>1203</v>
      </c>
      <c r="E258" s="28" t="s">
        <v>1204</v>
      </c>
      <c r="F258" s="74">
        <v>0.58315087932050225</v>
      </c>
      <c r="G258" s="29">
        <v>-110</v>
      </c>
      <c r="H258" s="50" t="s">
        <v>56</v>
      </c>
      <c r="I25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5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258" s="40" t="str">
        <f>MID(Tracker[[#This Row],[Game]],SEARCH("@",Tracker[[#This Row],[Game]])+2,LEN(Tracker[[#This Row],[Game]]))</f>
        <v>Warriors</v>
      </c>
      <c r="L258" s="40" t="str">
        <f>LEFT(Tracker[[#This Row],[Game]],SEARCH("@",Tracker[[#This Row],[Game]])-2)</f>
        <v>Pacers</v>
      </c>
      <c r="M25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258" s="123"/>
      <c r="O258" s="147"/>
      <c r="P258" s="147"/>
      <c r="Q258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58" s="147" t="e">
        <f>IF(AND(Tracker[[#This Row],[Money %]]&lt;&gt;"",Tracker[[#This Row],[Bet %]]&lt;&gt;""),Tracker[[#This Row],[Money %]]-Tracker[[#This Row],[Bet %]],NA())</f>
        <v>#N/A</v>
      </c>
      <c r="S258" s="109"/>
      <c r="T258" s="109"/>
      <c r="U258" s="56">
        <f>IFERROR(INDEX($A$4:$B10254,MATCH(ROW()-3,$A$4:$A$4:$A1254,0),2),0)</f>
        <v>0</v>
      </c>
      <c r="V258" s="33" t="str">
        <f>COUNTIFS(Tracker[Date],U258,Tracker[Result],"W")&amp;"-"&amp;COUNTIFS(Tracker[Date],U258,Tracker[Result],"L")&amp;IF(COUNTIFS(Tracker[Date],U258,Tracker[Result],"Push")&gt;0,"-"&amp;COUNTIFS(Tracker[Date],U258,Tracker[Result],"Push"),"")</f>
        <v>0-0</v>
      </c>
      <c r="W258" s="34" t="str">
        <f>IFERROR(COUNTIFS(Tracker[Date],U258,Tracker[Result],"W")/(COUNTIFS(Tracker[Date],U258,Tracker[Result],"W")+COUNTIFS(Tracker[Date],U258,Tracker[Result],"L")),"")</f>
        <v/>
      </c>
      <c r="X258" s="61">
        <f>SUMIF(Tracker[Date],U258,Tracker[Net])</f>
        <v>0</v>
      </c>
    </row>
    <row r="259" spans="1:24" x14ac:dyDescent="0.25">
      <c r="A259" s="36">
        <f t="shared" si="38"/>
        <v>27</v>
      </c>
      <c r="B259" s="25">
        <v>43857</v>
      </c>
      <c r="C259" s="25" t="str">
        <f t="shared" ref="C259:C261" si="44">"NBA"</f>
        <v>NBA</v>
      </c>
      <c r="D259" s="26" t="s">
        <v>1219</v>
      </c>
      <c r="E259" s="28" t="s">
        <v>1223</v>
      </c>
      <c r="F259" s="74">
        <v>0.56514378912280572</v>
      </c>
      <c r="G259" s="29">
        <v>-110</v>
      </c>
      <c r="H259" s="50" t="s">
        <v>56</v>
      </c>
      <c r="I25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5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259" s="40" t="str">
        <f>MID(Tracker[[#This Row],[Game]],SEARCH("@",Tracker[[#This Row],[Game]])+2,LEN(Tracker[[#This Row],[Game]]))</f>
        <v>Pistons</v>
      </c>
      <c r="L259" s="40" t="str">
        <f>LEFT(Tracker[[#This Row],[Game]],SEARCH("@",Tracker[[#This Row],[Game]])-2)</f>
        <v>Cavaliers</v>
      </c>
      <c r="M25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259" s="123"/>
      <c r="O259" s="147"/>
      <c r="P259" s="147"/>
      <c r="Q259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59" s="147" t="e">
        <f>IF(AND(Tracker[[#This Row],[Money %]]&lt;&gt;"",Tracker[[#This Row],[Bet %]]&lt;&gt;""),Tracker[[#This Row],[Money %]]-Tracker[[#This Row],[Bet %]],NA())</f>
        <v>#N/A</v>
      </c>
      <c r="S259" s="109"/>
      <c r="T259" s="109"/>
      <c r="U259" s="56">
        <f>IFERROR(INDEX($A$4:$B10255,MATCH(ROW()-3,$A$4:$A$4:$A1255,0),2),0)</f>
        <v>0</v>
      </c>
      <c r="V259" s="33" t="str">
        <f>COUNTIFS(Tracker[Date],U259,Tracker[Result],"W")&amp;"-"&amp;COUNTIFS(Tracker[Date],U259,Tracker[Result],"L")&amp;IF(COUNTIFS(Tracker[Date],U259,Tracker[Result],"Push")&gt;0,"-"&amp;COUNTIFS(Tracker[Date],U259,Tracker[Result],"Push"),"")</f>
        <v>0-0</v>
      </c>
      <c r="W259" s="34" t="str">
        <f>IFERROR(COUNTIFS(Tracker[Date],U259,Tracker[Result],"W")/(COUNTIFS(Tracker[Date],U259,Tracker[Result],"W")+COUNTIFS(Tracker[Date],U259,Tracker[Result],"L")),"")</f>
        <v/>
      </c>
      <c r="X259" s="61">
        <f>SUMIF(Tracker[Date],U259,Tracker[Net])</f>
        <v>0</v>
      </c>
    </row>
    <row r="260" spans="1:24" x14ac:dyDescent="0.25">
      <c r="A260" s="36">
        <f t="shared" si="38"/>
        <v>27</v>
      </c>
      <c r="B260" s="25">
        <v>43857</v>
      </c>
      <c r="C260" s="25" t="str">
        <f t="shared" si="44"/>
        <v>NBA</v>
      </c>
      <c r="D260" s="26" t="s">
        <v>1224</v>
      </c>
      <c r="E260" s="28" t="s">
        <v>1225</v>
      </c>
      <c r="F260" s="74">
        <v>0.86082665331813757</v>
      </c>
      <c r="G260" s="29">
        <v>-110</v>
      </c>
      <c r="H260" s="50" t="s">
        <v>57</v>
      </c>
      <c r="I26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6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260" s="40" t="str">
        <f>MID(Tracker[[#This Row],[Game]],SEARCH("@",Tracker[[#This Row],[Game]])+2,LEN(Tracker[[#This Row],[Game]]))</f>
        <v>Heat</v>
      </c>
      <c r="L260" s="40" t="str">
        <f>LEFT(Tracker[[#This Row],[Game]],SEARCH("@",Tracker[[#This Row],[Game]])-2)</f>
        <v>Magic</v>
      </c>
      <c r="M26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260" s="123"/>
      <c r="O260" s="147"/>
      <c r="P260" s="147"/>
      <c r="Q260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60" s="147" t="e">
        <f>IF(AND(Tracker[[#This Row],[Money %]]&lt;&gt;"",Tracker[[#This Row],[Bet %]]&lt;&gt;""),Tracker[[#This Row],[Money %]]-Tracker[[#This Row],[Bet %]],NA())</f>
        <v>#N/A</v>
      </c>
      <c r="S260" s="109"/>
      <c r="T260" s="109"/>
      <c r="U260" s="56">
        <f>IFERROR(INDEX($A$4:$B10256,MATCH(ROW()-3,$A$4:$A$4:$A1256,0),2),0)</f>
        <v>0</v>
      </c>
      <c r="V260" s="33" t="str">
        <f>COUNTIFS(Tracker[Date],U260,Tracker[Result],"W")&amp;"-"&amp;COUNTIFS(Tracker[Date],U260,Tracker[Result],"L")&amp;IF(COUNTIFS(Tracker[Date],U260,Tracker[Result],"Push")&gt;0,"-"&amp;COUNTIFS(Tracker[Date],U260,Tracker[Result],"Push"),"")</f>
        <v>0-0</v>
      </c>
      <c r="W260" s="34" t="str">
        <f>IFERROR(COUNTIFS(Tracker[Date],U260,Tracker[Result],"W")/(COUNTIFS(Tracker[Date],U260,Tracker[Result],"W")+COUNTIFS(Tracker[Date],U260,Tracker[Result],"L")),"")</f>
        <v/>
      </c>
      <c r="X260" s="61">
        <f>SUMIF(Tracker[Date],U260,Tracker[Net])</f>
        <v>0</v>
      </c>
    </row>
    <row r="261" spans="1:24" x14ac:dyDescent="0.25">
      <c r="A261" s="36">
        <f t="shared" ref="A261:A324" si="45">IF(B261=B260,A260,A260+1)</f>
        <v>27</v>
      </c>
      <c r="B261" s="25">
        <v>43857</v>
      </c>
      <c r="C261" s="25" t="str">
        <f t="shared" si="44"/>
        <v>NBA</v>
      </c>
      <c r="D261" s="26" t="s">
        <v>1220</v>
      </c>
      <c r="E261" s="28" t="s">
        <v>1103</v>
      </c>
      <c r="F261" s="74">
        <v>0.81651206233569606</v>
      </c>
      <c r="G261" s="29">
        <v>-110</v>
      </c>
      <c r="H261" s="50" t="s">
        <v>56</v>
      </c>
      <c r="I26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6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261" s="40" t="str">
        <f>MID(Tracker[[#This Row],[Game]],SEARCH("@",Tracker[[#This Row],[Game]])+2,LEN(Tracker[[#This Row],[Game]]))</f>
        <v>Bulls</v>
      </c>
      <c r="L261" s="40" t="str">
        <f>LEFT(Tracker[[#This Row],[Game]],SEARCH("@",Tracker[[#This Row],[Game]])-2)</f>
        <v>Spurs</v>
      </c>
      <c r="M26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261" s="123"/>
      <c r="O261" s="147"/>
      <c r="P261" s="147"/>
      <c r="Q261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61" s="147" t="e">
        <f>IF(AND(Tracker[[#This Row],[Money %]]&lt;&gt;"",Tracker[[#This Row],[Bet %]]&lt;&gt;""),Tracker[[#This Row],[Money %]]-Tracker[[#This Row],[Bet %]],NA())</f>
        <v>#N/A</v>
      </c>
      <c r="S261" s="109"/>
      <c r="T261" s="109"/>
      <c r="U261" s="56">
        <f>IFERROR(INDEX($A$4:$B10257,MATCH(ROW()-3,$A$4:$A$4:$A1257,0),2),0)</f>
        <v>0</v>
      </c>
      <c r="V261" s="33" t="str">
        <f>COUNTIFS(Tracker[Date],U261,Tracker[Result],"W")&amp;"-"&amp;COUNTIFS(Tracker[Date],U261,Tracker[Result],"L")&amp;IF(COUNTIFS(Tracker[Date],U261,Tracker[Result],"Push")&gt;0,"-"&amp;COUNTIFS(Tracker[Date],U261,Tracker[Result],"Push"),"")</f>
        <v>0-0</v>
      </c>
      <c r="W261" s="34" t="str">
        <f>IFERROR(COUNTIFS(Tracker[Date],U261,Tracker[Result],"W")/(COUNTIFS(Tracker[Date],U261,Tracker[Result],"W")+COUNTIFS(Tracker[Date],U261,Tracker[Result],"L")),"")</f>
        <v/>
      </c>
      <c r="X261" s="61">
        <f>SUMIF(Tracker[Date],U261,Tracker[Net])</f>
        <v>0</v>
      </c>
    </row>
    <row r="262" spans="1:24" x14ac:dyDescent="0.25">
      <c r="A262" s="36">
        <f t="shared" si="45"/>
        <v>27</v>
      </c>
      <c r="B262" s="25">
        <v>43857</v>
      </c>
      <c r="C262" s="25" t="str">
        <f t="shared" ref="C262:C264" si="46">"NBA"</f>
        <v>NBA</v>
      </c>
      <c r="D262" s="26" t="s">
        <v>1221</v>
      </c>
      <c r="E262" s="28" t="s">
        <v>1222</v>
      </c>
      <c r="F262" s="74">
        <v>0.7127356363482531</v>
      </c>
      <c r="G262" s="29">
        <v>-110</v>
      </c>
      <c r="H262" s="50" t="s">
        <v>57</v>
      </c>
      <c r="I26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6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262" s="40" t="str">
        <f>MID(Tracker[[#This Row],[Game]],SEARCH("@",Tracker[[#This Row],[Game]])+2,LEN(Tracker[[#This Row],[Game]]))</f>
        <v>Timberwolves</v>
      </c>
      <c r="L262" s="40" t="str">
        <f>LEFT(Tracker[[#This Row],[Game]],SEARCH("@",Tracker[[#This Row],[Game]])-2)</f>
        <v>Kings</v>
      </c>
      <c r="M26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262" s="123"/>
      <c r="O262" s="147"/>
      <c r="P262" s="147"/>
      <c r="Q262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62" s="147" t="e">
        <f>IF(AND(Tracker[[#This Row],[Money %]]&lt;&gt;"",Tracker[[#This Row],[Bet %]]&lt;&gt;""),Tracker[[#This Row],[Money %]]-Tracker[[#This Row],[Bet %]],NA())</f>
        <v>#N/A</v>
      </c>
      <c r="S262" s="109"/>
      <c r="T262" s="109"/>
      <c r="U262" s="56">
        <f>IFERROR(INDEX($A$4:$B10258,MATCH(ROW()-3,$A$4:$A$4:$A1258,0),2),0)</f>
        <v>0</v>
      </c>
      <c r="V262" s="33" t="str">
        <f>COUNTIFS(Tracker[Date],U262,Tracker[Result],"W")&amp;"-"&amp;COUNTIFS(Tracker[Date],U262,Tracker[Result],"L")&amp;IF(COUNTIFS(Tracker[Date],U262,Tracker[Result],"Push")&gt;0,"-"&amp;COUNTIFS(Tracker[Date],U262,Tracker[Result],"Push"),"")</f>
        <v>0-0</v>
      </c>
      <c r="W262" s="34" t="str">
        <f>IFERROR(COUNTIFS(Tracker[Date],U262,Tracker[Result],"W")/(COUNTIFS(Tracker[Date],U262,Tracker[Result],"W")+COUNTIFS(Tracker[Date],U262,Tracker[Result],"L")),"")</f>
        <v/>
      </c>
      <c r="X262" s="61">
        <f>SUMIF(Tracker[Date],U262,Tracker[Net])</f>
        <v>0</v>
      </c>
    </row>
    <row r="263" spans="1:24" x14ac:dyDescent="0.25">
      <c r="A263" s="36">
        <f t="shared" si="45"/>
        <v>27</v>
      </c>
      <c r="B263" s="25">
        <v>43857</v>
      </c>
      <c r="C263" s="25" t="str">
        <f t="shared" si="46"/>
        <v>NBA</v>
      </c>
      <c r="D263" s="26" t="s">
        <v>1226</v>
      </c>
      <c r="E263" s="28" t="s">
        <v>1227</v>
      </c>
      <c r="F263" s="74">
        <v>0.83279071589146225</v>
      </c>
      <c r="G263" s="29">
        <v>-110</v>
      </c>
      <c r="H263" s="50" t="s">
        <v>56</v>
      </c>
      <c r="I26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6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263" s="40" t="str">
        <f>MID(Tracker[[#This Row],[Game]],SEARCH("@",Tracker[[#This Row],[Game]])+2,LEN(Tracker[[#This Row],[Game]]))</f>
        <v>Jazz</v>
      </c>
      <c r="L263" s="40" t="str">
        <f>LEFT(Tracker[[#This Row],[Game]],SEARCH("@",Tracker[[#This Row],[Game]])-2)</f>
        <v>Rockets</v>
      </c>
      <c r="M26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263" s="123"/>
      <c r="O263" s="147"/>
      <c r="P263" s="147"/>
      <c r="Q263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63" s="147" t="e">
        <f>IF(AND(Tracker[[#This Row],[Money %]]&lt;&gt;"",Tracker[[#This Row],[Bet %]]&lt;&gt;""),Tracker[[#This Row],[Money %]]-Tracker[[#This Row],[Bet %]],NA())</f>
        <v>#N/A</v>
      </c>
      <c r="S263" s="109"/>
      <c r="T263" s="109"/>
      <c r="U263" s="56">
        <f>IFERROR(INDEX($A$4:$B10259,MATCH(ROW()-3,$A$4:$A$4:$A1259,0),2),0)</f>
        <v>0</v>
      </c>
      <c r="V263" s="33" t="str">
        <f>COUNTIFS(Tracker[Date],U263,Tracker[Result],"W")&amp;"-"&amp;COUNTIFS(Tracker[Date],U263,Tracker[Result],"L")&amp;IF(COUNTIFS(Tracker[Date],U263,Tracker[Result],"Push")&gt;0,"-"&amp;COUNTIFS(Tracker[Date],U263,Tracker[Result],"Push"),"")</f>
        <v>0-0</v>
      </c>
      <c r="W263" s="34" t="str">
        <f>IFERROR(COUNTIFS(Tracker[Date],U263,Tracker[Result],"W")/(COUNTIFS(Tracker[Date],U263,Tracker[Result],"W")+COUNTIFS(Tracker[Date],U263,Tracker[Result],"L")),"")</f>
        <v/>
      </c>
      <c r="X263" s="61">
        <f>SUMIF(Tracker[Date],U263,Tracker[Net])</f>
        <v>0</v>
      </c>
    </row>
    <row r="264" spans="1:24" x14ac:dyDescent="0.25">
      <c r="A264" s="36">
        <f t="shared" si="45"/>
        <v>27</v>
      </c>
      <c r="B264" s="25">
        <v>43857</v>
      </c>
      <c r="C264" s="25" t="str">
        <f t="shared" si="46"/>
        <v>NBA</v>
      </c>
      <c r="D264" s="26" t="s">
        <v>1226</v>
      </c>
      <c r="E264" s="28" t="s">
        <v>1228</v>
      </c>
      <c r="F264" s="74">
        <v>0.69443422151353917</v>
      </c>
      <c r="G264" s="29">
        <v>-110</v>
      </c>
      <c r="H264" s="50" t="s">
        <v>56</v>
      </c>
      <c r="I26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6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264" s="40" t="str">
        <f>MID(Tracker[[#This Row],[Game]],SEARCH("@",Tracker[[#This Row],[Game]])+2,LEN(Tracker[[#This Row],[Game]]))</f>
        <v>Jazz</v>
      </c>
      <c r="L264" s="40" t="str">
        <f>LEFT(Tracker[[#This Row],[Game]],SEARCH("@",Tracker[[#This Row],[Game]])-2)</f>
        <v>Rockets</v>
      </c>
      <c r="M26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264" s="123"/>
      <c r="O264" s="147"/>
      <c r="P264" s="147"/>
      <c r="Q26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64" s="147" t="e">
        <f>IF(AND(Tracker[[#This Row],[Money %]]&lt;&gt;"",Tracker[[#This Row],[Bet %]]&lt;&gt;""),Tracker[[#This Row],[Money %]]-Tracker[[#This Row],[Bet %]],NA())</f>
        <v>#N/A</v>
      </c>
      <c r="S264" s="109"/>
      <c r="T264" s="109"/>
      <c r="U264" s="56">
        <f>IFERROR(INDEX($A$4:$B10260,MATCH(ROW()-3,$A$4:$A$4:$A1260,0),2),0)</f>
        <v>0</v>
      </c>
      <c r="V264" s="33" t="str">
        <f>COUNTIFS(Tracker[Date],U264,Tracker[Result],"W")&amp;"-"&amp;COUNTIFS(Tracker[Date],U264,Tracker[Result],"L")&amp;IF(COUNTIFS(Tracker[Date],U264,Tracker[Result],"Push")&gt;0,"-"&amp;COUNTIFS(Tracker[Date],U264,Tracker[Result],"Push"),"")</f>
        <v>0-0</v>
      </c>
      <c r="W264" s="34" t="str">
        <f>IFERROR(COUNTIFS(Tracker[Date],U264,Tracker[Result],"W")/(COUNTIFS(Tracker[Date],U264,Tracker[Result],"W")+COUNTIFS(Tracker[Date],U264,Tracker[Result],"L")),"")</f>
        <v/>
      </c>
      <c r="X264" s="61">
        <f>SUMIF(Tracker[Date],U264,Tracker[Net])</f>
        <v>0</v>
      </c>
    </row>
    <row r="265" spans="1:24" x14ac:dyDescent="0.25">
      <c r="A265" s="36">
        <f t="shared" si="45"/>
        <v>28</v>
      </c>
      <c r="B265" s="25">
        <v>43858</v>
      </c>
      <c r="C265" s="25" t="str">
        <f t="shared" ref="C265:C276" si="47">"NBA"</f>
        <v>NBA</v>
      </c>
      <c r="D265" s="26" t="s">
        <v>1229</v>
      </c>
      <c r="E265" s="28" t="s">
        <v>1230</v>
      </c>
      <c r="F265" s="74">
        <v>0.80592671700704188</v>
      </c>
      <c r="G265" s="29">
        <v>-110</v>
      </c>
      <c r="H265" s="50" t="s">
        <v>57</v>
      </c>
      <c r="I26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6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265" s="40" t="str">
        <f>MID(Tracker[[#This Row],[Game]],SEARCH("@",Tracker[[#This Row],[Game]])+2,LEN(Tracker[[#This Row],[Game]]))</f>
        <v>Hornets</v>
      </c>
      <c r="L265" s="40" t="str">
        <f>LEFT(Tracker[[#This Row],[Game]],SEARCH("@",Tracker[[#This Row],[Game]])-2)</f>
        <v>Knicks</v>
      </c>
      <c r="M26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265" s="123"/>
      <c r="O265" s="147"/>
      <c r="P265" s="147"/>
      <c r="Q26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65" s="147" t="e">
        <f>IF(AND(Tracker[[#This Row],[Money %]]&lt;&gt;"",Tracker[[#This Row],[Bet %]]&lt;&gt;""),Tracker[[#This Row],[Money %]]-Tracker[[#This Row],[Bet %]],NA())</f>
        <v>#N/A</v>
      </c>
      <c r="S265" s="109"/>
      <c r="T265" s="109"/>
      <c r="U265" s="56">
        <f>IFERROR(INDEX($A$4:$B10261,MATCH(ROW()-3,$A$4:$A$4:$A1261,0),2),0)</f>
        <v>0</v>
      </c>
      <c r="V265" s="33" t="str">
        <f>COUNTIFS(Tracker[Date],U265,Tracker[Result],"W")&amp;"-"&amp;COUNTIFS(Tracker[Date],U265,Tracker[Result],"L")&amp;IF(COUNTIFS(Tracker[Date],U265,Tracker[Result],"Push")&gt;0,"-"&amp;COUNTIFS(Tracker[Date],U265,Tracker[Result],"Push"),"")</f>
        <v>0-0</v>
      </c>
      <c r="W265" s="34" t="str">
        <f>IFERROR(COUNTIFS(Tracker[Date],U265,Tracker[Result],"W")/(COUNTIFS(Tracker[Date],U265,Tracker[Result],"W")+COUNTIFS(Tracker[Date],U265,Tracker[Result],"L")),"")</f>
        <v/>
      </c>
      <c r="X265" s="61">
        <f>SUMIF(Tracker[Date],U265,Tracker[Net])</f>
        <v>0</v>
      </c>
    </row>
    <row r="266" spans="1:24" x14ac:dyDescent="0.25">
      <c r="A266" s="36">
        <f t="shared" si="45"/>
        <v>28</v>
      </c>
      <c r="B266" s="25">
        <v>43858</v>
      </c>
      <c r="C266" s="25" t="str">
        <f t="shared" si="47"/>
        <v>NBA</v>
      </c>
      <c r="D266" s="26" t="s">
        <v>1231</v>
      </c>
      <c r="E266" s="28" t="s">
        <v>866</v>
      </c>
      <c r="F266" s="74">
        <v>0.55337367056372933</v>
      </c>
      <c r="G266" s="29">
        <v>-110</v>
      </c>
      <c r="H266" s="50" t="s">
        <v>57</v>
      </c>
      <c r="I26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6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266" s="40" t="str">
        <f>MID(Tracker[[#This Row],[Game]],SEARCH("@",Tracker[[#This Row],[Game]])+2,LEN(Tracker[[#This Row],[Game]]))</f>
        <v>76ers</v>
      </c>
      <c r="L266" s="40" t="str">
        <f>LEFT(Tracker[[#This Row],[Game]],SEARCH("@",Tracker[[#This Row],[Game]])-2)</f>
        <v>Warriors</v>
      </c>
      <c r="M26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266" s="123"/>
      <c r="O266" s="147"/>
      <c r="P266" s="147"/>
      <c r="Q266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66" s="147" t="e">
        <f>IF(AND(Tracker[[#This Row],[Money %]]&lt;&gt;"",Tracker[[#This Row],[Bet %]]&lt;&gt;""),Tracker[[#This Row],[Money %]]-Tracker[[#This Row],[Bet %]],NA())</f>
        <v>#N/A</v>
      </c>
      <c r="S266" s="109"/>
      <c r="T266" s="109"/>
      <c r="U266" s="56">
        <f>IFERROR(INDEX($A$4:$B10262,MATCH(ROW()-3,$A$4:$A$4:$A1262,0),2),0)</f>
        <v>0</v>
      </c>
      <c r="V266" s="33" t="str">
        <f>COUNTIFS(Tracker[Date],U266,Tracker[Result],"W")&amp;"-"&amp;COUNTIFS(Tracker[Date],U266,Tracker[Result],"L")&amp;IF(COUNTIFS(Tracker[Date],U266,Tracker[Result],"Push")&gt;0,"-"&amp;COUNTIFS(Tracker[Date],U266,Tracker[Result],"Push"),"")</f>
        <v>0-0</v>
      </c>
      <c r="W266" s="34" t="str">
        <f>IFERROR(COUNTIFS(Tracker[Date],U266,Tracker[Result],"W")/(COUNTIFS(Tracker[Date],U266,Tracker[Result],"W")+COUNTIFS(Tracker[Date],U266,Tracker[Result],"L")),"")</f>
        <v/>
      </c>
      <c r="X266" s="61">
        <f>SUMIF(Tracker[Date],U266,Tracker[Net])</f>
        <v>0</v>
      </c>
    </row>
    <row r="267" spans="1:24" x14ac:dyDescent="0.25">
      <c r="A267" s="36">
        <f t="shared" si="45"/>
        <v>28</v>
      </c>
      <c r="B267" s="25">
        <v>43858</v>
      </c>
      <c r="C267" s="25" t="str">
        <f t="shared" si="47"/>
        <v>NBA</v>
      </c>
      <c r="D267" s="26" t="s">
        <v>1232</v>
      </c>
      <c r="E267" s="28" t="s">
        <v>1233</v>
      </c>
      <c r="F267" s="74">
        <v>0.64674655402460335</v>
      </c>
      <c r="G267" s="29">
        <v>-110</v>
      </c>
      <c r="H267" s="50" t="s">
        <v>57</v>
      </c>
      <c r="I26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6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267" s="40" t="str">
        <f>MID(Tracker[[#This Row],[Game]],SEARCH("@",Tracker[[#This Row],[Game]])+2,LEN(Tracker[[#This Row],[Game]]))</f>
        <v>Cavaliers</v>
      </c>
      <c r="L267" s="40" t="str">
        <f>LEFT(Tracker[[#This Row],[Game]],SEARCH("@",Tracker[[#This Row],[Game]])-2)</f>
        <v>Pelicans</v>
      </c>
      <c r="M26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267" s="123"/>
      <c r="O267" s="147"/>
      <c r="P267" s="147"/>
      <c r="Q267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67" s="147" t="e">
        <f>IF(AND(Tracker[[#This Row],[Money %]]&lt;&gt;"",Tracker[[#This Row],[Bet %]]&lt;&gt;""),Tracker[[#This Row],[Money %]]-Tracker[[#This Row],[Bet %]],NA())</f>
        <v>#N/A</v>
      </c>
      <c r="S267" s="109"/>
      <c r="T267" s="109"/>
      <c r="U267" s="56">
        <f>IFERROR(INDEX($A$4:$B10263,MATCH(ROW()-3,$A$4:$A$4:$A1263,0),2),0)</f>
        <v>0</v>
      </c>
      <c r="V267" s="33" t="str">
        <f>COUNTIFS(Tracker[Date],U267,Tracker[Result],"W")&amp;"-"&amp;COUNTIFS(Tracker[Date],U267,Tracker[Result],"L")&amp;IF(COUNTIFS(Tracker[Date],U267,Tracker[Result],"Push")&gt;0,"-"&amp;COUNTIFS(Tracker[Date],U267,Tracker[Result],"Push"),"")</f>
        <v>0-0</v>
      </c>
      <c r="W267" s="34" t="str">
        <f>IFERROR(COUNTIFS(Tracker[Date],U267,Tracker[Result],"W")/(COUNTIFS(Tracker[Date],U267,Tracker[Result],"W")+COUNTIFS(Tracker[Date],U267,Tracker[Result],"L")),"")</f>
        <v/>
      </c>
      <c r="X267" s="61">
        <f>SUMIF(Tracker[Date],U267,Tracker[Net])</f>
        <v>0</v>
      </c>
    </row>
    <row r="268" spans="1:24" x14ac:dyDescent="0.25">
      <c r="A268" s="36">
        <f t="shared" si="45"/>
        <v>28</v>
      </c>
      <c r="B268" s="25">
        <v>43858</v>
      </c>
      <c r="C268" s="25" t="str">
        <f t="shared" si="47"/>
        <v>NBA</v>
      </c>
      <c r="D268" s="26" t="s">
        <v>1234</v>
      </c>
      <c r="E268" s="28" t="s">
        <v>1235</v>
      </c>
      <c r="F268" s="74">
        <v>0.57530709554611636</v>
      </c>
      <c r="G268" s="29">
        <v>-110</v>
      </c>
      <c r="H268" s="50" t="s">
        <v>56</v>
      </c>
      <c r="I26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6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268" s="40" t="str">
        <f>MID(Tracker[[#This Row],[Game]],SEARCH("@",Tracker[[#This Row],[Game]])+2,LEN(Tracker[[#This Row],[Game]]))</f>
        <v>Raptors</v>
      </c>
      <c r="L268" s="40" t="str">
        <f>LEFT(Tracker[[#This Row],[Game]],SEARCH("@",Tracker[[#This Row],[Game]])-2)</f>
        <v>Hawks</v>
      </c>
      <c r="M26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268" s="123"/>
      <c r="O268" s="147"/>
      <c r="P268" s="147"/>
      <c r="Q268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68" s="147" t="e">
        <f>IF(AND(Tracker[[#This Row],[Money %]]&lt;&gt;"",Tracker[[#This Row],[Bet %]]&lt;&gt;""),Tracker[[#This Row],[Money %]]-Tracker[[#This Row],[Bet %]],NA())</f>
        <v>#N/A</v>
      </c>
      <c r="S268" s="109"/>
      <c r="T268" s="109"/>
      <c r="U268" s="56">
        <f>IFERROR(INDEX($A$4:$B10264,MATCH(ROW()-3,$A$4:$A$4:$A1264,0),2),0)</f>
        <v>0</v>
      </c>
      <c r="V268" s="33" t="str">
        <f>COUNTIFS(Tracker[Date],U268,Tracker[Result],"W")&amp;"-"&amp;COUNTIFS(Tracker[Date],U268,Tracker[Result],"L")&amp;IF(COUNTIFS(Tracker[Date],U268,Tracker[Result],"Push")&gt;0,"-"&amp;COUNTIFS(Tracker[Date],U268,Tracker[Result],"Push"),"")</f>
        <v>0-0</v>
      </c>
      <c r="W268" s="34" t="str">
        <f>IFERROR(COUNTIFS(Tracker[Date],U268,Tracker[Result],"W")/(COUNTIFS(Tracker[Date],U268,Tracker[Result],"W")+COUNTIFS(Tracker[Date],U268,Tracker[Result],"L")),"")</f>
        <v/>
      </c>
      <c r="X268" s="61">
        <f>SUMIF(Tracker[Date],U268,Tracker[Net])</f>
        <v>0</v>
      </c>
    </row>
    <row r="269" spans="1:24" x14ac:dyDescent="0.25">
      <c r="A269" s="36">
        <f t="shared" si="45"/>
        <v>28</v>
      </c>
      <c r="B269" s="25">
        <v>43858</v>
      </c>
      <c r="C269" s="25" t="str">
        <f t="shared" si="47"/>
        <v>NBA</v>
      </c>
      <c r="D269" s="26" t="s">
        <v>1234</v>
      </c>
      <c r="E269" s="28" t="s">
        <v>874</v>
      </c>
      <c r="F269" s="67">
        <v>0.55281834194878987</v>
      </c>
      <c r="G269" s="29">
        <v>-110</v>
      </c>
      <c r="H269" s="50" t="s">
        <v>57</v>
      </c>
      <c r="I26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6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269" s="40" t="str">
        <f>MID(Tracker[[#This Row],[Game]],SEARCH("@",Tracker[[#This Row],[Game]])+2,LEN(Tracker[[#This Row],[Game]]))</f>
        <v>Raptors</v>
      </c>
      <c r="L269" s="40" t="str">
        <f>LEFT(Tracker[[#This Row],[Game]],SEARCH("@",Tracker[[#This Row],[Game]])-2)</f>
        <v>Hawks</v>
      </c>
      <c r="M26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269" s="123"/>
      <c r="O269" s="147"/>
      <c r="P269" s="147"/>
      <c r="Q269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69" s="147" t="e">
        <f>IF(AND(Tracker[[#This Row],[Money %]]&lt;&gt;"",Tracker[[#This Row],[Bet %]]&lt;&gt;""),Tracker[[#This Row],[Money %]]-Tracker[[#This Row],[Bet %]],NA())</f>
        <v>#N/A</v>
      </c>
      <c r="S269" s="109"/>
      <c r="T269" s="109"/>
      <c r="U269" s="56">
        <f>IFERROR(INDEX($A$4:$B10265,MATCH(ROW()-3,$A$4:$A$4:$A1265,0),2),0)</f>
        <v>0</v>
      </c>
      <c r="V269" s="33" t="str">
        <f>COUNTIFS(Tracker[Date],U269,Tracker[Result],"W")&amp;"-"&amp;COUNTIFS(Tracker[Date],U269,Tracker[Result],"L")&amp;IF(COUNTIFS(Tracker[Date],U269,Tracker[Result],"Push")&gt;0,"-"&amp;COUNTIFS(Tracker[Date],U269,Tracker[Result],"Push"),"")</f>
        <v>0-0</v>
      </c>
      <c r="W269" s="34" t="str">
        <f>IFERROR(COUNTIFS(Tracker[Date],U269,Tracker[Result],"W")/(COUNTIFS(Tracker[Date],U269,Tracker[Result],"W")+COUNTIFS(Tracker[Date],U269,Tracker[Result],"L")),"")</f>
        <v/>
      </c>
      <c r="X269" s="61">
        <f>SUMIF(Tracker[Date],U269,Tracker[Net])</f>
        <v>0</v>
      </c>
    </row>
    <row r="270" spans="1:24" x14ac:dyDescent="0.25">
      <c r="A270" s="36">
        <f t="shared" si="45"/>
        <v>28</v>
      </c>
      <c r="B270" s="25">
        <v>43858</v>
      </c>
      <c r="C270" s="25" t="str">
        <f t="shared" si="47"/>
        <v>NBA</v>
      </c>
      <c r="D270" s="26" t="s">
        <v>1236</v>
      </c>
      <c r="E270" s="28" t="s">
        <v>1237</v>
      </c>
      <c r="F270" s="67">
        <v>0.75830623378713335</v>
      </c>
      <c r="G270" s="29">
        <v>-110</v>
      </c>
      <c r="H270" s="50" t="s">
        <v>56</v>
      </c>
      <c r="I27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7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270" s="40" t="str">
        <f>MID(Tracker[[#This Row],[Game]],SEARCH("@",Tracker[[#This Row],[Game]])+2,LEN(Tracker[[#This Row],[Game]]))</f>
        <v>Heat</v>
      </c>
      <c r="L270" s="40" t="str">
        <f>LEFT(Tracker[[#This Row],[Game]],SEARCH("@",Tracker[[#This Row],[Game]])-2)</f>
        <v>Celtics</v>
      </c>
      <c r="M27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270" s="123"/>
      <c r="O270" s="147"/>
      <c r="P270" s="147"/>
      <c r="Q270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70" s="147" t="e">
        <f>IF(AND(Tracker[[#This Row],[Money %]]&lt;&gt;"",Tracker[[#This Row],[Bet %]]&lt;&gt;""),Tracker[[#This Row],[Money %]]-Tracker[[#This Row],[Bet %]],NA())</f>
        <v>#N/A</v>
      </c>
      <c r="S270" s="109"/>
      <c r="T270" s="109"/>
      <c r="U270" s="56">
        <f>IFERROR(INDEX($A$4:$B10266,MATCH(ROW()-3,$A$4:$A$4:$A1266,0),2),0)</f>
        <v>0</v>
      </c>
      <c r="V270" s="33" t="str">
        <f>COUNTIFS(Tracker[Date],U270,Tracker[Result],"W")&amp;"-"&amp;COUNTIFS(Tracker[Date],U270,Tracker[Result],"L")&amp;IF(COUNTIFS(Tracker[Date],U270,Tracker[Result],"Push")&gt;0,"-"&amp;COUNTIFS(Tracker[Date],U270,Tracker[Result],"Push"),"")</f>
        <v>0-0</v>
      </c>
      <c r="W270" s="34" t="str">
        <f>IFERROR(COUNTIFS(Tracker[Date],U270,Tracker[Result],"W")/(COUNTIFS(Tracker[Date],U270,Tracker[Result],"W")+COUNTIFS(Tracker[Date],U270,Tracker[Result],"L")),"")</f>
        <v/>
      </c>
      <c r="X270" s="61">
        <f>SUMIF(Tracker[Date],U270,Tracker[Net])</f>
        <v>0</v>
      </c>
    </row>
    <row r="271" spans="1:24" x14ac:dyDescent="0.25">
      <c r="A271" s="36">
        <f t="shared" si="45"/>
        <v>28</v>
      </c>
      <c r="B271" s="25">
        <v>43858</v>
      </c>
      <c r="C271" s="25" t="str">
        <f t="shared" si="47"/>
        <v>NBA</v>
      </c>
      <c r="D271" s="26" t="s">
        <v>1238</v>
      </c>
      <c r="E271" s="28" t="s">
        <v>1239</v>
      </c>
      <c r="F271" s="67">
        <v>0.71842637458056002</v>
      </c>
      <c r="G271" s="29">
        <v>-110</v>
      </c>
      <c r="H271" s="50" t="s">
        <v>57</v>
      </c>
      <c r="I27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7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271" s="40" t="str">
        <f>MID(Tracker[[#This Row],[Game]],SEARCH("@",Tracker[[#This Row],[Game]])+2,LEN(Tracker[[#This Row],[Game]]))</f>
        <v>Grizzlies</v>
      </c>
      <c r="L271" s="40" t="str">
        <f>LEFT(Tracker[[#This Row],[Game]],SEARCH("@",Tracker[[#This Row],[Game]])-2)</f>
        <v>Nuggets</v>
      </c>
      <c r="M27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271" s="123"/>
      <c r="O271" s="147"/>
      <c r="P271" s="147"/>
      <c r="Q271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71" s="147" t="e">
        <f>IF(AND(Tracker[[#This Row],[Money %]]&lt;&gt;"",Tracker[[#This Row],[Bet %]]&lt;&gt;""),Tracker[[#This Row],[Money %]]-Tracker[[#This Row],[Bet %]],NA())</f>
        <v>#N/A</v>
      </c>
      <c r="S271" s="109"/>
      <c r="T271" s="109"/>
      <c r="U271" s="56">
        <f>IFERROR(INDEX($A$4:$B10267,MATCH(ROW()-3,$A$4:$A$4:$A1267,0),2),0)</f>
        <v>0</v>
      </c>
      <c r="V271" s="33" t="str">
        <f>COUNTIFS(Tracker[Date],U271,Tracker[Result],"W")&amp;"-"&amp;COUNTIFS(Tracker[Date],U271,Tracker[Result],"L")&amp;IF(COUNTIFS(Tracker[Date],U271,Tracker[Result],"Push")&gt;0,"-"&amp;COUNTIFS(Tracker[Date],U271,Tracker[Result],"Push"),"")</f>
        <v>0-0</v>
      </c>
      <c r="W271" s="34" t="str">
        <f>IFERROR(COUNTIFS(Tracker[Date],U271,Tracker[Result],"W")/(COUNTIFS(Tracker[Date],U271,Tracker[Result],"W")+COUNTIFS(Tracker[Date],U271,Tracker[Result],"L")),"")</f>
        <v/>
      </c>
      <c r="X271" s="61">
        <f>SUMIF(Tracker[Date],U271,Tracker[Net])</f>
        <v>0</v>
      </c>
    </row>
    <row r="272" spans="1:24" x14ac:dyDescent="0.25">
      <c r="A272" s="36">
        <f t="shared" si="45"/>
        <v>28</v>
      </c>
      <c r="B272" s="25">
        <v>43858</v>
      </c>
      <c r="C272" s="25" t="str">
        <f t="shared" si="47"/>
        <v>NBA</v>
      </c>
      <c r="D272" s="26" t="s">
        <v>1238</v>
      </c>
      <c r="E272" s="28" t="s">
        <v>1137</v>
      </c>
      <c r="F272" s="67">
        <v>0.58687044700876889</v>
      </c>
      <c r="G272" s="29">
        <v>-110</v>
      </c>
      <c r="H272" s="50" t="s">
        <v>57</v>
      </c>
      <c r="I27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7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272" s="40" t="str">
        <f>MID(Tracker[[#This Row],[Game]],SEARCH("@",Tracker[[#This Row],[Game]])+2,LEN(Tracker[[#This Row],[Game]]))</f>
        <v>Grizzlies</v>
      </c>
      <c r="L272" s="40" t="str">
        <f>LEFT(Tracker[[#This Row],[Game]],SEARCH("@",Tracker[[#This Row],[Game]])-2)</f>
        <v>Nuggets</v>
      </c>
      <c r="M27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272" s="123"/>
      <c r="O272" s="147"/>
      <c r="P272" s="147"/>
      <c r="Q272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72" s="147" t="e">
        <f>IF(AND(Tracker[[#This Row],[Money %]]&lt;&gt;"",Tracker[[#This Row],[Bet %]]&lt;&gt;""),Tracker[[#This Row],[Money %]]-Tracker[[#This Row],[Bet %]],NA())</f>
        <v>#N/A</v>
      </c>
      <c r="S272" s="109"/>
      <c r="T272" s="109"/>
      <c r="U272" s="56">
        <f>IFERROR(INDEX($A$4:$B10268,MATCH(ROW()-3,$A$4:$A$4:$A1268,0),2),0)</f>
        <v>0</v>
      </c>
      <c r="V272" s="33" t="str">
        <f>COUNTIFS(Tracker[Date],U272,Tracker[Result],"W")&amp;"-"&amp;COUNTIFS(Tracker[Date],U272,Tracker[Result],"L")&amp;IF(COUNTIFS(Tracker[Date],U272,Tracker[Result],"Push")&gt;0,"-"&amp;COUNTIFS(Tracker[Date],U272,Tracker[Result],"Push"),"")</f>
        <v>0-0</v>
      </c>
      <c r="W272" s="34" t="str">
        <f>IFERROR(COUNTIFS(Tracker[Date],U272,Tracker[Result],"W")/(COUNTIFS(Tracker[Date],U272,Tracker[Result],"W")+COUNTIFS(Tracker[Date],U272,Tracker[Result],"L")),"")</f>
        <v/>
      </c>
      <c r="X272" s="61">
        <f>SUMIF(Tracker[Date],U272,Tracker[Net])</f>
        <v>0</v>
      </c>
    </row>
    <row r="273" spans="1:24" x14ac:dyDescent="0.25">
      <c r="A273" s="36">
        <f t="shared" si="45"/>
        <v>28</v>
      </c>
      <c r="B273" s="25">
        <v>43858</v>
      </c>
      <c r="C273" s="25" t="str">
        <f t="shared" si="47"/>
        <v>NBA</v>
      </c>
      <c r="D273" s="26" t="s">
        <v>1240</v>
      </c>
      <c r="E273" s="28" t="s">
        <v>1241</v>
      </c>
      <c r="F273" s="67">
        <v>0.58533473404247482</v>
      </c>
      <c r="G273" s="29">
        <v>-110</v>
      </c>
      <c r="H273" s="50" t="s">
        <v>57</v>
      </c>
      <c r="I27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7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273" s="40" t="str">
        <f>MID(Tracker[[#This Row],[Game]],SEARCH("@",Tracker[[#This Row],[Game]])+2,LEN(Tracker[[#This Row],[Game]]))</f>
        <v>Bucks</v>
      </c>
      <c r="L273" s="40" t="str">
        <f>LEFT(Tracker[[#This Row],[Game]],SEARCH("@",Tracker[[#This Row],[Game]])-2)</f>
        <v>Wizards</v>
      </c>
      <c r="M27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273" s="123"/>
      <c r="O273" s="147"/>
      <c r="P273" s="147"/>
      <c r="Q273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73" s="147" t="e">
        <f>IF(AND(Tracker[[#This Row],[Money %]]&lt;&gt;"",Tracker[[#This Row],[Bet %]]&lt;&gt;""),Tracker[[#This Row],[Money %]]-Tracker[[#This Row],[Bet %]],NA())</f>
        <v>#N/A</v>
      </c>
      <c r="S273" s="109"/>
      <c r="T273" s="109"/>
      <c r="U273" s="56">
        <f>IFERROR(INDEX($A$4:$B10269,MATCH(ROW()-3,$A$4:$A$4:$A1269,0),2),0)</f>
        <v>0</v>
      </c>
      <c r="V273" s="33" t="str">
        <f>COUNTIFS(Tracker[Date],U273,Tracker[Result],"W")&amp;"-"&amp;COUNTIFS(Tracker[Date],U273,Tracker[Result],"L")&amp;IF(COUNTIFS(Tracker[Date],U273,Tracker[Result],"Push")&gt;0,"-"&amp;COUNTIFS(Tracker[Date],U273,Tracker[Result],"Push"),"")</f>
        <v>0-0</v>
      </c>
      <c r="W273" s="34" t="str">
        <f>IFERROR(COUNTIFS(Tracker[Date],U273,Tracker[Result],"W")/(COUNTIFS(Tracker[Date],U273,Tracker[Result],"W")+COUNTIFS(Tracker[Date],U273,Tracker[Result],"L")),"")</f>
        <v/>
      </c>
      <c r="X273" s="61">
        <f>SUMIF(Tracker[Date],U273,Tracker[Net])</f>
        <v>0</v>
      </c>
    </row>
    <row r="274" spans="1:24" x14ac:dyDescent="0.25">
      <c r="A274" s="36">
        <f t="shared" si="45"/>
        <v>28</v>
      </c>
      <c r="B274" s="25">
        <v>43858</v>
      </c>
      <c r="C274" s="25" t="str">
        <f t="shared" si="47"/>
        <v>NBA</v>
      </c>
      <c r="D274" s="26" t="s">
        <v>1240</v>
      </c>
      <c r="E274" s="28" t="s">
        <v>1242</v>
      </c>
      <c r="F274" s="67">
        <v>0.74700963924334096</v>
      </c>
      <c r="G274" s="29">
        <v>-110</v>
      </c>
      <c r="H274" s="50" t="s">
        <v>57</v>
      </c>
      <c r="I27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7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274" s="40" t="str">
        <f>MID(Tracker[[#This Row],[Game]],SEARCH("@",Tracker[[#This Row],[Game]])+2,LEN(Tracker[[#This Row],[Game]]))</f>
        <v>Bucks</v>
      </c>
      <c r="L274" s="40" t="str">
        <f>LEFT(Tracker[[#This Row],[Game]],SEARCH("@",Tracker[[#This Row],[Game]])-2)</f>
        <v>Wizards</v>
      </c>
      <c r="M27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274" s="123"/>
      <c r="O274" s="147"/>
      <c r="P274" s="147"/>
      <c r="Q27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74" s="147" t="e">
        <f>IF(AND(Tracker[[#This Row],[Money %]]&lt;&gt;"",Tracker[[#This Row],[Bet %]]&lt;&gt;""),Tracker[[#This Row],[Money %]]-Tracker[[#This Row],[Bet %]],NA())</f>
        <v>#N/A</v>
      </c>
      <c r="S274" s="109"/>
      <c r="T274" s="109"/>
      <c r="U274" s="56">
        <f>IFERROR(INDEX($A$4:$B10270,MATCH(ROW()-3,$A$4:$A$4:$A1270,0),2),0)</f>
        <v>0</v>
      </c>
      <c r="V274" s="33" t="str">
        <f>COUNTIFS(Tracker[Date],U274,Tracker[Result],"W")&amp;"-"&amp;COUNTIFS(Tracker[Date],U274,Tracker[Result],"L")&amp;IF(COUNTIFS(Tracker[Date],U274,Tracker[Result],"Push")&gt;0,"-"&amp;COUNTIFS(Tracker[Date],U274,Tracker[Result],"Push"),"")</f>
        <v>0-0</v>
      </c>
      <c r="W274" s="34" t="str">
        <f>IFERROR(COUNTIFS(Tracker[Date],U274,Tracker[Result],"W")/(COUNTIFS(Tracker[Date],U274,Tracker[Result],"W")+COUNTIFS(Tracker[Date],U274,Tracker[Result],"L")),"")</f>
        <v/>
      </c>
      <c r="X274" s="61">
        <f>SUMIF(Tracker[Date],U274,Tracker[Net])</f>
        <v>0</v>
      </c>
    </row>
    <row r="275" spans="1:24" x14ac:dyDescent="0.25">
      <c r="A275" s="36">
        <f t="shared" si="45"/>
        <v>28</v>
      </c>
      <c r="B275" s="25">
        <v>43858</v>
      </c>
      <c r="C275" s="25" t="str">
        <f t="shared" si="47"/>
        <v>NBA</v>
      </c>
      <c r="D275" s="26" t="s">
        <v>1243</v>
      </c>
      <c r="E275" s="28" t="s">
        <v>1244</v>
      </c>
      <c r="F275" s="67">
        <v>0.71518559476397781</v>
      </c>
      <c r="G275" s="29">
        <v>-110</v>
      </c>
      <c r="H275" s="50" t="s">
        <v>57</v>
      </c>
      <c r="I27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7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275" s="40" t="str">
        <f>MID(Tracker[[#This Row],[Game]],SEARCH("@",Tracker[[#This Row],[Game]])+2,LEN(Tracker[[#This Row],[Game]]))</f>
        <v>Mavericks</v>
      </c>
      <c r="L275" s="40" t="str">
        <f>LEFT(Tracker[[#This Row],[Game]],SEARCH("@",Tracker[[#This Row],[Game]])-2)</f>
        <v>Suns</v>
      </c>
      <c r="M27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275" s="123"/>
      <c r="O275" s="147"/>
      <c r="P275" s="147"/>
      <c r="Q27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75" s="147" t="e">
        <f>IF(AND(Tracker[[#This Row],[Money %]]&lt;&gt;"",Tracker[[#This Row],[Bet %]]&lt;&gt;""),Tracker[[#This Row],[Money %]]-Tracker[[#This Row],[Bet %]],NA())</f>
        <v>#N/A</v>
      </c>
      <c r="S275" s="109"/>
      <c r="T275" s="109"/>
      <c r="U275" s="56">
        <f>IFERROR(INDEX($A$4:$B10271,MATCH(ROW()-3,$A$4:$A$4:$A1271,0),2),0)</f>
        <v>0</v>
      </c>
      <c r="V275" s="33" t="str">
        <f>COUNTIFS(Tracker[Date],U275,Tracker[Result],"W")&amp;"-"&amp;COUNTIFS(Tracker[Date],U275,Tracker[Result],"L")&amp;IF(COUNTIFS(Tracker[Date],U275,Tracker[Result],"Push")&gt;0,"-"&amp;COUNTIFS(Tracker[Date],U275,Tracker[Result],"Push"),"")</f>
        <v>0-0</v>
      </c>
      <c r="W275" s="34" t="str">
        <f>IFERROR(COUNTIFS(Tracker[Date],U275,Tracker[Result],"W")/(COUNTIFS(Tracker[Date],U275,Tracker[Result],"W")+COUNTIFS(Tracker[Date],U275,Tracker[Result],"L")),"")</f>
        <v/>
      </c>
      <c r="X275" s="61">
        <f>SUMIF(Tracker[Date],U275,Tracker[Net])</f>
        <v>0</v>
      </c>
    </row>
    <row r="276" spans="1:24" x14ac:dyDescent="0.25">
      <c r="A276" s="36">
        <f t="shared" si="45"/>
        <v>28</v>
      </c>
      <c r="B276" s="25">
        <v>43858</v>
      </c>
      <c r="C276" s="25" t="str">
        <f t="shared" si="47"/>
        <v>NBA</v>
      </c>
      <c r="D276" s="26" t="s">
        <v>1243</v>
      </c>
      <c r="E276" s="28" t="s">
        <v>832</v>
      </c>
      <c r="F276" s="67">
        <v>0.64892823051816351</v>
      </c>
      <c r="G276" s="29">
        <v>-110</v>
      </c>
      <c r="H276" s="50" t="s">
        <v>56</v>
      </c>
      <c r="I27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7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276" s="40" t="str">
        <f>MID(Tracker[[#This Row],[Game]],SEARCH("@",Tracker[[#This Row],[Game]])+2,LEN(Tracker[[#This Row],[Game]]))</f>
        <v>Mavericks</v>
      </c>
      <c r="L276" s="40" t="str">
        <f>LEFT(Tracker[[#This Row],[Game]],SEARCH("@",Tracker[[#This Row],[Game]])-2)</f>
        <v>Suns</v>
      </c>
      <c r="M27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276" s="123"/>
      <c r="O276" s="147"/>
      <c r="P276" s="147"/>
      <c r="Q276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76" s="147" t="e">
        <f>IF(AND(Tracker[[#This Row],[Money %]]&lt;&gt;"",Tracker[[#This Row],[Bet %]]&lt;&gt;""),Tracker[[#This Row],[Money %]]-Tracker[[#This Row],[Bet %]],NA())</f>
        <v>#N/A</v>
      </c>
      <c r="S276" s="109"/>
      <c r="T276" s="109"/>
      <c r="U276" s="56">
        <f>IFERROR(INDEX($A$4:$B10272,MATCH(ROW()-3,$A$4:$A$4:$A1272,0),2),0)</f>
        <v>0</v>
      </c>
      <c r="V276" s="33" t="str">
        <f>COUNTIFS(Tracker[Date],U276,Tracker[Result],"W")&amp;"-"&amp;COUNTIFS(Tracker[Date],U276,Tracker[Result],"L")&amp;IF(COUNTIFS(Tracker[Date],U276,Tracker[Result],"Push")&gt;0,"-"&amp;COUNTIFS(Tracker[Date],U276,Tracker[Result],"Push"),"")</f>
        <v>0-0</v>
      </c>
      <c r="W276" s="34" t="str">
        <f>IFERROR(COUNTIFS(Tracker[Date],U276,Tracker[Result],"W")/(COUNTIFS(Tracker[Date],U276,Tracker[Result],"W")+COUNTIFS(Tracker[Date],U276,Tracker[Result],"L")),"")</f>
        <v/>
      </c>
      <c r="X276" s="61">
        <f>SUMIF(Tracker[Date],U276,Tracker[Net])</f>
        <v>0</v>
      </c>
    </row>
    <row r="277" spans="1:24" x14ac:dyDescent="0.25">
      <c r="A277" s="36">
        <f t="shared" si="45"/>
        <v>29</v>
      </c>
      <c r="B277" s="25">
        <v>43859</v>
      </c>
      <c r="C277" s="25" t="str">
        <f t="shared" ref="C277:C286" si="48">"NBA"</f>
        <v>NBA</v>
      </c>
      <c r="D277" s="26" t="s">
        <v>1245</v>
      </c>
      <c r="E277" s="28" t="s">
        <v>1246</v>
      </c>
      <c r="F277" s="67">
        <v>0.71296753195332607</v>
      </c>
      <c r="G277" s="29">
        <v>-110</v>
      </c>
      <c r="H277" s="50" t="s">
        <v>1328</v>
      </c>
      <c r="I27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</v>
      </c>
      <c r="J27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277" s="40" t="str">
        <f>MID(Tracker[[#This Row],[Game]],SEARCH("@",Tracker[[#This Row],[Game]])+2,LEN(Tracker[[#This Row],[Game]]))</f>
        <v>Pacers</v>
      </c>
      <c r="L277" s="40" t="str">
        <f>LEFT(Tracker[[#This Row],[Game]],SEARCH("@",Tracker[[#This Row],[Game]])-2)</f>
        <v>Bulls</v>
      </c>
      <c r="M27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277" s="123">
        <v>0.52800000000000002</v>
      </c>
      <c r="O277" s="147"/>
      <c r="P277" s="147"/>
      <c r="Q277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77" s="147" t="e">
        <f>IF(AND(Tracker[[#This Row],[Money %]]&lt;&gt;"",Tracker[[#This Row],[Bet %]]&lt;&gt;""),Tracker[[#This Row],[Money %]]-Tracker[[#This Row],[Bet %]],NA())</f>
        <v>#N/A</v>
      </c>
      <c r="S277" s="109"/>
      <c r="T277" s="109"/>
      <c r="U277" s="56">
        <f>IFERROR(INDEX($A$4:$B10273,MATCH(ROW()-3,$A$4:$A$4:$A1273,0),2),0)</f>
        <v>0</v>
      </c>
      <c r="V277" s="33" t="str">
        <f>COUNTIFS(Tracker[Date],U277,Tracker[Result],"W")&amp;"-"&amp;COUNTIFS(Tracker[Date],U277,Tracker[Result],"L")&amp;IF(COUNTIFS(Tracker[Date],U277,Tracker[Result],"Push")&gt;0,"-"&amp;COUNTIFS(Tracker[Date],U277,Tracker[Result],"Push"),"")</f>
        <v>0-0</v>
      </c>
      <c r="W277" s="34" t="str">
        <f>IFERROR(COUNTIFS(Tracker[Date],U277,Tracker[Result],"W")/(COUNTIFS(Tracker[Date],U277,Tracker[Result],"W")+COUNTIFS(Tracker[Date],U277,Tracker[Result],"L")),"")</f>
        <v/>
      </c>
      <c r="X277" s="61">
        <f>SUMIF(Tracker[Date],U277,Tracker[Net])</f>
        <v>0</v>
      </c>
    </row>
    <row r="278" spans="1:24" x14ac:dyDescent="0.25">
      <c r="A278" s="36">
        <f t="shared" si="45"/>
        <v>29</v>
      </c>
      <c r="B278" s="25">
        <v>43859</v>
      </c>
      <c r="C278" s="25" t="str">
        <f t="shared" si="48"/>
        <v>NBA</v>
      </c>
      <c r="D278" s="26" t="s">
        <v>1245</v>
      </c>
      <c r="E278" s="28" t="s">
        <v>1151</v>
      </c>
      <c r="F278" s="67">
        <v>0.66305159342580156</v>
      </c>
      <c r="G278" s="29">
        <v>-110</v>
      </c>
      <c r="H278" s="50" t="s">
        <v>56</v>
      </c>
      <c r="I27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7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278" s="40" t="str">
        <f>MID(Tracker[[#This Row],[Game]],SEARCH("@",Tracker[[#This Row],[Game]])+2,LEN(Tracker[[#This Row],[Game]]))</f>
        <v>Pacers</v>
      </c>
      <c r="L278" s="40" t="str">
        <f>LEFT(Tracker[[#This Row],[Game]],SEARCH("@",Tracker[[#This Row],[Game]])-2)</f>
        <v>Bulls</v>
      </c>
      <c r="M27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278" s="123">
        <v>0.501</v>
      </c>
      <c r="O278" s="147"/>
      <c r="P278" s="147"/>
      <c r="Q278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78" s="147" t="e">
        <f>IF(AND(Tracker[[#This Row],[Money %]]&lt;&gt;"",Tracker[[#This Row],[Bet %]]&lt;&gt;""),Tracker[[#This Row],[Money %]]-Tracker[[#This Row],[Bet %]],NA())</f>
        <v>#N/A</v>
      </c>
      <c r="S278" s="109"/>
      <c r="T278" s="109"/>
      <c r="U278" s="56">
        <f>IFERROR(INDEX($A$4:$B10274,MATCH(ROW()-3,$A$4:$A$4:$A1274,0),2),0)</f>
        <v>0</v>
      </c>
      <c r="V278" s="33" t="str">
        <f>COUNTIFS(Tracker[Date],U278,Tracker[Result],"W")&amp;"-"&amp;COUNTIFS(Tracker[Date],U278,Tracker[Result],"L")&amp;IF(COUNTIFS(Tracker[Date],U278,Tracker[Result],"Push")&gt;0,"-"&amp;COUNTIFS(Tracker[Date],U278,Tracker[Result],"Push"),"")</f>
        <v>0-0</v>
      </c>
      <c r="W278" s="34" t="str">
        <f>IFERROR(COUNTIFS(Tracker[Date],U278,Tracker[Result],"W")/(COUNTIFS(Tracker[Date],U278,Tracker[Result],"W")+COUNTIFS(Tracker[Date],U278,Tracker[Result],"L")),"")</f>
        <v/>
      </c>
      <c r="X278" s="61">
        <f>SUMIF(Tracker[Date],U278,Tracker[Net])</f>
        <v>0</v>
      </c>
    </row>
    <row r="279" spans="1:24" x14ac:dyDescent="0.25">
      <c r="A279" s="36">
        <f t="shared" si="45"/>
        <v>29</v>
      </c>
      <c r="B279" s="25">
        <v>43859</v>
      </c>
      <c r="C279" s="25" t="str">
        <f t="shared" si="48"/>
        <v>NBA</v>
      </c>
      <c r="D279" s="26" t="s">
        <v>1247</v>
      </c>
      <c r="E279" s="28" t="s">
        <v>1248</v>
      </c>
      <c r="F279" s="67">
        <v>0.66662364275612029</v>
      </c>
      <c r="G279" s="29">
        <v>-110</v>
      </c>
      <c r="H279" s="50" t="s">
        <v>57</v>
      </c>
      <c r="I27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7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279" s="40" t="str">
        <f>MID(Tracker[[#This Row],[Game]],SEARCH("@",Tracker[[#This Row],[Game]])+2,LEN(Tracker[[#This Row],[Game]]))</f>
        <v>Nets</v>
      </c>
      <c r="L279" s="40" t="str">
        <f>LEFT(Tracker[[#This Row],[Game]],SEARCH("@",Tracker[[#This Row],[Game]])-2)</f>
        <v>Pistons</v>
      </c>
      <c r="M27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279" s="123">
        <v>0.46350000000000002</v>
      </c>
      <c r="O279" s="147"/>
      <c r="P279" s="147"/>
      <c r="Q279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79" s="147" t="e">
        <f>IF(AND(Tracker[[#This Row],[Money %]]&lt;&gt;"",Tracker[[#This Row],[Bet %]]&lt;&gt;""),Tracker[[#This Row],[Money %]]-Tracker[[#This Row],[Bet %]],NA())</f>
        <v>#N/A</v>
      </c>
      <c r="S279" s="109"/>
      <c r="T279" s="109"/>
      <c r="U279" s="56">
        <f>IFERROR(INDEX($A$4:$B10275,MATCH(ROW()-3,$A$4:$A$4:$A1275,0),2),0)</f>
        <v>0</v>
      </c>
      <c r="V279" s="33" t="str">
        <f>COUNTIFS(Tracker[Date],U279,Tracker[Result],"W")&amp;"-"&amp;COUNTIFS(Tracker[Date],U279,Tracker[Result],"L")&amp;IF(COUNTIFS(Tracker[Date],U279,Tracker[Result],"Push")&gt;0,"-"&amp;COUNTIFS(Tracker[Date],U279,Tracker[Result],"Push"),"")</f>
        <v>0-0</v>
      </c>
      <c r="W279" s="34" t="str">
        <f>IFERROR(COUNTIFS(Tracker[Date],U279,Tracker[Result],"W")/(COUNTIFS(Tracker[Date],U279,Tracker[Result],"W")+COUNTIFS(Tracker[Date],U279,Tracker[Result],"L")),"")</f>
        <v/>
      </c>
      <c r="X279" s="61">
        <f>SUMIF(Tracker[Date],U279,Tracker[Net])</f>
        <v>0</v>
      </c>
    </row>
    <row r="280" spans="1:24" x14ac:dyDescent="0.25">
      <c r="A280" s="36">
        <f t="shared" si="45"/>
        <v>29</v>
      </c>
      <c r="B280" s="25">
        <v>43859</v>
      </c>
      <c r="C280" s="25" t="str">
        <f t="shared" si="48"/>
        <v>NBA</v>
      </c>
      <c r="D280" s="26" t="s">
        <v>1247</v>
      </c>
      <c r="E280" s="28" t="s">
        <v>980</v>
      </c>
      <c r="F280" s="67">
        <v>0.59710340064074319</v>
      </c>
      <c r="G280" s="29">
        <v>-110</v>
      </c>
      <c r="H280" s="50" t="s">
        <v>57</v>
      </c>
      <c r="I28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8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280" s="40" t="str">
        <f>MID(Tracker[[#This Row],[Game]],SEARCH("@",Tracker[[#This Row],[Game]])+2,LEN(Tracker[[#This Row],[Game]]))</f>
        <v>Nets</v>
      </c>
      <c r="L280" s="40" t="str">
        <f>LEFT(Tracker[[#This Row],[Game]],SEARCH("@",Tracker[[#This Row],[Game]])-2)</f>
        <v>Pistons</v>
      </c>
      <c r="M28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280" s="123">
        <v>0.48899999999999999</v>
      </c>
      <c r="O280" s="147"/>
      <c r="P280" s="147"/>
      <c r="Q280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80" s="147" t="e">
        <f>IF(AND(Tracker[[#This Row],[Money %]]&lt;&gt;"",Tracker[[#This Row],[Bet %]]&lt;&gt;""),Tracker[[#This Row],[Money %]]-Tracker[[#This Row],[Bet %]],NA())</f>
        <v>#N/A</v>
      </c>
      <c r="S280" s="109"/>
      <c r="T280" s="109"/>
      <c r="U280" s="56">
        <f>IFERROR(INDEX($A$4:$B10276,MATCH(ROW()-3,$A$4:$A$4:$A1276,0),2),0)</f>
        <v>0</v>
      </c>
      <c r="V280" s="33" t="str">
        <f>COUNTIFS(Tracker[Date],U280,Tracker[Result],"W")&amp;"-"&amp;COUNTIFS(Tracker[Date],U280,Tracker[Result],"L")&amp;IF(COUNTIFS(Tracker[Date],U280,Tracker[Result],"Push")&gt;0,"-"&amp;COUNTIFS(Tracker[Date],U280,Tracker[Result],"Push"),"")</f>
        <v>0-0</v>
      </c>
      <c r="W280" s="34" t="str">
        <f>IFERROR(COUNTIFS(Tracker[Date],U280,Tracker[Result],"W")/(COUNTIFS(Tracker[Date],U280,Tracker[Result],"W")+COUNTIFS(Tracker[Date],U280,Tracker[Result],"L")),"")</f>
        <v/>
      </c>
      <c r="X280" s="61">
        <f>SUMIF(Tracker[Date],U280,Tracker[Net])</f>
        <v>0</v>
      </c>
    </row>
    <row r="281" spans="1:24" x14ac:dyDescent="0.25">
      <c r="A281" s="36">
        <f t="shared" si="45"/>
        <v>29</v>
      </c>
      <c r="B281" s="25">
        <v>43859</v>
      </c>
      <c r="C281" s="25" t="str">
        <f t="shared" si="48"/>
        <v>NBA</v>
      </c>
      <c r="D281" s="26" t="s">
        <v>1249</v>
      </c>
      <c r="E281" s="28" t="s">
        <v>1250</v>
      </c>
      <c r="F281" s="67">
        <v>0.55715245240530198</v>
      </c>
      <c r="G281" s="29">
        <v>-110</v>
      </c>
      <c r="H281" s="50" t="s">
        <v>56</v>
      </c>
      <c r="I28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8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281" s="40" t="str">
        <f>MID(Tracker[[#This Row],[Game]],SEARCH("@",Tracker[[#This Row],[Game]])+2,LEN(Tracker[[#This Row],[Game]]))</f>
        <v>Knicks</v>
      </c>
      <c r="L281" s="40" t="str">
        <f>LEFT(Tracker[[#This Row],[Game]],SEARCH("@",Tracker[[#This Row],[Game]])-2)</f>
        <v>Grizzlies</v>
      </c>
      <c r="M28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281" s="123">
        <v>0.47199999999999998</v>
      </c>
      <c r="O281" s="147"/>
      <c r="P281" s="147"/>
      <c r="Q281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81" s="147" t="e">
        <f>IF(AND(Tracker[[#This Row],[Money %]]&lt;&gt;"",Tracker[[#This Row],[Bet %]]&lt;&gt;""),Tracker[[#This Row],[Money %]]-Tracker[[#This Row],[Bet %]],NA())</f>
        <v>#N/A</v>
      </c>
      <c r="S281" s="109"/>
      <c r="T281" s="109"/>
      <c r="U281" s="56">
        <f>IFERROR(INDEX($A$4:$B10277,MATCH(ROW()-3,$A$4:$A$4:$A1277,0),2),0)</f>
        <v>0</v>
      </c>
      <c r="V281" s="33" t="str">
        <f>COUNTIFS(Tracker[Date],U281,Tracker[Result],"W")&amp;"-"&amp;COUNTIFS(Tracker[Date],U281,Tracker[Result],"L")&amp;IF(COUNTIFS(Tracker[Date],U281,Tracker[Result],"Push")&gt;0,"-"&amp;COUNTIFS(Tracker[Date],U281,Tracker[Result],"Push"),"")</f>
        <v>0-0</v>
      </c>
      <c r="W281" s="34" t="str">
        <f>IFERROR(COUNTIFS(Tracker[Date],U281,Tracker[Result],"W")/(COUNTIFS(Tracker[Date],U281,Tracker[Result],"W")+COUNTIFS(Tracker[Date],U281,Tracker[Result],"L")),"")</f>
        <v/>
      </c>
      <c r="X281" s="61">
        <f>SUMIF(Tracker[Date],U281,Tracker[Net])</f>
        <v>0</v>
      </c>
    </row>
    <row r="282" spans="1:24" x14ac:dyDescent="0.25">
      <c r="A282" s="36">
        <f t="shared" si="45"/>
        <v>29</v>
      </c>
      <c r="B282" s="25">
        <v>43859</v>
      </c>
      <c r="C282" s="25" t="str">
        <f t="shared" si="48"/>
        <v>NBA</v>
      </c>
      <c r="D282" s="26" t="s">
        <v>1249</v>
      </c>
      <c r="E282" s="28" t="s">
        <v>1251</v>
      </c>
      <c r="F282" s="67">
        <v>0.73970255206232038</v>
      </c>
      <c r="G282" s="29">
        <v>-110</v>
      </c>
      <c r="H282" s="50" t="s">
        <v>56</v>
      </c>
      <c r="I28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8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282" s="40" t="str">
        <f>MID(Tracker[[#This Row],[Game]],SEARCH("@",Tracker[[#This Row],[Game]])+2,LEN(Tracker[[#This Row],[Game]]))</f>
        <v>Knicks</v>
      </c>
      <c r="L282" s="40" t="str">
        <f>LEFT(Tracker[[#This Row],[Game]],SEARCH("@",Tracker[[#This Row],[Game]])-2)</f>
        <v>Grizzlies</v>
      </c>
      <c r="M28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282" s="123">
        <v>0.39150000000000001</v>
      </c>
      <c r="O282" s="147"/>
      <c r="P282" s="147"/>
      <c r="Q282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82" s="147" t="e">
        <f>IF(AND(Tracker[[#This Row],[Money %]]&lt;&gt;"",Tracker[[#This Row],[Bet %]]&lt;&gt;""),Tracker[[#This Row],[Money %]]-Tracker[[#This Row],[Bet %]],NA())</f>
        <v>#N/A</v>
      </c>
      <c r="S282" s="109"/>
      <c r="T282" s="109"/>
      <c r="U282" s="56">
        <f>IFERROR(INDEX($A$4:$B10278,MATCH(ROW()-3,$A$4:$A$4:$A1278,0),2),0)</f>
        <v>0</v>
      </c>
      <c r="V282" s="33" t="str">
        <f>COUNTIFS(Tracker[Date],U282,Tracker[Result],"W")&amp;"-"&amp;COUNTIFS(Tracker[Date],U282,Tracker[Result],"L")&amp;IF(COUNTIFS(Tracker[Date],U282,Tracker[Result],"Push")&gt;0,"-"&amp;COUNTIFS(Tracker[Date],U282,Tracker[Result],"Push"),"")</f>
        <v>0-0</v>
      </c>
      <c r="W282" s="34" t="str">
        <f>IFERROR(COUNTIFS(Tracker[Date],U282,Tracker[Result],"W")/(COUNTIFS(Tracker[Date],U282,Tracker[Result],"W")+COUNTIFS(Tracker[Date],U282,Tracker[Result],"L")),"")</f>
        <v/>
      </c>
      <c r="X282" s="61">
        <f>SUMIF(Tracker[Date],U282,Tracker[Net])</f>
        <v>0</v>
      </c>
    </row>
    <row r="283" spans="1:24" x14ac:dyDescent="0.25">
      <c r="A283" s="36">
        <f t="shared" si="45"/>
        <v>29</v>
      </c>
      <c r="B283" s="25">
        <v>43859</v>
      </c>
      <c r="C283" s="25" t="str">
        <f t="shared" si="48"/>
        <v>NBA</v>
      </c>
      <c r="D283" s="26" t="s">
        <v>1252</v>
      </c>
      <c r="E283" s="28" t="s">
        <v>1253</v>
      </c>
      <c r="F283" s="67">
        <v>0.67005680032420711</v>
      </c>
      <c r="G283" s="29">
        <v>-110</v>
      </c>
      <c r="H283" s="50" t="s">
        <v>56</v>
      </c>
      <c r="I28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8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283" s="40" t="str">
        <f>MID(Tracker[[#This Row],[Game]],SEARCH("@",Tracker[[#This Row],[Game]])+2,LEN(Tracker[[#This Row],[Game]]))</f>
        <v>Spurs</v>
      </c>
      <c r="L283" s="40" t="str">
        <f>LEFT(Tracker[[#This Row],[Game]],SEARCH("@",Tracker[[#This Row],[Game]])-2)</f>
        <v>Jazz</v>
      </c>
      <c r="M28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283" s="123">
        <v>0.54149999999999998</v>
      </c>
      <c r="O283" s="147"/>
      <c r="P283" s="147"/>
      <c r="Q283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83" s="147" t="e">
        <f>IF(AND(Tracker[[#This Row],[Money %]]&lt;&gt;"",Tracker[[#This Row],[Bet %]]&lt;&gt;""),Tracker[[#This Row],[Money %]]-Tracker[[#This Row],[Bet %]],NA())</f>
        <v>#N/A</v>
      </c>
      <c r="S283" s="109"/>
      <c r="T283" s="109"/>
      <c r="U283" s="56">
        <f>IFERROR(INDEX($A$4:$B10279,MATCH(ROW()-3,$A$4:$A$4:$A1279,0),2),0)</f>
        <v>0</v>
      </c>
      <c r="V283" s="33" t="str">
        <f>COUNTIFS(Tracker[Date],U283,Tracker[Result],"W")&amp;"-"&amp;COUNTIFS(Tracker[Date],U283,Tracker[Result],"L")&amp;IF(COUNTIFS(Tracker[Date],U283,Tracker[Result],"Push")&gt;0,"-"&amp;COUNTIFS(Tracker[Date],U283,Tracker[Result],"Push"),"")</f>
        <v>0-0</v>
      </c>
      <c r="W283" s="34" t="str">
        <f>IFERROR(COUNTIFS(Tracker[Date],U283,Tracker[Result],"W")/(COUNTIFS(Tracker[Date],U283,Tracker[Result],"W")+COUNTIFS(Tracker[Date],U283,Tracker[Result],"L")),"")</f>
        <v/>
      </c>
      <c r="X283" s="61">
        <f>SUMIF(Tracker[Date],U283,Tracker[Net])</f>
        <v>0</v>
      </c>
    </row>
    <row r="284" spans="1:24" x14ac:dyDescent="0.25">
      <c r="A284" s="36">
        <f t="shared" si="45"/>
        <v>29</v>
      </c>
      <c r="B284" s="25">
        <v>43859</v>
      </c>
      <c r="C284" s="25" t="str">
        <f t="shared" si="48"/>
        <v>NBA</v>
      </c>
      <c r="D284" s="26" t="s">
        <v>876</v>
      </c>
      <c r="E284" s="28" t="s">
        <v>1254</v>
      </c>
      <c r="F284" s="67">
        <v>0.76923332676255285</v>
      </c>
      <c r="G284" s="29">
        <v>-110</v>
      </c>
      <c r="H284" s="50" t="s">
        <v>56</v>
      </c>
      <c r="I28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8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284" s="40" t="str">
        <f>MID(Tracker[[#This Row],[Game]],SEARCH("@",Tracker[[#This Row],[Game]])+2,LEN(Tracker[[#This Row],[Game]]))</f>
        <v>Kings</v>
      </c>
      <c r="L284" s="40" t="str">
        <f>LEFT(Tracker[[#This Row],[Game]],SEARCH("@",Tracker[[#This Row],[Game]])-2)</f>
        <v>Thunder</v>
      </c>
      <c r="M28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284" s="123">
        <v>0.61150000000000004</v>
      </c>
      <c r="O284" s="147"/>
      <c r="P284" s="147"/>
      <c r="Q28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84" s="147" t="e">
        <f>IF(AND(Tracker[[#This Row],[Money %]]&lt;&gt;"",Tracker[[#This Row],[Bet %]]&lt;&gt;""),Tracker[[#This Row],[Money %]]-Tracker[[#This Row],[Bet %]],NA())</f>
        <v>#N/A</v>
      </c>
      <c r="S284" s="109"/>
      <c r="T284" s="109"/>
      <c r="U284" s="56">
        <f>IFERROR(INDEX($A$4:$B10280,MATCH(ROW()-3,$A$4:$A$4:$A1280,0),2),0)</f>
        <v>0</v>
      </c>
      <c r="V284" s="33" t="str">
        <f>COUNTIFS(Tracker[Date],U284,Tracker[Result],"W")&amp;"-"&amp;COUNTIFS(Tracker[Date],U284,Tracker[Result],"L")&amp;IF(COUNTIFS(Tracker[Date],U284,Tracker[Result],"Push")&gt;0,"-"&amp;COUNTIFS(Tracker[Date],U284,Tracker[Result],"Push"),"")</f>
        <v>0-0</v>
      </c>
      <c r="W284" s="34" t="str">
        <f>IFERROR(COUNTIFS(Tracker[Date],U284,Tracker[Result],"W")/(COUNTIFS(Tracker[Date],U284,Tracker[Result],"W")+COUNTIFS(Tracker[Date],U284,Tracker[Result],"L")),"")</f>
        <v/>
      </c>
      <c r="X284" s="61">
        <f>SUMIF(Tracker[Date],U284,Tracker[Net])</f>
        <v>0</v>
      </c>
    </row>
    <row r="285" spans="1:24" x14ac:dyDescent="0.25">
      <c r="A285" s="36">
        <f t="shared" si="45"/>
        <v>29</v>
      </c>
      <c r="B285" s="25">
        <v>43859</v>
      </c>
      <c r="C285" s="25" t="str">
        <f t="shared" si="48"/>
        <v>NBA</v>
      </c>
      <c r="D285" s="26" t="s">
        <v>1255</v>
      </c>
      <c r="E285" s="28" t="s">
        <v>1256</v>
      </c>
      <c r="F285" s="67">
        <v>0.65332412810260543</v>
      </c>
      <c r="G285" s="29">
        <v>-110</v>
      </c>
      <c r="H285" s="50" t="s">
        <v>57</v>
      </c>
      <c r="I28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8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285" s="40" t="str">
        <f>MID(Tracker[[#This Row],[Game]],SEARCH("@",Tracker[[#This Row],[Game]])+2,LEN(Tracker[[#This Row],[Game]]))</f>
        <v>Trail Blazers</v>
      </c>
      <c r="L285" s="40" t="str">
        <f>LEFT(Tracker[[#This Row],[Game]],SEARCH("@",Tracker[[#This Row],[Game]])-2)</f>
        <v>Rockets</v>
      </c>
      <c r="M28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285" s="123">
        <v>0.6875</v>
      </c>
      <c r="O285" s="147"/>
      <c r="P285" s="147"/>
      <c r="Q28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85" s="147" t="e">
        <f>IF(AND(Tracker[[#This Row],[Money %]]&lt;&gt;"",Tracker[[#This Row],[Bet %]]&lt;&gt;""),Tracker[[#This Row],[Money %]]-Tracker[[#This Row],[Bet %]],NA())</f>
        <v>#N/A</v>
      </c>
      <c r="S285" s="109"/>
      <c r="T285" s="109"/>
      <c r="U285" s="56">
        <f>IFERROR(INDEX($A$4:$B10281,MATCH(ROW()-3,$A$4:$A$4:$A1281,0),2),0)</f>
        <v>0</v>
      </c>
      <c r="V285" s="33" t="str">
        <f>COUNTIFS(Tracker[Date],U285,Tracker[Result],"W")&amp;"-"&amp;COUNTIFS(Tracker[Date],U285,Tracker[Result],"L")&amp;IF(COUNTIFS(Tracker[Date],U285,Tracker[Result],"Push")&gt;0,"-"&amp;COUNTIFS(Tracker[Date],U285,Tracker[Result],"Push"),"")</f>
        <v>0-0</v>
      </c>
      <c r="W285" s="34" t="str">
        <f>IFERROR(COUNTIFS(Tracker[Date],U285,Tracker[Result],"W")/(COUNTIFS(Tracker[Date],U285,Tracker[Result],"W")+COUNTIFS(Tracker[Date],U285,Tracker[Result],"L")),"")</f>
        <v/>
      </c>
      <c r="X285" s="61">
        <f>SUMIF(Tracker[Date],U285,Tracker[Net])</f>
        <v>0</v>
      </c>
    </row>
    <row r="286" spans="1:24" x14ac:dyDescent="0.25">
      <c r="A286" s="36">
        <f t="shared" si="45"/>
        <v>29</v>
      </c>
      <c r="B286" s="25">
        <v>43859</v>
      </c>
      <c r="C286" s="25" t="str">
        <f t="shared" si="48"/>
        <v>NBA</v>
      </c>
      <c r="D286" s="26" t="s">
        <v>1255</v>
      </c>
      <c r="E286" s="28" t="s">
        <v>1257</v>
      </c>
      <c r="F286" s="67">
        <v>0.64936526568294217</v>
      </c>
      <c r="G286" s="29">
        <v>-110</v>
      </c>
      <c r="H286" s="50" t="s">
        <v>56</v>
      </c>
      <c r="I28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8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286" s="40" t="str">
        <f>MID(Tracker[[#This Row],[Game]],SEARCH("@",Tracker[[#This Row],[Game]])+2,LEN(Tracker[[#This Row],[Game]]))</f>
        <v>Trail Blazers</v>
      </c>
      <c r="L286" s="40" t="str">
        <f>LEFT(Tracker[[#This Row],[Game]],SEARCH("@",Tracker[[#This Row],[Game]])-2)</f>
        <v>Rockets</v>
      </c>
      <c r="M28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286" s="123">
        <v>0.45300000000000001</v>
      </c>
      <c r="O286" s="147"/>
      <c r="P286" s="147"/>
      <c r="Q286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86" s="147" t="e">
        <f>IF(AND(Tracker[[#This Row],[Money %]]&lt;&gt;"",Tracker[[#This Row],[Bet %]]&lt;&gt;""),Tracker[[#This Row],[Money %]]-Tracker[[#This Row],[Bet %]],NA())</f>
        <v>#N/A</v>
      </c>
      <c r="S286" s="109"/>
      <c r="T286" s="109"/>
      <c r="U286" s="56">
        <f>IFERROR(INDEX($A$4:$B10282,MATCH(ROW()-3,$A$4:$A$4:$A1282,0),2),0)</f>
        <v>0</v>
      </c>
      <c r="V286" s="33" t="str">
        <f>COUNTIFS(Tracker[Date],U286,Tracker[Result],"W")&amp;"-"&amp;COUNTIFS(Tracker[Date],U286,Tracker[Result],"L")&amp;IF(COUNTIFS(Tracker[Date],U286,Tracker[Result],"Push")&gt;0,"-"&amp;COUNTIFS(Tracker[Date],U286,Tracker[Result],"Push"),"")</f>
        <v>0-0</v>
      </c>
      <c r="W286" s="34" t="str">
        <f>IFERROR(COUNTIFS(Tracker[Date],U286,Tracker[Result],"W")/(COUNTIFS(Tracker[Date],U286,Tracker[Result],"W")+COUNTIFS(Tracker[Date],U286,Tracker[Result],"L")),"")</f>
        <v/>
      </c>
      <c r="X286" s="61">
        <f>SUMIF(Tracker[Date],U286,Tracker[Net])</f>
        <v>0</v>
      </c>
    </row>
    <row r="287" spans="1:24" x14ac:dyDescent="0.25">
      <c r="A287" s="36">
        <f t="shared" si="45"/>
        <v>30</v>
      </c>
      <c r="B287" s="25">
        <v>43860</v>
      </c>
      <c r="C287" s="25" t="str">
        <f t="shared" ref="C287:C294" si="49">"NBA"</f>
        <v>NBA</v>
      </c>
      <c r="D287" s="26" t="s">
        <v>1329</v>
      </c>
      <c r="E287" s="28" t="s">
        <v>1075</v>
      </c>
      <c r="F287" s="67">
        <v>0.72301568206660138</v>
      </c>
      <c r="G287" s="29">
        <v>-110</v>
      </c>
      <c r="H287" s="50" t="s">
        <v>56</v>
      </c>
      <c r="I28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8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287" s="40" t="str">
        <f>MID(Tracker[[#This Row],[Game]],SEARCH("@",Tracker[[#This Row],[Game]])+2,LEN(Tracker[[#This Row],[Game]]))</f>
        <v>Cavaliers</v>
      </c>
      <c r="L287" s="40" t="str">
        <f>LEFT(Tracker[[#This Row],[Game]],SEARCH("@",Tracker[[#This Row],[Game]])-2)</f>
        <v>Raptors</v>
      </c>
      <c r="M28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287" s="123">
        <v>0.52100000000000002</v>
      </c>
      <c r="O287" s="147"/>
      <c r="P287" s="147"/>
      <c r="Q287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87" s="147" t="e">
        <f>IF(AND(Tracker[[#This Row],[Money %]]&lt;&gt;"",Tracker[[#This Row],[Bet %]]&lt;&gt;""),Tracker[[#This Row],[Money %]]-Tracker[[#This Row],[Bet %]],NA())</f>
        <v>#N/A</v>
      </c>
      <c r="S287" s="110"/>
      <c r="T287" s="110"/>
      <c r="U287" s="56">
        <f>IFERROR(INDEX($A$4:$B10283,MATCH(ROW()-3,$A$4:$A$4:$A1283,0),2),0)</f>
        <v>0</v>
      </c>
      <c r="V287" s="33" t="str">
        <f>COUNTIFS(Tracker[Date],U287,Tracker[Result],"W")&amp;"-"&amp;COUNTIFS(Tracker[Date],U287,Tracker[Result],"L")&amp;IF(COUNTIFS(Tracker[Date],U287,Tracker[Result],"Push")&gt;0,"-"&amp;COUNTIFS(Tracker[Date],U287,Tracker[Result],"Push"),"")</f>
        <v>0-0</v>
      </c>
      <c r="W287" s="34" t="str">
        <f>IFERROR(COUNTIFS(Tracker[Date],U287,Tracker[Result],"W")/(COUNTIFS(Tracker[Date],U287,Tracker[Result],"W")+COUNTIFS(Tracker[Date],U287,Tracker[Result],"L")),"")</f>
        <v/>
      </c>
      <c r="X287" s="61">
        <f>SUMIF(Tracker[Date],U287,Tracker[Net])</f>
        <v>0</v>
      </c>
    </row>
    <row r="288" spans="1:24" x14ac:dyDescent="0.25">
      <c r="A288" s="36">
        <f t="shared" si="45"/>
        <v>30</v>
      </c>
      <c r="B288" s="25">
        <v>43860</v>
      </c>
      <c r="C288" s="25" t="str">
        <f t="shared" si="49"/>
        <v>NBA</v>
      </c>
      <c r="D288" s="26" t="s">
        <v>1330</v>
      </c>
      <c r="E288" s="28" t="s">
        <v>1331</v>
      </c>
      <c r="F288" s="67">
        <v>0.65211514959217498</v>
      </c>
      <c r="G288" s="29">
        <v>-110</v>
      </c>
      <c r="H288" s="50" t="s">
        <v>56</v>
      </c>
      <c r="I28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8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288" s="40" t="str">
        <f>MID(Tracker[[#This Row],[Game]],SEARCH("@",Tracker[[#This Row],[Game]])+2,LEN(Tracker[[#This Row],[Game]]))</f>
        <v>Wizards</v>
      </c>
      <c r="L288" s="40" t="str">
        <f>LEFT(Tracker[[#This Row],[Game]],SEARCH("@",Tracker[[#This Row],[Game]])-2)</f>
        <v>Hornets</v>
      </c>
      <c r="M28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288" s="123">
        <v>0.45350000000000001</v>
      </c>
      <c r="O288" s="147"/>
      <c r="P288" s="147"/>
      <c r="Q288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88" s="147" t="e">
        <f>IF(AND(Tracker[[#This Row],[Money %]]&lt;&gt;"",Tracker[[#This Row],[Bet %]]&lt;&gt;""),Tracker[[#This Row],[Money %]]-Tracker[[#This Row],[Bet %]],NA())</f>
        <v>#N/A</v>
      </c>
      <c r="S288" s="110"/>
      <c r="T288" s="110"/>
      <c r="U288" s="56">
        <f>IFERROR(INDEX($A$4:$B10284,MATCH(ROW()-3,$A$4:$A$4:$A1284,0),2),0)</f>
        <v>0</v>
      </c>
      <c r="V288" s="33" t="str">
        <f>COUNTIFS(Tracker[Date],U288,Tracker[Result],"W")&amp;"-"&amp;COUNTIFS(Tracker[Date],U288,Tracker[Result],"L")&amp;IF(COUNTIFS(Tracker[Date],U288,Tracker[Result],"Push")&gt;0,"-"&amp;COUNTIFS(Tracker[Date],U288,Tracker[Result],"Push"),"")</f>
        <v>0-0</v>
      </c>
      <c r="W288" s="34" t="str">
        <f>IFERROR(COUNTIFS(Tracker[Date],U288,Tracker[Result],"W")/(COUNTIFS(Tracker[Date],U288,Tracker[Result],"W")+COUNTIFS(Tracker[Date],U288,Tracker[Result],"L")),"")</f>
        <v/>
      </c>
      <c r="X288" s="61">
        <f>SUMIF(Tracker[Date],U288,Tracker[Net])</f>
        <v>0</v>
      </c>
    </row>
    <row r="289" spans="1:24" x14ac:dyDescent="0.25">
      <c r="A289" s="36">
        <f t="shared" si="45"/>
        <v>30</v>
      </c>
      <c r="B289" s="25">
        <v>43860</v>
      </c>
      <c r="C289" s="25" t="str">
        <f t="shared" si="49"/>
        <v>NBA</v>
      </c>
      <c r="D289" s="26" t="s">
        <v>1332</v>
      </c>
      <c r="E289" s="28" t="s">
        <v>1333</v>
      </c>
      <c r="F289" s="67">
        <v>0.55263153262412978</v>
      </c>
      <c r="G289" s="29">
        <v>-110</v>
      </c>
      <c r="H289" s="50" t="s">
        <v>56</v>
      </c>
      <c r="I28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8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289" s="40" t="str">
        <f>MID(Tracker[[#This Row],[Game]],SEARCH("@",Tracker[[#This Row],[Game]])+2,LEN(Tracker[[#This Row],[Game]]))</f>
        <v>Hawks</v>
      </c>
      <c r="L289" s="40" t="str">
        <f>LEFT(Tracker[[#This Row],[Game]],SEARCH("@",Tracker[[#This Row],[Game]])-2)</f>
        <v>76ers</v>
      </c>
      <c r="M28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HD</v>
      </c>
      <c r="N289" s="123">
        <v>0.63349999999999995</v>
      </c>
      <c r="O289" s="147"/>
      <c r="P289" s="147"/>
      <c r="Q289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89" s="147" t="e">
        <f>IF(AND(Tracker[[#This Row],[Money %]]&lt;&gt;"",Tracker[[#This Row],[Bet %]]&lt;&gt;""),Tracker[[#This Row],[Money %]]-Tracker[[#This Row],[Bet %]],NA())</f>
        <v>#N/A</v>
      </c>
      <c r="S289" s="110"/>
      <c r="T289" s="110"/>
      <c r="U289" s="56">
        <f>IFERROR(INDEX($A$4:$B10285,MATCH(ROW()-3,$A$4:$A$4:$A1285,0),2),0)</f>
        <v>0</v>
      </c>
      <c r="V289" s="33" t="str">
        <f>COUNTIFS(Tracker[Date],U289,Tracker[Result],"W")&amp;"-"&amp;COUNTIFS(Tracker[Date],U289,Tracker[Result],"L")&amp;IF(COUNTIFS(Tracker[Date],U289,Tracker[Result],"Push")&gt;0,"-"&amp;COUNTIFS(Tracker[Date],U289,Tracker[Result],"Push"),"")</f>
        <v>0-0</v>
      </c>
      <c r="W289" s="34" t="str">
        <f>IFERROR(COUNTIFS(Tracker[Date],U289,Tracker[Result],"W")/(COUNTIFS(Tracker[Date],U289,Tracker[Result],"W")+COUNTIFS(Tracker[Date],U289,Tracker[Result],"L")),"")</f>
        <v/>
      </c>
      <c r="X289" s="61">
        <f>SUMIF(Tracker[Date],U289,Tracker[Net])</f>
        <v>0</v>
      </c>
    </row>
    <row r="290" spans="1:24" x14ac:dyDescent="0.25">
      <c r="A290" s="36">
        <f t="shared" si="45"/>
        <v>30</v>
      </c>
      <c r="B290" s="25">
        <v>43860</v>
      </c>
      <c r="C290" s="25" t="str">
        <f t="shared" si="49"/>
        <v>NBA</v>
      </c>
      <c r="D290" s="26" t="s">
        <v>1334</v>
      </c>
      <c r="E290" s="28" t="s">
        <v>1335</v>
      </c>
      <c r="F290" s="67">
        <v>0.61133335105892705</v>
      </c>
      <c r="G290" s="29">
        <v>-110</v>
      </c>
      <c r="H290" s="50" t="s">
        <v>56</v>
      </c>
      <c r="I29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9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290" s="40" t="str">
        <f>MID(Tracker[[#This Row],[Game]],SEARCH("@",Tracker[[#This Row],[Game]])+2,LEN(Tracker[[#This Row],[Game]]))</f>
        <v>Celtics</v>
      </c>
      <c r="L290" s="40" t="str">
        <f>LEFT(Tracker[[#This Row],[Game]],SEARCH("@",Tracker[[#This Row],[Game]])-2)</f>
        <v>Warriors</v>
      </c>
      <c r="M29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290" s="123">
        <v>0.52500000000000002</v>
      </c>
      <c r="O290" s="147"/>
      <c r="P290" s="147"/>
      <c r="Q290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90" s="147" t="e">
        <f>IF(AND(Tracker[[#This Row],[Money %]]&lt;&gt;"",Tracker[[#This Row],[Bet %]]&lt;&gt;""),Tracker[[#This Row],[Money %]]-Tracker[[#This Row],[Bet %]],NA())</f>
        <v>#N/A</v>
      </c>
      <c r="S290" s="110"/>
      <c r="T290" s="110"/>
      <c r="U290" s="56">
        <f>IFERROR(INDEX($A$4:$B10286,MATCH(ROW()-3,$A$4:$A$4:$A1286,0),2),0)</f>
        <v>0</v>
      </c>
      <c r="V290" s="33" t="str">
        <f>COUNTIFS(Tracker[Date],U290,Tracker[Result],"W")&amp;"-"&amp;COUNTIFS(Tracker[Date],U290,Tracker[Result],"L")&amp;IF(COUNTIFS(Tracker[Date],U290,Tracker[Result],"Push")&gt;0,"-"&amp;COUNTIFS(Tracker[Date],U290,Tracker[Result],"Push"),"")</f>
        <v>0-0</v>
      </c>
      <c r="W290" s="34" t="str">
        <f>IFERROR(COUNTIFS(Tracker[Date],U290,Tracker[Result],"W")/(COUNTIFS(Tracker[Date],U290,Tracker[Result],"W")+COUNTIFS(Tracker[Date],U290,Tracker[Result],"L")),"")</f>
        <v/>
      </c>
      <c r="X290" s="61">
        <f>SUMIF(Tracker[Date],U290,Tracker[Net])</f>
        <v>0</v>
      </c>
    </row>
    <row r="291" spans="1:24" x14ac:dyDescent="0.25">
      <c r="A291" s="36">
        <f t="shared" si="45"/>
        <v>30</v>
      </c>
      <c r="B291" s="25">
        <v>43860</v>
      </c>
      <c r="C291" s="25" t="str">
        <f t="shared" si="49"/>
        <v>NBA</v>
      </c>
      <c r="D291" s="26" t="s">
        <v>1336</v>
      </c>
      <c r="E291" s="28" t="s">
        <v>1337</v>
      </c>
      <c r="F291" s="67">
        <v>0.6061127303436753</v>
      </c>
      <c r="G291" s="29">
        <v>-110</v>
      </c>
      <c r="H291" s="50" t="s">
        <v>56</v>
      </c>
      <c r="I29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9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291" s="40" t="str">
        <f>MID(Tracker[[#This Row],[Game]],SEARCH("@",Tracker[[#This Row],[Game]])+2,LEN(Tracker[[#This Row],[Game]]))</f>
        <v>Nuggets</v>
      </c>
      <c r="L291" s="40" t="str">
        <f>LEFT(Tracker[[#This Row],[Game]],SEARCH("@",Tracker[[#This Row],[Game]])-2)</f>
        <v>Jazz</v>
      </c>
      <c r="M29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291" s="123">
        <v>0.51600000000000001</v>
      </c>
      <c r="O291" s="147"/>
      <c r="P291" s="147"/>
      <c r="Q291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91" s="147" t="e">
        <f>IF(AND(Tracker[[#This Row],[Money %]]&lt;&gt;"",Tracker[[#This Row],[Bet %]]&lt;&gt;""),Tracker[[#This Row],[Money %]]-Tracker[[#This Row],[Bet %]],NA())</f>
        <v>#N/A</v>
      </c>
      <c r="S291" s="110"/>
      <c r="T291" s="110"/>
      <c r="U291" s="56">
        <f>IFERROR(INDEX($A$4:$B10287,MATCH(ROW()-3,$A$4:$A$4:$A1287,0),2),0)</f>
        <v>0</v>
      </c>
      <c r="V291" s="33" t="str">
        <f>COUNTIFS(Tracker[Date],U291,Tracker[Result],"W")&amp;"-"&amp;COUNTIFS(Tracker[Date],U291,Tracker[Result],"L")&amp;IF(COUNTIFS(Tracker[Date],U291,Tracker[Result],"Push")&gt;0,"-"&amp;COUNTIFS(Tracker[Date],U291,Tracker[Result],"Push"),"")</f>
        <v>0-0</v>
      </c>
      <c r="W291" s="34" t="str">
        <f>IFERROR(COUNTIFS(Tracker[Date],U291,Tracker[Result],"W")/(COUNTIFS(Tracker[Date],U291,Tracker[Result],"W")+COUNTIFS(Tracker[Date],U291,Tracker[Result],"L")),"")</f>
        <v/>
      </c>
      <c r="X291" s="61">
        <f>SUMIF(Tracker[Date],U291,Tracker[Net])</f>
        <v>0</v>
      </c>
    </row>
    <row r="292" spans="1:24" x14ac:dyDescent="0.25">
      <c r="A292" s="36">
        <f t="shared" si="45"/>
        <v>30</v>
      </c>
      <c r="B292" s="25">
        <v>43860</v>
      </c>
      <c r="C292" s="25" t="str">
        <f t="shared" si="49"/>
        <v>NBA</v>
      </c>
      <c r="D292" s="26" t="s">
        <v>1336</v>
      </c>
      <c r="E292" s="28" t="s">
        <v>1338</v>
      </c>
      <c r="F292" s="67">
        <v>0.60709745744442523</v>
      </c>
      <c r="G292" s="29">
        <v>-110</v>
      </c>
      <c r="H292" s="50" t="s">
        <v>57</v>
      </c>
      <c r="I29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9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292" s="40" t="str">
        <f>MID(Tracker[[#This Row],[Game]],SEARCH("@",Tracker[[#This Row],[Game]])+2,LEN(Tracker[[#This Row],[Game]]))</f>
        <v>Nuggets</v>
      </c>
      <c r="L292" s="40" t="str">
        <f>LEFT(Tracker[[#This Row],[Game]],SEARCH("@",Tracker[[#This Row],[Game]])-2)</f>
        <v>Jazz</v>
      </c>
      <c r="M29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292" s="123">
        <v>0.45850000000000002</v>
      </c>
      <c r="O292" s="147"/>
      <c r="P292" s="147"/>
      <c r="Q292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92" s="147" t="e">
        <f>IF(AND(Tracker[[#This Row],[Money %]]&lt;&gt;"",Tracker[[#This Row],[Bet %]]&lt;&gt;""),Tracker[[#This Row],[Money %]]-Tracker[[#This Row],[Bet %]],NA())</f>
        <v>#N/A</v>
      </c>
      <c r="S292" s="110"/>
      <c r="T292" s="110"/>
      <c r="U292" s="56">
        <f>IFERROR(INDEX($A$4:$B10288,MATCH(ROW()-3,$A$4:$A$4:$A1288,0),2),0)</f>
        <v>0</v>
      </c>
      <c r="V292" s="33" t="str">
        <f>COUNTIFS(Tracker[Date],U292,Tracker[Result],"W")&amp;"-"&amp;COUNTIFS(Tracker[Date],U292,Tracker[Result],"L")&amp;IF(COUNTIFS(Tracker[Date],U292,Tracker[Result],"Push")&gt;0,"-"&amp;COUNTIFS(Tracker[Date],U292,Tracker[Result],"Push"),"")</f>
        <v>0-0</v>
      </c>
      <c r="W292" s="34" t="str">
        <f>IFERROR(COUNTIFS(Tracker[Date],U292,Tracker[Result],"W")/(COUNTIFS(Tracker[Date],U292,Tracker[Result],"W")+COUNTIFS(Tracker[Date],U292,Tracker[Result],"L")),"")</f>
        <v/>
      </c>
      <c r="X292" s="61">
        <f>SUMIF(Tracker[Date],U292,Tracker[Net])</f>
        <v>0</v>
      </c>
    </row>
    <row r="293" spans="1:24" x14ac:dyDescent="0.25">
      <c r="A293" s="36">
        <f t="shared" si="45"/>
        <v>30</v>
      </c>
      <c r="B293" s="25">
        <v>43860</v>
      </c>
      <c r="C293" s="25" t="str">
        <f t="shared" si="49"/>
        <v>NBA</v>
      </c>
      <c r="D293" s="26" t="s">
        <v>1339</v>
      </c>
      <c r="E293" s="28" t="s">
        <v>1340</v>
      </c>
      <c r="F293" s="74">
        <v>0.79054817511876374</v>
      </c>
      <c r="G293" s="29">
        <v>-110</v>
      </c>
      <c r="H293" s="50" t="s">
        <v>57</v>
      </c>
      <c r="I29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9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293" s="40" t="str">
        <f>MID(Tracker[[#This Row],[Game]],SEARCH("@",Tracker[[#This Row],[Game]])+2,LEN(Tracker[[#This Row],[Game]]))</f>
        <v>Clippers</v>
      </c>
      <c r="L293" s="40" t="str">
        <f>LEFT(Tracker[[#This Row],[Game]],SEARCH("@",Tracker[[#This Row],[Game]])-2)</f>
        <v>Kings</v>
      </c>
      <c r="M29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293" s="123">
        <v>0.46949999999999997</v>
      </c>
      <c r="O293" s="147"/>
      <c r="P293" s="147"/>
      <c r="Q293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93" s="147" t="e">
        <f>IF(AND(Tracker[[#This Row],[Money %]]&lt;&gt;"",Tracker[[#This Row],[Bet %]]&lt;&gt;""),Tracker[[#This Row],[Money %]]-Tracker[[#This Row],[Bet %]],NA())</f>
        <v>#N/A</v>
      </c>
      <c r="S293" s="110"/>
      <c r="T293" s="110"/>
      <c r="U293" s="56">
        <f>IFERROR(INDEX($A$4:$B10289,MATCH(ROW()-3,$A$4:$A$4:$A1289,0),2),0)</f>
        <v>0</v>
      </c>
      <c r="V293" s="33" t="str">
        <f>COUNTIFS(Tracker[Date],U293,Tracker[Result],"W")&amp;"-"&amp;COUNTIFS(Tracker[Date],U293,Tracker[Result],"L")&amp;IF(COUNTIFS(Tracker[Date],U293,Tracker[Result],"Push")&gt;0,"-"&amp;COUNTIFS(Tracker[Date],U293,Tracker[Result],"Push"),"")</f>
        <v>0-0</v>
      </c>
      <c r="W293" s="34" t="str">
        <f>IFERROR(COUNTIFS(Tracker[Date],U293,Tracker[Result],"W")/(COUNTIFS(Tracker[Date],U293,Tracker[Result],"W")+COUNTIFS(Tracker[Date],U293,Tracker[Result],"L")),"")</f>
        <v/>
      </c>
      <c r="X293" s="61">
        <f>SUMIF(Tracker[Date],U293,Tracker[Net])</f>
        <v>0</v>
      </c>
    </row>
    <row r="294" spans="1:24" x14ac:dyDescent="0.25">
      <c r="A294" s="36">
        <f t="shared" si="45"/>
        <v>30</v>
      </c>
      <c r="B294" s="25">
        <v>43860</v>
      </c>
      <c r="C294" s="25" t="str">
        <f t="shared" si="49"/>
        <v>NBA</v>
      </c>
      <c r="D294" s="26" t="s">
        <v>1339</v>
      </c>
      <c r="E294" s="28" t="s">
        <v>789</v>
      </c>
      <c r="F294" s="74">
        <v>0.78013605869876845</v>
      </c>
      <c r="G294" s="29">
        <v>-110</v>
      </c>
      <c r="H294" s="50" t="s">
        <v>57</v>
      </c>
      <c r="I29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9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294" s="40" t="str">
        <f>MID(Tracker[[#This Row],[Game]],SEARCH("@",Tracker[[#This Row],[Game]])+2,LEN(Tracker[[#This Row],[Game]]))</f>
        <v>Clippers</v>
      </c>
      <c r="L294" s="40" t="str">
        <f>LEFT(Tracker[[#This Row],[Game]],SEARCH("@",Tracker[[#This Row],[Game]])-2)</f>
        <v>Kings</v>
      </c>
      <c r="M29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294" s="123">
        <v>0.49</v>
      </c>
      <c r="O294" s="147"/>
      <c r="P294" s="147"/>
      <c r="Q29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94" s="147" t="e">
        <f>IF(AND(Tracker[[#This Row],[Money %]]&lt;&gt;"",Tracker[[#This Row],[Bet %]]&lt;&gt;""),Tracker[[#This Row],[Money %]]-Tracker[[#This Row],[Bet %]],NA())</f>
        <v>#N/A</v>
      </c>
      <c r="S294" s="110"/>
      <c r="T294" s="110"/>
      <c r="U294" s="56">
        <f>IFERROR(INDEX($A$4:$B10290,MATCH(ROW()-3,$A$4:$A$4:$A1290,0),2),0)</f>
        <v>0</v>
      </c>
      <c r="V294" s="33" t="str">
        <f>COUNTIFS(Tracker[Date],U294,Tracker[Result],"W")&amp;"-"&amp;COUNTIFS(Tracker[Date],U294,Tracker[Result],"L")&amp;IF(COUNTIFS(Tracker[Date],U294,Tracker[Result],"Push")&gt;0,"-"&amp;COUNTIFS(Tracker[Date],U294,Tracker[Result],"Push"),"")</f>
        <v>0-0</v>
      </c>
      <c r="W294" s="34" t="str">
        <f>IFERROR(COUNTIFS(Tracker[Date],U294,Tracker[Result],"W")/(COUNTIFS(Tracker[Date],U294,Tracker[Result],"W")+COUNTIFS(Tracker[Date],U294,Tracker[Result],"L")),"")</f>
        <v/>
      </c>
      <c r="X294" s="61">
        <f>SUMIF(Tracker[Date],U294,Tracker[Net])</f>
        <v>0</v>
      </c>
    </row>
    <row r="295" spans="1:24" x14ac:dyDescent="0.25">
      <c r="A295" s="36">
        <f t="shared" si="45"/>
        <v>31</v>
      </c>
      <c r="B295" s="25">
        <v>43861</v>
      </c>
      <c r="C295" s="25" t="str">
        <f t="shared" ref="C295:C308" si="50">"NBA"</f>
        <v>NBA</v>
      </c>
      <c r="D295" s="26" t="s">
        <v>935</v>
      </c>
      <c r="E295" s="28" t="s">
        <v>1345</v>
      </c>
      <c r="F295" s="74">
        <v>0.7694803492553568</v>
      </c>
      <c r="G295" s="29">
        <v>-110</v>
      </c>
      <c r="H295" s="50" t="s">
        <v>56</v>
      </c>
      <c r="I29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9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295" s="40" t="str">
        <f>MID(Tracker[[#This Row],[Game]],SEARCH("@",Tracker[[#This Row],[Game]])+2,LEN(Tracker[[#This Row],[Game]]))</f>
        <v>Pistons</v>
      </c>
      <c r="L295" s="40" t="str">
        <f>LEFT(Tracker[[#This Row],[Game]],SEARCH("@",Tracker[[#This Row],[Game]])-2)</f>
        <v>Raptors</v>
      </c>
      <c r="M29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295" s="123">
        <v>0.56800000000000006</v>
      </c>
      <c r="O295" s="147"/>
      <c r="P295" s="147"/>
      <c r="Q29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95" s="147" t="e">
        <f>IF(AND(Tracker[[#This Row],[Money %]]&lt;&gt;"",Tracker[[#This Row],[Bet %]]&lt;&gt;""),Tracker[[#This Row],[Money %]]-Tracker[[#This Row],[Bet %]],NA())</f>
        <v>#N/A</v>
      </c>
      <c r="S295" s="110"/>
      <c r="T295" s="110"/>
      <c r="U295" s="56">
        <f>IFERROR(INDEX($A$4:$B10291,MATCH(ROW()-3,$A$4:$A$4:$A1291,0),2),0)</f>
        <v>0</v>
      </c>
      <c r="V295" s="33" t="str">
        <f>COUNTIFS(Tracker[Date],U295,Tracker[Result],"W")&amp;"-"&amp;COUNTIFS(Tracker[Date],U295,Tracker[Result],"L")&amp;IF(COUNTIFS(Tracker[Date],U295,Tracker[Result],"Push")&gt;0,"-"&amp;COUNTIFS(Tracker[Date],U295,Tracker[Result],"Push"),"")</f>
        <v>0-0</v>
      </c>
      <c r="W295" s="34" t="str">
        <f>IFERROR(COUNTIFS(Tracker[Date],U295,Tracker[Result],"W")/(COUNTIFS(Tracker[Date],U295,Tracker[Result],"W")+COUNTIFS(Tracker[Date],U295,Tracker[Result],"L")),"")</f>
        <v/>
      </c>
      <c r="X295" s="61">
        <f>SUMIF(Tracker[Date],U295,Tracker[Net])</f>
        <v>0</v>
      </c>
    </row>
    <row r="296" spans="1:24" x14ac:dyDescent="0.25">
      <c r="A296" s="36">
        <f t="shared" si="45"/>
        <v>31</v>
      </c>
      <c r="B296" s="25">
        <v>43861</v>
      </c>
      <c r="C296" s="25" t="str">
        <f t="shared" si="50"/>
        <v>NBA</v>
      </c>
      <c r="D296" s="26" t="s">
        <v>935</v>
      </c>
      <c r="E296" s="28" t="s">
        <v>1116</v>
      </c>
      <c r="F296" s="74">
        <v>0.59354140550990664</v>
      </c>
      <c r="G296" s="29">
        <v>-110</v>
      </c>
      <c r="H296" s="50" t="s">
        <v>57</v>
      </c>
      <c r="I29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9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296" s="40" t="str">
        <f>MID(Tracker[[#This Row],[Game]],SEARCH("@",Tracker[[#This Row],[Game]])+2,LEN(Tracker[[#This Row],[Game]]))</f>
        <v>Pistons</v>
      </c>
      <c r="L296" s="40" t="str">
        <f>LEFT(Tracker[[#This Row],[Game]],SEARCH("@",Tracker[[#This Row],[Game]])-2)</f>
        <v>Raptors</v>
      </c>
      <c r="M29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296" s="123">
        <v>0.61499999999999999</v>
      </c>
      <c r="O296" s="147"/>
      <c r="P296" s="147"/>
      <c r="Q296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96" s="147" t="e">
        <f>IF(AND(Tracker[[#This Row],[Money %]]&lt;&gt;"",Tracker[[#This Row],[Bet %]]&lt;&gt;""),Tracker[[#This Row],[Money %]]-Tracker[[#This Row],[Bet %]],NA())</f>
        <v>#N/A</v>
      </c>
      <c r="S296" s="110"/>
      <c r="T296" s="110"/>
      <c r="U296" s="56">
        <f>IFERROR(INDEX($A$4:$B10292,MATCH(ROW()-3,$A$4:$A$4:$A1292,0),2),0)</f>
        <v>0</v>
      </c>
      <c r="V296" s="33" t="str">
        <f>COUNTIFS(Tracker[Date],U296,Tracker[Result],"W")&amp;"-"&amp;COUNTIFS(Tracker[Date],U296,Tracker[Result],"L")&amp;IF(COUNTIFS(Tracker[Date],U296,Tracker[Result],"Push")&gt;0,"-"&amp;COUNTIFS(Tracker[Date],U296,Tracker[Result],"Push"),"")</f>
        <v>0-0</v>
      </c>
      <c r="W296" s="34" t="str">
        <f>IFERROR(COUNTIFS(Tracker[Date],U296,Tracker[Result],"W")/(COUNTIFS(Tracker[Date],U296,Tracker[Result],"W")+COUNTIFS(Tracker[Date],U296,Tracker[Result],"L")),"")</f>
        <v/>
      </c>
      <c r="X296" s="61">
        <f>SUMIF(Tracker[Date],U296,Tracker[Net])</f>
        <v>0</v>
      </c>
    </row>
    <row r="297" spans="1:24" x14ac:dyDescent="0.25">
      <c r="A297" s="36">
        <f t="shared" si="45"/>
        <v>31</v>
      </c>
      <c r="B297" s="25">
        <v>43861</v>
      </c>
      <c r="C297" s="25" t="str">
        <f t="shared" si="50"/>
        <v>NBA</v>
      </c>
      <c r="D297" s="26" t="s">
        <v>1346</v>
      </c>
      <c r="E297" s="28" t="s">
        <v>1347</v>
      </c>
      <c r="F297" s="74">
        <v>0.7666569654399582</v>
      </c>
      <c r="G297" s="29">
        <v>-110</v>
      </c>
      <c r="H297" s="50" t="s">
        <v>57</v>
      </c>
      <c r="I29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9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297" s="40" t="str">
        <f>MID(Tracker[[#This Row],[Game]],SEARCH("@",Tracker[[#This Row],[Game]])+2,LEN(Tracker[[#This Row],[Game]]))</f>
        <v>Nets</v>
      </c>
      <c r="L297" s="40" t="str">
        <f>LEFT(Tracker[[#This Row],[Game]],SEARCH("@",Tracker[[#This Row],[Game]])-2)</f>
        <v>Bulls</v>
      </c>
      <c r="M29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297" s="123">
        <v>0.59799999999999998</v>
      </c>
      <c r="O297" s="147"/>
      <c r="P297" s="147"/>
      <c r="Q297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97" s="147" t="e">
        <f>IF(AND(Tracker[[#This Row],[Money %]]&lt;&gt;"",Tracker[[#This Row],[Bet %]]&lt;&gt;""),Tracker[[#This Row],[Money %]]-Tracker[[#This Row],[Bet %]],NA())</f>
        <v>#N/A</v>
      </c>
      <c r="S297" s="110"/>
      <c r="T297" s="110"/>
      <c r="U297" s="56">
        <f>IFERROR(INDEX($A$4:$B10293,MATCH(ROW()-3,$A$4:$A$4:$A1293,0),2),0)</f>
        <v>0</v>
      </c>
      <c r="V297" s="33" t="str">
        <f>COUNTIFS(Tracker[Date],U297,Tracker[Result],"W")&amp;"-"&amp;COUNTIFS(Tracker[Date],U297,Tracker[Result],"L")&amp;IF(COUNTIFS(Tracker[Date],U297,Tracker[Result],"Push")&gt;0,"-"&amp;COUNTIFS(Tracker[Date],U297,Tracker[Result],"Push"),"")</f>
        <v>0-0</v>
      </c>
      <c r="W297" s="34" t="str">
        <f>IFERROR(COUNTIFS(Tracker[Date],U297,Tracker[Result],"W")/(COUNTIFS(Tracker[Date],U297,Tracker[Result],"W")+COUNTIFS(Tracker[Date],U297,Tracker[Result],"L")),"")</f>
        <v/>
      </c>
      <c r="X297" s="61">
        <f>SUMIF(Tracker[Date],U297,Tracker[Net])</f>
        <v>0</v>
      </c>
    </row>
    <row r="298" spans="1:24" x14ac:dyDescent="0.25">
      <c r="A298" s="36">
        <f t="shared" si="45"/>
        <v>31</v>
      </c>
      <c r="B298" s="25">
        <v>43861</v>
      </c>
      <c r="C298" s="25" t="str">
        <f t="shared" si="50"/>
        <v>NBA</v>
      </c>
      <c r="D298" s="26" t="s">
        <v>1346</v>
      </c>
      <c r="E298" s="28" t="s">
        <v>1348</v>
      </c>
      <c r="F298" s="74">
        <v>0.55195344997585238</v>
      </c>
      <c r="G298" s="29">
        <v>-110</v>
      </c>
      <c r="H298" s="50" t="s">
        <v>57</v>
      </c>
      <c r="I29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29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298" s="40" t="str">
        <f>MID(Tracker[[#This Row],[Game]],SEARCH("@",Tracker[[#This Row],[Game]])+2,LEN(Tracker[[#This Row],[Game]]))</f>
        <v>Nets</v>
      </c>
      <c r="L298" s="40" t="str">
        <f>LEFT(Tracker[[#This Row],[Game]],SEARCH("@",Tracker[[#This Row],[Game]])-2)</f>
        <v>Bulls</v>
      </c>
      <c r="M29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298" s="123">
        <v>0.48899999999999999</v>
      </c>
      <c r="O298" s="147"/>
      <c r="P298" s="147"/>
      <c r="Q298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98" s="147" t="e">
        <f>IF(AND(Tracker[[#This Row],[Money %]]&lt;&gt;"",Tracker[[#This Row],[Bet %]]&lt;&gt;""),Tracker[[#This Row],[Money %]]-Tracker[[#This Row],[Bet %]],NA())</f>
        <v>#N/A</v>
      </c>
      <c r="S298" s="110"/>
      <c r="T298" s="110"/>
      <c r="U298" s="56">
        <f>IFERROR(INDEX($A$4:$B10294,MATCH(ROW()-3,$A$4:$A$4:$A1294,0),2),0)</f>
        <v>0</v>
      </c>
      <c r="V298" s="33" t="str">
        <f>COUNTIFS(Tracker[Date],U298,Tracker[Result],"W")&amp;"-"&amp;COUNTIFS(Tracker[Date],U298,Tracker[Result],"L")&amp;IF(COUNTIFS(Tracker[Date],U298,Tracker[Result],"Push")&gt;0,"-"&amp;COUNTIFS(Tracker[Date],U298,Tracker[Result],"Push"),"")</f>
        <v>0-0</v>
      </c>
      <c r="W298" s="34" t="str">
        <f>IFERROR(COUNTIFS(Tracker[Date],U298,Tracker[Result],"W")/(COUNTIFS(Tracker[Date],U298,Tracker[Result],"W")+COUNTIFS(Tracker[Date],U298,Tracker[Result],"L")),"")</f>
        <v/>
      </c>
      <c r="X298" s="61">
        <f>SUMIF(Tracker[Date],U298,Tracker[Net])</f>
        <v>0</v>
      </c>
    </row>
    <row r="299" spans="1:24" x14ac:dyDescent="0.25">
      <c r="A299" s="36">
        <f t="shared" si="45"/>
        <v>31</v>
      </c>
      <c r="B299" s="25">
        <v>43861</v>
      </c>
      <c r="C299" s="25" t="str">
        <f t="shared" si="50"/>
        <v>NBA</v>
      </c>
      <c r="D299" s="26" t="s">
        <v>1349</v>
      </c>
      <c r="E299" s="28" t="s">
        <v>1350</v>
      </c>
      <c r="F299" s="74">
        <v>0.64548670067849534</v>
      </c>
      <c r="G299" s="29">
        <v>-110</v>
      </c>
      <c r="H299" s="50" t="s">
        <v>56</v>
      </c>
      <c r="I29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29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299" s="40" t="str">
        <f>MID(Tracker[[#This Row],[Game]],SEARCH("@",Tracker[[#This Row],[Game]])+2,LEN(Tracker[[#This Row],[Game]]))</f>
        <v>Rockets</v>
      </c>
      <c r="L299" s="40" t="str">
        <f>LEFT(Tracker[[#This Row],[Game]],SEARCH("@",Tracker[[#This Row],[Game]])-2)</f>
        <v>Mavericks</v>
      </c>
      <c r="M29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299" s="123">
        <v>0.58350000000000002</v>
      </c>
      <c r="O299" s="147"/>
      <c r="P299" s="147"/>
      <c r="Q299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299" s="147" t="e">
        <f>IF(AND(Tracker[[#This Row],[Money %]]&lt;&gt;"",Tracker[[#This Row],[Bet %]]&lt;&gt;""),Tracker[[#This Row],[Money %]]-Tracker[[#This Row],[Bet %]],NA())</f>
        <v>#N/A</v>
      </c>
      <c r="S299" s="110"/>
      <c r="T299" s="110"/>
      <c r="U299" s="56">
        <f>IFERROR(INDEX($A$4:$B10295,MATCH(ROW()-3,$A$4:$A$4:$A1295,0),2),0)</f>
        <v>0</v>
      </c>
      <c r="V299" s="33" t="str">
        <f>COUNTIFS(Tracker[Date],U299,Tracker[Result],"W")&amp;"-"&amp;COUNTIFS(Tracker[Date],U299,Tracker[Result],"L")&amp;IF(COUNTIFS(Tracker[Date],U299,Tracker[Result],"Push")&gt;0,"-"&amp;COUNTIFS(Tracker[Date],U299,Tracker[Result],"Push"),"")</f>
        <v>0-0</v>
      </c>
      <c r="W299" s="34" t="str">
        <f>IFERROR(COUNTIFS(Tracker[Date],U299,Tracker[Result],"W")/(COUNTIFS(Tracker[Date],U299,Tracker[Result],"W")+COUNTIFS(Tracker[Date],U299,Tracker[Result],"L")),"")</f>
        <v/>
      </c>
      <c r="X299" s="61">
        <f>SUMIF(Tracker[Date],U299,Tracker[Net])</f>
        <v>0</v>
      </c>
    </row>
    <row r="300" spans="1:24" x14ac:dyDescent="0.25">
      <c r="A300" s="36">
        <f t="shared" si="45"/>
        <v>31</v>
      </c>
      <c r="B300" s="25">
        <v>43861</v>
      </c>
      <c r="C300" s="25" t="str">
        <f t="shared" si="50"/>
        <v>NBA</v>
      </c>
      <c r="D300" s="26" t="s">
        <v>1349</v>
      </c>
      <c r="E300" s="28" t="s">
        <v>1351</v>
      </c>
      <c r="F300" s="74">
        <v>0.65671317786012906</v>
      </c>
      <c r="G300" s="29">
        <v>-110</v>
      </c>
      <c r="H300" s="50" t="s">
        <v>56</v>
      </c>
      <c r="I30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0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300" s="40" t="str">
        <f>MID(Tracker[[#This Row],[Game]],SEARCH("@",Tracker[[#This Row],[Game]])+2,LEN(Tracker[[#This Row],[Game]]))</f>
        <v>Rockets</v>
      </c>
      <c r="L300" s="40" t="str">
        <f>LEFT(Tracker[[#This Row],[Game]],SEARCH("@",Tracker[[#This Row],[Game]])-2)</f>
        <v>Mavericks</v>
      </c>
      <c r="M30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300" s="123">
        <v>0.51300000000000001</v>
      </c>
      <c r="O300" s="147"/>
      <c r="P300" s="147"/>
      <c r="Q300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00" s="147" t="e">
        <f>IF(AND(Tracker[[#This Row],[Money %]]&lt;&gt;"",Tracker[[#This Row],[Bet %]]&lt;&gt;""),Tracker[[#This Row],[Money %]]-Tracker[[#This Row],[Bet %]],NA())</f>
        <v>#N/A</v>
      </c>
      <c r="S300" s="110"/>
      <c r="T300" s="110"/>
      <c r="U300" s="56">
        <f>IFERROR(INDEX($A$4:$B10296,MATCH(ROW()-3,$A$4:$A$4:$A1296,0),2),0)</f>
        <v>0</v>
      </c>
      <c r="V300" s="33" t="str">
        <f>COUNTIFS(Tracker[Date],U300,Tracker[Result],"W")&amp;"-"&amp;COUNTIFS(Tracker[Date],U300,Tracker[Result],"L")&amp;IF(COUNTIFS(Tracker[Date],U300,Tracker[Result],"Push")&gt;0,"-"&amp;COUNTIFS(Tracker[Date],U300,Tracker[Result],"Push"),"")</f>
        <v>0-0</v>
      </c>
      <c r="W300" s="34" t="str">
        <f>IFERROR(COUNTIFS(Tracker[Date],U300,Tracker[Result],"W")/(COUNTIFS(Tracker[Date],U300,Tracker[Result],"W")+COUNTIFS(Tracker[Date],U300,Tracker[Result],"L")),"")</f>
        <v/>
      </c>
      <c r="X300" s="61">
        <f>SUMIF(Tracker[Date],U300,Tracker[Net])</f>
        <v>0</v>
      </c>
    </row>
    <row r="301" spans="1:24" x14ac:dyDescent="0.25">
      <c r="A301" s="36">
        <f t="shared" si="45"/>
        <v>31</v>
      </c>
      <c r="B301" s="25">
        <v>43861</v>
      </c>
      <c r="C301" s="25" t="str">
        <f t="shared" si="50"/>
        <v>NBA</v>
      </c>
      <c r="D301" s="26" t="s">
        <v>1352</v>
      </c>
      <c r="E301" s="28" t="s">
        <v>1353</v>
      </c>
      <c r="F301" s="74">
        <v>0.77534625430019755</v>
      </c>
      <c r="G301" s="29">
        <v>-110</v>
      </c>
      <c r="H301" s="50" t="s">
        <v>57</v>
      </c>
      <c r="I30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0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301" s="40" t="str">
        <f>MID(Tracker[[#This Row],[Game]],SEARCH("@",Tracker[[#This Row],[Game]])+2,LEN(Tracker[[#This Row],[Game]]))</f>
        <v>Pelicans</v>
      </c>
      <c r="L301" s="40" t="str">
        <f>LEFT(Tracker[[#This Row],[Game]],SEARCH("@",Tracker[[#This Row],[Game]])-2)</f>
        <v>Grizzlies</v>
      </c>
      <c r="M30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301" s="123">
        <v>0.55000000000000004</v>
      </c>
      <c r="O301" s="147"/>
      <c r="P301" s="147"/>
      <c r="Q301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01" s="147" t="e">
        <f>IF(AND(Tracker[[#This Row],[Money %]]&lt;&gt;"",Tracker[[#This Row],[Bet %]]&lt;&gt;""),Tracker[[#This Row],[Money %]]-Tracker[[#This Row],[Bet %]],NA())</f>
        <v>#N/A</v>
      </c>
      <c r="S301" s="110"/>
      <c r="T301" s="110"/>
      <c r="U301" s="56">
        <f>IFERROR(INDEX($A$4:$B10297,MATCH(ROW()-3,$A$4:$A$4:$A1297,0),2),0)</f>
        <v>0</v>
      </c>
      <c r="V301" s="33" t="str">
        <f>COUNTIFS(Tracker[Date],U301,Tracker[Result],"W")&amp;"-"&amp;COUNTIFS(Tracker[Date],U301,Tracker[Result],"L")&amp;IF(COUNTIFS(Tracker[Date],U301,Tracker[Result],"Push")&gt;0,"-"&amp;COUNTIFS(Tracker[Date],U301,Tracker[Result],"Push"),"")</f>
        <v>0-0</v>
      </c>
      <c r="W301" s="34" t="str">
        <f>IFERROR(COUNTIFS(Tracker[Date],U301,Tracker[Result],"W")/(COUNTIFS(Tracker[Date],U301,Tracker[Result],"W")+COUNTIFS(Tracker[Date],U301,Tracker[Result],"L")),"")</f>
        <v/>
      </c>
      <c r="X301" s="61">
        <f>SUMIF(Tracker[Date],U301,Tracker[Net])</f>
        <v>0</v>
      </c>
    </row>
    <row r="302" spans="1:24" x14ac:dyDescent="0.25">
      <c r="A302" s="36">
        <f t="shared" si="45"/>
        <v>31</v>
      </c>
      <c r="B302" s="25">
        <v>43861</v>
      </c>
      <c r="C302" s="25" t="str">
        <f t="shared" si="50"/>
        <v>NBA</v>
      </c>
      <c r="D302" s="26" t="s">
        <v>1352</v>
      </c>
      <c r="E302" s="28" t="s">
        <v>1354</v>
      </c>
      <c r="F302" s="74">
        <v>0.64659647136185083</v>
      </c>
      <c r="G302" s="29">
        <v>-110</v>
      </c>
      <c r="H302" s="50" t="s">
        <v>56</v>
      </c>
      <c r="I30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0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302" s="40" t="str">
        <f>MID(Tracker[[#This Row],[Game]],SEARCH("@",Tracker[[#This Row],[Game]])+2,LEN(Tracker[[#This Row],[Game]]))</f>
        <v>Pelicans</v>
      </c>
      <c r="L302" s="40" t="str">
        <f>LEFT(Tracker[[#This Row],[Game]],SEARCH("@",Tracker[[#This Row],[Game]])-2)</f>
        <v>Grizzlies</v>
      </c>
      <c r="M30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302" s="123">
        <v>0.50900000000000001</v>
      </c>
      <c r="O302" s="147"/>
      <c r="P302" s="147"/>
      <c r="Q302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02" s="147" t="e">
        <f>IF(AND(Tracker[[#This Row],[Money %]]&lt;&gt;"",Tracker[[#This Row],[Bet %]]&lt;&gt;""),Tracker[[#This Row],[Money %]]-Tracker[[#This Row],[Bet %]],NA())</f>
        <v>#N/A</v>
      </c>
      <c r="S302" s="110"/>
      <c r="T302" s="110"/>
      <c r="U302" s="56">
        <f>IFERROR(INDEX($A$4:$B10298,MATCH(ROW()-3,$A$4:$A$4:$A1298,0),2),0)</f>
        <v>0</v>
      </c>
      <c r="V302" s="33" t="str">
        <f>COUNTIFS(Tracker[Date],U302,Tracker[Result],"W")&amp;"-"&amp;COUNTIFS(Tracker[Date],U302,Tracker[Result],"L")&amp;IF(COUNTIFS(Tracker[Date],U302,Tracker[Result],"Push")&gt;0,"-"&amp;COUNTIFS(Tracker[Date],U302,Tracker[Result],"Push"),"")</f>
        <v>0-0</v>
      </c>
      <c r="W302" s="34" t="str">
        <f>IFERROR(COUNTIFS(Tracker[Date],U302,Tracker[Result],"W")/(COUNTIFS(Tracker[Date],U302,Tracker[Result],"W")+COUNTIFS(Tracker[Date],U302,Tracker[Result],"L")),"")</f>
        <v/>
      </c>
      <c r="X302" s="61">
        <f>SUMIF(Tracker[Date],U302,Tracker[Net])</f>
        <v>0</v>
      </c>
    </row>
    <row r="303" spans="1:24" x14ac:dyDescent="0.25">
      <c r="A303" s="36">
        <f t="shared" si="45"/>
        <v>31</v>
      </c>
      <c r="B303" s="25">
        <v>43861</v>
      </c>
      <c r="C303" s="25" t="str">
        <f t="shared" si="50"/>
        <v>NBA</v>
      </c>
      <c r="D303" s="26" t="s">
        <v>1355</v>
      </c>
      <c r="E303" s="28" t="s">
        <v>1356</v>
      </c>
      <c r="F303" s="74">
        <v>0.73596432033293036</v>
      </c>
      <c r="G303" s="29">
        <v>-110</v>
      </c>
      <c r="H303" s="50" t="s">
        <v>56</v>
      </c>
      <c r="I30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0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303" s="40" t="str">
        <f>MID(Tracker[[#This Row],[Game]],SEARCH("@",Tracker[[#This Row],[Game]])+2,LEN(Tracker[[#This Row],[Game]]))</f>
        <v>Bucks</v>
      </c>
      <c r="L303" s="40" t="str">
        <f>LEFT(Tracker[[#This Row],[Game]],SEARCH("@",Tracker[[#This Row],[Game]])-2)</f>
        <v>Nuggets</v>
      </c>
      <c r="M30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303" s="123">
        <v>0.47899999999999998</v>
      </c>
      <c r="O303" s="147"/>
      <c r="P303" s="147"/>
      <c r="Q303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03" s="147" t="e">
        <f>IF(AND(Tracker[[#This Row],[Money %]]&lt;&gt;"",Tracker[[#This Row],[Bet %]]&lt;&gt;""),Tracker[[#This Row],[Money %]]-Tracker[[#This Row],[Bet %]],NA())</f>
        <v>#N/A</v>
      </c>
      <c r="S303" s="110"/>
      <c r="T303" s="110"/>
      <c r="U303" s="56">
        <f>IFERROR(INDEX($A$4:$B10299,MATCH(ROW()-3,$A$4:$A$4:$A1299,0),2),0)</f>
        <v>0</v>
      </c>
      <c r="V303" s="33" t="str">
        <f>COUNTIFS(Tracker[Date],U303,Tracker[Result],"W")&amp;"-"&amp;COUNTIFS(Tracker[Date],U303,Tracker[Result],"L")&amp;IF(COUNTIFS(Tracker[Date],U303,Tracker[Result],"Push")&gt;0,"-"&amp;COUNTIFS(Tracker[Date],U303,Tracker[Result],"Push"),"")</f>
        <v>0-0</v>
      </c>
      <c r="W303" s="34" t="str">
        <f>IFERROR(COUNTIFS(Tracker[Date],U303,Tracker[Result],"W")/(COUNTIFS(Tracker[Date],U303,Tracker[Result],"W")+COUNTIFS(Tracker[Date],U303,Tracker[Result],"L")),"")</f>
        <v/>
      </c>
      <c r="X303" s="61">
        <f>SUMIF(Tracker[Date],U303,Tracker[Net])</f>
        <v>0</v>
      </c>
    </row>
    <row r="304" spans="1:24" x14ac:dyDescent="0.25">
      <c r="A304" s="36">
        <f t="shared" si="45"/>
        <v>31</v>
      </c>
      <c r="B304" s="25">
        <v>43861</v>
      </c>
      <c r="C304" s="25" t="str">
        <f t="shared" si="50"/>
        <v>NBA</v>
      </c>
      <c r="D304" s="26" t="s">
        <v>1355</v>
      </c>
      <c r="E304" s="28" t="s">
        <v>1228</v>
      </c>
      <c r="F304" s="74">
        <v>0.62401086718308041</v>
      </c>
      <c r="G304" s="29">
        <v>-110</v>
      </c>
      <c r="H304" s="50" t="s">
        <v>56</v>
      </c>
      <c r="I30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0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304" s="40" t="str">
        <f>MID(Tracker[[#This Row],[Game]],SEARCH("@",Tracker[[#This Row],[Game]])+2,LEN(Tracker[[#This Row],[Game]]))</f>
        <v>Bucks</v>
      </c>
      <c r="L304" s="40" t="str">
        <f>LEFT(Tracker[[#This Row],[Game]],SEARCH("@",Tracker[[#This Row],[Game]])-2)</f>
        <v>Nuggets</v>
      </c>
      <c r="M30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304" s="123">
        <v>0.48850000000000005</v>
      </c>
      <c r="O304" s="147"/>
      <c r="P304" s="147"/>
      <c r="Q30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04" s="147" t="e">
        <f>IF(AND(Tracker[[#This Row],[Money %]]&lt;&gt;"",Tracker[[#This Row],[Bet %]]&lt;&gt;""),Tracker[[#This Row],[Money %]]-Tracker[[#This Row],[Bet %]],NA())</f>
        <v>#N/A</v>
      </c>
      <c r="S304" s="110"/>
      <c r="T304" s="110"/>
      <c r="U304" s="56">
        <f>IFERROR(INDEX($A$4:$B10300,MATCH(ROW()-3,$A$4:$A$4:$A1300,0),2),0)</f>
        <v>0</v>
      </c>
      <c r="V304" s="33" t="str">
        <f>COUNTIFS(Tracker[Date],U304,Tracker[Result],"W")&amp;"-"&amp;COUNTIFS(Tracker[Date],U304,Tracker[Result],"L")&amp;IF(COUNTIFS(Tracker[Date],U304,Tracker[Result],"Push")&gt;0,"-"&amp;COUNTIFS(Tracker[Date],U304,Tracker[Result],"Push"),"")</f>
        <v>0-0</v>
      </c>
      <c r="W304" s="34" t="str">
        <f>IFERROR(COUNTIFS(Tracker[Date],U304,Tracker[Result],"W")/(COUNTIFS(Tracker[Date],U304,Tracker[Result],"W")+COUNTIFS(Tracker[Date],U304,Tracker[Result],"L")),"")</f>
        <v/>
      </c>
      <c r="X304" s="61">
        <f>SUMIF(Tracker[Date],U304,Tracker[Net])</f>
        <v>0</v>
      </c>
    </row>
    <row r="305" spans="1:24" x14ac:dyDescent="0.25">
      <c r="A305" s="36">
        <f t="shared" si="45"/>
        <v>31</v>
      </c>
      <c r="B305" s="25">
        <v>43861</v>
      </c>
      <c r="C305" s="25" t="str">
        <f t="shared" si="50"/>
        <v>NBA</v>
      </c>
      <c r="D305" s="26" t="s">
        <v>1357</v>
      </c>
      <c r="E305" s="28" t="s">
        <v>1358</v>
      </c>
      <c r="F305" s="74">
        <v>0.75664173853106065</v>
      </c>
      <c r="G305" s="29">
        <v>-110</v>
      </c>
      <c r="H305" s="50" t="s">
        <v>56</v>
      </c>
      <c r="I30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0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305" s="40" t="str">
        <f>MID(Tracker[[#This Row],[Game]],SEARCH("@",Tracker[[#This Row],[Game]])+2,LEN(Tracker[[#This Row],[Game]]))</f>
        <v>Suns</v>
      </c>
      <c r="L305" s="40" t="str">
        <f>LEFT(Tracker[[#This Row],[Game]],SEARCH("@",Tracker[[#This Row],[Game]])-2)</f>
        <v>Thunder</v>
      </c>
      <c r="M30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305" s="123">
        <v>0.625</v>
      </c>
      <c r="O305" s="147"/>
      <c r="P305" s="147"/>
      <c r="Q30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05" s="147" t="e">
        <f>IF(AND(Tracker[[#This Row],[Money %]]&lt;&gt;"",Tracker[[#This Row],[Bet %]]&lt;&gt;""),Tracker[[#This Row],[Money %]]-Tracker[[#This Row],[Bet %]],NA())</f>
        <v>#N/A</v>
      </c>
      <c r="S305" s="110"/>
      <c r="T305" s="110"/>
      <c r="U305" s="56">
        <f>IFERROR(INDEX($A$4:$B10301,MATCH(ROW()-3,$A$4:$A$4:$A1301,0),2),0)</f>
        <v>0</v>
      </c>
      <c r="V305" s="33" t="str">
        <f>COUNTIFS(Tracker[Date],U305,Tracker[Result],"W")&amp;"-"&amp;COUNTIFS(Tracker[Date],U305,Tracker[Result],"L")&amp;IF(COUNTIFS(Tracker[Date],U305,Tracker[Result],"Push")&gt;0,"-"&amp;COUNTIFS(Tracker[Date],U305,Tracker[Result],"Push"),"")</f>
        <v>0-0</v>
      </c>
      <c r="W305" s="34" t="str">
        <f>IFERROR(COUNTIFS(Tracker[Date],U305,Tracker[Result],"W")/(COUNTIFS(Tracker[Date],U305,Tracker[Result],"W")+COUNTIFS(Tracker[Date],U305,Tracker[Result],"L")),"")</f>
        <v/>
      </c>
      <c r="X305" s="61">
        <f>SUMIF(Tracker[Date],U305,Tracker[Net])</f>
        <v>0</v>
      </c>
    </row>
    <row r="306" spans="1:24" x14ac:dyDescent="0.25">
      <c r="A306" s="36">
        <f t="shared" si="45"/>
        <v>31</v>
      </c>
      <c r="B306" s="25">
        <v>43861</v>
      </c>
      <c r="C306" s="25" t="str">
        <f t="shared" si="50"/>
        <v>NBA</v>
      </c>
      <c r="D306" s="26" t="s">
        <v>1357</v>
      </c>
      <c r="E306" s="28" t="s">
        <v>1116</v>
      </c>
      <c r="F306" s="74">
        <v>0.71313286130883191</v>
      </c>
      <c r="G306" s="29">
        <v>-110</v>
      </c>
      <c r="H306" s="50" t="s">
        <v>57</v>
      </c>
      <c r="I30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0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306" s="40" t="str">
        <f>MID(Tracker[[#This Row],[Game]],SEARCH("@",Tracker[[#This Row],[Game]])+2,LEN(Tracker[[#This Row],[Game]]))</f>
        <v>Suns</v>
      </c>
      <c r="L306" s="40" t="str">
        <f>LEFT(Tracker[[#This Row],[Game]],SEARCH("@",Tracker[[#This Row],[Game]])-2)</f>
        <v>Thunder</v>
      </c>
      <c r="M30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306" s="123">
        <v>0.5</v>
      </c>
      <c r="O306" s="147"/>
      <c r="P306" s="147"/>
      <c r="Q306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06" s="147" t="e">
        <f>IF(AND(Tracker[[#This Row],[Money %]]&lt;&gt;"",Tracker[[#This Row],[Bet %]]&lt;&gt;""),Tracker[[#This Row],[Money %]]-Tracker[[#This Row],[Bet %]],NA())</f>
        <v>#N/A</v>
      </c>
      <c r="S306" s="110"/>
      <c r="T306" s="110"/>
      <c r="U306" s="56">
        <f>IFERROR(INDEX($A$4:$B10302,MATCH(ROW()-3,$A$4:$A$4:$A1302,0),2),0)</f>
        <v>0</v>
      </c>
      <c r="V306" s="33" t="str">
        <f>COUNTIFS(Tracker[Date],U306,Tracker[Result],"W")&amp;"-"&amp;COUNTIFS(Tracker[Date],U306,Tracker[Result],"L")&amp;IF(COUNTIFS(Tracker[Date],U306,Tracker[Result],"Push")&gt;0,"-"&amp;COUNTIFS(Tracker[Date],U306,Tracker[Result],"Push"),"")</f>
        <v>0-0</v>
      </c>
      <c r="W306" s="34" t="str">
        <f>IFERROR(COUNTIFS(Tracker[Date],U306,Tracker[Result],"W")/(COUNTIFS(Tracker[Date],U306,Tracker[Result],"W")+COUNTIFS(Tracker[Date],U306,Tracker[Result],"L")),"")</f>
        <v/>
      </c>
      <c r="X306" s="61">
        <f>SUMIF(Tracker[Date],U306,Tracker[Net])</f>
        <v>0</v>
      </c>
    </row>
    <row r="307" spans="1:24" x14ac:dyDescent="0.25">
      <c r="A307" s="36">
        <f t="shared" si="45"/>
        <v>31</v>
      </c>
      <c r="B307" s="25">
        <v>43861</v>
      </c>
      <c r="C307" s="25" t="str">
        <f t="shared" si="50"/>
        <v>NBA</v>
      </c>
      <c r="D307" s="26" t="s">
        <v>1359</v>
      </c>
      <c r="E307" s="28" t="s">
        <v>1360</v>
      </c>
      <c r="F307" s="74">
        <v>0.67113680956128308</v>
      </c>
      <c r="G307" s="29">
        <v>-110</v>
      </c>
      <c r="H307" s="50" t="s">
        <v>56</v>
      </c>
      <c r="I30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0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307" s="40" t="str">
        <f>MID(Tracker[[#This Row],[Game]],SEARCH("@",Tracker[[#This Row],[Game]])+2,LEN(Tracker[[#This Row],[Game]]))</f>
        <v>Lakers</v>
      </c>
      <c r="L307" s="40" t="str">
        <f>LEFT(Tracker[[#This Row],[Game]],SEARCH("@",Tracker[[#This Row],[Game]])-2)</f>
        <v>Trail Blazers</v>
      </c>
      <c r="M30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307" s="123">
        <v>0.42499999999999999</v>
      </c>
      <c r="O307" s="147"/>
      <c r="P307" s="147"/>
      <c r="Q307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07" s="147" t="e">
        <f>IF(AND(Tracker[[#This Row],[Money %]]&lt;&gt;"",Tracker[[#This Row],[Bet %]]&lt;&gt;""),Tracker[[#This Row],[Money %]]-Tracker[[#This Row],[Bet %]],NA())</f>
        <v>#N/A</v>
      </c>
      <c r="S307" s="110"/>
      <c r="T307" s="110"/>
      <c r="U307" s="56">
        <f>IFERROR(INDEX($A$4:$B10303,MATCH(ROW()-3,$A$4:$A$4:$A1303,0),2),0)</f>
        <v>0</v>
      </c>
      <c r="V307" s="33" t="str">
        <f>COUNTIFS(Tracker[Date],U307,Tracker[Result],"W")&amp;"-"&amp;COUNTIFS(Tracker[Date],U307,Tracker[Result],"L")&amp;IF(COUNTIFS(Tracker[Date],U307,Tracker[Result],"Push")&gt;0,"-"&amp;COUNTIFS(Tracker[Date],U307,Tracker[Result],"Push"),"")</f>
        <v>0-0</v>
      </c>
      <c r="W307" s="34" t="str">
        <f>IFERROR(COUNTIFS(Tracker[Date],U307,Tracker[Result],"W")/(COUNTIFS(Tracker[Date],U307,Tracker[Result],"W")+COUNTIFS(Tracker[Date],U307,Tracker[Result],"L")),"")</f>
        <v/>
      </c>
      <c r="X307" s="61">
        <f>SUMIF(Tracker[Date],U307,Tracker[Net])</f>
        <v>0</v>
      </c>
    </row>
    <row r="308" spans="1:24" x14ac:dyDescent="0.25">
      <c r="A308" s="36">
        <f t="shared" si="45"/>
        <v>31</v>
      </c>
      <c r="B308" s="25">
        <v>43861</v>
      </c>
      <c r="C308" s="25" t="str">
        <f t="shared" si="50"/>
        <v>NBA</v>
      </c>
      <c r="D308" s="26" t="s">
        <v>1359</v>
      </c>
      <c r="E308" s="28" t="s">
        <v>1361</v>
      </c>
      <c r="F308" s="74">
        <v>0.76559139466516102</v>
      </c>
      <c r="G308" s="29">
        <v>-110</v>
      </c>
      <c r="H308" s="50" t="s">
        <v>57</v>
      </c>
      <c r="I30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0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308" s="40" t="str">
        <f>MID(Tracker[[#This Row],[Game]],SEARCH("@",Tracker[[#This Row],[Game]])+2,LEN(Tracker[[#This Row],[Game]]))</f>
        <v>Lakers</v>
      </c>
      <c r="L308" s="40" t="str">
        <f>LEFT(Tracker[[#This Row],[Game]],SEARCH("@",Tracker[[#This Row],[Game]])-2)</f>
        <v>Trail Blazers</v>
      </c>
      <c r="M30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308" s="123">
        <v>0.5655</v>
      </c>
      <c r="O308" s="147"/>
      <c r="P308" s="147"/>
      <c r="Q308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08" s="147" t="e">
        <f>IF(AND(Tracker[[#This Row],[Money %]]&lt;&gt;"",Tracker[[#This Row],[Bet %]]&lt;&gt;""),Tracker[[#This Row],[Money %]]-Tracker[[#This Row],[Bet %]],NA())</f>
        <v>#N/A</v>
      </c>
      <c r="S308" s="110"/>
      <c r="T308" s="110"/>
      <c r="U308" s="56">
        <f>IFERROR(INDEX($A$4:$B10304,MATCH(ROW()-3,$A$4:$A$4:$A1304,0),2),0)</f>
        <v>0</v>
      </c>
      <c r="V308" s="33" t="str">
        <f>COUNTIFS(Tracker[Date],U308,Tracker[Result],"W")&amp;"-"&amp;COUNTIFS(Tracker[Date],U308,Tracker[Result],"L")&amp;IF(COUNTIFS(Tracker[Date],U308,Tracker[Result],"Push")&gt;0,"-"&amp;COUNTIFS(Tracker[Date],U308,Tracker[Result],"Push"),"")</f>
        <v>0-0</v>
      </c>
      <c r="W308" s="34" t="str">
        <f>IFERROR(COUNTIFS(Tracker[Date],U308,Tracker[Result],"W")/(COUNTIFS(Tracker[Date],U308,Tracker[Result],"W")+COUNTIFS(Tracker[Date],U308,Tracker[Result],"L")),"")</f>
        <v/>
      </c>
      <c r="X308" s="61">
        <f>SUMIF(Tracker[Date],U308,Tracker[Net])</f>
        <v>0</v>
      </c>
    </row>
    <row r="309" spans="1:24" x14ac:dyDescent="0.25">
      <c r="A309" s="36">
        <f t="shared" si="45"/>
        <v>32</v>
      </c>
      <c r="B309" s="25">
        <v>43864</v>
      </c>
      <c r="C309" s="25" t="str">
        <f t="shared" ref="C309:C323" si="51">"NBA"</f>
        <v>NBA</v>
      </c>
      <c r="D309" s="26" t="s">
        <v>1131</v>
      </c>
      <c r="E309" s="28" t="s">
        <v>1103</v>
      </c>
      <c r="F309" s="74">
        <v>0.7160552777558068</v>
      </c>
      <c r="G309" s="29">
        <v>-110</v>
      </c>
      <c r="H309" s="50" t="s">
        <v>56</v>
      </c>
      <c r="I30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0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309" s="40" t="str">
        <f>MID(Tracker[[#This Row],[Game]],SEARCH("@",Tracker[[#This Row],[Game]])+2,LEN(Tracker[[#This Row],[Game]]))</f>
        <v>Cavaliers</v>
      </c>
      <c r="L309" s="40" t="str">
        <f>LEFT(Tracker[[#This Row],[Game]],SEARCH("@",Tracker[[#This Row],[Game]])-2)</f>
        <v>Knicks</v>
      </c>
      <c r="M30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309" s="123">
        <v>0.52849999999999997</v>
      </c>
      <c r="O309" s="147"/>
      <c r="P309" s="147"/>
      <c r="Q309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09" s="147" t="e">
        <f>IF(AND(Tracker[[#This Row],[Money %]]&lt;&gt;"",Tracker[[#This Row],[Bet %]]&lt;&gt;""),Tracker[[#This Row],[Money %]]-Tracker[[#This Row],[Bet %]],NA())</f>
        <v>#N/A</v>
      </c>
      <c r="S309" s="110"/>
      <c r="T309" s="110"/>
      <c r="U309" s="56">
        <f>IFERROR(INDEX($A$4:$B10305,MATCH(ROW()-3,$A$4:$A$4:$A1305,0),2),0)</f>
        <v>0</v>
      </c>
      <c r="V309" s="33" t="str">
        <f>COUNTIFS(Tracker[Date],U309,Tracker[Result],"W")&amp;"-"&amp;COUNTIFS(Tracker[Date],U309,Tracker[Result],"L")&amp;IF(COUNTIFS(Tracker[Date],U309,Tracker[Result],"Push")&gt;0,"-"&amp;COUNTIFS(Tracker[Date],U309,Tracker[Result],"Push"),"")</f>
        <v>0-0</v>
      </c>
      <c r="W309" s="34" t="str">
        <f>IFERROR(COUNTIFS(Tracker[Date],U309,Tracker[Result],"W")/(COUNTIFS(Tracker[Date],U309,Tracker[Result],"W")+COUNTIFS(Tracker[Date],U309,Tracker[Result],"L")),"")</f>
        <v/>
      </c>
      <c r="X309" s="61">
        <f>SUMIF(Tracker[Date],U309,Tracker[Net])</f>
        <v>0</v>
      </c>
    </row>
    <row r="310" spans="1:24" x14ac:dyDescent="0.25">
      <c r="A310" s="36">
        <f t="shared" si="45"/>
        <v>32</v>
      </c>
      <c r="B310" s="25">
        <v>43864</v>
      </c>
      <c r="C310" s="25" t="str">
        <f t="shared" si="51"/>
        <v>NBA</v>
      </c>
      <c r="D310" s="26" t="s">
        <v>1403</v>
      </c>
      <c r="E310" s="28" t="s">
        <v>1404</v>
      </c>
      <c r="F310" s="74">
        <v>0.95511347656842194</v>
      </c>
      <c r="G310" s="29">
        <v>-110</v>
      </c>
      <c r="H310" s="50" t="s">
        <v>56</v>
      </c>
      <c r="I31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1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310" s="40" t="str">
        <f>MID(Tracker[[#This Row],[Game]],SEARCH("@",Tracker[[#This Row],[Game]])+2,LEN(Tracker[[#This Row],[Game]]))</f>
        <v>Pacers</v>
      </c>
      <c r="L310" s="40" t="str">
        <f>LEFT(Tracker[[#This Row],[Game]],SEARCH("@",Tracker[[#This Row],[Game]])-2)</f>
        <v>Mavericks</v>
      </c>
      <c r="M31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310" s="123">
        <v>0.55000000000000004</v>
      </c>
      <c r="O310" s="147"/>
      <c r="P310" s="147"/>
      <c r="Q310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10" s="147" t="e">
        <f>IF(AND(Tracker[[#This Row],[Money %]]&lt;&gt;"",Tracker[[#This Row],[Bet %]]&lt;&gt;""),Tracker[[#This Row],[Money %]]-Tracker[[#This Row],[Bet %]],NA())</f>
        <v>#N/A</v>
      </c>
      <c r="S310" s="110"/>
      <c r="T310" s="110"/>
      <c r="U310" s="56">
        <f>IFERROR(INDEX($A$4:$B10306,MATCH(ROW()-3,$A$4:$A$4:$A1306,0),2),0)</f>
        <v>0</v>
      </c>
      <c r="V310" s="33" t="str">
        <f>COUNTIFS(Tracker[Date],U310,Tracker[Result],"W")&amp;"-"&amp;COUNTIFS(Tracker[Date],U310,Tracker[Result],"L")&amp;IF(COUNTIFS(Tracker[Date],U310,Tracker[Result],"Push")&gt;0,"-"&amp;COUNTIFS(Tracker[Date],U310,Tracker[Result],"Push"),"")</f>
        <v>0-0</v>
      </c>
      <c r="W310" s="34" t="str">
        <f>IFERROR(COUNTIFS(Tracker[Date],U310,Tracker[Result],"W")/(COUNTIFS(Tracker[Date],U310,Tracker[Result],"W")+COUNTIFS(Tracker[Date],U310,Tracker[Result],"L")),"")</f>
        <v/>
      </c>
      <c r="X310" s="61">
        <f>SUMIF(Tracker[Date],U310,Tracker[Net])</f>
        <v>0</v>
      </c>
    </row>
    <row r="311" spans="1:24" x14ac:dyDescent="0.25">
      <c r="A311" s="36">
        <f t="shared" si="45"/>
        <v>32</v>
      </c>
      <c r="B311" s="25">
        <v>43864</v>
      </c>
      <c r="C311" s="25" t="str">
        <f t="shared" si="51"/>
        <v>NBA</v>
      </c>
      <c r="D311" s="26" t="s">
        <v>1403</v>
      </c>
      <c r="E311" s="28" t="s">
        <v>1086</v>
      </c>
      <c r="F311" s="74">
        <v>0.57072303758447007</v>
      </c>
      <c r="G311" s="29">
        <v>-110</v>
      </c>
      <c r="H311" s="50" t="s">
        <v>56</v>
      </c>
      <c r="I31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1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311" s="40" t="str">
        <f>MID(Tracker[[#This Row],[Game]],SEARCH("@",Tracker[[#This Row],[Game]])+2,LEN(Tracker[[#This Row],[Game]]))</f>
        <v>Pacers</v>
      </c>
      <c r="L311" s="40" t="str">
        <f>LEFT(Tracker[[#This Row],[Game]],SEARCH("@",Tracker[[#This Row],[Game]])-2)</f>
        <v>Mavericks</v>
      </c>
      <c r="M31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311" s="123">
        <v>0.55649999999999999</v>
      </c>
      <c r="O311" s="147"/>
      <c r="P311" s="147"/>
      <c r="Q311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11" s="147" t="e">
        <f>IF(AND(Tracker[[#This Row],[Money %]]&lt;&gt;"",Tracker[[#This Row],[Bet %]]&lt;&gt;""),Tracker[[#This Row],[Money %]]-Tracker[[#This Row],[Bet %]],NA())</f>
        <v>#N/A</v>
      </c>
      <c r="S311" s="110"/>
      <c r="T311" s="110"/>
      <c r="U311" s="56">
        <f>IFERROR(INDEX($A$4:$B10307,MATCH(ROW()-3,$A$4:$A$4:$A1307,0),2),0)</f>
        <v>0</v>
      </c>
      <c r="V311" s="33" t="str">
        <f>COUNTIFS(Tracker[Date],U311,Tracker[Result],"W")&amp;"-"&amp;COUNTIFS(Tracker[Date],U311,Tracker[Result],"L")&amp;IF(COUNTIFS(Tracker[Date],U311,Tracker[Result],"Push")&gt;0,"-"&amp;COUNTIFS(Tracker[Date],U311,Tracker[Result],"Push"),"")</f>
        <v>0-0</v>
      </c>
      <c r="W311" s="34" t="str">
        <f>IFERROR(COUNTIFS(Tracker[Date],U311,Tracker[Result],"W")/(COUNTIFS(Tracker[Date],U311,Tracker[Result],"W")+COUNTIFS(Tracker[Date],U311,Tracker[Result],"L")),"")</f>
        <v/>
      </c>
      <c r="X311" s="61">
        <f>SUMIF(Tracker[Date],U311,Tracker[Net])</f>
        <v>0</v>
      </c>
    </row>
    <row r="312" spans="1:24" x14ac:dyDescent="0.25">
      <c r="A312" s="36">
        <f t="shared" si="45"/>
        <v>32</v>
      </c>
      <c r="B312" s="25">
        <v>43864</v>
      </c>
      <c r="C312" s="25" t="str">
        <f t="shared" si="51"/>
        <v>NBA</v>
      </c>
      <c r="D312" s="26" t="s">
        <v>1140</v>
      </c>
      <c r="E312" s="28" t="s">
        <v>1405</v>
      </c>
      <c r="F312" s="74">
        <v>0.58115241647436688</v>
      </c>
      <c r="G312" s="29">
        <v>-110</v>
      </c>
      <c r="H312" s="50" t="s">
        <v>56</v>
      </c>
      <c r="I31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1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312" s="40" t="str">
        <f>MID(Tracker[[#This Row],[Game]],SEARCH("@",Tracker[[#This Row],[Game]])+2,LEN(Tracker[[#This Row],[Game]]))</f>
        <v>Hornets</v>
      </c>
      <c r="L312" s="40" t="str">
        <f>LEFT(Tracker[[#This Row],[Game]],SEARCH("@",Tracker[[#This Row],[Game]])-2)</f>
        <v>Magic</v>
      </c>
      <c r="M31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312" s="123">
        <v>0.46550000000000002</v>
      </c>
      <c r="O312" s="147"/>
      <c r="P312" s="147"/>
      <c r="Q312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12" s="147" t="e">
        <f>IF(AND(Tracker[[#This Row],[Money %]]&lt;&gt;"",Tracker[[#This Row],[Bet %]]&lt;&gt;""),Tracker[[#This Row],[Money %]]-Tracker[[#This Row],[Bet %]],NA())</f>
        <v>#N/A</v>
      </c>
      <c r="S312" s="110"/>
      <c r="T312" s="110"/>
      <c r="U312" s="56">
        <f>IFERROR(INDEX($A$4:$B10308,MATCH(ROW()-3,$A$4:$A$4:$A1308,0),2),0)</f>
        <v>0</v>
      </c>
      <c r="V312" s="33" t="str">
        <f>COUNTIFS(Tracker[Date],U312,Tracker[Result],"W")&amp;"-"&amp;COUNTIFS(Tracker[Date],U312,Tracker[Result],"L")&amp;IF(COUNTIFS(Tracker[Date],U312,Tracker[Result],"Push")&gt;0,"-"&amp;COUNTIFS(Tracker[Date],U312,Tracker[Result],"Push"),"")</f>
        <v>0-0</v>
      </c>
      <c r="W312" s="34" t="str">
        <f>IFERROR(COUNTIFS(Tracker[Date],U312,Tracker[Result],"W")/(COUNTIFS(Tracker[Date],U312,Tracker[Result],"W")+COUNTIFS(Tracker[Date],U312,Tracker[Result],"L")),"")</f>
        <v/>
      </c>
      <c r="X312" s="61">
        <f>SUMIF(Tracker[Date],U312,Tracker[Net])</f>
        <v>0</v>
      </c>
    </row>
    <row r="313" spans="1:24" x14ac:dyDescent="0.25">
      <c r="A313" s="36">
        <f t="shared" si="45"/>
        <v>32</v>
      </c>
      <c r="B313" s="25">
        <v>43864</v>
      </c>
      <c r="C313" s="25" t="str">
        <f t="shared" si="51"/>
        <v>NBA</v>
      </c>
      <c r="D313" s="26" t="s">
        <v>1406</v>
      </c>
      <c r="E313" s="28" t="s">
        <v>1407</v>
      </c>
      <c r="F313" s="74">
        <v>0.77446984183455925</v>
      </c>
      <c r="G313" s="29">
        <v>-110</v>
      </c>
      <c r="H313" s="50" t="s">
        <v>56</v>
      </c>
      <c r="I31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1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313" s="40" t="str">
        <f>MID(Tracker[[#This Row],[Game]],SEARCH("@",Tracker[[#This Row],[Game]])+2,LEN(Tracker[[#This Row],[Game]]))</f>
        <v>Hawks</v>
      </c>
      <c r="L313" s="40" t="str">
        <f>LEFT(Tracker[[#This Row],[Game]],SEARCH("@",Tracker[[#This Row],[Game]])-2)</f>
        <v>Celtics</v>
      </c>
      <c r="M31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313" s="123">
        <v>0.46300000000000002</v>
      </c>
      <c r="O313" s="147"/>
      <c r="P313" s="147"/>
      <c r="Q313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13" s="147" t="e">
        <f>IF(AND(Tracker[[#This Row],[Money %]]&lt;&gt;"",Tracker[[#This Row],[Bet %]]&lt;&gt;""),Tracker[[#This Row],[Money %]]-Tracker[[#This Row],[Bet %]],NA())</f>
        <v>#N/A</v>
      </c>
      <c r="S313" s="110"/>
      <c r="T313" s="110"/>
      <c r="U313" s="56">
        <f>IFERROR(INDEX($A$4:$B10309,MATCH(ROW()-3,$A$4:$A$4:$A1309,0),2),0)</f>
        <v>0</v>
      </c>
      <c r="V313" s="33" t="str">
        <f>COUNTIFS(Tracker[Date],U313,Tracker[Result],"W")&amp;"-"&amp;COUNTIFS(Tracker[Date],U313,Tracker[Result],"L")&amp;IF(COUNTIFS(Tracker[Date],U313,Tracker[Result],"Push")&gt;0,"-"&amp;COUNTIFS(Tracker[Date],U313,Tracker[Result],"Push"),"")</f>
        <v>0-0</v>
      </c>
      <c r="W313" s="34" t="str">
        <f>IFERROR(COUNTIFS(Tracker[Date],U313,Tracker[Result],"W")/(COUNTIFS(Tracker[Date],U313,Tracker[Result],"W")+COUNTIFS(Tracker[Date],U313,Tracker[Result],"L")),"")</f>
        <v/>
      </c>
      <c r="X313" s="61">
        <f>SUMIF(Tracker[Date],U313,Tracker[Net])</f>
        <v>0</v>
      </c>
    </row>
    <row r="314" spans="1:24" x14ac:dyDescent="0.25">
      <c r="A314" s="36">
        <f t="shared" si="45"/>
        <v>32</v>
      </c>
      <c r="B314" s="25">
        <v>43864</v>
      </c>
      <c r="C314" s="25" t="str">
        <f t="shared" si="51"/>
        <v>NBA</v>
      </c>
      <c r="D314" s="26" t="s">
        <v>1406</v>
      </c>
      <c r="E314" s="28" t="s">
        <v>1251</v>
      </c>
      <c r="F314" s="74">
        <v>0.63203369948049892</v>
      </c>
      <c r="G314" s="29">
        <v>-110</v>
      </c>
      <c r="H314" s="50" t="s">
        <v>56</v>
      </c>
      <c r="I31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1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314" s="40" t="str">
        <f>MID(Tracker[[#This Row],[Game]],SEARCH("@",Tracker[[#This Row],[Game]])+2,LEN(Tracker[[#This Row],[Game]]))</f>
        <v>Hawks</v>
      </c>
      <c r="L314" s="40" t="str">
        <f>LEFT(Tracker[[#This Row],[Game]],SEARCH("@",Tracker[[#This Row],[Game]])-2)</f>
        <v>Celtics</v>
      </c>
      <c r="M31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314" s="123">
        <v>0.44500000000000001</v>
      </c>
      <c r="O314" s="147"/>
      <c r="P314" s="147"/>
      <c r="Q31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14" s="147" t="e">
        <f>IF(AND(Tracker[[#This Row],[Money %]]&lt;&gt;"",Tracker[[#This Row],[Bet %]]&lt;&gt;""),Tracker[[#This Row],[Money %]]-Tracker[[#This Row],[Bet %]],NA())</f>
        <v>#N/A</v>
      </c>
      <c r="S314" s="110"/>
      <c r="T314" s="110"/>
      <c r="U314" s="56">
        <f>IFERROR(INDEX($A$4:$B10310,MATCH(ROW()-3,$A$4:$A$4:$A1310,0),2),0)</f>
        <v>0</v>
      </c>
      <c r="V314" s="33" t="str">
        <f>COUNTIFS(Tracker[Date],U314,Tracker[Result],"W")&amp;"-"&amp;COUNTIFS(Tracker[Date],U314,Tracker[Result],"L")&amp;IF(COUNTIFS(Tracker[Date],U314,Tracker[Result],"Push")&gt;0,"-"&amp;COUNTIFS(Tracker[Date],U314,Tracker[Result],"Push"),"")</f>
        <v>0-0</v>
      </c>
      <c r="W314" s="34" t="str">
        <f>IFERROR(COUNTIFS(Tracker[Date],U314,Tracker[Result],"W")/(COUNTIFS(Tracker[Date],U314,Tracker[Result],"W")+COUNTIFS(Tracker[Date],U314,Tracker[Result],"L")),"")</f>
        <v/>
      </c>
      <c r="X314" s="61">
        <f>SUMIF(Tracker[Date],U314,Tracker[Net])</f>
        <v>0</v>
      </c>
    </row>
    <row r="315" spans="1:24" x14ac:dyDescent="0.25">
      <c r="A315" s="36">
        <f t="shared" si="45"/>
        <v>32</v>
      </c>
      <c r="B315" s="25">
        <v>43864</v>
      </c>
      <c r="C315" s="25" t="str">
        <f t="shared" si="51"/>
        <v>NBA</v>
      </c>
      <c r="D315" s="26" t="s">
        <v>1408</v>
      </c>
      <c r="E315" s="28" t="s">
        <v>1409</v>
      </c>
      <c r="F315" s="74">
        <v>0.56535122523255987</v>
      </c>
      <c r="G315" s="29">
        <v>-110</v>
      </c>
      <c r="H315" s="50" t="s">
        <v>57</v>
      </c>
      <c r="I31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1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315" s="40" t="str">
        <f>MID(Tracker[[#This Row],[Game]],SEARCH("@",Tracker[[#This Row],[Game]])+2,LEN(Tracker[[#This Row],[Game]]))</f>
        <v>Heat</v>
      </c>
      <c r="L315" s="40" t="str">
        <f>LEFT(Tracker[[#This Row],[Game]],SEARCH("@",Tracker[[#This Row],[Game]])-2)</f>
        <v>76ers</v>
      </c>
      <c r="M31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315" s="123">
        <v>0.30000000000000004</v>
      </c>
      <c r="O315" s="147"/>
      <c r="P315" s="147"/>
      <c r="Q31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15" s="147" t="e">
        <f>IF(AND(Tracker[[#This Row],[Money %]]&lt;&gt;"",Tracker[[#This Row],[Bet %]]&lt;&gt;""),Tracker[[#This Row],[Money %]]-Tracker[[#This Row],[Bet %]],NA())</f>
        <v>#N/A</v>
      </c>
      <c r="S315" s="110"/>
      <c r="T315" s="110"/>
      <c r="U315" s="56">
        <f>IFERROR(INDEX($A$4:$B10311,MATCH(ROW()-3,$A$4:$A$4:$A1311,0),2),0)</f>
        <v>0</v>
      </c>
      <c r="V315" s="33" t="str">
        <f>COUNTIFS(Tracker[Date],U315,Tracker[Result],"W")&amp;"-"&amp;COUNTIFS(Tracker[Date],U315,Tracker[Result],"L")&amp;IF(COUNTIFS(Tracker[Date],U315,Tracker[Result],"Push")&gt;0,"-"&amp;COUNTIFS(Tracker[Date],U315,Tracker[Result],"Push"),"")</f>
        <v>0-0</v>
      </c>
      <c r="W315" s="34" t="str">
        <f>IFERROR(COUNTIFS(Tracker[Date],U315,Tracker[Result],"W")/(COUNTIFS(Tracker[Date],U315,Tracker[Result],"W")+COUNTIFS(Tracker[Date],U315,Tracker[Result],"L")),"")</f>
        <v/>
      </c>
      <c r="X315" s="61">
        <f>SUMIF(Tracker[Date],U315,Tracker[Net])</f>
        <v>0</v>
      </c>
    </row>
    <row r="316" spans="1:24" x14ac:dyDescent="0.25">
      <c r="A316" s="36">
        <f t="shared" si="45"/>
        <v>32</v>
      </c>
      <c r="B316" s="25">
        <v>43864</v>
      </c>
      <c r="C316" s="25" t="str">
        <f t="shared" si="51"/>
        <v>NBA</v>
      </c>
      <c r="D316" s="26" t="s">
        <v>1408</v>
      </c>
      <c r="E316" s="28" t="s">
        <v>840</v>
      </c>
      <c r="F316" s="74">
        <v>0.58726080833300109</v>
      </c>
      <c r="G316" s="29">
        <v>-110</v>
      </c>
      <c r="H316" s="50" t="s">
        <v>56</v>
      </c>
      <c r="I31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1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316" s="40" t="str">
        <f>MID(Tracker[[#This Row],[Game]],SEARCH("@",Tracker[[#This Row],[Game]])+2,LEN(Tracker[[#This Row],[Game]]))</f>
        <v>Heat</v>
      </c>
      <c r="L316" s="40" t="str">
        <f>LEFT(Tracker[[#This Row],[Game]],SEARCH("@",Tracker[[#This Row],[Game]])-2)</f>
        <v>76ers</v>
      </c>
      <c r="M31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316" s="123">
        <v>0.52400000000000002</v>
      </c>
      <c r="O316" s="147"/>
      <c r="P316" s="147"/>
      <c r="Q316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16" s="147" t="e">
        <f>IF(AND(Tracker[[#This Row],[Money %]]&lt;&gt;"",Tracker[[#This Row],[Bet %]]&lt;&gt;""),Tracker[[#This Row],[Money %]]-Tracker[[#This Row],[Bet %]],NA())</f>
        <v>#N/A</v>
      </c>
      <c r="S316" s="110"/>
      <c r="T316" s="110"/>
      <c r="U316" s="56">
        <f>IFERROR(INDEX($A$4:$B10312,MATCH(ROW()-3,$A$4:$A$4:$A1312,0),2),0)</f>
        <v>0</v>
      </c>
      <c r="V316" s="33" t="str">
        <f>COUNTIFS(Tracker[Date],U316,Tracker[Result],"W")&amp;"-"&amp;COUNTIFS(Tracker[Date],U316,Tracker[Result],"L")&amp;IF(COUNTIFS(Tracker[Date],U316,Tracker[Result],"Push")&gt;0,"-"&amp;COUNTIFS(Tracker[Date],U316,Tracker[Result],"Push"),"")</f>
        <v>0-0</v>
      </c>
      <c r="W316" s="34" t="str">
        <f>IFERROR(COUNTIFS(Tracker[Date],U316,Tracker[Result],"W")/(COUNTIFS(Tracker[Date],U316,Tracker[Result],"W")+COUNTIFS(Tracker[Date],U316,Tracker[Result],"L")),"")</f>
        <v/>
      </c>
      <c r="X316" s="61">
        <f>SUMIF(Tracker[Date],U316,Tracker[Net])</f>
        <v>0</v>
      </c>
    </row>
    <row r="317" spans="1:24" x14ac:dyDescent="0.25">
      <c r="A317" s="36">
        <f t="shared" si="45"/>
        <v>32</v>
      </c>
      <c r="B317" s="25">
        <v>43864</v>
      </c>
      <c r="C317" s="25" t="str">
        <f t="shared" si="51"/>
        <v>NBA</v>
      </c>
      <c r="D317" s="26" t="s">
        <v>1410</v>
      </c>
      <c r="E317" s="28" t="s">
        <v>1411</v>
      </c>
      <c r="F317" s="67">
        <v>0.59824323518407629</v>
      </c>
      <c r="G317" s="29">
        <v>-110</v>
      </c>
      <c r="H317" s="50" t="s">
        <v>57</v>
      </c>
      <c r="I31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1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317" s="40" t="str">
        <f>MID(Tracker[[#This Row],[Game]],SEARCH("@",Tracker[[#This Row],[Game]])+2,LEN(Tracker[[#This Row],[Game]]))</f>
        <v>Nets</v>
      </c>
      <c r="L317" s="40" t="str">
        <f>LEFT(Tracker[[#This Row],[Game]],SEARCH("@",Tracker[[#This Row],[Game]])-2)</f>
        <v>Suns</v>
      </c>
      <c r="M31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317" s="123">
        <v>0.59</v>
      </c>
      <c r="O317" s="147"/>
      <c r="P317" s="147"/>
      <c r="Q317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17" s="147" t="e">
        <f>IF(AND(Tracker[[#This Row],[Money %]]&lt;&gt;"",Tracker[[#This Row],[Bet %]]&lt;&gt;""),Tracker[[#This Row],[Money %]]-Tracker[[#This Row],[Bet %]],NA())</f>
        <v>#N/A</v>
      </c>
      <c r="S317" s="110"/>
      <c r="T317" s="110"/>
      <c r="U317" s="56">
        <f>IFERROR(INDEX($A$4:$B10313,MATCH(ROW()-3,$A$4:$A$4:$A1313,0),2),0)</f>
        <v>0</v>
      </c>
      <c r="V317" s="33" t="str">
        <f>COUNTIFS(Tracker[Date],U317,Tracker[Result],"W")&amp;"-"&amp;COUNTIFS(Tracker[Date],U317,Tracker[Result],"L")&amp;IF(COUNTIFS(Tracker[Date],U317,Tracker[Result],"Push")&gt;0,"-"&amp;COUNTIFS(Tracker[Date],U317,Tracker[Result],"Push"),"")</f>
        <v>0-0</v>
      </c>
      <c r="W317" s="34" t="str">
        <f>IFERROR(COUNTIFS(Tracker[Date],U317,Tracker[Result],"W")/(COUNTIFS(Tracker[Date],U317,Tracker[Result],"W")+COUNTIFS(Tracker[Date],U317,Tracker[Result],"L")),"")</f>
        <v/>
      </c>
      <c r="X317" s="61">
        <f>SUMIF(Tracker[Date],U317,Tracker[Net])</f>
        <v>0</v>
      </c>
    </row>
    <row r="318" spans="1:24" x14ac:dyDescent="0.25">
      <c r="A318" s="36">
        <f t="shared" si="45"/>
        <v>32</v>
      </c>
      <c r="B318" s="25">
        <v>43864</v>
      </c>
      <c r="C318" s="25" t="str">
        <f t="shared" si="51"/>
        <v>NBA</v>
      </c>
      <c r="D318" s="26" t="s">
        <v>1410</v>
      </c>
      <c r="E318" s="28" t="s">
        <v>1053</v>
      </c>
      <c r="F318" s="67">
        <v>0.66707962662031295</v>
      </c>
      <c r="G318" s="29">
        <v>-110</v>
      </c>
      <c r="H318" s="50" t="s">
        <v>57</v>
      </c>
      <c r="I31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1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318" s="40" t="str">
        <f>MID(Tracker[[#This Row],[Game]],SEARCH("@",Tracker[[#This Row],[Game]])+2,LEN(Tracker[[#This Row],[Game]]))</f>
        <v>Nets</v>
      </c>
      <c r="L318" s="40" t="str">
        <f>LEFT(Tracker[[#This Row],[Game]],SEARCH("@",Tracker[[#This Row],[Game]])-2)</f>
        <v>Suns</v>
      </c>
      <c r="M31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318" s="123">
        <v>0.51</v>
      </c>
      <c r="O318" s="147"/>
      <c r="P318" s="147"/>
      <c r="Q318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18" s="147" t="e">
        <f>IF(AND(Tracker[[#This Row],[Money %]]&lt;&gt;"",Tracker[[#This Row],[Bet %]]&lt;&gt;""),Tracker[[#This Row],[Money %]]-Tracker[[#This Row],[Bet %]],NA())</f>
        <v>#N/A</v>
      </c>
      <c r="S318" s="110"/>
      <c r="T318" s="110"/>
      <c r="U318" s="56">
        <f>IFERROR(INDEX($A$4:$B10314,MATCH(ROW()-3,$A$4:$A$4:$A1314,0),2),0)</f>
        <v>0</v>
      </c>
      <c r="V318" s="33" t="str">
        <f>COUNTIFS(Tracker[Date],U318,Tracker[Result],"W")&amp;"-"&amp;COUNTIFS(Tracker[Date],U318,Tracker[Result],"L")&amp;IF(COUNTIFS(Tracker[Date],U318,Tracker[Result],"Push")&gt;0,"-"&amp;COUNTIFS(Tracker[Date],U318,Tracker[Result],"Push"),"")</f>
        <v>0-0</v>
      </c>
      <c r="W318" s="34" t="str">
        <f>IFERROR(COUNTIFS(Tracker[Date],U318,Tracker[Result],"W")/(COUNTIFS(Tracker[Date],U318,Tracker[Result],"W")+COUNTIFS(Tracker[Date],U318,Tracker[Result],"L")),"")</f>
        <v/>
      </c>
      <c r="X318" s="61">
        <f>SUMIF(Tracker[Date],U318,Tracker[Net])</f>
        <v>0</v>
      </c>
    </row>
    <row r="319" spans="1:24" x14ac:dyDescent="0.25">
      <c r="A319" s="36">
        <f t="shared" si="45"/>
        <v>32</v>
      </c>
      <c r="B319" s="25">
        <v>43864</v>
      </c>
      <c r="C319" s="25" t="str">
        <f t="shared" si="51"/>
        <v>NBA</v>
      </c>
      <c r="D319" s="26" t="s">
        <v>1412</v>
      </c>
      <c r="E319" s="28" t="s">
        <v>1413</v>
      </c>
      <c r="F319" s="67">
        <v>0.69558304545908656</v>
      </c>
      <c r="G319" s="29">
        <v>-110</v>
      </c>
      <c r="H319" s="50" t="s">
        <v>57</v>
      </c>
      <c r="I31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1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319" s="40" t="str">
        <f>MID(Tracker[[#This Row],[Game]],SEARCH("@",Tracker[[#This Row],[Game]])+2,LEN(Tracker[[#This Row],[Game]]))</f>
        <v>Grizzlies</v>
      </c>
      <c r="L319" s="40" t="str">
        <f>LEFT(Tracker[[#This Row],[Game]],SEARCH("@",Tracker[[#This Row],[Game]])-2)</f>
        <v>Pistons</v>
      </c>
      <c r="M31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319" s="123">
        <v>0.29700000000000004</v>
      </c>
      <c r="O319" s="147"/>
      <c r="P319" s="147"/>
      <c r="Q319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19" s="147" t="e">
        <f>IF(AND(Tracker[[#This Row],[Money %]]&lt;&gt;"",Tracker[[#This Row],[Bet %]]&lt;&gt;""),Tracker[[#This Row],[Money %]]-Tracker[[#This Row],[Bet %]],NA())</f>
        <v>#N/A</v>
      </c>
      <c r="S319" s="110"/>
      <c r="T319" s="110"/>
      <c r="U319" s="56">
        <f>IFERROR(INDEX($A$4:$B10315,MATCH(ROW()-3,$A$4:$A$4:$A1315,0),2),0)</f>
        <v>0</v>
      </c>
      <c r="V319" s="33" t="str">
        <f>COUNTIFS(Tracker[Date],U319,Tracker[Result],"W")&amp;"-"&amp;COUNTIFS(Tracker[Date],U319,Tracker[Result],"L")&amp;IF(COUNTIFS(Tracker[Date],U319,Tracker[Result],"Push")&gt;0,"-"&amp;COUNTIFS(Tracker[Date],U319,Tracker[Result],"Push"),"")</f>
        <v>0-0</v>
      </c>
      <c r="W319" s="34" t="str">
        <f>IFERROR(COUNTIFS(Tracker[Date],U319,Tracker[Result],"W")/(COUNTIFS(Tracker[Date],U319,Tracker[Result],"W")+COUNTIFS(Tracker[Date],U319,Tracker[Result],"L")),"")</f>
        <v/>
      </c>
      <c r="X319" s="61">
        <f>SUMIF(Tracker[Date],U319,Tracker[Net])</f>
        <v>0</v>
      </c>
    </row>
    <row r="320" spans="1:24" x14ac:dyDescent="0.25">
      <c r="A320" s="36">
        <f t="shared" si="45"/>
        <v>32</v>
      </c>
      <c r="B320" s="25">
        <v>43864</v>
      </c>
      <c r="C320" s="25" t="str">
        <f t="shared" si="51"/>
        <v>NBA</v>
      </c>
      <c r="D320" s="26" t="s">
        <v>1412</v>
      </c>
      <c r="E320" s="28" t="s">
        <v>1137</v>
      </c>
      <c r="F320" s="67">
        <v>0.79674849276554638</v>
      </c>
      <c r="G320" s="29">
        <v>-110</v>
      </c>
      <c r="H320" s="50" t="s">
        <v>57</v>
      </c>
      <c r="I32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2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320" s="40" t="str">
        <f>MID(Tracker[[#This Row],[Game]],SEARCH("@",Tracker[[#This Row],[Game]])+2,LEN(Tracker[[#This Row],[Game]]))</f>
        <v>Grizzlies</v>
      </c>
      <c r="L320" s="40" t="str">
        <f>LEFT(Tracker[[#This Row],[Game]],SEARCH("@",Tracker[[#This Row],[Game]])-2)</f>
        <v>Pistons</v>
      </c>
      <c r="M32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320" s="123">
        <v>0.53</v>
      </c>
      <c r="O320" s="147"/>
      <c r="P320" s="147"/>
      <c r="Q320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20" s="147" t="e">
        <f>IF(AND(Tracker[[#This Row],[Money %]]&lt;&gt;"",Tracker[[#This Row],[Bet %]]&lt;&gt;""),Tracker[[#This Row],[Money %]]-Tracker[[#This Row],[Bet %]],NA())</f>
        <v>#N/A</v>
      </c>
      <c r="S320" s="110"/>
      <c r="T320" s="110"/>
      <c r="U320" s="56">
        <f>IFERROR(INDEX($A$4:$B10316,MATCH(ROW()-3,$A$4:$A$4:$A1316,0),2),0)</f>
        <v>0</v>
      </c>
      <c r="V320" s="33" t="str">
        <f>COUNTIFS(Tracker[Date],U320,Tracker[Result],"W")&amp;"-"&amp;COUNTIFS(Tracker[Date],U320,Tracker[Result],"L")&amp;IF(COUNTIFS(Tracker[Date],U320,Tracker[Result],"Push")&gt;0,"-"&amp;COUNTIFS(Tracker[Date],U320,Tracker[Result],"Push"),"")</f>
        <v>0-0</v>
      </c>
      <c r="W320" s="34" t="str">
        <f>IFERROR(COUNTIFS(Tracker[Date],U320,Tracker[Result],"W")/(COUNTIFS(Tracker[Date],U320,Tracker[Result],"W")+COUNTIFS(Tracker[Date],U320,Tracker[Result],"L")),"")</f>
        <v/>
      </c>
      <c r="X320" s="61">
        <f>SUMIF(Tracker[Date],U320,Tracker[Net])</f>
        <v>0</v>
      </c>
    </row>
    <row r="321" spans="1:24" x14ac:dyDescent="0.25">
      <c r="A321" s="36">
        <f t="shared" si="45"/>
        <v>32</v>
      </c>
      <c r="B321" s="25">
        <v>43864</v>
      </c>
      <c r="C321" s="25" t="str">
        <f t="shared" si="51"/>
        <v>NBA</v>
      </c>
      <c r="D321" s="26" t="s">
        <v>1414</v>
      </c>
      <c r="E321" s="28" t="s">
        <v>1415</v>
      </c>
      <c r="F321" s="67">
        <v>0.76197811425314144</v>
      </c>
      <c r="G321" s="29">
        <v>-110</v>
      </c>
      <c r="H321" s="50" t="s">
        <v>56</v>
      </c>
      <c r="I32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2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321" s="40" t="str">
        <f>MID(Tracker[[#This Row],[Game]],SEARCH("@",Tracker[[#This Row],[Game]])+2,LEN(Tracker[[#This Row],[Game]]))</f>
        <v>Kings</v>
      </c>
      <c r="L321" s="40" t="str">
        <f>LEFT(Tracker[[#This Row],[Game]],SEARCH("@",Tracker[[#This Row],[Game]])-2)</f>
        <v>Timberwolves</v>
      </c>
      <c r="M32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321" s="123">
        <v>0.39950000000000002</v>
      </c>
      <c r="O321" s="147"/>
      <c r="P321" s="147"/>
      <c r="Q321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21" s="147" t="e">
        <f>IF(AND(Tracker[[#This Row],[Money %]]&lt;&gt;"",Tracker[[#This Row],[Bet %]]&lt;&gt;""),Tracker[[#This Row],[Money %]]-Tracker[[#This Row],[Bet %]],NA())</f>
        <v>#N/A</v>
      </c>
      <c r="S321" s="110"/>
      <c r="T321" s="110"/>
      <c r="U321" s="56">
        <f>IFERROR(INDEX($A$4:$B10317,MATCH(ROW()-3,$A$4:$A$4:$A1317,0),2),0)</f>
        <v>0</v>
      </c>
      <c r="V321" s="33" t="str">
        <f>COUNTIFS(Tracker[Date],U321,Tracker[Result],"W")&amp;"-"&amp;COUNTIFS(Tracker[Date],U321,Tracker[Result],"L")&amp;IF(COUNTIFS(Tracker[Date],U321,Tracker[Result],"Push")&gt;0,"-"&amp;COUNTIFS(Tracker[Date],U321,Tracker[Result],"Push"),"")</f>
        <v>0-0</v>
      </c>
      <c r="W321" s="34" t="str">
        <f>IFERROR(COUNTIFS(Tracker[Date],U321,Tracker[Result],"W")/(COUNTIFS(Tracker[Date],U321,Tracker[Result],"W")+COUNTIFS(Tracker[Date],U321,Tracker[Result],"L")),"")</f>
        <v/>
      </c>
      <c r="X321" s="61">
        <f>SUMIF(Tracker[Date],U321,Tracker[Net])</f>
        <v>0</v>
      </c>
    </row>
    <row r="322" spans="1:24" x14ac:dyDescent="0.25">
      <c r="A322" s="36">
        <f t="shared" si="45"/>
        <v>32</v>
      </c>
      <c r="B322" s="25">
        <v>43864</v>
      </c>
      <c r="C322" s="25" t="str">
        <f t="shared" si="51"/>
        <v>NBA</v>
      </c>
      <c r="D322" s="26" t="s">
        <v>1414</v>
      </c>
      <c r="E322" s="28" t="s">
        <v>789</v>
      </c>
      <c r="F322" s="67">
        <v>0.70918256732189167</v>
      </c>
      <c r="G322" s="29">
        <v>-110</v>
      </c>
      <c r="H322" s="50" t="s">
        <v>56</v>
      </c>
      <c r="I32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2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322" s="40" t="str">
        <f>MID(Tracker[[#This Row],[Game]],SEARCH("@",Tracker[[#This Row],[Game]])+2,LEN(Tracker[[#This Row],[Game]]))</f>
        <v>Kings</v>
      </c>
      <c r="L322" s="40" t="str">
        <f>LEFT(Tracker[[#This Row],[Game]],SEARCH("@",Tracker[[#This Row],[Game]])-2)</f>
        <v>Timberwolves</v>
      </c>
      <c r="M32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322" s="123">
        <v>0.44750000000000001</v>
      </c>
      <c r="O322" s="147"/>
      <c r="P322" s="147"/>
      <c r="Q322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22" s="147" t="e">
        <f>IF(AND(Tracker[[#This Row],[Money %]]&lt;&gt;"",Tracker[[#This Row],[Bet %]]&lt;&gt;""),Tracker[[#This Row],[Money %]]-Tracker[[#This Row],[Bet %]],NA())</f>
        <v>#N/A</v>
      </c>
      <c r="S322" s="110"/>
      <c r="T322" s="110"/>
      <c r="U322" s="56">
        <f>IFERROR(INDEX($A$4:$B10318,MATCH(ROW()-3,$A$4:$A$4:$A1318,0),2),0)</f>
        <v>0</v>
      </c>
      <c r="V322" s="33" t="str">
        <f>COUNTIFS(Tracker[Date],U322,Tracker[Result],"W")&amp;"-"&amp;COUNTIFS(Tracker[Date],U322,Tracker[Result],"L")&amp;IF(COUNTIFS(Tracker[Date],U322,Tracker[Result],"Push")&gt;0,"-"&amp;COUNTIFS(Tracker[Date],U322,Tracker[Result],"Push"),"")</f>
        <v>0-0</v>
      </c>
      <c r="W322" s="34" t="str">
        <f>IFERROR(COUNTIFS(Tracker[Date],U322,Tracker[Result],"W")/(COUNTIFS(Tracker[Date],U322,Tracker[Result],"W")+COUNTIFS(Tracker[Date],U322,Tracker[Result],"L")),"")</f>
        <v/>
      </c>
      <c r="X322" s="61">
        <f>SUMIF(Tracker[Date],U322,Tracker[Net])</f>
        <v>0</v>
      </c>
    </row>
    <row r="323" spans="1:24" x14ac:dyDescent="0.25">
      <c r="A323" s="36">
        <f t="shared" si="45"/>
        <v>32</v>
      </c>
      <c r="B323" s="25">
        <v>43864</v>
      </c>
      <c r="C323" s="25" t="str">
        <f t="shared" si="51"/>
        <v>NBA</v>
      </c>
      <c r="D323" s="51" t="s">
        <v>1416</v>
      </c>
      <c r="E323" s="28" t="s">
        <v>1417</v>
      </c>
      <c r="F323" s="67">
        <v>0.65782812909242017</v>
      </c>
      <c r="G323" s="29">
        <v>-110</v>
      </c>
      <c r="H323" s="50" t="s">
        <v>56</v>
      </c>
      <c r="I32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2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323" s="40" t="str">
        <f>MID(Tracker[[#This Row],[Game]],SEARCH("@",Tracker[[#This Row],[Game]])+2,LEN(Tracker[[#This Row],[Game]]))</f>
        <v>Clippers</v>
      </c>
      <c r="L323" s="40" t="str">
        <f>LEFT(Tracker[[#This Row],[Game]],SEARCH("@",Tracker[[#This Row],[Game]])-2)</f>
        <v>Spurs</v>
      </c>
      <c r="M32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323" s="123">
        <v>0.49850000000000005</v>
      </c>
      <c r="O323" s="147"/>
      <c r="P323" s="147"/>
      <c r="Q323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23" s="147" t="e">
        <f>IF(AND(Tracker[[#This Row],[Money %]]&lt;&gt;"",Tracker[[#This Row],[Bet %]]&lt;&gt;""),Tracker[[#This Row],[Money %]]-Tracker[[#This Row],[Bet %]],NA())</f>
        <v>#N/A</v>
      </c>
      <c r="S323" s="110"/>
      <c r="T323" s="110"/>
      <c r="U323" s="56">
        <f>IFERROR(INDEX($A$4:$B10319,MATCH(ROW()-3,$A$4:$A$4:$A1319,0),2),0)</f>
        <v>0</v>
      </c>
      <c r="V323" s="33" t="str">
        <f>COUNTIFS(Tracker[Date],U323,Tracker[Result],"W")&amp;"-"&amp;COUNTIFS(Tracker[Date],U323,Tracker[Result],"L")&amp;IF(COUNTIFS(Tracker[Date],U323,Tracker[Result],"Push")&gt;0,"-"&amp;COUNTIFS(Tracker[Date],U323,Tracker[Result],"Push"),"")</f>
        <v>0-0</v>
      </c>
      <c r="W323" s="34" t="str">
        <f>IFERROR(COUNTIFS(Tracker[Date],U323,Tracker[Result],"W")/(COUNTIFS(Tracker[Date],U323,Tracker[Result],"W")+COUNTIFS(Tracker[Date],U323,Tracker[Result],"L")),"")</f>
        <v/>
      </c>
      <c r="X323" s="61">
        <f>SUMIF(Tracker[Date],U323,Tracker[Net])</f>
        <v>0</v>
      </c>
    </row>
    <row r="324" spans="1:24" x14ac:dyDescent="0.25">
      <c r="A324" s="36">
        <f t="shared" si="45"/>
        <v>33</v>
      </c>
      <c r="B324" s="25">
        <v>43865</v>
      </c>
      <c r="C324" s="25" t="str">
        <f t="shared" ref="C324:C328" si="52">"NBA"</f>
        <v>NBA</v>
      </c>
      <c r="D324" s="26" t="s">
        <v>1438</v>
      </c>
      <c r="E324" s="28" t="s">
        <v>1439</v>
      </c>
      <c r="F324" s="74">
        <v>0.7854274041796081</v>
      </c>
      <c r="G324" s="29">
        <v>-110</v>
      </c>
      <c r="H324" s="129" t="s">
        <v>56</v>
      </c>
      <c r="I32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2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324" s="40" t="str">
        <f>MID(Tracker[[#This Row],[Game]],SEARCH("@",Tracker[[#This Row],[Game]])+2,LEN(Tracker[[#This Row],[Game]]))</f>
        <v>Pelicans</v>
      </c>
      <c r="L324" s="40" t="str">
        <f>LEFT(Tracker[[#This Row],[Game]],SEARCH("@",Tracker[[#This Row],[Game]])-2)</f>
        <v>Bucks</v>
      </c>
      <c r="M32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324" s="123">
        <v>0.4355</v>
      </c>
      <c r="O324" s="147"/>
      <c r="P324" s="147"/>
      <c r="Q32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24" s="147" t="e">
        <f>IF(AND(Tracker[[#This Row],[Money %]]&lt;&gt;"",Tracker[[#This Row],[Bet %]]&lt;&gt;""),Tracker[[#This Row],[Money %]]-Tracker[[#This Row],[Bet %]],NA())</f>
        <v>#N/A</v>
      </c>
      <c r="S324" s="110"/>
      <c r="T324" s="110"/>
      <c r="U324" s="56">
        <f>IFERROR(INDEX($A$4:$B10320,MATCH(ROW()-3,$A$4:$A$4:$A1320,0),2),0)</f>
        <v>0</v>
      </c>
      <c r="V324" s="33" t="str">
        <f>COUNTIFS(Tracker[Date],U324,Tracker[Result],"W")&amp;"-"&amp;COUNTIFS(Tracker[Date],U324,Tracker[Result],"L")&amp;IF(COUNTIFS(Tracker[Date],U324,Tracker[Result],"Push")&gt;0,"-"&amp;COUNTIFS(Tracker[Date],U324,Tracker[Result],"Push"),"")</f>
        <v>0-0</v>
      </c>
      <c r="W324" s="34" t="str">
        <f>IFERROR(COUNTIFS(Tracker[Date],U324,Tracker[Result],"W")/(COUNTIFS(Tracker[Date],U324,Tracker[Result],"W")+COUNTIFS(Tracker[Date],U324,Tracker[Result],"L")),"")</f>
        <v/>
      </c>
      <c r="X324" s="61">
        <f>SUMIF(Tracker[Date],U324,Tracker[Net])</f>
        <v>0</v>
      </c>
    </row>
    <row r="325" spans="1:24" x14ac:dyDescent="0.25">
      <c r="A325" s="36">
        <f t="shared" ref="A325:A388" si="53">IF(B325=B324,A324,A324+1)</f>
        <v>33</v>
      </c>
      <c r="B325" s="25">
        <v>43865</v>
      </c>
      <c r="C325" s="25" t="str">
        <f t="shared" si="52"/>
        <v>NBA</v>
      </c>
      <c r="D325" s="26" t="s">
        <v>1440</v>
      </c>
      <c r="E325" s="28" t="s">
        <v>1251</v>
      </c>
      <c r="F325" s="74">
        <v>0.62169646931842881</v>
      </c>
      <c r="G325" s="29">
        <v>-110</v>
      </c>
      <c r="H325" s="131" t="s">
        <v>56</v>
      </c>
      <c r="I32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2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325" s="40" t="str">
        <f>MID(Tracker[[#This Row],[Game]],SEARCH("@",Tracker[[#This Row],[Game]])+2,LEN(Tracker[[#This Row],[Game]]))</f>
        <v>Rockets</v>
      </c>
      <c r="L325" s="40" t="str">
        <f>LEFT(Tracker[[#This Row],[Game]],SEARCH("@",Tracker[[#This Row],[Game]])-2)</f>
        <v>Hornets</v>
      </c>
      <c r="M32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325" s="123">
        <v>0.51749999999999996</v>
      </c>
      <c r="O325" s="147"/>
      <c r="P325" s="147"/>
      <c r="Q32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25" s="147" t="e">
        <f>IF(AND(Tracker[[#This Row],[Money %]]&lt;&gt;"",Tracker[[#This Row],[Bet %]]&lt;&gt;""),Tracker[[#This Row],[Money %]]-Tracker[[#This Row],[Bet %]],NA())</f>
        <v>#N/A</v>
      </c>
      <c r="S325" s="110"/>
      <c r="T325" s="110"/>
      <c r="U325" s="56">
        <f>IFERROR(INDEX($A$4:$B10321,MATCH(ROW()-3,$A$4:$A$4:$A1321,0),2),0)</f>
        <v>0</v>
      </c>
      <c r="V325" s="33" t="str">
        <f>COUNTIFS(Tracker[Date],U325,Tracker[Result],"W")&amp;"-"&amp;COUNTIFS(Tracker[Date],U325,Tracker[Result],"L")&amp;IF(COUNTIFS(Tracker[Date],U325,Tracker[Result],"Push")&gt;0,"-"&amp;COUNTIFS(Tracker[Date],U325,Tracker[Result],"Push"),"")</f>
        <v>0-0</v>
      </c>
      <c r="W325" s="34" t="str">
        <f>IFERROR(COUNTIFS(Tracker[Date],U325,Tracker[Result],"W")/(COUNTIFS(Tracker[Date],U325,Tracker[Result],"W")+COUNTIFS(Tracker[Date],U325,Tracker[Result],"L")),"")</f>
        <v/>
      </c>
      <c r="X325" s="61">
        <f>SUMIF(Tracker[Date],U325,Tracker[Net])</f>
        <v>0</v>
      </c>
    </row>
    <row r="326" spans="1:24" x14ac:dyDescent="0.25">
      <c r="A326" s="36">
        <f t="shared" si="53"/>
        <v>33</v>
      </c>
      <c r="B326" s="25">
        <v>43865</v>
      </c>
      <c r="C326" s="25" t="str">
        <f t="shared" si="52"/>
        <v>NBA</v>
      </c>
      <c r="D326" s="26" t="s">
        <v>889</v>
      </c>
      <c r="E326" s="28" t="s">
        <v>1441</v>
      </c>
      <c r="F326" s="74">
        <v>0.64450775365069779</v>
      </c>
      <c r="G326" s="29">
        <v>-110</v>
      </c>
      <c r="H326" s="125" t="s">
        <v>56</v>
      </c>
      <c r="I32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2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326" s="40" t="str">
        <f>MID(Tracker[[#This Row],[Game]],SEARCH("@",Tracker[[#This Row],[Game]])+2,LEN(Tracker[[#This Row],[Game]]))</f>
        <v>Nuggets</v>
      </c>
      <c r="L326" s="40" t="str">
        <f>LEFT(Tracker[[#This Row],[Game]],SEARCH("@",Tracker[[#This Row],[Game]])-2)</f>
        <v>Trail Blazers</v>
      </c>
      <c r="M32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326" s="123">
        <v>0.51900000000000002</v>
      </c>
      <c r="O326" s="147"/>
      <c r="P326" s="147"/>
      <c r="Q326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26" s="147" t="e">
        <f>IF(AND(Tracker[[#This Row],[Money %]]&lt;&gt;"",Tracker[[#This Row],[Bet %]]&lt;&gt;""),Tracker[[#This Row],[Money %]]-Tracker[[#This Row],[Bet %]],NA())</f>
        <v>#N/A</v>
      </c>
      <c r="S326" s="110"/>
      <c r="T326" s="110"/>
      <c r="U326" s="56">
        <f>IFERROR(INDEX($A$4:$B10322,MATCH(ROW()-3,$A$4:$A$4:$A1322,0),2),0)</f>
        <v>0</v>
      </c>
      <c r="V326" s="33" t="str">
        <f>COUNTIFS(Tracker[Date],U326,Tracker[Result],"W")&amp;"-"&amp;COUNTIFS(Tracker[Date],U326,Tracker[Result],"L")&amp;IF(COUNTIFS(Tracker[Date],U326,Tracker[Result],"Push")&gt;0,"-"&amp;COUNTIFS(Tracker[Date],U326,Tracker[Result],"Push"),"")</f>
        <v>0-0</v>
      </c>
      <c r="W326" s="34" t="str">
        <f>IFERROR(COUNTIFS(Tracker[Date],U326,Tracker[Result],"W")/(COUNTIFS(Tracker[Date],U326,Tracker[Result],"W")+COUNTIFS(Tracker[Date],U326,Tracker[Result],"L")),"")</f>
        <v/>
      </c>
      <c r="X326" s="61">
        <f>SUMIF(Tracker[Date],U326,Tracker[Net])</f>
        <v>0</v>
      </c>
    </row>
    <row r="327" spans="1:24" x14ac:dyDescent="0.25">
      <c r="A327" s="36">
        <f t="shared" si="53"/>
        <v>33</v>
      </c>
      <c r="B327" s="25">
        <v>43865</v>
      </c>
      <c r="C327" s="25" t="str">
        <f t="shared" si="52"/>
        <v>NBA</v>
      </c>
      <c r="D327" s="26" t="s">
        <v>889</v>
      </c>
      <c r="E327" s="28" t="s">
        <v>1442</v>
      </c>
      <c r="F327" s="74">
        <v>0.5657305799037966</v>
      </c>
      <c r="G327" s="29">
        <v>-110</v>
      </c>
      <c r="H327" s="125" t="s">
        <v>847</v>
      </c>
      <c r="I32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</v>
      </c>
      <c r="J32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327" s="40" t="str">
        <f>MID(Tracker[[#This Row],[Game]],SEARCH("@",Tracker[[#This Row],[Game]])+2,LEN(Tracker[[#This Row],[Game]]))</f>
        <v>Nuggets</v>
      </c>
      <c r="L327" s="40" t="str">
        <f>LEFT(Tracker[[#This Row],[Game]],SEARCH("@",Tracker[[#This Row],[Game]])-2)</f>
        <v>Trail Blazers</v>
      </c>
      <c r="M32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327" s="123">
        <v>0.43100000000000005</v>
      </c>
      <c r="O327" s="147"/>
      <c r="P327" s="147"/>
      <c r="Q327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27" s="147" t="e">
        <f>IF(AND(Tracker[[#This Row],[Money %]]&lt;&gt;"",Tracker[[#This Row],[Bet %]]&lt;&gt;""),Tracker[[#This Row],[Money %]]-Tracker[[#This Row],[Bet %]],NA())</f>
        <v>#N/A</v>
      </c>
      <c r="S327" s="110"/>
      <c r="T327" s="110"/>
      <c r="U327" s="56">
        <f>IFERROR(INDEX($A$4:$B10323,MATCH(ROW()-3,$A$4:$A$4:$A1323,0),2),0)</f>
        <v>0</v>
      </c>
      <c r="V327" s="33" t="str">
        <f>COUNTIFS(Tracker[Date],U327,Tracker[Result],"W")&amp;"-"&amp;COUNTIFS(Tracker[Date],U327,Tracker[Result],"L")&amp;IF(COUNTIFS(Tracker[Date],U327,Tracker[Result],"Push")&gt;0,"-"&amp;COUNTIFS(Tracker[Date],U327,Tracker[Result],"Push"),"")</f>
        <v>0-0</v>
      </c>
      <c r="W327" s="34" t="str">
        <f>IFERROR(COUNTIFS(Tracker[Date],U327,Tracker[Result],"W")/(COUNTIFS(Tracker[Date],U327,Tracker[Result],"W")+COUNTIFS(Tracker[Date],U327,Tracker[Result],"L")),"")</f>
        <v/>
      </c>
      <c r="X327" s="61">
        <f>SUMIF(Tracker[Date],U327,Tracker[Net])</f>
        <v>0</v>
      </c>
    </row>
    <row r="328" spans="1:24" x14ac:dyDescent="0.25">
      <c r="A328" s="36">
        <f t="shared" si="53"/>
        <v>33</v>
      </c>
      <c r="B328" s="25">
        <v>43865</v>
      </c>
      <c r="C328" s="25" t="str">
        <f t="shared" si="52"/>
        <v>NBA</v>
      </c>
      <c r="D328" s="26" t="s">
        <v>1443</v>
      </c>
      <c r="E328" s="28" t="s">
        <v>1444</v>
      </c>
      <c r="F328" s="74">
        <v>0.65083819724496106</v>
      </c>
      <c r="G328" s="29">
        <v>-110</v>
      </c>
      <c r="H328" s="125" t="s">
        <v>57</v>
      </c>
      <c r="I32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2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328" s="40" t="str">
        <f>MID(Tracker[[#This Row],[Game]],SEARCH("@",Tracker[[#This Row],[Game]])+2,LEN(Tracker[[#This Row],[Game]]))</f>
        <v>Lakers</v>
      </c>
      <c r="L328" s="40" t="str">
        <f>LEFT(Tracker[[#This Row],[Game]],SEARCH("@",Tracker[[#This Row],[Game]])-2)</f>
        <v>Spurs</v>
      </c>
      <c r="M32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328" s="123">
        <v>0.47699999999999998</v>
      </c>
      <c r="O328" s="147"/>
      <c r="P328" s="147"/>
      <c r="Q328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28" s="147" t="e">
        <f>IF(AND(Tracker[[#This Row],[Money %]]&lt;&gt;"",Tracker[[#This Row],[Bet %]]&lt;&gt;""),Tracker[[#This Row],[Money %]]-Tracker[[#This Row],[Bet %]],NA())</f>
        <v>#N/A</v>
      </c>
      <c r="S328" s="110"/>
      <c r="T328" s="110"/>
      <c r="U328" s="56">
        <f>IFERROR(INDEX($A$4:$B10324,MATCH(ROW()-3,$A$4:$A$4:$A1324,0),2),0)</f>
        <v>0</v>
      </c>
      <c r="V328" s="33" t="str">
        <f>COUNTIFS(Tracker[Date],U328,Tracker[Result],"W")&amp;"-"&amp;COUNTIFS(Tracker[Date],U328,Tracker[Result],"L")&amp;IF(COUNTIFS(Tracker[Date],U328,Tracker[Result],"Push")&gt;0,"-"&amp;COUNTIFS(Tracker[Date],U328,Tracker[Result],"Push"),"")</f>
        <v>0-0</v>
      </c>
      <c r="W328" s="34" t="str">
        <f>IFERROR(COUNTIFS(Tracker[Date],U328,Tracker[Result],"W")/(COUNTIFS(Tracker[Date],U328,Tracker[Result],"W")+COUNTIFS(Tracker[Date],U328,Tracker[Result],"L")),"")</f>
        <v/>
      </c>
      <c r="X328" s="61">
        <f>SUMIF(Tracker[Date],U328,Tracker[Net])</f>
        <v>0</v>
      </c>
    </row>
    <row r="329" spans="1:24" x14ac:dyDescent="0.25">
      <c r="A329" s="36">
        <f t="shared" si="53"/>
        <v>34</v>
      </c>
      <c r="B329" s="25">
        <v>43866</v>
      </c>
      <c r="C329" s="25" t="str">
        <f t="shared" ref="C329:C344" si="54">"NBA"</f>
        <v>NBA</v>
      </c>
      <c r="D329" s="26" t="s">
        <v>1452</v>
      </c>
      <c r="E329" s="28" t="s">
        <v>1453</v>
      </c>
      <c r="F329" s="74">
        <v>0.61626738393083236</v>
      </c>
      <c r="G329" s="29">
        <v>-110</v>
      </c>
      <c r="H329" s="50" t="s">
        <v>56</v>
      </c>
      <c r="I32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2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329" s="40" t="str">
        <f>MID(Tracker[[#This Row],[Game]],SEARCH("@",Tracker[[#This Row],[Game]])+2,LEN(Tracker[[#This Row],[Game]]))</f>
        <v>Pistons</v>
      </c>
      <c r="L329" s="40" t="str">
        <f>LEFT(Tracker[[#This Row],[Game]],SEARCH("@",Tracker[[#This Row],[Game]])-2)</f>
        <v>Suns</v>
      </c>
      <c r="M32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HD</v>
      </c>
      <c r="N329" s="123">
        <v>0.4425</v>
      </c>
      <c r="O329" s="147"/>
      <c r="P329" s="147"/>
      <c r="Q329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29" s="147" t="e">
        <f>IF(AND(Tracker[[#This Row],[Money %]]&lt;&gt;"",Tracker[[#This Row],[Bet %]]&lt;&gt;""),Tracker[[#This Row],[Money %]]-Tracker[[#This Row],[Bet %]],NA())</f>
        <v>#N/A</v>
      </c>
      <c r="S329" s="110"/>
      <c r="T329" s="110"/>
      <c r="U329" s="56">
        <f>IFERROR(INDEX($A$4:$B10325,MATCH(ROW()-3,$A$4:$A$4:$A1325,0),2),0)</f>
        <v>0</v>
      </c>
      <c r="V329" s="33" t="str">
        <f>COUNTIFS(Tracker[Date],U329,Tracker[Result],"W")&amp;"-"&amp;COUNTIFS(Tracker[Date],U329,Tracker[Result],"L")&amp;IF(COUNTIFS(Tracker[Date],U329,Tracker[Result],"Push")&gt;0,"-"&amp;COUNTIFS(Tracker[Date],U329,Tracker[Result],"Push"),"")</f>
        <v>0-0</v>
      </c>
      <c r="W329" s="34" t="str">
        <f>IFERROR(COUNTIFS(Tracker[Date],U329,Tracker[Result],"W")/(COUNTIFS(Tracker[Date],U329,Tracker[Result],"W")+COUNTIFS(Tracker[Date],U329,Tracker[Result],"L")),"")</f>
        <v/>
      </c>
      <c r="X329" s="61">
        <f>SUMIF(Tracker[Date],U329,Tracker[Net])</f>
        <v>0</v>
      </c>
    </row>
    <row r="330" spans="1:24" x14ac:dyDescent="0.25">
      <c r="A330" s="36">
        <f t="shared" si="53"/>
        <v>34</v>
      </c>
      <c r="B330" s="25">
        <v>43866</v>
      </c>
      <c r="C330" s="25" t="str">
        <f t="shared" si="54"/>
        <v>NBA</v>
      </c>
      <c r="D330" s="26" t="s">
        <v>1452</v>
      </c>
      <c r="E330" s="28" t="s">
        <v>1454</v>
      </c>
      <c r="F330" s="74">
        <v>0.63142312045867865</v>
      </c>
      <c r="G330" s="29">
        <v>-110</v>
      </c>
      <c r="H330" s="50" t="s">
        <v>56</v>
      </c>
      <c r="I33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3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330" s="40" t="str">
        <f>MID(Tracker[[#This Row],[Game]],SEARCH("@",Tracker[[#This Row],[Game]])+2,LEN(Tracker[[#This Row],[Game]]))</f>
        <v>Pistons</v>
      </c>
      <c r="L330" s="40" t="str">
        <f>LEFT(Tracker[[#This Row],[Game]],SEARCH("@",Tracker[[#This Row],[Game]])-2)</f>
        <v>Suns</v>
      </c>
      <c r="M33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330" s="123">
        <v>0.57499999999999996</v>
      </c>
      <c r="O330" s="147"/>
      <c r="P330" s="147"/>
      <c r="Q330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30" s="147" t="e">
        <f>IF(AND(Tracker[[#This Row],[Money %]]&lt;&gt;"",Tracker[[#This Row],[Bet %]]&lt;&gt;""),Tracker[[#This Row],[Money %]]-Tracker[[#This Row],[Bet %]],NA())</f>
        <v>#N/A</v>
      </c>
      <c r="S330" s="110"/>
      <c r="T330" s="110"/>
      <c r="U330" s="56">
        <f>IFERROR(INDEX($A$4:$B10326,MATCH(ROW()-3,$A$4:$A$4:$A1326,0),2),0)</f>
        <v>0</v>
      </c>
      <c r="V330" s="33" t="str">
        <f>COUNTIFS(Tracker[Date],U330,Tracker[Result],"W")&amp;"-"&amp;COUNTIFS(Tracker[Date],U330,Tracker[Result],"L")&amp;IF(COUNTIFS(Tracker[Date],U330,Tracker[Result],"Push")&gt;0,"-"&amp;COUNTIFS(Tracker[Date],U330,Tracker[Result],"Push"),"")</f>
        <v>0-0</v>
      </c>
      <c r="W330" s="34" t="str">
        <f>IFERROR(COUNTIFS(Tracker[Date],U330,Tracker[Result],"W")/(COUNTIFS(Tracker[Date],U330,Tracker[Result],"W")+COUNTIFS(Tracker[Date],U330,Tracker[Result],"L")),"")</f>
        <v/>
      </c>
      <c r="X330" s="61">
        <f>SUMIF(Tracker[Date],U330,Tracker[Net])</f>
        <v>0</v>
      </c>
    </row>
    <row r="331" spans="1:24" x14ac:dyDescent="0.25">
      <c r="A331" s="36">
        <f t="shared" si="53"/>
        <v>34</v>
      </c>
      <c r="B331" s="25">
        <v>43866</v>
      </c>
      <c r="C331" s="25" t="str">
        <f t="shared" si="54"/>
        <v>NBA</v>
      </c>
      <c r="D331" s="26" t="s">
        <v>1455</v>
      </c>
      <c r="E331" s="28" t="s">
        <v>1456</v>
      </c>
      <c r="F331" s="74">
        <v>0.666332403570423</v>
      </c>
      <c r="G331" s="29">
        <v>-110</v>
      </c>
      <c r="H331" s="50" t="s">
        <v>56</v>
      </c>
      <c r="I33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3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331" s="40" t="str">
        <f>MID(Tracker[[#This Row],[Game]],SEARCH("@",Tracker[[#This Row],[Game]])+2,LEN(Tracker[[#This Row],[Game]]))</f>
        <v>Celtics</v>
      </c>
      <c r="L331" s="40" t="str">
        <f>LEFT(Tracker[[#This Row],[Game]],SEARCH("@",Tracker[[#This Row],[Game]])-2)</f>
        <v>Magic</v>
      </c>
      <c r="M33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331" s="123">
        <v>0.55000000000000004</v>
      </c>
      <c r="O331" s="147"/>
      <c r="P331" s="147"/>
      <c r="Q331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31" s="147" t="e">
        <f>IF(AND(Tracker[[#This Row],[Money %]]&lt;&gt;"",Tracker[[#This Row],[Bet %]]&lt;&gt;""),Tracker[[#This Row],[Money %]]-Tracker[[#This Row],[Bet %]],NA())</f>
        <v>#N/A</v>
      </c>
      <c r="S331" s="110"/>
      <c r="T331" s="110"/>
      <c r="U331" s="56">
        <f>IFERROR(INDEX($A$4:$B10327,MATCH(ROW()-3,$A$4:$A$4:$A1327,0),2),0)</f>
        <v>0</v>
      </c>
      <c r="V331" s="33" t="str">
        <f>COUNTIFS(Tracker[Date],U331,Tracker[Result],"W")&amp;"-"&amp;COUNTIFS(Tracker[Date],U331,Tracker[Result],"L")&amp;IF(COUNTIFS(Tracker[Date],U331,Tracker[Result],"Push")&gt;0,"-"&amp;COUNTIFS(Tracker[Date],U331,Tracker[Result],"Push"),"")</f>
        <v>0-0</v>
      </c>
      <c r="W331" s="34" t="str">
        <f>IFERROR(COUNTIFS(Tracker[Date],U331,Tracker[Result],"W")/(COUNTIFS(Tracker[Date],U331,Tracker[Result],"W")+COUNTIFS(Tracker[Date],U331,Tracker[Result],"L")),"")</f>
        <v/>
      </c>
      <c r="X331" s="61">
        <f>SUMIF(Tracker[Date],U331,Tracker[Net])</f>
        <v>0</v>
      </c>
    </row>
    <row r="332" spans="1:24" x14ac:dyDescent="0.25">
      <c r="A332" s="36">
        <f t="shared" si="53"/>
        <v>34</v>
      </c>
      <c r="B332" s="25">
        <v>43866</v>
      </c>
      <c r="C332" s="25" t="str">
        <f t="shared" si="54"/>
        <v>NBA</v>
      </c>
      <c r="D332" s="26" t="s">
        <v>1455</v>
      </c>
      <c r="E332" s="28" t="s">
        <v>1457</v>
      </c>
      <c r="F332" s="74">
        <v>0.66438623797296192</v>
      </c>
      <c r="G332" s="29">
        <v>-110</v>
      </c>
      <c r="H332" s="50" t="s">
        <v>57</v>
      </c>
      <c r="I33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3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332" s="40" t="str">
        <f>MID(Tracker[[#This Row],[Game]],SEARCH("@",Tracker[[#This Row],[Game]])+2,LEN(Tracker[[#This Row],[Game]]))</f>
        <v>Celtics</v>
      </c>
      <c r="L332" s="40" t="str">
        <f>LEFT(Tracker[[#This Row],[Game]],SEARCH("@",Tracker[[#This Row],[Game]])-2)</f>
        <v>Magic</v>
      </c>
      <c r="M33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332" s="123">
        <v>0.48899999999999999</v>
      </c>
      <c r="O332" s="147"/>
      <c r="P332" s="147"/>
      <c r="Q332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32" s="147" t="e">
        <f>IF(AND(Tracker[[#This Row],[Money %]]&lt;&gt;"",Tracker[[#This Row],[Bet %]]&lt;&gt;""),Tracker[[#This Row],[Money %]]-Tracker[[#This Row],[Bet %]],NA())</f>
        <v>#N/A</v>
      </c>
      <c r="S332" s="110"/>
      <c r="T332" s="110"/>
      <c r="U332" s="56">
        <f>IFERROR(INDEX($A$4:$B10328,MATCH(ROW()-3,$A$4:$A$4:$A1328,0),2),0)</f>
        <v>0</v>
      </c>
      <c r="V332" s="33" t="str">
        <f>COUNTIFS(Tracker[Date],U332,Tracker[Result],"W")&amp;"-"&amp;COUNTIFS(Tracker[Date],U332,Tracker[Result],"L")&amp;IF(COUNTIFS(Tracker[Date],U332,Tracker[Result],"Push")&gt;0,"-"&amp;COUNTIFS(Tracker[Date],U332,Tracker[Result],"Push"),"")</f>
        <v>0-0</v>
      </c>
      <c r="W332" s="34" t="str">
        <f>IFERROR(COUNTIFS(Tracker[Date],U332,Tracker[Result],"W")/(COUNTIFS(Tracker[Date],U332,Tracker[Result],"W")+COUNTIFS(Tracker[Date],U332,Tracker[Result],"L")),"")</f>
        <v/>
      </c>
      <c r="X332" s="61">
        <f>SUMIF(Tracker[Date],U332,Tracker[Net])</f>
        <v>0</v>
      </c>
    </row>
    <row r="333" spans="1:24" x14ac:dyDescent="0.25">
      <c r="A333" s="36">
        <f t="shared" si="53"/>
        <v>34</v>
      </c>
      <c r="B333" s="25">
        <v>43866</v>
      </c>
      <c r="C333" s="25" t="str">
        <f t="shared" si="54"/>
        <v>NBA</v>
      </c>
      <c r="D333" s="26" t="s">
        <v>1458</v>
      </c>
      <c r="E333" s="28" t="s">
        <v>1459</v>
      </c>
      <c r="F333" s="74">
        <v>0.6681791580872688</v>
      </c>
      <c r="G333" s="29">
        <v>-110</v>
      </c>
      <c r="H333" s="50" t="s">
        <v>56</v>
      </c>
      <c r="I33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3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333" s="40" t="str">
        <f>MID(Tracker[[#This Row],[Game]],SEARCH("@",Tracker[[#This Row],[Game]])+2,LEN(Tracker[[#This Row],[Game]]))</f>
        <v>Nets</v>
      </c>
      <c r="L333" s="40" t="str">
        <f>LEFT(Tracker[[#This Row],[Game]],SEARCH("@",Tracker[[#This Row],[Game]])-2)</f>
        <v>Warriors</v>
      </c>
      <c r="M33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333" s="123">
        <v>0.49099999999999999</v>
      </c>
      <c r="O333" s="147"/>
      <c r="P333" s="147"/>
      <c r="Q333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33" s="147" t="e">
        <f>IF(AND(Tracker[[#This Row],[Money %]]&lt;&gt;"",Tracker[[#This Row],[Bet %]]&lt;&gt;""),Tracker[[#This Row],[Money %]]-Tracker[[#This Row],[Bet %]],NA())</f>
        <v>#N/A</v>
      </c>
      <c r="S333" s="110"/>
      <c r="T333" s="110"/>
      <c r="U333" s="56">
        <f>IFERROR(INDEX($A$4:$B10329,MATCH(ROW()-3,$A$4:$A$4:$A1329,0),2),0)</f>
        <v>0</v>
      </c>
      <c r="V333" s="33" t="str">
        <f>COUNTIFS(Tracker[Date],U333,Tracker[Result],"W")&amp;"-"&amp;COUNTIFS(Tracker[Date],U333,Tracker[Result],"L")&amp;IF(COUNTIFS(Tracker[Date],U333,Tracker[Result],"Push")&gt;0,"-"&amp;COUNTIFS(Tracker[Date],U333,Tracker[Result],"Push"),"")</f>
        <v>0-0</v>
      </c>
      <c r="W333" s="34" t="str">
        <f>IFERROR(COUNTIFS(Tracker[Date],U333,Tracker[Result],"W")/(COUNTIFS(Tracker[Date],U333,Tracker[Result],"W")+COUNTIFS(Tracker[Date],U333,Tracker[Result],"L")),"")</f>
        <v/>
      </c>
      <c r="X333" s="61">
        <f>SUMIF(Tracker[Date],U333,Tracker[Net])</f>
        <v>0</v>
      </c>
    </row>
    <row r="334" spans="1:24" x14ac:dyDescent="0.25">
      <c r="A334" s="36">
        <f t="shared" si="53"/>
        <v>34</v>
      </c>
      <c r="B334" s="25">
        <v>43866</v>
      </c>
      <c r="C334" s="25" t="str">
        <f t="shared" si="54"/>
        <v>NBA</v>
      </c>
      <c r="D334" s="26" t="s">
        <v>1460</v>
      </c>
      <c r="E334" s="28" t="s">
        <v>1461</v>
      </c>
      <c r="F334" s="74">
        <v>0.77718565190590483</v>
      </c>
      <c r="G334" s="29">
        <v>-110</v>
      </c>
      <c r="H334" s="50" t="s">
        <v>57</v>
      </c>
      <c r="I33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3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334" s="40" t="str">
        <f>MID(Tracker[[#This Row],[Game]],SEARCH("@",Tracker[[#This Row],[Game]])+2,LEN(Tracker[[#This Row],[Game]]))</f>
        <v>Raptors</v>
      </c>
      <c r="L334" s="40" t="str">
        <f>LEFT(Tracker[[#This Row],[Game]],SEARCH("@",Tracker[[#This Row],[Game]])-2)</f>
        <v>Pacers</v>
      </c>
      <c r="M33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334" s="123">
        <v>0.56850000000000001</v>
      </c>
      <c r="O334" s="147"/>
      <c r="P334" s="147"/>
      <c r="Q33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34" s="147" t="e">
        <f>IF(AND(Tracker[[#This Row],[Money %]]&lt;&gt;"",Tracker[[#This Row],[Bet %]]&lt;&gt;""),Tracker[[#This Row],[Money %]]-Tracker[[#This Row],[Bet %]],NA())</f>
        <v>#N/A</v>
      </c>
      <c r="S334" s="110"/>
      <c r="T334" s="110"/>
      <c r="U334" s="56">
        <f>IFERROR(INDEX($A$4:$B10330,MATCH(ROW()-3,$A$4:$A$4:$A1330,0),2),0)</f>
        <v>0</v>
      </c>
      <c r="V334" s="33" t="str">
        <f>COUNTIFS(Tracker[Date],U334,Tracker[Result],"W")&amp;"-"&amp;COUNTIFS(Tracker[Date],U334,Tracker[Result],"L")&amp;IF(COUNTIFS(Tracker[Date],U334,Tracker[Result],"Push")&gt;0,"-"&amp;COUNTIFS(Tracker[Date],U334,Tracker[Result],"Push"),"")</f>
        <v>0-0</v>
      </c>
      <c r="W334" s="34" t="str">
        <f>IFERROR(COUNTIFS(Tracker[Date],U334,Tracker[Result],"W")/(COUNTIFS(Tracker[Date],U334,Tracker[Result],"W")+COUNTIFS(Tracker[Date],U334,Tracker[Result],"L")),"")</f>
        <v/>
      </c>
      <c r="X334" s="61">
        <f>SUMIF(Tracker[Date],U334,Tracker[Net])</f>
        <v>0</v>
      </c>
    </row>
    <row r="335" spans="1:24" x14ac:dyDescent="0.25">
      <c r="A335" s="36">
        <f t="shared" si="53"/>
        <v>34</v>
      </c>
      <c r="B335" s="25">
        <v>43866</v>
      </c>
      <c r="C335" s="25" t="str">
        <f t="shared" si="54"/>
        <v>NBA</v>
      </c>
      <c r="D335" s="26" t="s">
        <v>1460</v>
      </c>
      <c r="E335" s="28" t="s">
        <v>1462</v>
      </c>
      <c r="F335" s="67">
        <v>0.57959896338406536</v>
      </c>
      <c r="G335" s="29">
        <v>-110</v>
      </c>
      <c r="H335" s="50" t="s">
        <v>57</v>
      </c>
      <c r="I33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3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335" s="40" t="str">
        <f>MID(Tracker[[#This Row],[Game]],SEARCH("@",Tracker[[#This Row],[Game]])+2,LEN(Tracker[[#This Row],[Game]]))</f>
        <v>Raptors</v>
      </c>
      <c r="L335" s="40" t="str">
        <f>LEFT(Tracker[[#This Row],[Game]],SEARCH("@",Tracker[[#This Row],[Game]])-2)</f>
        <v>Pacers</v>
      </c>
      <c r="M33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335" s="123">
        <v>0.45999999999999996</v>
      </c>
      <c r="O335" s="147"/>
      <c r="P335" s="147"/>
      <c r="Q33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35" s="147" t="e">
        <f>IF(AND(Tracker[[#This Row],[Money %]]&lt;&gt;"",Tracker[[#This Row],[Bet %]]&lt;&gt;""),Tracker[[#This Row],[Money %]]-Tracker[[#This Row],[Bet %]],NA())</f>
        <v>#N/A</v>
      </c>
      <c r="S335" s="110"/>
      <c r="T335" s="110"/>
      <c r="U335" s="56">
        <f>IFERROR(INDEX($A$4:$B10331,MATCH(ROW()-3,$A$4:$A$4:$A1331,0),2),0)</f>
        <v>0</v>
      </c>
      <c r="V335" s="33" t="str">
        <f>COUNTIFS(Tracker[Date],U335,Tracker[Result],"W")&amp;"-"&amp;COUNTIFS(Tracker[Date],U335,Tracker[Result],"L")&amp;IF(COUNTIFS(Tracker[Date],U335,Tracker[Result],"Push")&gt;0,"-"&amp;COUNTIFS(Tracker[Date],U335,Tracker[Result],"Push"),"")</f>
        <v>0-0</v>
      </c>
      <c r="W335" s="34" t="str">
        <f>IFERROR(COUNTIFS(Tracker[Date],U335,Tracker[Result],"W")/(COUNTIFS(Tracker[Date],U335,Tracker[Result],"W")+COUNTIFS(Tracker[Date],U335,Tracker[Result],"L")),"")</f>
        <v/>
      </c>
      <c r="X335" s="61">
        <f>SUMIF(Tracker[Date],U335,Tracker[Net])</f>
        <v>0</v>
      </c>
    </row>
    <row r="336" spans="1:24" x14ac:dyDescent="0.25">
      <c r="A336" s="36">
        <f t="shared" si="53"/>
        <v>34</v>
      </c>
      <c r="B336" s="25">
        <v>43866</v>
      </c>
      <c r="C336" s="25" t="str">
        <f t="shared" si="54"/>
        <v>NBA</v>
      </c>
      <c r="D336" s="26" t="s">
        <v>1463</v>
      </c>
      <c r="E336" s="28" t="s">
        <v>1464</v>
      </c>
      <c r="F336" s="67">
        <v>0.63183658255684405</v>
      </c>
      <c r="G336" s="29">
        <v>-110</v>
      </c>
      <c r="H336" s="50" t="s">
        <v>56</v>
      </c>
      <c r="I33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3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336" s="40" t="str">
        <f>MID(Tracker[[#This Row],[Game]],SEARCH("@",Tracker[[#This Row],[Game]])+2,LEN(Tracker[[#This Row],[Game]]))</f>
        <v>Timberwolves</v>
      </c>
      <c r="L336" s="40" t="str">
        <f>LEFT(Tracker[[#This Row],[Game]],SEARCH("@",Tracker[[#This Row],[Game]])-2)</f>
        <v>Hawks</v>
      </c>
      <c r="M33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336" s="123">
        <v>0.58950000000000002</v>
      </c>
      <c r="O336" s="147"/>
      <c r="P336" s="147"/>
      <c r="Q336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36" s="147" t="e">
        <f>IF(AND(Tracker[[#This Row],[Money %]]&lt;&gt;"",Tracker[[#This Row],[Bet %]]&lt;&gt;""),Tracker[[#This Row],[Money %]]-Tracker[[#This Row],[Bet %]],NA())</f>
        <v>#N/A</v>
      </c>
      <c r="S336" s="110"/>
      <c r="T336" s="110"/>
      <c r="U336" s="56">
        <f>IFERROR(INDEX($A$4:$B10332,MATCH(ROW()-3,$A$4:$A$4:$A1332,0),2),0)</f>
        <v>0</v>
      </c>
      <c r="V336" s="33" t="str">
        <f>COUNTIFS(Tracker[Date],U336,Tracker[Result],"W")&amp;"-"&amp;COUNTIFS(Tracker[Date],U336,Tracker[Result],"L")&amp;IF(COUNTIFS(Tracker[Date],U336,Tracker[Result],"Push")&gt;0,"-"&amp;COUNTIFS(Tracker[Date],U336,Tracker[Result],"Push"),"")</f>
        <v>0-0</v>
      </c>
      <c r="W336" s="34" t="str">
        <f>IFERROR(COUNTIFS(Tracker[Date],U336,Tracker[Result],"W")/(COUNTIFS(Tracker[Date],U336,Tracker[Result],"W")+COUNTIFS(Tracker[Date],U336,Tracker[Result],"L")),"")</f>
        <v/>
      </c>
      <c r="X336" s="61">
        <f>SUMIF(Tracker[Date],U336,Tracker[Net])</f>
        <v>0</v>
      </c>
    </row>
    <row r="337" spans="1:24" x14ac:dyDescent="0.25">
      <c r="A337" s="36">
        <f t="shared" si="53"/>
        <v>34</v>
      </c>
      <c r="B337" s="25">
        <v>43866</v>
      </c>
      <c r="C337" s="25" t="str">
        <f t="shared" si="54"/>
        <v>NBA</v>
      </c>
      <c r="D337" s="26" t="s">
        <v>1463</v>
      </c>
      <c r="E337" s="28" t="s">
        <v>1041</v>
      </c>
      <c r="F337" s="67">
        <v>0.71619308493365952</v>
      </c>
      <c r="G337" s="29">
        <v>-110</v>
      </c>
      <c r="H337" s="50" t="s">
        <v>57</v>
      </c>
      <c r="I33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3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337" s="40" t="str">
        <f>MID(Tracker[[#This Row],[Game]],SEARCH("@",Tracker[[#This Row],[Game]])+2,LEN(Tracker[[#This Row],[Game]]))</f>
        <v>Timberwolves</v>
      </c>
      <c r="L337" s="40" t="str">
        <f>LEFT(Tracker[[#This Row],[Game]],SEARCH("@",Tracker[[#This Row],[Game]])-2)</f>
        <v>Hawks</v>
      </c>
      <c r="M33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337" s="123">
        <v>0.4425</v>
      </c>
      <c r="O337" s="147"/>
      <c r="P337" s="147"/>
      <c r="Q337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37" s="147" t="e">
        <f>IF(AND(Tracker[[#This Row],[Money %]]&lt;&gt;"",Tracker[[#This Row],[Bet %]]&lt;&gt;""),Tracker[[#This Row],[Money %]]-Tracker[[#This Row],[Bet %]],NA())</f>
        <v>#N/A</v>
      </c>
      <c r="S337" s="110"/>
      <c r="T337" s="110"/>
      <c r="U337" s="56">
        <f>IFERROR(INDEX($A$4:$B10333,MATCH(ROW()-3,$A$4:$A$4:$A1333,0),2),0)</f>
        <v>0</v>
      </c>
      <c r="V337" s="33" t="str">
        <f>COUNTIFS(Tracker[Date],U337,Tracker[Result],"W")&amp;"-"&amp;COUNTIFS(Tracker[Date],U337,Tracker[Result],"L")&amp;IF(COUNTIFS(Tracker[Date],U337,Tracker[Result],"Push")&gt;0,"-"&amp;COUNTIFS(Tracker[Date],U337,Tracker[Result],"Push"),"")</f>
        <v>0-0</v>
      </c>
      <c r="W337" s="34" t="str">
        <f>IFERROR(COUNTIFS(Tracker[Date],U337,Tracker[Result],"W")/(COUNTIFS(Tracker[Date],U337,Tracker[Result],"W")+COUNTIFS(Tracker[Date],U337,Tracker[Result],"L")),"")</f>
        <v/>
      </c>
      <c r="X337" s="61">
        <f>SUMIF(Tracker[Date],U337,Tracker[Net])</f>
        <v>0</v>
      </c>
    </row>
    <row r="338" spans="1:24" x14ac:dyDescent="0.25">
      <c r="A338" s="36">
        <f t="shared" si="53"/>
        <v>34</v>
      </c>
      <c r="B338" s="25">
        <v>43866</v>
      </c>
      <c r="C338" s="25" t="str">
        <f t="shared" si="54"/>
        <v>NBA</v>
      </c>
      <c r="D338" s="26" t="s">
        <v>1465</v>
      </c>
      <c r="E338" s="28" t="s">
        <v>1466</v>
      </c>
      <c r="F338" s="67">
        <v>0.73924316009018431</v>
      </c>
      <c r="G338" s="29">
        <v>-110</v>
      </c>
      <c r="H338" s="50" t="s">
        <v>57</v>
      </c>
      <c r="I33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3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338" s="40" t="str">
        <f>MID(Tracker[[#This Row],[Game]],SEARCH("@",Tracker[[#This Row],[Game]])+2,LEN(Tracker[[#This Row],[Game]]))</f>
        <v>Thunder</v>
      </c>
      <c r="L338" s="40" t="str">
        <f>LEFT(Tracker[[#This Row],[Game]],SEARCH("@",Tracker[[#This Row],[Game]])-2)</f>
        <v>Cavaliers</v>
      </c>
      <c r="M33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338" s="123">
        <v>0.53100000000000003</v>
      </c>
      <c r="O338" s="147"/>
      <c r="P338" s="147"/>
      <c r="Q338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38" s="147" t="e">
        <f>IF(AND(Tracker[[#This Row],[Money %]]&lt;&gt;"",Tracker[[#This Row],[Bet %]]&lt;&gt;""),Tracker[[#This Row],[Money %]]-Tracker[[#This Row],[Bet %]],NA())</f>
        <v>#N/A</v>
      </c>
      <c r="S338" s="110"/>
      <c r="T338" s="110"/>
      <c r="U338" s="56">
        <f>IFERROR(INDEX($A$4:$B10334,MATCH(ROW()-3,$A$4:$A$4:$A1334,0),2),0)</f>
        <v>0</v>
      </c>
      <c r="V338" s="33" t="str">
        <f>COUNTIFS(Tracker[Date],U338,Tracker[Result],"W")&amp;"-"&amp;COUNTIFS(Tracker[Date],U338,Tracker[Result],"L")&amp;IF(COUNTIFS(Tracker[Date],U338,Tracker[Result],"Push")&gt;0,"-"&amp;COUNTIFS(Tracker[Date],U338,Tracker[Result],"Push"),"")</f>
        <v>0-0</v>
      </c>
      <c r="W338" s="34" t="str">
        <f>IFERROR(COUNTIFS(Tracker[Date],U338,Tracker[Result],"W")/(COUNTIFS(Tracker[Date],U338,Tracker[Result],"W")+COUNTIFS(Tracker[Date],U338,Tracker[Result],"L")),"")</f>
        <v/>
      </c>
      <c r="X338" s="61">
        <f>SUMIF(Tracker[Date],U338,Tracker[Net])</f>
        <v>0</v>
      </c>
    </row>
    <row r="339" spans="1:24" x14ac:dyDescent="0.25">
      <c r="A339" s="36">
        <f t="shared" si="53"/>
        <v>34</v>
      </c>
      <c r="B339" s="25">
        <v>43866</v>
      </c>
      <c r="C339" s="25" t="str">
        <f t="shared" si="54"/>
        <v>NBA</v>
      </c>
      <c r="D339" s="26" t="s">
        <v>1467</v>
      </c>
      <c r="E339" s="28" t="s">
        <v>1468</v>
      </c>
      <c r="F339" s="67">
        <v>0.55022017083877639</v>
      </c>
      <c r="G339" s="29">
        <v>-110</v>
      </c>
      <c r="H339" s="50" t="s">
        <v>57</v>
      </c>
      <c r="I33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3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339" s="40" t="str">
        <f>MID(Tracker[[#This Row],[Game]],SEARCH("@",Tracker[[#This Row],[Game]])+2,LEN(Tracker[[#This Row],[Game]]))</f>
        <v>Mavericks</v>
      </c>
      <c r="L339" s="40" t="str">
        <f>LEFT(Tracker[[#This Row],[Game]],SEARCH("@",Tracker[[#This Row],[Game]])-2)</f>
        <v>Grizzlies</v>
      </c>
      <c r="M33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339" s="123">
        <v>0.46750000000000003</v>
      </c>
      <c r="O339" s="147"/>
      <c r="P339" s="147"/>
      <c r="Q339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39" s="147" t="e">
        <f>IF(AND(Tracker[[#This Row],[Money %]]&lt;&gt;"",Tracker[[#This Row],[Bet %]]&lt;&gt;""),Tracker[[#This Row],[Money %]]-Tracker[[#This Row],[Bet %]],NA())</f>
        <v>#N/A</v>
      </c>
      <c r="S339" s="110"/>
      <c r="T339" s="110"/>
      <c r="U339" s="56">
        <f>IFERROR(INDEX($A$4:$B10335,MATCH(ROW()-3,$A$4:$A$4:$A1335,0),2),0)</f>
        <v>0</v>
      </c>
      <c r="V339" s="33" t="str">
        <f>COUNTIFS(Tracker[Date],U339,Tracker[Result],"W")&amp;"-"&amp;COUNTIFS(Tracker[Date],U339,Tracker[Result],"L")&amp;IF(COUNTIFS(Tracker[Date],U339,Tracker[Result],"Push")&gt;0,"-"&amp;COUNTIFS(Tracker[Date],U339,Tracker[Result],"Push"),"")</f>
        <v>0-0</v>
      </c>
      <c r="W339" s="34" t="str">
        <f>IFERROR(COUNTIFS(Tracker[Date],U339,Tracker[Result],"W")/(COUNTIFS(Tracker[Date],U339,Tracker[Result],"W")+COUNTIFS(Tracker[Date],U339,Tracker[Result],"L")),"")</f>
        <v/>
      </c>
      <c r="X339" s="61">
        <f>SUMIF(Tracker[Date],U339,Tracker[Net])</f>
        <v>0</v>
      </c>
    </row>
    <row r="340" spans="1:24" x14ac:dyDescent="0.25">
      <c r="A340" s="36">
        <f t="shared" si="53"/>
        <v>34</v>
      </c>
      <c r="B340" s="25">
        <v>43866</v>
      </c>
      <c r="C340" s="25" t="str">
        <f t="shared" si="54"/>
        <v>NBA</v>
      </c>
      <c r="D340" s="26" t="s">
        <v>1467</v>
      </c>
      <c r="E340" s="28" t="s">
        <v>1202</v>
      </c>
      <c r="F340" s="67">
        <v>0.6199098233584841</v>
      </c>
      <c r="G340" s="29">
        <v>-110</v>
      </c>
      <c r="H340" s="50" t="s">
        <v>847</v>
      </c>
      <c r="I34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</v>
      </c>
      <c r="J34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340" s="40" t="str">
        <f>MID(Tracker[[#This Row],[Game]],SEARCH("@",Tracker[[#This Row],[Game]])+2,LEN(Tracker[[#This Row],[Game]]))</f>
        <v>Mavericks</v>
      </c>
      <c r="L340" s="40" t="str">
        <f>LEFT(Tracker[[#This Row],[Game]],SEARCH("@",Tracker[[#This Row],[Game]])-2)</f>
        <v>Grizzlies</v>
      </c>
      <c r="M34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340" s="123">
        <v>0.53849999999999998</v>
      </c>
      <c r="O340" s="147"/>
      <c r="P340" s="147"/>
      <c r="Q340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40" s="147" t="e">
        <f>IF(AND(Tracker[[#This Row],[Money %]]&lt;&gt;"",Tracker[[#This Row],[Bet %]]&lt;&gt;""),Tracker[[#This Row],[Money %]]-Tracker[[#This Row],[Bet %]],NA())</f>
        <v>#N/A</v>
      </c>
      <c r="S340" s="110"/>
      <c r="T340" s="110"/>
      <c r="U340" s="56">
        <f>IFERROR(INDEX($A$4:$B10336,MATCH(ROW()-3,$A$4:$A$4:$A1336,0),2),0)</f>
        <v>0</v>
      </c>
      <c r="V340" s="33" t="str">
        <f>COUNTIFS(Tracker[Date],U340,Tracker[Result],"W")&amp;"-"&amp;COUNTIFS(Tracker[Date],U340,Tracker[Result],"L")&amp;IF(COUNTIFS(Tracker[Date],U340,Tracker[Result],"Push")&gt;0,"-"&amp;COUNTIFS(Tracker[Date],U340,Tracker[Result],"Push"),"")</f>
        <v>0-0</v>
      </c>
      <c r="W340" s="34" t="str">
        <f>IFERROR(COUNTIFS(Tracker[Date],U340,Tracker[Result],"W")/(COUNTIFS(Tracker[Date],U340,Tracker[Result],"W")+COUNTIFS(Tracker[Date],U340,Tracker[Result],"L")),"")</f>
        <v/>
      </c>
      <c r="X340" s="61">
        <f>SUMIF(Tracker[Date],U340,Tracker[Net])</f>
        <v>0</v>
      </c>
    </row>
    <row r="341" spans="1:24" x14ac:dyDescent="0.25">
      <c r="A341" s="36">
        <f t="shared" si="53"/>
        <v>34</v>
      </c>
      <c r="B341" s="25">
        <v>43866</v>
      </c>
      <c r="C341" s="25" t="str">
        <f t="shared" si="54"/>
        <v>NBA</v>
      </c>
      <c r="D341" s="26" t="s">
        <v>1469</v>
      </c>
      <c r="E341" s="28" t="s">
        <v>1470</v>
      </c>
      <c r="F341" s="67">
        <v>0.73289236509929867</v>
      </c>
      <c r="G341" s="29">
        <v>-110</v>
      </c>
      <c r="H341" s="50" t="s">
        <v>56</v>
      </c>
      <c r="I34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4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341" s="40" t="str">
        <f>MID(Tracker[[#This Row],[Game]],SEARCH("@",Tracker[[#This Row],[Game]])+2,LEN(Tracker[[#This Row],[Game]]))</f>
        <v>Jazz</v>
      </c>
      <c r="L341" s="40" t="str">
        <f>LEFT(Tracker[[#This Row],[Game]],SEARCH("@",Tracker[[#This Row],[Game]])-2)</f>
        <v>Nuggets</v>
      </c>
      <c r="M34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341" s="123">
        <v>0.503</v>
      </c>
      <c r="O341" s="147"/>
      <c r="P341" s="147"/>
      <c r="Q341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41" s="147" t="e">
        <f>IF(AND(Tracker[[#This Row],[Money %]]&lt;&gt;"",Tracker[[#This Row],[Bet %]]&lt;&gt;""),Tracker[[#This Row],[Money %]]-Tracker[[#This Row],[Bet %]],NA())</f>
        <v>#N/A</v>
      </c>
      <c r="S341" s="110"/>
      <c r="T341" s="110"/>
      <c r="U341" s="56">
        <f>IFERROR(INDEX($A$4:$B10337,MATCH(ROW()-3,$A$4:$A$4:$A1337,0),2),0)</f>
        <v>0</v>
      </c>
      <c r="V341" s="33" t="str">
        <f>COUNTIFS(Tracker[Date],U341,Tracker[Result],"W")&amp;"-"&amp;COUNTIFS(Tracker[Date],U341,Tracker[Result],"L")&amp;IF(COUNTIFS(Tracker[Date],U341,Tracker[Result],"Push")&gt;0,"-"&amp;COUNTIFS(Tracker[Date],U341,Tracker[Result],"Push"),"")</f>
        <v>0-0</v>
      </c>
      <c r="W341" s="34" t="str">
        <f>IFERROR(COUNTIFS(Tracker[Date],U341,Tracker[Result],"W")/(COUNTIFS(Tracker[Date],U341,Tracker[Result],"W")+COUNTIFS(Tracker[Date],U341,Tracker[Result],"L")),"")</f>
        <v/>
      </c>
      <c r="X341" s="61">
        <f>SUMIF(Tracker[Date],U341,Tracker[Net])</f>
        <v>0</v>
      </c>
    </row>
    <row r="342" spans="1:24" x14ac:dyDescent="0.25">
      <c r="A342" s="36">
        <f t="shared" si="53"/>
        <v>34</v>
      </c>
      <c r="B342" s="25">
        <v>43866</v>
      </c>
      <c r="C342" s="25" t="str">
        <f t="shared" si="54"/>
        <v>NBA</v>
      </c>
      <c r="D342" s="26" t="s">
        <v>1469</v>
      </c>
      <c r="E342" s="28" t="s">
        <v>834</v>
      </c>
      <c r="F342" s="67">
        <v>0.56033764562381938</v>
      </c>
      <c r="G342" s="29">
        <v>-110</v>
      </c>
      <c r="H342" s="50" t="s">
        <v>57</v>
      </c>
      <c r="I34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4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342" s="40" t="str">
        <f>MID(Tracker[[#This Row],[Game]],SEARCH("@",Tracker[[#This Row],[Game]])+2,LEN(Tracker[[#This Row],[Game]]))</f>
        <v>Jazz</v>
      </c>
      <c r="L342" s="40" t="str">
        <f>LEFT(Tracker[[#This Row],[Game]],SEARCH("@",Tracker[[#This Row],[Game]])-2)</f>
        <v>Nuggets</v>
      </c>
      <c r="M34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342" s="123">
        <v>0.51249999999999996</v>
      </c>
      <c r="O342" s="147"/>
      <c r="P342" s="147"/>
      <c r="Q342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42" s="147" t="e">
        <f>IF(AND(Tracker[[#This Row],[Money %]]&lt;&gt;"",Tracker[[#This Row],[Bet %]]&lt;&gt;""),Tracker[[#This Row],[Money %]]-Tracker[[#This Row],[Bet %]],NA())</f>
        <v>#N/A</v>
      </c>
      <c r="S342" s="110"/>
      <c r="T342" s="110"/>
      <c r="U342" s="56">
        <f>IFERROR(INDEX($A$4:$B10338,MATCH(ROW()-3,$A$4:$A$4:$A1338,0),2),0)</f>
        <v>0</v>
      </c>
      <c r="V342" s="33" t="str">
        <f>COUNTIFS(Tracker[Date],U342,Tracker[Result],"W")&amp;"-"&amp;COUNTIFS(Tracker[Date],U342,Tracker[Result],"L")&amp;IF(COUNTIFS(Tracker[Date],U342,Tracker[Result],"Push")&gt;0,"-"&amp;COUNTIFS(Tracker[Date],U342,Tracker[Result],"Push"),"")</f>
        <v>0-0</v>
      </c>
      <c r="W342" s="34" t="str">
        <f>IFERROR(COUNTIFS(Tracker[Date],U342,Tracker[Result],"W")/(COUNTIFS(Tracker[Date],U342,Tracker[Result],"W")+COUNTIFS(Tracker[Date],U342,Tracker[Result],"L")),"")</f>
        <v/>
      </c>
      <c r="X342" s="61">
        <f>SUMIF(Tracker[Date],U342,Tracker[Net])</f>
        <v>0</v>
      </c>
    </row>
    <row r="343" spans="1:24" x14ac:dyDescent="0.25">
      <c r="A343" s="36">
        <f t="shared" si="53"/>
        <v>34</v>
      </c>
      <c r="B343" s="25">
        <v>43866</v>
      </c>
      <c r="C343" s="25" t="str">
        <f t="shared" si="54"/>
        <v>NBA</v>
      </c>
      <c r="D343" s="26" t="s">
        <v>1471</v>
      </c>
      <c r="E343" s="28" t="s">
        <v>1472</v>
      </c>
      <c r="F343" s="67">
        <v>0.55006499917079565</v>
      </c>
      <c r="G343" s="29">
        <v>-110</v>
      </c>
      <c r="H343" s="50" t="s">
        <v>56</v>
      </c>
      <c r="I34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4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343" s="40" t="str">
        <f>MID(Tracker[[#This Row],[Game]],SEARCH("@",Tracker[[#This Row],[Game]])+2,LEN(Tracker[[#This Row],[Game]]))</f>
        <v>Clippers</v>
      </c>
      <c r="L343" s="40" t="str">
        <f>LEFT(Tracker[[#This Row],[Game]],SEARCH("@",Tracker[[#This Row],[Game]])-2)</f>
        <v>Heat</v>
      </c>
      <c r="M34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343" s="123">
        <v>0.52100000000000002</v>
      </c>
      <c r="O343" s="147"/>
      <c r="P343" s="147"/>
      <c r="Q343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43" s="147" t="e">
        <f>IF(AND(Tracker[[#This Row],[Money %]]&lt;&gt;"",Tracker[[#This Row],[Bet %]]&lt;&gt;""),Tracker[[#This Row],[Money %]]-Tracker[[#This Row],[Bet %]],NA())</f>
        <v>#N/A</v>
      </c>
      <c r="S343" s="110"/>
      <c r="T343" s="110"/>
      <c r="U343" s="56">
        <f>IFERROR(INDEX($A$4:$B10339,MATCH(ROW()-3,$A$4:$A$4:$A1339,0),2),0)</f>
        <v>0</v>
      </c>
      <c r="V343" s="33" t="str">
        <f>COUNTIFS(Tracker[Date],U343,Tracker[Result],"W")&amp;"-"&amp;COUNTIFS(Tracker[Date],U343,Tracker[Result],"L")&amp;IF(COUNTIFS(Tracker[Date],U343,Tracker[Result],"Push")&gt;0,"-"&amp;COUNTIFS(Tracker[Date],U343,Tracker[Result],"Push"),"")</f>
        <v>0-0</v>
      </c>
      <c r="W343" s="34" t="str">
        <f>IFERROR(COUNTIFS(Tracker[Date],U343,Tracker[Result],"W")/(COUNTIFS(Tracker[Date],U343,Tracker[Result],"W")+COUNTIFS(Tracker[Date],U343,Tracker[Result],"L")),"")</f>
        <v/>
      </c>
      <c r="X343" s="61">
        <f>SUMIF(Tracker[Date],U343,Tracker[Net])</f>
        <v>0</v>
      </c>
    </row>
    <row r="344" spans="1:24" x14ac:dyDescent="0.25">
      <c r="A344" s="36">
        <f t="shared" si="53"/>
        <v>34</v>
      </c>
      <c r="B344" s="25">
        <v>43866</v>
      </c>
      <c r="C344" s="25" t="str">
        <f t="shared" si="54"/>
        <v>NBA</v>
      </c>
      <c r="D344" s="26" t="s">
        <v>1471</v>
      </c>
      <c r="E344" s="28" t="s">
        <v>868</v>
      </c>
      <c r="F344" s="67">
        <v>0.62880355437323321</v>
      </c>
      <c r="G344" s="29">
        <v>-110</v>
      </c>
      <c r="H344" s="50" t="s">
        <v>57</v>
      </c>
      <c r="I34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4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344" s="40" t="str">
        <f>MID(Tracker[[#This Row],[Game]],SEARCH("@",Tracker[[#This Row],[Game]])+2,LEN(Tracker[[#This Row],[Game]]))</f>
        <v>Clippers</v>
      </c>
      <c r="L344" s="40" t="str">
        <f>LEFT(Tracker[[#This Row],[Game]],SEARCH("@",Tracker[[#This Row],[Game]])-2)</f>
        <v>Heat</v>
      </c>
      <c r="M34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344" s="123">
        <v>0.47750000000000004</v>
      </c>
      <c r="O344" s="147"/>
      <c r="P344" s="147"/>
      <c r="Q34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44" s="147" t="e">
        <f>IF(AND(Tracker[[#This Row],[Money %]]&lt;&gt;"",Tracker[[#This Row],[Bet %]]&lt;&gt;""),Tracker[[#This Row],[Money %]]-Tracker[[#This Row],[Bet %]],NA())</f>
        <v>#N/A</v>
      </c>
      <c r="S344" s="110"/>
      <c r="T344" s="110"/>
      <c r="U344" s="56">
        <f>IFERROR(INDEX($A$4:$B10340,MATCH(ROW()-3,$A$4:$A$4:$A1340,0),2),0)</f>
        <v>0</v>
      </c>
      <c r="V344" s="33" t="str">
        <f>COUNTIFS(Tracker[Date],U344,Tracker[Result],"W")&amp;"-"&amp;COUNTIFS(Tracker[Date],U344,Tracker[Result],"L")&amp;IF(COUNTIFS(Tracker[Date],U344,Tracker[Result],"Push")&gt;0,"-"&amp;COUNTIFS(Tracker[Date],U344,Tracker[Result],"Push"),"")</f>
        <v>0-0</v>
      </c>
      <c r="W344" s="34" t="str">
        <f>IFERROR(COUNTIFS(Tracker[Date],U344,Tracker[Result],"W")/(COUNTIFS(Tracker[Date],U344,Tracker[Result],"W")+COUNTIFS(Tracker[Date],U344,Tracker[Result],"L")),"")</f>
        <v/>
      </c>
      <c r="X344" s="61">
        <f>SUMIF(Tracker[Date],U344,Tracker[Net])</f>
        <v>0</v>
      </c>
    </row>
    <row r="345" spans="1:24" x14ac:dyDescent="0.25">
      <c r="A345" s="36">
        <f t="shared" si="53"/>
        <v>35</v>
      </c>
      <c r="B345" s="25">
        <v>43867</v>
      </c>
      <c r="C345" s="25" t="str">
        <f t="shared" ref="C345:C352" si="55">"NBA"</f>
        <v>NBA</v>
      </c>
      <c r="D345" s="26" t="s">
        <v>1481</v>
      </c>
      <c r="E345" s="28" t="s">
        <v>1482</v>
      </c>
      <c r="F345" s="67">
        <v>0.64887652371429283</v>
      </c>
      <c r="G345" s="29">
        <v>-110</v>
      </c>
      <c r="H345" s="50" t="s">
        <v>57</v>
      </c>
      <c r="I34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4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345" s="40" t="str">
        <f>MID(Tracker[[#This Row],[Game]],SEARCH("@",Tracker[[#This Row],[Game]])+2,LEN(Tracker[[#This Row],[Game]]))</f>
        <v>Knicks</v>
      </c>
      <c r="L345" s="40" t="str">
        <f>LEFT(Tracker[[#This Row],[Game]],SEARCH("@",Tracker[[#This Row],[Game]])-2)</f>
        <v>Magic</v>
      </c>
      <c r="M34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345" s="123">
        <v>0.59399999999999997</v>
      </c>
      <c r="O345" s="147"/>
      <c r="P345" s="147"/>
      <c r="Q34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45" s="147" t="e">
        <f>IF(AND(Tracker[[#This Row],[Money %]]&lt;&gt;"",Tracker[[#This Row],[Bet %]]&lt;&gt;""),Tracker[[#This Row],[Money %]]-Tracker[[#This Row],[Bet %]],NA())</f>
        <v>#N/A</v>
      </c>
      <c r="S345" s="110"/>
      <c r="T345" s="110"/>
      <c r="U345" s="56">
        <f>IFERROR(INDEX($A$4:$B10341,MATCH(ROW()-3,$A$4:$A$4:$A1341,0),2),0)</f>
        <v>0</v>
      </c>
      <c r="V345" s="33" t="str">
        <f>COUNTIFS(Tracker[Date],U345,Tracker[Result],"W")&amp;"-"&amp;COUNTIFS(Tracker[Date],U345,Tracker[Result],"L")&amp;IF(COUNTIFS(Tracker[Date],U345,Tracker[Result],"Push")&gt;0,"-"&amp;COUNTIFS(Tracker[Date],U345,Tracker[Result],"Push"),"")</f>
        <v>0-0</v>
      </c>
      <c r="W345" s="34" t="str">
        <f>IFERROR(COUNTIFS(Tracker[Date],U345,Tracker[Result],"W")/(COUNTIFS(Tracker[Date],U345,Tracker[Result],"W")+COUNTIFS(Tracker[Date],U345,Tracker[Result],"L")),"")</f>
        <v/>
      </c>
      <c r="X345" s="61">
        <f>SUMIF(Tracker[Date],U345,Tracker[Net])</f>
        <v>0</v>
      </c>
    </row>
    <row r="346" spans="1:24" x14ac:dyDescent="0.25">
      <c r="A346" s="36">
        <f t="shared" si="53"/>
        <v>35</v>
      </c>
      <c r="B346" s="25">
        <v>43867</v>
      </c>
      <c r="C346" s="25" t="str">
        <f t="shared" si="55"/>
        <v>NBA</v>
      </c>
      <c r="D346" s="26" t="s">
        <v>1481</v>
      </c>
      <c r="E346" s="28" t="s">
        <v>1483</v>
      </c>
      <c r="F346" s="67">
        <v>0.63014783153643417</v>
      </c>
      <c r="G346" s="29">
        <v>-110</v>
      </c>
      <c r="H346" s="50" t="s">
        <v>56</v>
      </c>
      <c r="I34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4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346" s="40" t="str">
        <f>MID(Tracker[[#This Row],[Game]],SEARCH("@",Tracker[[#This Row],[Game]])+2,LEN(Tracker[[#This Row],[Game]]))</f>
        <v>Knicks</v>
      </c>
      <c r="L346" s="40" t="str">
        <f>LEFT(Tracker[[#This Row],[Game]],SEARCH("@",Tracker[[#This Row],[Game]])-2)</f>
        <v>Magic</v>
      </c>
      <c r="M34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346" s="123">
        <v>0.46</v>
      </c>
      <c r="O346" s="147"/>
      <c r="P346" s="147"/>
      <c r="Q346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46" s="147" t="e">
        <f>IF(AND(Tracker[[#This Row],[Money %]]&lt;&gt;"",Tracker[[#This Row],[Bet %]]&lt;&gt;""),Tracker[[#This Row],[Money %]]-Tracker[[#This Row],[Bet %]],NA())</f>
        <v>#N/A</v>
      </c>
      <c r="S346" s="110"/>
      <c r="T346" s="110"/>
      <c r="U346" s="56">
        <f>IFERROR(INDEX($A$4:$B10342,MATCH(ROW()-3,$A$4:$A$4:$A1342,0),2),0)</f>
        <v>0</v>
      </c>
      <c r="V346" s="33" t="str">
        <f>COUNTIFS(Tracker[Date],U346,Tracker[Result],"W")&amp;"-"&amp;COUNTIFS(Tracker[Date],U346,Tracker[Result],"L")&amp;IF(COUNTIFS(Tracker[Date],U346,Tracker[Result],"Push")&gt;0,"-"&amp;COUNTIFS(Tracker[Date],U346,Tracker[Result],"Push"),"")</f>
        <v>0-0</v>
      </c>
      <c r="W346" s="34" t="str">
        <f>IFERROR(COUNTIFS(Tracker[Date],U346,Tracker[Result],"W")/(COUNTIFS(Tracker[Date],U346,Tracker[Result],"W")+COUNTIFS(Tracker[Date],U346,Tracker[Result],"L")),"")</f>
        <v/>
      </c>
      <c r="X346" s="61">
        <f>SUMIF(Tracker[Date],U346,Tracker[Net])</f>
        <v>0</v>
      </c>
    </row>
    <row r="347" spans="1:24" x14ac:dyDescent="0.25">
      <c r="A347" s="36">
        <f t="shared" si="53"/>
        <v>35</v>
      </c>
      <c r="B347" s="25">
        <v>43867</v>
      </c>
      <c r="C347" s="25" t="str">
        <f t="shared" si="55"/>
        <v>NBA</v>
      </c>
      <c r="D347" s="26" t="s">
        <v>1484</v>
      </c>
      <c r="E347" s="28" t="s">
        <v>1485</v>
      </c>
      <c r="F347" s="67">
        <v>0.65422660095195362</v>
      </c>
      <c r="G347" s="29">
        <v>-110</v>
      </c>
      <c r="H347" s="50" t="s">
        <v>56</v>
      </c>
      <c r="I34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4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347" s="40" t="str">
        <f>MID(Tracker[[#This Row],[Game]],SEARCH("@",Tracker[[#This Row],[Game]])+2,LEN(Tracker[[#This Row],[Game]]))</f>
        <v>Bulls</v>
      </c>
      <c r="L347" s="40" t="str">
        <f>LEFT(Tracker[[#This Row],[Game]],SEARCH("@",Tracker[[#This Row],[Game]])-2)</f>
        <v>Pelicans</v>
      </c>
      <c r="M34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347" s="123">
        <v>0.53</v>
      </c>
      <c r="O347" s="147"/>
      <c r="P347" s="147"/>
      <c r="Q347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47" s="147" t="e">
        <f>IF(AND(Tracker[[#This Row],[Money %]]&lt;&gt;"",Tracker[[#This Row],[Bet %]]&lt;&gt;""),Tracker[[#This Row],[Money %]]-Tracker[[#This Row],[Bet %]],NA())</f>
        <v>#N/A</v>
      </c>
      <c r="S347" s="110"/>
      <c r="T347" s="110"/>
      <c r="U347" s="56">
        <f>IFERROR(INDEX($A$4:$B10343,MATCH(ROW()-3,$A$4:$A$4:$A1343,0),2),0)</f>
        <v>0</v>
      </c>
      <c r="V347" s="33" t="str">
        <f>COUNTIFS(Tracker[Date],U347,Tracker[Result],"W")&amp;"-"&amp;COUNTIFS(Tracker[Date],U347,Tracker[Result],"L")&amp;IF(COUNTIFS(Tracker[Date],U347,Tracker[Result],"Push")&gt;0,"-"&amp;COUNTIFS(Tracker[Date],U347,Tracker[Result],"Push"),"")</f>
        <v>0-0</v>
      </c>
      <c r="W347" s="34" t="str">
        <f>IFERROR(COUNTIFS(Tracker[Date],U347,Tracker[Result],"W")/(COUNTIFS(Tracker[Date],U347,Tracker[Result],"W")+COUNTIFS(Tracker[Date],U347,Tracker[Result],"L")),"")</f>
        <v/>
      </c>
      <c r="X347" s="61">
        <f>SUMIF(Tracker[Date],U347,Tracker[Net])</f>
        <v>0</v>
      </c>
    </row>
    <row r="348" spans="1:24" x14ac:dyDescent="0.25">
      <c r="A348" s="36">
        <f t="shared" si="53"/>
        <v>35</v>
      </c>
      <c r="B348" s="25">
        <v>43867</v>
      </c>
      <c r="C348" s="25" t="str">
        <f t="shared" si="55"/>
        <v>NBA</v>
      </c>
      <c r="D348" s="26" t="s">
        <v>1486</v>
      </c>
      <c r="E348" s="28" t="s">
        <v>1072</v>
      </c>
      <c r="F348" s="67">
        <v>0.66411299649361966</v>
      </c>
      <c r="G348" s="29">
        <v>-110</v>
      </c>
      <c r="H348" s="50" t="s">
        <v>56</v>
      </c>
      <c r="I34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4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348" s="40" t="str">
        <f>MID(Tracker[[#This Row],[Game]],SEARCH("@",Tracker[[#This Row],[Game]])+2,LEN(Tracker[[#This Row],[Game]]))</f>
        <v>Bucks</v>
      </c>
      <c r="L348" s="40" t="str">
        <f>LEFT(Tracker[[#This Row],[Game]],SEARCH("@",Tracker[[#This Row],[Game]])-2)</f>
        <v>76ers</v>
      </c>
      <c r="M34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348" s="123">
        <v>0.63250000000000006</v>
      </c>
      <c r="O348" s="147"/>
      <c r="P348" s="147"/>
      <c r="Q348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48" s="147" t="e">
        <f>IF(AND(Tracker[[#This Row],[Money %]]&lt;&gt;"",Tracker[[#This Row],[Bet %]]&lt;&gt;""),Tracker[[#This Row],[Money %]]-Tracker[[#This Row],[Bet %]],NA())</f>
        <v>#N/A</v>
      </c>
      <c r="S348" s="110"/>
      <c r="T348" s="110"/>
      <c r="U348" s="56">
        <f>IFERROR(INDEX($A$4:$B10344,MATCH(ROW()-3,$A$4:$A$4:$A1344,0),2),0)</f>
        <v>0</v>
      </c>
      <c r="V348" s="33" t="str">
        <f>COUNTIFS(Tracker[Date],U348,Tracker[Result],"W")&amp;"-"&amp;COUNTIFS(Tracker[Date],U348,Tracker[Result],"L")&amp;IF(COUNTIFS(Tracker[Date],U348,Tracker[Result],"Push")&gt;0,"-"&amp;COUNTIFS(Tracker[Date],U348,Tracker[Result],"Push"),"")</f>
        <v>0-0</v>
      </c>
      <c r="W348" s="34" t="str">
        <f>IFERROR(COUNTIFS(Tracker[Date],U348,Tracker[Result],"W")/(COUNTIFS(Tracker[Date],U348,Tracker[Result],"W")+COUNTIFS(Tracker[Date],U348,Tracker[Result],"L")),"")</f>
        <v/>
      </c>
      <c r="X348" s="61">
        <f>SUMIF(Tracker[Date],U348,Tracker[Net])</f>
        <v>0</v>
      </c>
    </row>
    <row r="349" spans="1:24" x14ac:dyDescent="0.25">
      <c r="A349" s="36">
        <f t="shared" si="53"/>
        <v>35</v>
      </c>
      <c r="B349" s="25">
        <v>43867</v>
      </c>
      <c r="C349" s="25" t="str">
        <f t="shared" si="55"/>
        <v>NBA</v>
      </c>
      <c r="D349" s="26" t="s">
        <v>1486</v>
      </c>
      <c r="E349" s="28" t="s">
        <v>832</v>
      </c>
      <c r="F349" s="67">
        <v>0.77380595553411924</v>
      </c>
      <c r="G349" s="29">
        <v>-110</v>
      </c>
      <c r="H349" s="50" t="s">
        <v>57</v>
      </c>
      <c r="I34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4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349" s="40" t="str">
        <f>MID(Tracker[[#This Row],[Game]],SEARCH("@",Tracker[[#This Row],[Game]])+2,LEN(Tracker[[#This Row],[Game]]))</f>
        <v>Bucks</v>
      </c>
      <c r="L349" s="40" t="str">
        <f>LEFT(Tracker[[#This Row],[Game]],SEARCH("@",Tracker[[#This Row],[Game]])-2)</f>
        <v>76ers</v>
      </c>
      <c r="M34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349" s="123">
        <v>0.51049999999999995</v>
      </c>
      <c r="O349" s="147"/>
      <c r="P349" s="147"/>
      <c r="Q349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49" s="147" t="e">
        <f>IF(AND(Tracker[[#This Row],[Money %]]&lt;&gt;"",Tracker[[#This Row],[Bet %]]&lt;&gt;""),Tracker[[#This Row],[Money %]]-Tracker[[#This Row],[Bet %]],NA())</f>
        <v>#N/A</v>
      </c>
      <c r="S349" s="110"/>
      <c r="T349" s="110"/>
      <c r="U349" s="56">
        <f>IFERROR(INDEX($A$4:$B10345,MATCH(ROW()-3,$A$4:$A$4:$A1345,0),2),0)</f>
        <v>0</v>
      </c>
      <c r="V349" s="33" t="str">
        <f>COUNTIFS(Tracker[Date],U349,Tracker[Result],"W")&amp;"-"&amp;COUNTIFS(Tracker[Date],U349,Tracker[Result],"L")&amp;IF(COUNTIFS(Tracker[Date],U349,Tracker[Result],"Push")&gt;0,"-"&amp;COUNTIFS(Tracker[Date],U349,Tracker[Result],"Push"),"")</f>
        <v>0-0</v>
      </c>
      <c r="W349" s="34" t="str">
        <f>IFERROR(COUNTIFS(Tracker[Date],U349,Tracker[Result],"W")/(COUNTIFS(Tracker[Date],U349,Tracker[Result],"W")+COUNTIFS(Tracker[Date],U349,Tracker[Result],"L")),"")</f>
        <v/>
      </c>
      <c r="X349" s="61">
        <f>SUMIF(Tracker[Date],U349,Tracker[Net])</f>
        <v>0</v>
      </c>
    </row>
    <row r="350" spans="1:24" x14ac:dyDescent="0.25">
      <c r="A350" s="36">
        <f t="shared" si="53"/>
        <v>35</v>
      </c>
      <c r="B350" s="25">
        <v>43867</v>
      </c>
      <c r="C350" s="25" t="str">
        <f t="shared" si="55"/>
        <v>NBA</v>
      </c>
      <c r="D350" s="26" t="s">
        <v>1487</v>
      </c>
      <c r="E350" s="28" t="s">
        <v>1485</v>
      </c>
      <c r="F350" s="67">
        <v>0.61412412067337319</v>
      </c>
      <c r="G350" s="29">
        <v>-110</v>
      </c>
      <c r="H350" s="50" t="s">
        <v>56</v>
      </c>
      <c r="I35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5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350" s="40" t="str">
        <f>MID(Tracker[[#This Row],[Game]],SEARCH("@",Tracker[[#This Row],[Game]])+2,LEN(Tracker[[#This Row],[Game]]))</f>
        <v>Trail Blazers</v>
      </c>
      <c r="L350" s="40" t="str">
        <f>LEFT(Tracker[[#This Row],[Game]],SEARCH("@",Tracker[[#This Row],[Game]])-2)</f>
        <v>Spurs</v>
      </c>
      <c r="M35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350" s="123">
        <v>0.61699999999999999</v>
      </c>
      <c r="O350" s="147"/>
      <c r="P350" s="147"/>
      <c r="Q350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50" s="147" t="e">
        <f>IF(AND(Tracker[[#This Row],[Money %]]&lt;&gt;"",Tracker[[#This Row],[Bet %]]&lt;&gt;""),Tracker[[#This Row],[Money %]]-Tracker[[#This Row],[Bet %]],NA())</f>
        <v>#N/A</v>
      </c>
      <c r="S350" s="110"/>
      <c r="T350" s="110"/>
      <c r="U350" s="56">
        <f>IFERROR(INDEX($A$4:$B10346,MATCH(ROW()-3,$A$4:$A$4:$A1346,0),2),0)</f>
        <v>0</v>
      </c>
      <c r="V350" s="33" t="str">
        <f>COUNTIFS(Tracker[Date],U350,Tracker[Result],"W")&amp;"-"&amp;COUNTIFS(Tracker[Date],U350,Tracker[Result],"L")&amp;IF(COUNTIFS(Tracker[Date],U350,Tracker[Result],"Push")&gt;0,"-"&amp;COUNTIFS(Tracker[Date],U350,Tracker[Result],"Push"),"")</f>
        <v>0-0</v>
      </c>
      <c r="W350" s="34" t="str">
        <f>IFERROR(COUNTIFS(Tracker[Date],U350,Tracker[Result],"W")/(COUNTIFS(Tracker[Date],U350,Tracker[Result],"W")+COUNTIFS(Tracker[Date],U350,Tracker[Result],"L")),"")</f>
        <v/>
      </c>
      <c r="X350" s="61">
        <f>SUMIF(Tracker[Date],U350,Tracker[Net])</f>
        <v>0</v>
      </c>
    </row>
    <row r="351" spans="1:24" x14ac:dyDescent="0.25">
      <c r="A351" s="36">
        <f t="shared" si="53"/>
        <v>35</v>
      </c>
      <c r="B351" s="25">
        <v>43867</v>
      </c>
      <c r="C351" s="25" t="str">
        <f t="shared" si="55"/>
        <v>NBA</v>
      </c>
      <c r="D351" s="51" t="s">
        <v>1488</v>
      </c>
      <c r="E351" s="28" t="s">
        <v>1489</v>
      </c>
      <c r="F351" s="67">
        <v>0.57323748532181129</v>
      </c>
      <c r="G351" s="29">
        <v>-110</v>
      </c>
      <c r="H351" s="50" t="s">
        <v>56</v>
      </c>
      <c r="I35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5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351" s="40" t="str">
        <f>MID(Tracker[[#This Row],[Game]],SEARCH("@",Tracker[[#This Row],[Game]])+2,LEN(Tracker[[#This Row],[Game]]))</f>
        <v>Lakers</v>
      </c>
      <c r="L351" s="40" t="str">
        <f>LEFT(Tracker[[#This Row],[Game]],SEARCH("@",Tracker[[#This Row],[Game]])-2)</f>
        <v>Rockets</v>
      </c>
      <c r="M35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351" s="123">
        <v>0.54</v>
      </c>
      <c r="O351" s="147"/>
      <c r="P351" s="147"/>
      <c r="Q351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51" s="147" t="e">
        <f>IF(AND(Tracker[[#This Row],[Money %]]&lt;&gt;"",Tracker[[#This Row],[Bet %]]&lt;&gt;""),Tracker[[#This Row],[Money %]]-Tracker[[#This Row],[Bet %]],NA())</f>
        <v>#N/A</v>
      </c>
      <c r="S351" s="110"/>
      <c r="T351" s="110"/>
      <c r="U351" s="56">
        <f>IFERROR(INDEX($A$4:$B10347,MATCH(ROW()-3,$A$4:$A$4:$A1347,0),2),0)</f>
        <v>0</v>
      </c>
      <c r="V351" s="33" t="str">
        <f>COUNTIFS(Tracker[Date],U351,Tracker[Result],"W")&amp;"-"&amp;COUNTIFS(Tracker[Date],U351,Tracker[Result],"L")&amp;IF(COUNTIFS(Tracker[Date],U351,Tracker[Result],"Push")&gt;0,"-"&amp;COUNTIFS(Tracker[Date],U351,Tracker[Result],"Push"),"")</f>
        <v>0-0</v>
      </c>
      <c r="W351" s="34" t="str">
        <f>IFERROR(COUNTIFS(Tracker[Date],U351,Tracker[Result],"W")/(COUNTIFS(Tracker[Date],U351,Tracker[Result],"W")+COUNTIFS(Tracker[Date],U351,Tracker[Result],"L")),"")</f>
        <v/>
      </c>
      <c r="X351" s="61">
        <f>SUMIF(Tracker[Date],U351,Tracker[Net])</f>
        <v>0</v>
      </c>
    </row>
    <row r="352" spans="1:24" x14ac:dyDescent="0.25">
      <c r="A352" s="36">
        <f t="shared" si="53"/>
        <v>35</v>
      </c>
      <c r="B352" s="25">
        <v>43867</v>
      </c>
      <c r="C352" s="25" t="str">
        <f t="shared" si="55"/>
        <v>NBA</v>
      </c>
      <c r="D352" s="26" t="s">
        <v>1488</v>
      </c>
      <c r="E352" s="28" t="s">
        <v>1351</v>
      </c>
      <c r="F352" s="74">
        <v>0.66453495097493498</v>
      </c>
      <c r="G352" s="29">
        <v>-110</v>
      </c>
      <c r="H352" s="50" t="s">
        <v>57</v>
      </c>
      <c r="I35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5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352" s="40" t="str">
        <f>MID(Tracker[[#This Row],[Game]],SEARCH("@",Tracker[[#This Row],[Game]])+2,LEN(Tracker[[#This Row],[Game]]))</f>
        <v>Lakers</v>
      </c>
      <c r="L352" s="40" t="str">
        <f>LEFT(Tracker[[#This Row],[Game]],SEARCH("@",Tracker[[#This Row],[Game]])-2)</f>
        <v>Rockets</v>
      </c>
      <c r="M35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352" s="123">
        <v>0.45899999999999996</v>
      </c>
      <c r="O352" s="147"/>
      <c r="P352" s="147"/>
      <c r="Q352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52" s="147" t="e">
        <f>IF(AND(Tracker[[#This Row],[Money %]]&lt;&gt;"",Tracker[[#This Row],[Bet %]]&lt;&gt;""),Tracker[[#This Row],[Money %]]-Tracker[[#This Row],[Bet %]],NA())</f>
        <v>#N/A</v>
      </c>
      <c r="S352" s="110"/>
      <c r="T352" s="110"/>
      <c r="U352" s="56">
        <f>IFERROR(INDEX($A$4:$B10348,MATCH(ROW()-3,$A$4:$A$4:$A1348,0),2),0)</f>
        <v>0</v>
      </c>
      <c r="V352" s="33" t="str">
        <f>COUNTIFS(Tracker[Date],U352,Tracker[Result],"W")&amp;"-"&amp;COUNTIFS(Tracker[Date],U352,Tracker[Result],"L")&amp;IF(COUNTIFS(Tracker[Date],U352,Tracker[Result],"Push")&gt;0,"-"&amp;COUNTIFS(Tracker[Date],U352,Tracker[Result],"Push"),"")</f>
        <v>0-0</v>
      </c>
      <c r="W352" s="34" t="str">
        <f>IFERROR(COUNTIFS(Tracker[Date],U352,Tracker[Result],"W")/(COUNTIFS(Tracker[Date],U352,Tracker[Result],"W")+COUNTIFS(Tracker[Date],U352,Tracker[Result],"L")),"")</f>
        <v/>
      </c>
      <c r="X352" s="61">
        <f>SUMIF(Tracker[Date],U352,Tracker[Net])</f>
        <v>0</v>
      </c>
    </row>
    <row r="353" spans="1:24" x14ac:dyDescent="0.25">
      <c r="A353" s="36">
        <f t="shared" si="53"/>
        <v>36</v>
      </c>
      <c r="B353" s="25">
        <v>43871</v>
      </c>
      <c r="C353" s="25" t="str">
        <f t="shared" ref="C353:C359" si="56">"NBA"</f>
        <v>NBA</v>
      </c>
      <c r="D353" s="26" t="s">
        <v>1495</v>
      </c>
      <c r="E353" s="28" t="s">
        <v>1496</v>
      </c>
      <c r="F353" s="74">
        <v>0.55732337858887515</v>
      </c>
      <c r="G353" s="29">
        <v>-110</v>
      </c>
      <c r="H353" s="50" t="s">
        <v>57</v>
      </c>
      <c r="I35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5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353" s="40" t="str">
        <f>MID(Tracker[[#This Row],[Game]],SEARCH("@",Tracker[[#This Row],[Game]])+2,LEN(Tracker[[#This Row],[Game]]))</f>
        <v>Pistons</v>
      </c>
      <c r="L353" s="40" t="str">
        <f>LEFT(Tracker[[#This Row],[Game]],SEARCH("@",Tracker[[#This Row],[Game]])-2)</f>
        <v>Hornets</v>
      </c>
      <c r="M35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353" s="123">
        <v>0.46150000000000002</v>
      </c>
      <c r="O353" s="147"/>
      <c r="P353" s="147"/>
      <c r="Q353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53" s="147" t="e">
        <f>IF(AND(Tracker[[#This Row],[Money %]]&lt;&gt;"",Tracker[[#This Row],[Bet %]]&lt;&gt;""),Tracker[[#This Row],[Money %]]-Tracker[[#This Row],[Bet %]],NA())</f>
        <v>#N/A</v>
      </c>
      <c r="S353" s="110"/>
      <c r="T353" s="110"/>
      <c r="U353" s="56">
        <f>IFERROR(INDEX($A$4:$B10349,MATCH(ROW()-3,$A$4:$A$4:$A1349,0),2),0)</f>
        <v>0</v>
      </c>
      <c r="V353" s="33" t="str">
        <f>COUNTIFS(Tracker[Date],U353,Tracker[Result],"W")&amp;"-"&amp;COUNTIFS(Tracker[Date],U353,Tracker[Result],"L")&amp;IF(COUNTIFS(Tracker[Date],U353,Tracker[Result],"Push")&gt;0,"-"&amp;COUNTIFS(Tracker[Date],U353,Tracker[Result],"Push"),"")</f>
        <v>0-0</v>
      </c>
      <c r="W353" s="34" t="str">
        <f>IFERROR(COUNTIFS(Tracker[Date],U353,Tracker[Result],"W")/(COUNTIFS(Tracker[Date],U353,Tracker[Result],"W")+COUNTIFS(Tracker[Date],U353,Tracker[Result],"L")),"")</f>
        <v/>
      </c>
      <c r="X353" s="61">
        <f>SUMIF(Tracker[Date],U353,Tracker[Net])</f>
        <v>0</v>
      </c>
    </row>
    <row r="354" spans="1:24" x14ac:dyDescent="0.25">
      <c r="A354" s="36">
        <f t="shared" si="53"/>
        <v>36</v>
      </c>
      <c r="B354" s="25">
        <v>43871</v>
      </c>
      <c r="C354" s="25" t="str">
        <f t="shared" si="56"/>
        <v>NBA</v>
      </c>
      <c r="D354" s="26" t="s">
        <v>1495</v>
      </c>
      <c r="E354" s="28" t="s">
        <v>1497</v>
      </c>
      <c r="F354" s="74">
        <v>0.61660187671635147</v>
      </c>
      <c r="G354" s="29">
        <v>-110</v>
      </c>
      <c r="H354" s="50" t="s">
        <v>57</v>
      </c>
      <c r="I35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5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354" s="40" t="str">
        <f>MID(Tracker[[#This Row],[Game]],SEARCH("@",Tracker[[#This Row],[Game]])+2,LEN(Tracker[[#This Row],[Game]]))</f>
        <v>Pistons</v>
      </c>
      <c r="L354" s="40" t="str">
        <f>LEFT(Tracker[[#This Row],[Game]],SEARCH("@",Tracker[[#This Row],[Game]])-2)</f>
        <v>Hornets</v>
      </c>
      <c r="M35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354" s="123">
        <v>0.63600000000000001</v>
      </c>
      <c r="O354" s="147"/>
      <c r="P354" s="147"/>
      <c r="Q35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54" s="147" t="e">
        <f>IF(AND(Tracker[[#This Row],[Money %]]&lt;&gt;"",Tracker[[#This Row],[Bet %]]&lt;&gt;""),Tracker[[#This Row],[Money %]]-Tracker[[#This Row],[Bet %]],NA())</f>
        <v>#N/A</v>
      </c>
      <c r="S354" s="110"/>
      <c r="T354" s="110"/>
      <c r="U354" s="56">
        <f>IFERROR(INDEX($A$4:$B10350,MATCH(ROW()-3,$A$4:$A$4:$A1350,0),2),0)</f>
        <v>0</v>
      </c>
      <c r="V354" s="33" t="str">
        <f>COUNTIFS(Tracker[Date],U354,Tracker[Result],"W")&amp;"-"&amp;COUNTIFS(Tracker[Date],U354,Tracker[Result],"L")&amp;IF(COUNTIFS(Tracker[Date],U354,Tracker[Result],"Push")&gt;0,"-"&amp;COUNTIFS(Tracker[Date],U354,Tracker[Result],"Push"),"")</f>
        <v>0-0</v>
      </c>
      <c r="W354" s="34" t="str">
        <f>IFERROR(COUNTIFS(Tracker[Date],U354,Tracker[Result],"W")/(COUNTIFS(Tracker[Date],U354,Tracker[Result],"W")+COUNTIFS(Tracker[Date],U354,Tracker[Result],"L")),"")</f>
        <v/>
      </c>
      <c r="X354" s="61">
        <f>SUMIF(Tracker[Date],U354,Tracker[Net])</f>
        <v>0</v>
      </c>
    </row>
    <row r="355" spans="1:24" x14ac:dyDescent="0.25">
      <c r="A355" s="36">
        <f t="shared" si="53"/>
        <v>36</v>
      </c>
      <c r="B355" s="25">
        <v>43871</v>
      </c>
      <c r="C355" s="25" t="str">
        <f t="shared" si="56"/>
        <v>NBA</v>
      </c>
      <c r="D355" s="26" t="s">
        <v>1498</v>
      </c>
      <c r="E355" s="28" t="s">
        <v>1534</v>
      </c>
      <c r="F355" s="74">
        <v>0.59165380320751459</v>
      </c>
      <c r="G355" s="29">
        <v>-110</v>
      </c>
      <c r="H355" s="50" t="s">
        <v>56</v>
      </c>
      <c r="I35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5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355" s="40" t="str">
        <f>MID(Tracker[[#This Row],[Game]],SEARCH("@",Tracker[[#This Row],[Game]])+2,LEN(Tracker[[#This Row],[Game]]))</f>
        <v>Pacers</v>
      </c>
      <c r="L355" s="40" t="str">
        <f>LEFT(Tracker[[#This Row],[Game]],SEARCH("@",Tracker[[#This Row],[Game]])-2)</f>
        <v>Nets</v>
      </c>
      <c r="M35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355" s="123">
        <v>0.40549999999999997</v>
      </c>
      <c r="O355" s="147"/>
      <c r="P355" s="147"/>
      <c r="Q35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55" s="147" t="e">
        <f>IF(AND(Tracker[[#This Row],[Money %]]&lt;&gt;"",Tracker[[#This Row],[Bet %]]&lt;&gt;""),Tracker[[#This Row],[Money %]]-Tracker[[#This Row],[Bet %]],NA())</f>
        <v>#N/A</v>
      </c>
      <c r="S355" s="110"/>
      <c r="T355" s="110"/>
      <c r="U355" s="56">
        <f>IFERROR(INDEX($A$4:$B10351,MATCH(ROW()-3,$A$4:$A$4:$A1351,0),2),0)</f>
        <v>0</v>
      </c>
      <c r="V355" s="33" t="str">
        <f>COUNTIFS(Tracker[Date],U355,Tracker[Result],"W")&amp;"-"&amp;COUNTIFS(Tracker[Date],U355,Tracker[Result],"L")&amp;IF(COUNTIFS(Tracker[Date],U355,Tracker[Result],"Push")&gt;0,"-"&amp;COUNTIFS(Tracker[Date],U355,Tracker[Result],"Push"),"")</f>
        <v>0-0</v>
      </c>
      <c r="W355" s="34" t="str">
        <f>IFERROR(COUNTIFS(Tracker[Date],U355,Tracker[Result],"W")/(COUNTIFS(Tracker[Date],U355,Tracker[Result],"W")+COUNTIFS(Tracker[Date],U355,Tracker[Result],"L")),"")</f>
        <v/>
      </c>
      <c r="X355" s="61">
        <f>SUMIF(Tracker[Date],U355,Tracker[Net])</f>
        <v>0</v>
      </c>
    </row>
    <row r="356" spans="1:24" x14ac:dyDescent="0.25">
      <c r="A356" s="36">
        <f t="shared" si="53"/>
        <v>36</v>
      </c>
      <c r="B356" s="25">
        <v>43871</v>
      </c>
      <c r="C356" s="25" t="str">
        <f t="shared" si="56"/>
        <v>NBA</v>
      </c>
      <c r="D356" s="26" t="s">
        <v>1499</v>
      </c>
      <c r="E356" s="28" t="s">
        <v>1535</v>
      </c>
      <c r="F356" s="74">
        <v>0.55217737717776072</v>
      </c>
      <c r="G356" s="29">
        <v>-110</v>
      </c>
      <c r="H356" s="50" t="s">
        <v>57</v>
      </c>
      <c r="I35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5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356" s="40" t="str">
        <f>MID(Tracker[[#This Row],[Game]],SEARCH("@",Tracker[[#This Row],[Game]])+2,LEN(Tracker[[#This Row],[Game]]))</f>
        <v>Raptors</v>
      </c>
      <c r="L356" s="40" t="str">
        <f>LEFT(Tracker[[#This Row],[Game]],SEARCH("@",Tracker[[#This Row],[Game]])-2)</f>
        <v>Timberwolves</v>
      </c>
      <c r="M35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356" s="123">
        <v>0.42349999999999999</v>
      </c>
      <c r="O356" s="147"/>
      <c r="P356" s="147"/>
      <c r="Q356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56" s="147" t="e">
        <f>IF(AND(Tracker[[#This Row],[Money %]]&lt;&gt;"",Tracker[[#This Row],[Bet %]]&lt;&gt;""),Tracker[[#This Row],[Money %]]-Tracker[[#This Row],[Bet %]],NA())</f>
        <v>#N/A</v>
      </c>
      <c r="S356" s="110"/>
      <c r="T356" s="110"/>
      <c r="U356" s="56">
        <f>IFERROR(INDEX($A$4:$B10352,MATCH(ROW()-3,$A$4:$A$4:$A1352,0),2),0)</f>
        <v>0</v>
      </c>
      <c r="V356" s="33" t="str">
        <f>COUNTIFS(Tracker[Date],U356,Tracker[Result],"W")&amp;"-"&amp;COUNTIFS(Tracker[Date],U356,Tracker[Result],"L")&amp;IF(COUNTIFS(Tracker[Date],U356,Tracker[Result],"Push")&gt;0,"-"&amp;COUNTIFS(Tracker[Date],U356,Tracker[Result],"Push"),"")</f>
        <v>0-0</v>
      </c>
      <c r="W356" s="34" t="str">
        <f>IFERROR(COUNTIFS(Tracker[Date],U356,Tracker[Result],"W")/(COUNTIFS(Tracker[Date],U356,Tracker[Result],"W")+COUNTIFS(Tracker[Date],U356,Tracker[Result],"L")),"")</f>
        <v/>
      </c>
      <c r="X356" s="61">
        <f>SUMIF(Tracker[Date],U356,Tracker[Net])</f>
        <v>0</v>
      </c>
    </row>
    <row r="357" spans="1:24" x14ac:dyDescent="0.25">
      <c r="A357" s="36">
        <f t="shared" si="53"/>
        <v>36</v>
      </c>
      <c r="B357" s="25">
        <v>43871</v>
      </c>
      <c r="C357" s="25" t="str">
        <f t="shared" si="56"/>
        <v>NBA</v>
      </c>
      <c r="D357" s="26" t="s">
        <v>1500</v>
      </c>
      <c r="E357" s="28" t="s">
        <v>1501</v>
      </c>
      <c r="F357" s="74">
        <v>0.62970370705267176</v>
      </c>
      <c r="G357" s="29">
        <v>-110</v>
      </c>
      <c r="H357" s="50" t="s">
        <v>56</v>
      </c>
      <c r="I35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5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357" s="40" t="str">
        <f>MID(Tracker[[#This Row],[Game]],SEARCH("@",Tracker[[#This Row],[Game]])+2,LEN(Tracker[[#This Row],[Game]]))</f>
        <v>Bucks</v>
      </c>
      <c r="L357" s="40" t="str">
        <f>LEFT(Tracker[[#This Row],[Game]],SEARCH("@",Tracker[[#This Row],[Game]])-2)</f>
        <v>Kings</v>
      </c>
      <c r="M35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357" s="123">
        <v>0.45300000000000001</v>
      </c>
      <c r="O357" s="147"/>
      <c r="P357" s="147"/>
      <c r="Q357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57" s="147" t="e">
        <f>IF(AND(Tracker[[#This Row],[Money %]]&lt;&gt;"",Tracker[[#This Row],[Bet %]]&lt;&gt;""),Tracker[[#This Row],[Money %]]-Tracker[[#This Row],[Bet %]],NA())</f>
        <v>#N/A</v>
      </c>
      <c r="S357" s="110"/>
      <c r="T357" s="110"/>
      <c r="U357" s="56">
        <f>IFERROR(INDEX($A$4:$B10353,MATCH(ROW()-3,$A$4:$A$4:$A1353,0),2),0)</f>
        <v>0</v>
      </c>
      <c r="V357" s="33" t="str">
        <f>COUNTIFS(Tracker[Date],U357,Tracker[Result],"W")&amp;"-"&amp;COUNTIFS(Tracker[Date],U357,Tracker[Result],"L")&amp;IF(COUNTIFS(Tracker[Date],U357,Tracker[Result],"Push")&gt;0,"-"&amp;COUNTIFS(Tracker[Date],U357,Tracker[Result],"Push"),"")</f>
        <v>0-0</v>
      </c>
      <c r="W357" s="34" t="str">
        <f>IFERROR(COUNTIFS(Tracker[Date],U357,Tracker[Result],"W")/(COUNTIFS(Tracker[Date],U357,Tracker[Result],"W")+COUNTIFS(Tracker[Date],U357,Tracker[Result],"L")),"")</f>
        <v/>
      </c>
      <c r="X357" s="61">
        <f>SUMIF(Tracker[Date],U357,Tracker[Net])</f>
        <v>0</v>
      </c>
    </row>
    <row r="358" spans="1:24" x14ac:dyDescent="0.25">
      <c r="A358" s="36">
        <f t="shared" si="53"/>
        <v>36</v>
      </c>
      <c r="B358" s="25">
        <v>43871</v>
      </c>
      <c r="C358" s="25" t="str">
        <f t="shared" si="56"/>
        <v>NBA</v>
      </c>
      <c r="D358" s="26" t="s">
        <v>1502</v>
      </c>
      <c r="E358" s="28" t="s">
        <v>1503</v>
      </c>
      <c r="F358" s="74">
        <v>0.59010334759417171</v>
      </c>
      <c r="G358" s="29">
        <v>-110</v>
      </c>
      <c r="H358" s="50" t="s">
        <v>57</v>
      </c>
      <c r="I35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5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358" s="40" t="str">
        <f>MID(Tracker[[#This Row],[Game]],SEARCH("@",Tracker[[#This Row],[Game]])+2,LEN(Tracker[[#This Row],[Game]]))</f>
        <v>Mavericks</v>
      </c>
      <c r="L358" s="40" t="str">
        <f>LEFT(Tracker[[#This Row],[Game]],SEARCH("@",Tracker[[#This Row],[Game]])-2)</f>
        <v>Jazz</v>
      </c>
      <c r="M35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HD</v>
      </c>
      <c r="N358" s="123">
        <v>0.25</v>
      </c>
      <c r="O358" s="147"/>
      <c r="P358" s="147"/>
      <c r="Q358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58" s="147" t="e">
        <f>IF(AND(Tracker[[#This Row],[Money %]]&lt;&gt;"",Tracker[[#This Row],[Bet %]]&lt;&gt;""),Tracker[[#This Row],[Money %]]-Tracker[[#This Row],[Bet %]],NA())</f>
        <v>#N/A</v>
      </c>
      <c r="S358" s="110"/>
      <c r="T358" s="110"/>
      <c r="U358" s="56">
        <f>IFERROR(INDEX($A$4:$B10354,MATCH(ROW()-3,$A$4:$A$4:$A1354,0),2),0)</f>
        <v>0</v>
      </c>
      <c r="V358" s="33" t="str">
        <f>COUNTIFS(Tracker[Date],U358,Tracker[Result],"W")&amp;"-"&amp;COUNTIFS(Tracker[Date],U358,Tracker[Result],"L")&amp;IF(COUNTIFS(Tracker[Date],U358,Tracker[Result],"Push")&gt;0,"-"&amp;COUNTIFS(Tracker[Date],U358,Tracker[Result],"Push"),"")</f>
        <v>0-0</v>
      </c>
      <c r="W358" s="34" t="str">
        <f>IFERROR(COUNTIFS(Tracker[Date],U358,Tracker[Result],"W")/(COUNTIFS(Tracker[Date],U358,Tracker[Result],"W")+COUNTIFS(Tracker[Date],U358,Tracker[Result],"L")),"")</f>
        <v/>
      </c>
      <c r="X358" s="61">
        <f>SUMIF(Tracker[Date],U358,Tracker[Net])</f>
        <v>0</v>
      </c>
    </row>
    <row r="359" spans="1:24" x14ac:dyDescent="0.25">
      <c r="A359" s="36">
        <f t="shared" si="53"/>
        <v>36</v>
      </c>
      <c r="B359" s="25">
        <v>43871</v>
      </c>
      <c r="C359" s="25" t="str">
        <f t="shared" si="56"/>
        <v>NBA</v>
      </c>
      <c r="D359" s="26" t="s">
        <v>1504</v>
      </c>
      <c r="E359" s="28" t="s">
        <v>1505</v>
      </c>
      <c r="F359" s="74">
        <v>0.6160618243057312</v>
      </c>
      <c r="G359" s="29">
        <v>-110</v>
      </c>
      <c r="H359" s="50" t="s">
        <v>56</v>
      </c>
      <c r="I35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5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359" s="40" t="str">
        <f>MID(Tracker[[#This Row],[Game]],SEARCH("@",Tracker[[#This Row],[Game]])+2,LEN(Tracker[[#This Row],[Game]]))</f>
        <v>Warriors</v>
      </c>
      <c r="L359" s="40" t="str">
        <f>LEFT(Tracker[[#This Row],[Game]],SEARCH("@",Tracker[[#This Row],[Game]])-2)</f>
        <v>Heat</v>
      </c>
      <c r="M35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359" s="123">
        <v>0.44650000000000001</v>
      </c>
      <c r="O359" s="147"/>
      <c r="P359" s="147"/>
      <c r="Q359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59" s="147" t="e">
        <f>IF(AND(Tracker[[#This Row],[Money %]]&lt;&gt;"",Tracker[[#This Row],[Bet %]]&lt;&gt;""),Tracker[[#This Row],[Money %]]-Tracker[[#This Row],[Bet %]],NA())</f>
        <v>#N/A</v>
      </c>
      <c r="S359" s="110"/>
      <c r="T359" s="110"/>
      <c r="U359" s="56">
        <f>IFERROR(INDEX($A$4:$B10355,MATCH(ROW()-3,$A$4:$A$4:$A1355,0),2),0)</f>
        <v>0</v>
      </c>
      <c r="V359" s="33" t="str">
        <f>COUNTIFS(Tracker[Date],U359,Tracker[Result],"W")&amp;"-"&amp;COUNTIFS(Tracker[Date],U359,Tracker[Result],"L")&amp;IF(COUNTIFS(Tracker[Date],U359,Tracker[Result],"Push")&gt;0,"-"&amp;COUNTIFS(Tracker[Date],U359,Tracker[Result],"Push"),"")</f>
        <v>0-0</v>
      </c>
      <c r="W359" s="34" t="str">
        <f>IFERROR(COUNTIFS(Tracker[Date],U359,Tracker[Result],"W")/(COUNTIFS(Tracker[Date],U359,Tracker[Result],"W")+COUNTIFS(Tracker[Date],U359,Tracker[Result],"L")),"")</f>
        <v/>
      </c>
      <c r="X359" s="61">
        <f>SUMIF(Tracker[Date],U359,Tracker[Net])</f>
        <v>0</v>
      </c>
    </row>
    <row r="360" spans="1:24" x14ac:dyDescent="0.25">
      <c r="A360" s="36">
        <f t="shared" si="53"/>
        <v>37</v>
      </c>
      <c r="B360" s="25">
        <v>43872</v>
      </c>
      <c r="C360" s="25" t="str">
        <f t="shared" ref="C360:C365" si="57">"NBA"</f>
        <v>NBA</v>
      </c>
      <c r="D360" s="26" t="s">
        <v>1554</v>
      </c>
      <c r="E360" s="28" t="s">
        <v>1555</v>
      </c>
      <c r="F360" s="74">
        <v>0.59066120749044249</v>
      </c>
      <c r="G360" s="29">
        <v>-110</v>
      </c>
      <c r="H360" s="50" t="s">
        <v>57</v>
      </c>
      <c r="I36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6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360" s="40" t="str">
        <f>MID(Tracker[[#This Row],[Game]],SEARCH("@",Tracker[[#This Row],[Game]])+2,LEN(Tracker[[#This Row],[Game]]))</f>
        <v>76ers</v>
      </c>
      <c r="L360" s="40" t="str">
        <f>LEFT(Tracker[[#This Row],[Game]],SEARCH("@",Tracker[[#This Row],[Game]])-2)</f>
        <v>Clippers</v>
      </c>
      <c r="M36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360" s="123">
        <v>0.27800000000000002</v>
      </c>
      <c r="O360" s="148">
        <v>0.75</v>
      </c>
      <c r="P360" s="148">
        <v>0.69</v>
      </c>
      <c r="Q360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-10--5%</v>
      </c>
      <c r="R360" s="151">
        <f>IF(AND(Tracker[[#This Row],[Money %]]&lt;&gt;"",Tracker[[#This Row],[Bet %]]&lt;&gt;""),Tracker[[#This Row],[Money %]]-Tracker[[#This Row],[Bet %]],NA())</f>
        <v>-6.0000000000000053E-2</v>
      </c>
      <c r="S360" s="110"/>
      <c r="T360" s="110"/>
      <c r="U360" s="56">
        <f>IFERROR(INDEX($A$4:$B10356,MATCH(ROW()-3,$A$4:$A$4:$A1356,0),2),0)</f>
        <v>0</v>
      </c>
      <c r="V360" s="33" t="str">
        <f>COUNTIFS(Tracker[Date],U360,Tracker[Result],"W")&amp;"-"&amp;COUNTIFS(Tracker[Date],U360,Tracker[Result],"L")&amp;IF(COUNTIFS(Tracker[Date],U360,Tracker[Result],"Push")&gt;0,"-"&amp;COUNTIFS(Tracker[Date],U360,Tracker[Result],"Push"),"")</f>
        <v>0-0</v>
      </c>
      <c r="W360" s="34" t="str">
        <f>IFERROR(COUNTIFS(Tracker[Date],U360,Tracker[Result],"W")/(COUNTIFS(Tracker[Date],U360,Tracker[Result],"W")+COUNTIFS(Tracker[Date],U360,Tracker[Result],"L")),"")</f>
        <v/>
      </c>
      <c r="X360" s="61">
        <f>SUMIF(Tracker[Date],U360,Tracker[Net])</f>
        <v>0</v>
      </c>
    </row>
    <row r="361" spans="1:24" x14ac:dyDescent="0.25">
      <c r="A361" s="36">
        <f t="shared" si="53"/>
        <v>37</v>
      </c>
      <c r="B361" s="25">
        <v>43872</v>
      </c>
      <c r="C361" s="25" t="str">
        <f t="shared" si="57"/>
        <v>NBA</v>
      </c>
      <c r="D361" s="26" t="s">
        <v>1556</v>
      </c>
      <c r="E361" s="28" t="s">
        <v>1557</v>
      </c>
      <c r="F361" s="74">
        <v>0.6108391096835214</v>
      </c>
      <c r="G361" s="29">
        <v>-110</v>
      </c>
      <c r="H361" s="50" t="s">
        <v>57</v>
      </c>
      <c r="I36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6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361" s="40" t="str">
        <f>MID(Tracker[[#This Row],[Game]],SEARCH("@",Tracker[[#This Row],[Game]])+2,LEN(Tracker[[#This Row],[Game]]))</f>
        <v>Wizards</v>
      </c>
      <c r="L361" s="40" t="str">
        <f>LEFT(Tracker[[#This Row],[Game]],SEARCH("@",Tracker[[#This Row],[Game]])-2)</f>
        <v>Bulls</v>
      </c>
      <c r="M36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361" s="123">
        <v>0.5675</v>
      </c>
      <c r="O361" s="148">
        <v>0.14000000000000001</v>
      </c>
      <c r="P361" s="148">
        <v>0.23</v>
      </c>
      <c r="Q361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5-10%</v>
      </c>
      <c r="R361" s="151">
        <f>IF(AND(Tracker[[#This Row],[Money %]]&lt;&gt;"",Tracker[[#This Row],[Bet %]]&lt;&gt;""),Tracker[[#This Row],[Money %]]-Tracker[[#This Row],[Bet %]],NA())</f>
        <v>0.09</v>
      </c>
      <c r="S361" s="110"/>
      <c r="T361" s="110"/>
      <c r="U361" s="56">
        <f>IFERROR(INDEX($A$4:$B10357,MATCH(ROW()-3,$A$4:$A$4:$A1357,0),2),0)</f>
        <v>0</v>
      </c>
      <c r="V361" s="33" t="str">
        <f>COUNTIFS(Tracker[Date],U361,Tracker[Result],"W")&amp;"-"&amp;COUNTIFS(Tracker[Date],U361,Tracker[Result],"L")&amp;IF(COUNTIFS(Tracker[Date],U361,Tracker[Result],"Push")&gt;0,"-"&amp;COUNTIFS(Tracker[Date],U361,Tracker[Result],"Push"),"")</f>
        <v>0-0</v>
      </c>
      <c r="W361" s="34" t="str">
        <f>IFERROR(COUNTIFS(Tracker[Date],U361,Tracker[Result],"W")/(COUNTIFS(Tracker[Date],U361,Tracker[Result],"W")+COUNTIFS(Tracker[Date],U361,Tracker[Result],"L")),"")</f>
        <v/>
      </c>
      <c r="X361" s="61">
        <f>SUMIF(Tracker[Date],U361,Tracker[Net])</f>
        <v>0</v>
      </c>
    </row>
    <row r="362" spans="1:24" x14ac:dyDescent="0.25">
      <c r="A362" s="36">
        <f t="shared" si="53"/>
        <v>37</v>
      </c>
      <c r="B362" s="25">
        <v>43872</v>
      </c>
      <c r="C362" s="25" t="str">
        <f t="shared" si="57"/>
        <v>NBA</v>
      </c>
      <c r="D362" s="26" t="s">
        <v>1558</v>
      </c>
      <c r="E362" s="28" t="s">
        <v>1559</v>
      </c>
      <c r="F362" s="74">
        <v>0.6048743374513601</v>
      </c>
      <c r="G362" s="29">
        <v>-110</v>
      </c>
      <c r="H362" s="50" t="s">
        <v>57</v>
      </c>
      <c r="I36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6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362" s="40" t="str">
        <f>MID(Tracker[[#This Row],[Game]],SEARCH("@",Tracker[[#This Row],[Game]])+2,LEN(Tracker[[#This Row],[Game]]))</f>
        <v>Pelicans</v>
      </c>
      <c r="L362" s="40" t="str">
        <f>LEFT(Tracker[[#This Row],[Game]],SEARCH("@",Tracker[[#This Row],[Game]])-2)</f>
        <v>Trail Blazers</v>
      </c>
      <c r="M36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362" s="123">
        <v>0.48849999999999993</v>
      </c>
      <c r="O362" s="149">
        <v>0.4</v>
      </c>
      <c r="P362" s="149">
        <v>0.16</v>
      </c>
      <c r="Q362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-25--20%</v>
      </c>
      <c r="R362" s="152">
        <f>IF(AND(Tracker[[#This Row],[Money %]]&lt;&gt;"",Tracker[[#This Row],[Bet %]]&lt;&gt;""),Tracker[[#This Row],[Money %]]-Tracker[[#This Row],[Bet %]],NA())</f>
        <v>-0.24000000000000002</v>
      </c>
      <c r="S362" s="110"/>
      <c r="T362" s="110"/>
      <c r="U362" s="56">
        <f>IFERROR(INDEX($A$4:$B10358,MATCH(ROW()-3,$A$4:$A$4:$A1358,0),2),0)</f>
        <v>0</v>
      </c>
      <c r="V362" s="33" t="str">
        <f>COUNTIFS(Tracker[Date],U362,Tracker[Result],"W")&amp;"-"&amp;COUNTIFS(Tracker[Date],U362,Tracker[Result],"L")&amp;IF(COUNTIFS(Tracker[Date],U362,Tracker[Result],"Push")&gt;0,"-"&amp;COUNTIFS(Tracker[Date],U362,Tracker[Result],"Push"),"")</f>
        <v>0-0</v>
      </c>
      <c r="W362" s="34" t="str">
        <f>IFERROR(COUNTIFS(Tracker[Date],U362,Tracker[Result],"W")/(COUNTIFS(Tracker[Date],U362,Tracker[Result],"W")+COUNTIFS(Tracker[Date],U362,Tracker[Result],"L")),"")</f>
        <v/>
      </c>
      <c r="X362" s="61">
        <f>SUMIF(Tracker[Date],U362,Tracker[Net])</f>
        <v>0</v>
      </c>
    </row>
    <row r="363" spans="1:24" x14ac:dyDescent="0.25">
      <c r="A363" s="36">
        <f t="shared" si="53"/>
        <v>37</v>
      </c>
      <c r="B363" s="25">
        <v>43872</v>
      </c>
      <c r="C363" s="25" t="str">
        <f t="shared" si="57"/>
        <v>NBA</v>
      </c>
      <c r="D363" s="26" t="s">
        <v>1558</v>
      </c>
      <c r="E363" s="28" t="s">
        <v>1560</v>
      </c>
      <c r="F363" s="74">
        <v>0.65419087212993787</v>
      </c>
      <c r="G363" s="29">
        <v>-110</v>
      </c>
      <c r="H363" s="50" t="s">
        <v>57</v>
      </c>
      <c r="I36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6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363" s="40" t="str">
        <f>MID(Tracker[[#This Row],[Game]],SEARCH("@",Tracker[[#This Row],[Game]])+2,LEN(Tracker[[#This Row],[Game]]))</f>
        <v>Pelicans</v>
      </c>
      <c r="L363" s="40" t="str">
        <f>LEFT(Tracker[[#This Row],[Game]],SEARCH("@",Tracker[[#This Row],[Game]])-2)</f>
        <v>Trail Blazers</v>
      </c>
      <c r="M36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363" s="123">
        <v>0.48099999999999998</v>
      </c>
      <c r="O363" s="149">
        <v>0.51</v>
      </c>
      <c r="P363" s="149">
        <v>0.19</v>
      </c>
      <c r="Q363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-35--30%</v>
      </c>
      <c r="R363" s="152">
        <f>IF(AND(Tracker[[#This Row],[Money %]]&lt;&gt;"",Tracker[[#This Row],[Bet %]]&lt;&gt;""),Tracker[[#This Row],[Money %]]-Tracker[[#This Row],[Bet %]],NA())</f>
        <v>-0.32</v>
      </c>
      <c r="S363" s="110"/>
      <c r="T363" s="110"/>
      <c r="U363" s="56">
        <f>IFERROR(INDEX($A$4:$B10359,MATCH(ROW()-3,$A$4:$A$4:$A1359,0),2),0)</f>
        <v>0</v>
      </c>
      <c r="V363" s="33" t="str">
        <f>COUNTIFS(Tracker[Date],U363,Tracker[Result],"W")&amp;"-"&amp;COUNTIFS(Tracker[Date],U363,Tracker[Result],"L")&amp;IF(COUNTIFS(Tracker[Date],U363,Tracker[Result],"Push")&gt;0,"-"&amp;COUNTIFS(Tracker[Date],U363,Tracker[Result],"Push"),"")</f>
        <v>0-0</v>
      </c>
      <c r="W363" s="34" t="str">
        <f>IFERROR(COUNTIFS(Tracker[Date],U363,Tracker[Result],"W")/(COUNTIFS(Tracker[Date],U363,Tracker[Result],"W")+COUNTIFS(Tracker[Date],U363,Tracker[Result],"L")),"")</f>
        <v/>
      </c>
      <c r="X363" s="61">
        <f>SUMIF(Tracker[Date],U363,Tracker[Net])</f>
        <v>0</v>
      </c>
    </row>
    <row r="364" spans="1:24" x14ac:dyDescent="0.25">
      <c r="A364" s="36">
        <f t="shared" si="53"/>
        <v>37</v>
      </c>
      <c r="B364" s="25">
        <v>43872</v>
      </c>
      <c r="C364" s="25" t="str">
        <f t="shared" si="57"/>
        <v>NBA</v>
      </c>
      <c r="D364" s="26" t="s">
        <v>1561</v>
      </c>
      <c r="E364" s="28" t="s">
        <v>1562</v>
      </c>
      <c r="F364" s="74">
        <v>0.57397028697939301</v>
      </c>
      <c r="G364" s="29">
        <v>-110</v>
      </c>
      <c r="H364" s="50" t="s">
        <v>56</v>
      </c>
      <c r="I36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6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364" s="40" t="str">
        <f>MID(Tracker[[#This Row],[Game]],SEARCH("@",Tracker[[#This Row],[Game]])+2,LEN(Tracker[[#This Row],[Game]]))</f>
        <v>Thunder</v>
      </c>
      <c r="L364" s="40" t="str">
        <f>LEFT(Tracker[[#This Row],[Game]],SEARCH("@",Tracker[[#This Row],[Game]])-2)</f>
        <v>Spurs</v>
      </c>
      <c r="M36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364" s="123">
        <v>0.5</v>
      </c>
      <c r="O364" s="149">
        <v>0.43</v>
      </c>
      <c r="P364" s="149">
        <v>0.22</v>
      </c>
      <c r="Q364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-25--20%</v>
      </c>
      <c r="R364" s="152">
        <f>IF(AND(Tracker[[#This Row],[Money %]]&lt;&gt;"",Tracker[[#This Row],[Bet %]]&lt;&gt;""),Tracker[[#This Row],[Money %]]-Tracker[[#This Row],[Bet %]],NA())</f>
        <v>-0.21</v>
      </c>
      <c r="S364" s="110"/>
      <c r="T364" s="110"/>
      <c r="U364" s="56">
        <f>IFERROR(INDEX($A$4:$B10360,MATCH(ROW()-3,$A$4:$A$4:$A1360,0),2),0)</f>
        <v>0</v>
      </c>
      <c r="V364" s="33" t="str">
        <f>COUNTIFS(Tracker[Date],U364,Tracker[Result],"W")&amp;"-"&amp;COUNTIFS(Tracker[Date],U364,Tracker[Result],"L")&amp;IF(COUNTIFS(Tracker[Date],U364,Tracker[Result],"Push")&gt;0,"-"&amp;COUNTIFS(Tracker[Date],U364,Tracker[Result],"Push"),"")</f>
        <v>0-0</v>
      </c>
      <c r="W364" s="34" t="str">
        <f>IFERROR(COUNTIFS(Tracker[Date],U364,Tracker[Result],"W")/(COUNTIFS(Tracker[Date],U364,Tracker[Result],"W")+COUNTIFS(Tracker[Date],U364,Tracker[Result],"L")),"")</f>
        <v/>
      </c>
      <c r="X364" s="61">
        <f>SUMIF(Tracker[Date],U364,Tracker[Net])</f>
        <v>0</v>
      </c>
    </row>
    <row r="365" spans="1:24" x14ac:dyDescent="0.25">
      <c r="A365" s="36">
        <f t="shared" si="53"/>
        <v>37</v>
      </c>
      <c r="B365" s="25">
        <v>43872</v>
      </c>
      <c r="C365" s="25" t="str">
        <f t="shared" si="57"/>
        <v>NBA</v>
      </c>
      <c r="D365" s="26" t="s">
        <v>1563</v>
      </c>
      <c r="E365" s="28" t="s">
        <v>1237</v>
      </c>
      <c r="F365" s="74">
        <v>0.62287999310655007</v>
      </c>
      <c r="G365" s="29">
        <v>-110</v>
      </c>
      <c r="H365" s="50" t="s">
        <v>57</v>
      </c>
      <c r="I36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6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365" s="40" t="str">
        <f>MID(Tracker[[#This Row],[Game]],SEARCH("@",Tracker[[#This Row],[Game]])+2,LEN(Tracker[[#This Row],[Game]]))</f>
        <v>Rockets</v>
      </c>
      <c r="L365" s="40" t="str">
        <f>LEFT(Tracker[[#This Row],[Game]],SEARCH("@",Tracker[[#This Row],[Game]])-2)</f>
        <v>Celtics</v>
      </c>
      <c r="M36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365" s="123">
        <v>0.61349999999999993</v>
      </c>
      <c r="O365" s="149">
        <v>0.57999999999999996</v>
      </c>
      <c r="P365" s="149">
        <v>0.55000000000000004</v>
      </c>
      <c r="Q365" s="123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-5-0%</v>
      </c>
      <c r="R365" s="152">
        <f>IF(AND(Tracker[[#This Row],[Money %]]&lt;&gt;"",Tracker[[#This Row],[Bet %]]&lt;&gt;""),Tracker[[#This Row],[Money %]]-Tracker[[#This Row],[Bet %]],NA())</f>
        <v>-2.9999999999999916E-2</v>
      </c>
      <c r="S365" s="110"/>
      <c r="T365" s="110"/>
      <c r="U365" s="56">
        <f>IFERROR(INDEX($A$4:$B10361,MATCH(ROW()-3,$A$4:$A$4:$A1361,0),2),0)</f>
        <v>0</v>
      </c>
      <c r="V365" s="33" t="str">
        <f>COUNTIFS(Tracker[Date],U365,Tracker[Result],"W")&amp;"-"&amp;COUNTIFS(Tracker[Date],U365,Tracker[Result],"L")&amp;IF(COUNTIFS(Tracker[Date],U365,Tracker[Result],"Push")&gt;0,"-"&amp;COUNTIFS(Tracker[Date],U365,Tracker[Result],"Push"),"")</f>
        <v>0-0</v>
      </c>
      <c r="W365" s="34" t="str">
        <f>IFERROR(COUNTIFS(Tracker[Date],U365,Tracker[Result],"W")/(COUNTIFS(Tracker[Date],U365,Tracker[Result],"W")+COUNTIFS(Tracker[Date],U365,Tracker[Result],"L")),"")</f>
        <v/>
      </c>
      <c r="X365" s="61">
        <f>SUMIF(Tracker[Date],U365,Tracker[Net])</f>
        <v>0</v>
      </c>
    </row>
    <row r="366" spans="1:24" x14ac:dyDescent="0.25">
      <c r="A366" s="36">
        <f t="shared" si="53"/>
        <v>38</v>
      </c>
      <c r="B366" s="25">
        <v>43873</v>
      </c>
      <c r="C366" s="25" t="str">
        <f t="shared" ref="C366:C383" si="58">"NBA"</f>
        <v>NBA</v>
      </c>
      <c r="D366" s="26" t="s">
        <v>1578</v>
      </c>
      <c r="E366" s="28" t="s">
        <v>1579</v>
      </c>
      <c r="F366" s="74">
        <v>0.56540349731068162</v>
      </c>
      <c r="G366" s="29">
        <v>-110</v>
      </c>
      <c r="H366" s="50" t="s">
        <v>56</v>
      </c>
      <c r="I36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6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366" s="40" t="str">
        <f>MID(Tracker[[#This Row],[Game]],SEARCH("@",Tracker[[#This Row],[Game]])+2,LEN(Tracker[[#This Row],[Game]]))</f>
        <v>Cavaliers</v>
      </c>
      <c r="L366" s="40" t="str">
        <f>LEFT(Tracker[[#This Row],[Game]],SEARCH("@",Tracker[[#This Row],[Game]])-2)</f>
        <v>Hawks</v>
      </c>
      <c r="M36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HD</v>
      </c>
      <c r="N366" s="123">
        <v>0.72499999999999998</v>
      </c>
      <c r="O366" s="147">
        <v>0.24</v>
      </c>
      <c r="P366" s="147">
        <v>0.28999999999999998</v>
      </c>
      <c r="Q366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5-10%</v>
      </c>
      <c r="R366" s="147">
        <f>IF(AND(Tracker[[#This Row],[Money %]]&lt;&gt;"",Tracker[[#This Row],[Bet %]]&lt;&gt;""),Tracker[[#This Row],[Money %]]-Tracker[[#This Row],[Bet %]],NA())</f>
        <v>4.9999999999999989E-2</v>
      </c>
      <c r="S366" s="110"/>
      <c r="T366" s="110"/>
      <c r="U366" s="56">
        <f>IFERROR(INDEX($A$4:$B10362,MATCH(ROW()-3,$A$4:$A$4:$A1362,0),2),0)</f>
        <v>0</v>
      </c>
      <c r="V366" s="33" t="str">
        <f>COUNTIFS(Tracker[Date],U366,Tracker[Result],"W")&amp;"-"&amp;COUNTIFS(Tracker[Date],U366,Tracker[Result],"L")&amp;IF(COUNTIFS(Tracker[Date],U366,Tracker[Result],"Push")&gt;0,"-"&amp;COUNTIFS(Tracker[Date],U366,Tracker[Result],"Push"),"")</f>
        <v>0-0</v>
      </c>
      <c r="W366" s="34" t="str">
        <f>IFERROR(COUNTIFS(Tracker[Date],U366,Tracker[Result],"W")/(COUNTIFS(Tracker[Date],U366,Tracker[Result],"W")+COUNTIFS(Tracker[Date],U366,Tracker[Result],"L")),"")</f>
        <v/>
      </c>
      <c r="X366" s="61">
        <f>SUMIF(Tracker[Date],U366,Tracker[Net])</f>
        <v>0</v>
      </c>
    </row>
    <row r="367" spans="1:24" x14ac:dyDescent="0.25">
      <c r="A367" s="36">
        <f t="shared" si="53"/>
        <v>38</v>
      </c>
      <c r="B367" s="25">
        <v>43873</v>
      </c>
      <c r="C367" s="25" t="str">
        <f t="shared" si="58"/>
        <v>NBA</v>
      </c>
      <c r="D367" s="26" t="s">
        <v>1578</v>
      </c>
      <c r="E367" s="28" t="s">
        <v>1580</v>
      </c>
      <c r="F367" s="74">
        <v>0.72173586337468976</v>
      </c>
      <c r="G367" s="29">
        <v>-110</v>
      </c>
      <c r="H367" s="50" t="s">
        <v>56</v>
      </c>
      <c r="I36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6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367" s="40" t="str">
        <f>MID(Tracker[[#This Row],[Game]],SEARCH("@",Tracker[[#This Row],[Game]])+2,LEN(Tracker[[#This Row],[Game]]))</f>
        <v>Cavaliers</v>
      </c>
      <c r="L367" s="40" t="str">
        <f>LEFT(Tracker[[#This Row],[Game]],SEARCH("@",Tracker[[#This Row],[Game]])-2)</f>
        <v>Hawks</v>
      </c>
      <c r="M36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367" s="123">
        <v>0.40400000000000003</v>
      </c>
      <c r="O367" s="147">
        <v>0.53</v>
      </c>
      <c r="P367" s="147">
        <v>0.14000000000000001</v>
      </c>
      <c r="Q367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-40--35%</v>
      </c>
      <c r="R367" s="147">
        <f>IF(AND(Tracker[[#This Row],[Money %]]&lt;&gt;"",Tracker[[#This Row],[Bet %]]&lt;&gt;""),Tracker[[#This Row],[Money %]]-Tracker[[#This Row],[Bet %]],NA())</f>
        <v>-0.39</v>
      </c>
      <c r="S367" s="110"/>
      <c r="T367" s="110"/>
      <c r="U367" s="56">
        <f>IFERROR(INDEX($A$4:$B10363,MATCH(ROW()-3,$A$4:$A$4:$A1363,0),2),0)</f>
        <v>0</v>
      </c>
      <c r="V367" s="33" t="str">
        <f>COUNTIFS(Tracker[Date],U367,Tracker[Result],"W")&amp;"-"&amp;COUNTIFS(Tracker[Date],U367,Tracker[Result],"L")&amp;IF(COUNTIFS(Tracker[Date],U367,Tracker[Result],"Push")&gt;0,"-"&amp;COUNTIFS(Tracker[Date],U367,Tracker[Result],"Push"),"")</f>
        <v>0-0</v>
      </c>
      <c r="W367" s="34" t="str">
        <f>IFERROR(COUNTIFS(Tracker[Date],U367,Tracker[Result],"W")/(COUNTIFS(Tracker[Date],U367,Tracker[Result],"W")+COUNTIFS(Tracker[Date],U367,Tracker[Result],"L")),"")</f>
        <v/>
      </c>
      <c r="X367" s="61">
        <f>SUMIF(Tracker[Date],U367,Tracker[Net])</f>
        <v>0</v>
      </c>
    </row>
    <row r="368" spans="1:24" x14ac:dyDescent="0.25">
      <c r="A368" s="36">
        <f t="shared" si="53"/>
        <v>38</v>
      </c>
      <c r="B368" s="25">
        <v>43873</v>
      </c>
      <c r="C368" s="25" t="str">
        <f t="shared" si="58"/>
        <v>NBA</v>
      </c>
      <c r="D368" s="26" t="s">
        <v>1581</v>
      </c>
      <c r="E368" s="28" t="s">
        <v>1582</v>
      </c>
      <c r="F368" s="74">
        <v>0.58092699713900209</v>
      </c>
      <c r="G368" s="29">
        <v>-110</v>
      </c>
      <c r="H368" s="50" t="s">
        <v>56</v>
      </c>
      <c r="I36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6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368" s="40" t="str">
        <f>MID(Tracker[[#This Row],[Game]],SEARCH("@",Tracker[[#This Row],[Game]])+2,LEN(Tracker[[#This Row],[Game]]))</f>
        <v>Magic</v>
      </c>
      <c r="L368" s="40" t="str">
        <f>LEFT(Tracker[[#This Row],[Game]],SEARCH("@",Tracker[[#This Row],[Game]])-2)</f>
        <v>Pistons</v>
      </c>
      <c r="M36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368" s="123">
        <v>0.40800000000000003</v>
      </c>
      <c r="O368" s="147">
        <v>0.33</v>
      </c>
      <c r="P368" s="147">
        <v>0.25</v>
      </c>
      <c r="Q368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-10--5%</v>
      </c>
      <c r="R368" s="147">
        <f>IF(AND(Tracker[[#This Row],[Money %]]&lt;&gt;"",Tracker[[#This Row],[Bet %]]&lt;&gt;""),Tracker[[#This Row],[Money %]]-Tracker[[#This Row],[Bet %]],NA())</f>
        <v>-8.0000000000000016E-2</v>
      </c>
      <c r="S368" s="110"/>
      <c r="T368" s="110"/>
      <c r="U368" s="56">
        <f>IFERROR(INDEX($A$4:$B10364,MATCH(ROW()-3,$A$4:$A$4:$A1364,0),2),0)</f>
        <v>0</v>
      </c>
      <c r="V368" s="33" t="str">
        <f>COUNTIFS(Tracker[Date],U368,Tracker[Result],"W")&amp;"-"&amp;COUNTIFS(Tracker[Date],U368,Tracker[Result],"L")&amp;IF(COUNTIFS(Tracker[Date],U368,Tracker[Result],"Push")&gt;0,"-"&amp;COUNTIFS(Tracker[Date],U368,Tracker[Result],"Push"),"")</f>
        <v>0-0</v>
      </c>
      <c r="W368" s="34" t="str">
        <f>IFERROR(COUNTIFS(Tracker[Date],U368,Tracker[Result],"W")/(COUNTIFS(Tracker[Date],U368,Tracker[Result],"W")+COUNTIFS(Tracker[Date],U368,Tracker[Result],"L")),"")</f>
        <v/>
      </c>
      <c r="X368" s="61">
        <f>SUMIF(Tracker[Date],U368,Tracker[Net])</f>
        <v>0</v>
      </c>
    </row>
    <row r="369" spans="1:24" x14ac:dyDescent="0.25">
      <c r="A369" s="36">
        <f t="shared" si="53"/>
        <v>38</v>
      </c>
      <c r="B369" s="25">
        <v>43873</v>
      </c>
      <c r="C369" s="25" t="str">
        <f t="shared" si="58"/>
        <v>NBA</v>
      </c>
      <c r="D369" s="26" t="s">
        <v>1583</v>
      </c>
      <c r="E369" s="28" t="s">
        <v>895</v>
      </c>
      <c r="F369" s="74">
        <v>0.71914094315254329</v>
      </c>
      <c r="G369" s="29">
        <v>-110</v>
      </c>
      <c r="H369" s="50" t="s">
        <v>57</v>
      </c>
      <c r="I36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6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369" s="40" t="str">
        <f>MID(Tracker[[#This Row],[Game]],SEARCH("@",Tracker[[#This Row],[Game]])+2,LEN(Tracker[[#This Row],[Game]]))</f>
        <v>Pacers</v>
      </c>
      <c r="L369" s="40" t="str">
        <f>LEFT(Tracker[[#This Row],[Game]],SEARCH("@",Tracker[[#This Row],[Game]])-2)</f>
        <v>Bucks</v>
      </c>
      <c r="M36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369" s="123">
        <v>0.50449999999999995</v>
      </c>
      <c r="O369" s="147">
        <v>0.23</v>
      </c>
      <c r="P369" s="147"/>
      <c r="Q369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69" s="147" t="e">
        <f>IF(AND(Tracker[[#This Row],[Money %]]&lt;&gt;"",Tracker[[#This Row],[Bet %]]&lt;&gt;""),Tracker[[#This Row],[Money %]]-Tracker[[#This Row],[Bet %]],NA())</f>
        <v>#N/A</v>
      </c>
      <c r="S369" s="110"/>
      <c r="T369" s="110"/>
      <c r="U369" s="56">
        <f>IFERROR(INDEX($A$4:$B10365,MATCH(ROW()-3,$A$4:$A$4:$A1365,0),2),0)</f>
        <v>0</v>
      </c>
      <c r="V369" s="33" t="str">
        <f>COUNTIFS(Tracker[Date],U369,Tracker[Result],"W")&amp;"-"&amp;COUNTIFS(Tracker[Date],U369,Tracker[Result],"L")&amp;IF(COUNTIFS(Tracker[Date],U369,Tracker[Result],"Push")&gt;0,"-"&amp;COUNTIFS(Tracker[Date],U369,Tracker[Result],"Push"),"")</f>
        <v>0-0</v>
      </c>
      <c r="W369" s="34" t="str">
        <f>IFERROR(COUNTIFS(Tracker[Date],U369,Tracker[Result],"W")/(COUNTIFS(Tracker[Date],U369,Tracker[Result],"W")+COUNTIFS(Tracker[Date],U369,Tracker[Result],"L")),"")</f>
        <v/>
      </c>
      <c r="X369" s="61">
        <f>SUMIF(Tracker[Date],U369,Tracker[Net])</f>
        <v>0</v>
      </c>
    </row>
    <row r="370" spans="1:24" x14ac:dyDescent="0.25">
      <c r="A370" s="36">
        <f t="shared" si="53"/>
        <v>38</v>
      </c>
      <c r="B370" s="25">
        <v>43873</v>
      </c>
      <c r="C370" s="25" t="str">
        <f t="shared" si="58"/>
        <v>NBA</v>
      </c>
      <c r="D370" s="26" t="s">
        <v>1584</v>
      </c>
      <c r="E370" s="28" t="s">
        <v>936</v>
      </c>
      <c r="F370" s="74">
        <v>0.56485888919489236</v>
      </c>
      <c r="G370" s="29">
        <v>-110</v>
      </c>
      <c r="H370" s="50" t="s">
        <v>57</v>
      </c>
      <c r="I37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7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370" s="40" t="str">
        <f>MID(Tracker[[#This Row],[Game]],SEARCH("@",Tracker[[#This Row],[Game]])+2,LEN(Tracker[[#This Row],[Game]]))</f>
        <v>Nets</v>
      </c>
      <c r="L370" s="40" t="str">
        <f>LEFT(Tracker[[#This Row],[Game]],SEARCH("@",Tracker[[#This Row],[Game]])-2)</f>
        <v>Raptors</v>
      </c>
      <c r="M37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370" s="123">
        <v>0.46900000000000003</v>
      </c>
      <c r="O370" s="147">
        <v>0.75</v>
      </c>
      <c r="P370" s="147">
        <v>0.88</v>
      </c>
      <c r="Q370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10-15%</v>
      </c>
      <c r="R370" s="147">
        <f>IF(AND(Tracker[[#This Row],[Money %]]&lt;&gt;"",Tracker[[#This Row],[Bet %]]&lt;&gt;""),Tracker[[#This Row],[Money %]]-Tracker[[#This Row],[Bet %]],NA())</f>
        <v>0.13</v>
      </c>
      <c r="S370" s="110"/>
      <c r="T370" s="110"/>
      <c r="U370" s="56">
        <f>IFERROR(INDEX($A$4:$B10366,MATCH(ROW()-3,$A$4:$A$4:$A1366,0),2),0)</f>
        <v>0</v>
      </c>
      <c r="V370" s="33" t="str">
        <f>COUNTIFS(Tracker[Date],U370,Tracker[Result],"W")&amp;"-"&amp;COUNTIFS(Tracker[Date],U370,Tracker[Result],"L")&amp;IF(COUNTIFS(Tracker[Date],U370,Tracker[Result],"Push")&gt;0,"-"&amp;COUNTIFS(Tracker[Date],U370,Tracker[Result],"Push"),"")</f>
        <v>0-0</v>
      </c>
      <c r="W370" s="34" t="str">
        <f>IFERROR(COUNTIFS(Tracker[Date],U370,Tracker[Result],"W")/(COUNTIFS(Tracker[Date],U370,Tracker[Result],"W")+COUNTIFS(Tracker[Date],U370,Tracker[Result],"L")),"")</f>
        <v/>
      </c>
      <c r="X370" s="61">
        <f>SUMIF(Tracker[Date],U370,Tracker[Net])</f>
        <v>0</v>
      </c>
    </row>
    <row r="371" spans="1:24" x14ac:dyDescent="0.25">
      <c r="A371" s="36">
        <f t="shared" si="53"/>
        <v>38</v>
      </c>
      <c r="B371" s="25">
        <v>43873</v>
      </c>
      <c r="C371" s="25" t="str">
        <f t="shared" si="58"/>
        <v>NBA</v>
      </c>
      <c r="D371" s="26" t="s">
        <v>1584</v>
      </c>
      <c r="E371" s="28" t="s">
        <v>951</v>
      </c>
      <c r="F371" s="74">
        <v>0.61039961247332841</v>
      </c>
      <c r="G371" s="29">
        <v>-110</v>
      </c>
      <c r="H371" s="50" t="s">
        <v>56</v>
      </c>
      <c r="I37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7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371" s="40" t="str">
        <f>MID(Tracker[[#This Row],[Game]],SEARCH("@",Tracker[[#This Row],[Game]])+2,LEN(Tracker[[#This Row],[Game]]))</f>
        <v>Nets</v>
      </c>
      <c r="L371" s="40" t="str">
        <f>LEFT(Tracker[[#This Row],[Game]],SEARCH("@",Tracker[[#This Row],[Game]])-2)</f>
        <v>Raptors</v>
      </c>
      <c r="M37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371" s="123">
        <v>0.49</v>
      </c>
      <c r="O371" s="147">
        <v>0.34</v>
      </c>
      <c r="P371" s="147">
        <v>0.28999999999999998</v>
      </c>
      <c r="Q371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-5-0%</v>
      </c>
      <c r="R371" s="147">
        <f>IF(AND(Tracker[[#This Row],[Money %]]&lt;&gt;"",Tracker[[#This Row],[Bet %]]&lt;&gt;""),Tracker[[#This Row],[Money %]]-Tracker[[#This Row],[Bet %]],NA())</f>
        <v>-5.0000000000000044E-2</v>
      </c>
      <c r="S371" s="110"/>
      <c r="T371" s="110"/>
      <c r="U371" s="56">
        <f>IFERROR(INDEX($A$4:$B10367,MATCH(ROW()-3,$A$4:$A$4:$A1367,0),2),0)</f>
        <v>0</v>
      </c>
      <c r="V371" s="33" t="str">
        <f>COUNTIFS(Tracker[Date],U371,Tracker[Result],"W")&amp;"-"&amp;COUNTIFS(Tracker[Date],U371,Tracker[Result],"L")&amp;IF(COUNTIFS(Tracker[Date],U371,Tracker[Result],"Push")&gt;0,"-"&amp;COUNTIFS(Tracker[Date],U371,Tracker[Result],"Push"),"")</f>
        <v>0-0</v>
      </c>
      <c r="W371" s="34" t="str">
        <f>IFERROR(COUNTIFS(Tracker[Date],U371,Tracker[Result],"W")/(COUNTIFS(Tracker[Date],U371,Tracker[Result],"W")+COUNTIFS(Tracker[Date],U371,Tracker[Result],"L")),"")</f>
        <v/>
      </c>
      <c r="X371" s="61">
        <f>SUMIF(Tracker[Date],U371,Tracker[Net])</f>
        <v>0</v>
      </c>
    </row>
    <row r="372" spans="1:24" x14ac:dyDescent="0.25">
      <c r="A372" s="36">
        <f t="shared" si="53"/>
        <v>38</v>
      </c>
      <c r="B372" s="25">
        <v>43873</v>
      </c>
      <c r="C372" s="25" t="str">
        <f t="shared" si="58"/>
        <v>NBA</v>
      </c>
      <c r="D372" s="26" t="s">
        <v>1585</v>
      </c>
      <c r="E372" s="28" t="s">
        <v>1586</v>
      </c>
      <c r="F372" s="74">
        <v>0.60044030954307348</v>
      </c>
      <c r="G372" s="29">
        <v>-110</v>
      </c>
      <c r="H372" s="50" t="s">
        <v>56</v>
      </c>
      <c r="I37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7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372" s="40" t="str">
        <f>MID(Tracker[[#This Row],[Game]],SEARCH("@",Tracker[[#This Row],[Game]])+2,LEN(Tracker[[#This Row],[Game]]))</f>
        <v>Knicks</v>
      </c>
      <c r="L372" s="40" t="str">
        <f>LEFT(Tracker[[#This Row],[Game]],SEARCH("@",Tracker[[#This Row],[Game]])-2)</f>
        <v>Wizards</v>
      </c>
      <c r="M37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372" s="123">
        <v>0.5</v>
      </c>
      <c r="O372" s="147">
        <v>0.42</v>
      </c>
      <c r="P372" s="147">
        <v>0.45</v>
      </c>
      <c r="Q372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0-5%</v>
      </c>
      <c r="R372" s="147">
        <f>IF(AND(Tracker[[#This Row],[Money %]]&lt;&gt;"",Tracker[[#This Row],[Bet %]]&lt;&gt;""),Tracker[[#This Row],[Money %]]-Tracker[[#This Row],[Bet %]],NA())</f>
        <v>3.0000000000000027E-2</v>
      </c>
      <c r="S372" s="110"/>
      <c r="T372" s="110"/>
      <c r="U372" s="56">
        <f>IFERROR(INDEX($A$4:$B10368,MATCH(ROW()-3,$A$4:$A$4:$A1368,0),2),0)</f>
        <v>0</v>
      </c>
      <c r="V372" s="33" t="str">
        <f>COUNTIFS(Tracker[Date],U372,Tracker[Result],"W")&amp;"-"&amp;COUNTIFS(Tracker[Date],U372,Tracker[Result],"L")&amp;IF(COUNTIFS(Tracker[Date],U372,Tracker[Result],"Push")&gt;0,"-"&amp;COUNTIFS(Tracker[Date],U372,Tracker[Result],"Push"),"")</f>
        <v>0-0</v>
      </c>
      <c r="W372" s="34" t="str">
        <f>IFERROR(COUNTIFS(Tracker[Date],U372,Tracker[Result],"W")/(COUNTIFS(Tracker[Date],U372,Tracker[Result],"W")+COUNTIFS(Tracker[Date],U372,Tracker[Result],"L")),"")</f>
        <v/>
      </c>
      <c r="X372" s="61">
        <f>SUMIF(Tracker[Date],U372,Tracker[Net])</f>
        <v>0</v>
      </c>
    </row>
    <row r="373" spans="1:24" x14ac:dyDescent="0.25">
      <c r="A373" s="36">
        <f t="shared" si="53"/>
        <v>38</v>
      </c>
      <c r="B373" s="25">
        <v>43873</v>
      </c>
      <c r="C373" s="25" t="str">
        <f t="shared" si="58"/>
        <v>NBA</v>
      </c>
      <c r="D373" s="26" t="s">
        <v>1585</v>
      </c>
      <c r="E373" s="28" t="s">
        <v>1180</v>
      </c>
      <c r="F373" s="74">
        <v>0.5792274291899735</v>
      </c>
      <c r="G373" s="29">
        <v>-110</v>
      </c>
      <c r="H373" s="50" t="s">
        <v>56</v>
      </c>
      <c r="I37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7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373" s="40" t="str">
        <f>MID(Tracker[[#This Row],[Game]],SEARCH("@",Tracker[[#This Row],[Game]])+2,LEN(Tracker[[#This Row],[Game]]))</f>
        <v>Knicks</v>
      </c>
      <c r="L373" s="40" t="str">
        <f>LEFT(Tracker[[#This Row],[Game]],SEARCH("@",Tracker[[#This Row],[Game]])-2)</f>
        <v>Wizards</v>
      </c>
      <c r="M37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373" s="123">
        <v>0.48</v>
      </c>
      <c r="O373" s="147">
        <v>0.22</v>
      </c>
      <c r="P373" s="147">
        <v>0.2</v>
      </c>
      <c r="Q373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-5-0%</v>
      </c>
      <c r="R373" s="147">
        <f>IF(AND(Tracker[[#This Row],[Money %]]&lt;&gt;"",Tracker[[#This Row],[Bet %]]&lt;&gt;""),Tracker[[#This Row],[Money %]]-Tracker[[#This Row],[Bet %]],NA())</f>
        <v>-1.999999999999999E-2</v>
      </c>
      <c r="S373" s="110"/>
      <c r="T373" s="110"/>
      <c r="U373" s="56">
        <f>IFERROR(INDEX($A$4:$B10369,MATCH(ROW()-3,$A$4:$A$4:$A1369,0),2),0)</f>
        <v>0</v>
      </c>
      <c r="V373" s="33" t="str">
        <f>COUNTIFS(Tracker[Date],U373,Tracker[Result],"W")&amp;"-"&amp;COUNTIFS(Tracker[Date],U373,Tracker[Result],"L")&amp;IF(COUNTIFS(Tracker[Date],U373,Tracker[Result],"Push")&gt;0,"-"&amp;COUNTIFS(Tracker[Date],U373,Tracker[Result],"Push"),"")</f>
        <v>0-0</v>
      </c>
      <c r="W373" s="34" t="str">
        <f>IFERROR(COUNTIFS(Tracker[Date],U373,Tracker[Result],"W")/(COUNTIFS(Tracker[Date],U373,Tracker[Result],"W")+COUNTIFS(Tracker[Date],U373,Tracker[Result],"L")),"")</f>
        <v/>
      </c>
      <c r="X373" s="61">
        <f>SUMIF(Tracker[Date],U373,Tracker[Net])</f>
        <v>0</v>
      </c>
    </row>
    <row r="374" spans="1:24" x14ac:dyDescent="0.25">
      <c r="A374" s="36">
        <f t="shared" si="53"/>
        <v>38</v>
      </c>
      <c r="B374" s="25">
        <v>43873</v>
      </c>
      <c r="C374" s="25" t="str">
        <f t="shared" si="58"/>
        <v>NBA</v>
      </c>
      <c r="D374" s="26" t="s">
        <v>1587</v>
      </c>
      <c r="E374" s="28" t="s">
        <v>1588</v>
      </c>
      <c r="F374" s="74">
        <v>0.60055387053437581</v>
      </c>
      <c r="G374" s="29">
        <v>-110</v>
      </c>
      <c r="H374" s="50" t="s">
        <v>56</v>
      </c>
      <c r="I37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7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374" s="40" t="str">
        <f>MID(Tracker[[#This Row],[Game]],SEARCH("@",Tracker[[#This Row],[Game]])+2,LEN(Tracker[[#This Row],[Game]]))</f>
        <v>Timberwolves</v>
      </c>
      <c r="L374" s="40" t="str">
        <f>LEFT(Tracker[[#This Row],[Game]],SEARCH("@",Tracker[[#This Row],[Game]])-2)</f>
        <v>Hornets</v>
      </c>
      <c r="M37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374" s="123">
        <v>0.66900000000000004</v>
      </c>
      <c r="O374" s="147">
        <v>0.37</v>
      </c>
      <c r="P374" s="147">
        <v>0.04</v>
      </c>
      <c r="Q374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-35--30%</v>
      </c>
      <c r="R374" s="147">
        <f>IF(AND(Tracker[[#This Row],[Money %]]&lt;&gt;"",Tracker[[#This Row],[Bet %]]&lt;&gt;""),Tracker[[#This Row],[Money %]]-Tracker[[#This Row],[Bet %]],NA())</f>
        <v>-0.33</v>
      </c>
      <c r="S374" s="110"/>
      <c r="T374" s="110"/>
      <c r="U374" s="56">
        <f>IFERROR(INDEX($A$4:$B10370,MATCH(ROW()-3,$A$4:$A$4:$A1370,0),2),0)</f>
        <v>0</v>
      </c>
      <c r="V374" s="33" t="str">
        <f>COUNTIFS(Tracker[Date],U374,Tracker[Result],"W")&amp;"-"&amp;COUNTIFS(Tracker[Date],U374,Tracker[Result],"L")&amp;IF(COUNTIFS(Tracker[Date],U374,Tracker[Result],"Push")&gt;0,"-"&amp;COUNTIFS(Tracker[Date],U374,Tracker[Result],"Push"),"")</f>
        <v>0-0</v>
      </c>
      <c r="W374" s="34" t="str">
        <f>IFERROR(COUNTIFS(Tracker[Date],U374,Tracker[Result],"W")/(COUNTIFS(Tracker[Date],U374,Tracker[Result],"W")+COUNTIFS(Tracker[Date],U374,Tracker[Result],"L")),"")</f>
        <v/>
      </c>
      <c r="X374" s="61">
        <f>SUMIF(Tracker[Date],U374,Tracker[Net])</f>
        <v>0</v>
      </c>
    </row>
    <row r="375" spans="1:24" x14ac:dyDescent="0.25">
      <c r="A375" s="36">
        <f t="shared" si="53"/>
        <v>38</v>
      </c>
      <c r="B375" s="25">
        <v>43873</v>
      </c>
      <c r="C375" s="25" t="str">
        <f t="shared" si="58"/>
        <v>NBA</v>
      </c>
      <c r="D375" s="26" t="s">
        <v>1587</v>
      </c>
      <c r="E375" s="28" t="s">
        <v>1027</v>
      </c>
      <c r="F375" s="74">
        <v>0.58487211242781378</v>
      </c>
      <c r="G375" s="29">
        <v>-110</v>
      </c>
      <c r="H375" s="50" t="s">
        <v>56</v>
      </c>
      <c r="I37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7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375" s="40" t="str">
        <f>MID(Tracker[[#This Row],[Game]],SEARCH("@",Tracker[[#This Row],[Game]])+2,LEN(Tracker[[#This Row],[Game]]))</f>
        <v>Timberwolves</v>
      </c>
      <c r="L375" s="40" t="str">
        <f>LEFT(Tracker[[#This Row],[Game]],SEARCH("@",Tracker[[#This Row],[Game]])-2)</f>
        <v>Hornets</v>
      </c>
      <c r="M37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375" s="123">
        <v>0.44550000000000001</v>
      </c>
      <c r="O375" s="147">
        <v>0.3</v>
      </c>
      <c r="P375" s="147">
        <v>0.42</v>
      </c>
      <c r="Q375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10-15%</v>
      </c>
      <c r="R375" s="147">
        <f>IF(AND(Tracker[[#This Row],[Money %]]&lt;&gt;"",Tracker[[#This Row],[Bet %]]&lt;&gt;""),Tracker[[#This Row],[Money %]]-Tracker[[#This Row],[Bet %]],NA())</f>
        <v>0.12</v>
      </c>
      <c r="S375" s="110"/>
      <c r="T375" s="110"/>
      <c r="U375" s="56">
        <f>IFERROR(INDEX($A$4:$B10371,MATCH(ROW()-3,$A$4:$A$4:$A1371,0),2),0)</f>
        <v>0</v>
      </c>
      <c r="V375" s="33" t="str">
        <f>COUNTIFS(Tracker[Date],U375,Tracker[Result],"W")&amp;"-"&amp;COUNTIFS(Tracker[Date],U375,Tracker[Result],"L")&amp;IF(COUNTIFS(Tracker[Date],U375,Tracker[Result],"Push")&gt;0,"-"&amp;COUNTIFS(Tracker[Date],U375,Tracker[Result],"Push"),"")</f>
        <v>0-0</v>
      </c>
      <c r="W375" s="34" t="str">
        <f>IFERROR(COUNTIFS(Tracker[Date],U375,Tracker[Result],"W")/(COUNTIFS(Tracker[Date],U375,Tracker[Result],"W")+COUNTIFS(Tracker[Date],U375,Tracker[Result],"L")),"")</f>
        <v/>
      </c>
      <c r="X375" s="61">
        <f>SUMIF(Tracker[Date],U375,Tracker[Net])</f>
        <v>0</v>
      </c>
    </row>
    <row r="376" spans="1:24" x14ac:dyDescent="0.25">
      <c r="A376" s="36">
        <f t="shared" si="53"/>
        <v>38</v>
      </c>
      <c r="B376" s="25">
        <v>43873</v>
      </c>
      <c r="C376" s="25" t="str">
        <f t="shared" si="58"/>
        <v>NBA</v>
      </c>
      <c r="D376" s="26" t="s">
        <v>1589</v>
      </c>
      <c r="E376" s="28" t="s">
        <v>1590</v>
      </c>
      <c r="F376" s="74">
        <v>0.66806053225351758</v>
      </c>
      <c r="G376" s="29">
        <v>-110</v>
      </c>
      <c r="H376" s="50" t="s">
        <v>57</v>
      </c>
      <c r="I37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7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376" s="40" t="str">
        <f>MID(Tracker[[#This Row],[Game]],SEARCH("@",Tracker[[#This Row],[Game]])+2,LEN(Tracker[[#This Row],[Game]]))</f>
        <v>Grizzlies</v>
      </c>
      <c r="L376" s="40" t="str">
        <f>LEFT(Tracker[[#This Row],[Game]],SEARCH("@",Tracker[[#This Row],[Game]])-2)</f>
        <v>Trail Blazers</v>
      </c>
      <c r="M37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376" s="123">
        <v>0.34699999999999998</v>
      </c>
      <c r="O376" s="147">
        <v>0.46</v>
      </c>
      <c r="P376" s="147">
        <v>0.63</v>
      </c>
      <c r="Q376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15-20%</v>
      </c>
      <c r="R376" s="147">
        <f>IF(AND(Tracker[[#This Row],[Money %]]&lt;&gt;"",Tracker[[#This Row],[Bet %]]&lt;&gt;""),Tracker[[#This Row],[Money %]]-Tracker[[#This Row],[Bet %]],NA())</f>
        <v>0.16999999999999998</v>
      </c>
      <c r="S376" s="110"/>
      <c r="T376" s="110"/>
      <c r="U376" s="56">
        <f>IFERROR(INDEX($A$4:$B10372,MATCH(ROW()-3,$A$4:$A$4:$A1372,0),2),0)</f>
        <v>0</v>
      </c>
      <c r="V376" s="33" t="str">
        <f>COUNTIFS(Tracker[Date],U376,Tracker[Result],"W")&amp;"-"&amp;COUNTIFS(Tracker[Date],U376,Tracker[Result],"L")&amp;IF(COUNTIFS(Tracker[Date],U376,Tracker[Result],"Push")&gt;0,"-"&amp;COUNTIFS(Tracker[Date],U376,Tracker[Result],"Push"),"")</f>
        <v>0-0</v>
      </c>
      <c r="W376" s="34" t="str">
        <f>IFERROR(COUNTIFS(Tracker[Date],U376,Tracker[Result],"W")/(COUNTIFS(Tracker[Date],U376,Tracker[Result],"W")+COUNTIFS(Tracker[Date],U376,Tracker[Result],"L")),"")</f>
        <v/>
      </c>
      <c r="X376" s="61">
        <f>SUMIF(Tracker[Date],U376,Tracker[Net])</f>
        <v>0</v>
      </c>
    </row>
    <row r="377" spans="1:24" x14ac:dyDescent="0.25">
      <c r="A377" s="36">
        <f t="shared" si="53"/>
        <v>38</v>
      </c>
      <c r="B377" s="25">
        <v>43873</v>
      </c>
      <c r="C377" s="25" t="str">
        <f t="shared" si="58"/>
        <v>NBA</v>
      </c>
      <c r="D377" s="26" t="s">
        <v>1589</v>
      </c>
      <c r="E377" s="28" t="s">
        <v>1591</v>
      </c>
      <c r="F377" s="74">
        <v>0.62987485626910722</v>
      </c>
      <c r="G377" s="29">
        <v>-110</v>
      </c>
      <c r="H377" s="50" t="s">
        <v>56</v>
      </c>
      <c r="I37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7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377" s="40" t="str">
        <f>MID(Tracker[[#This Row],[Game]],SEARCH("@",Tracker[[#This Row],[Game]])+2,LEN(Tracker[[#This Row],[Game]]))</f>
        <v>Grizzlies</v>
      </c>
      <c r="L377" s="40" t="str">
        <f>LEFT(Tracker[[#This Row],[Game]],SEARCH("@",Tracker[[#This Row],[Game]])-2)</f>
        <v>Trail Blazers</v>
      </c>
      <c r="M37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377" s="123">
        <v>0.49149999999999999</v>
      </c>
      <c r="O377" s="147">
        <v>0.52</v>
      </c>
      <c r="P377" s="147">
        <v>0.93</v>
      </c>
      <c r="Q377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40-45%</v>
      </c>
      <c r="R377" s="147">
        <f>IF(AND(Tracker[[#This Row],[Money %]]&lt;&gt;"",Tracker[[#This Row],[Bet %]]&lt;&gt;""),Tracker[[#This Row],[Money %]]-Tracker[[#This Row],[Bet %]],NA())</f>
        <v>0.41000000000000003</v>
      </c>
      <c r="S377" s="110"/>
      <c r="T377" s="110"/>
      <c r="U377" s="56">
        <f>IFERROR(INDEX($A$4:$B10373,MATCH(ROW()-3,$A$4:$A$4:$A1373,0),2),0)</f>
        <v>0</v>
      </c>
      <c r="V377" s="33" t="str">
        <f>COUNTIFS(Tracker[Date],U377,Tracker[Result],"W")&amp;"-"&amp;COUNTIFS(Tracker[Date],U377,Tracker[Result],"L")&amp;IF(COUNTIFS(Tracker[Date],U377,Tracker[Result],"Push")&gt;0,"-"&amp;COUNTIFS(Tracker[Date],U377,Tracker[Result],"Push"),"")</f>
        <v>0-0</v>
      </c>
      <c r="W377" s="34" t="str">
        <f>IFERROR(COUNTIFS(Tracker[Date],U377,Tracker[Result],"W")/(COUNTIFS(Tracker[Date],U377,Tracker[Result],"W")+COUNTIFS(Tracker[Date],U377,Tracker[Result],"L")),"")</f>
        <v/>
      </c>
      <c r="X377" s="61">
        <f>SUMIF(Tracker[Date],U377,Tracker[Net])</f>
        <v>0</v>
      </c>
    </row>
    <row r="378" spans="1:24" x14ac:dyDescent="0.25">
      <c r="A378" s="36">
        <f t="shared" si="53"/>
        <v>38</v>
      </c>
      <c r="B378" s="25">
        <v>43873</v>
      </c>
      <c r="C378" s="25" t="str">
        <f t="shared" si="58"/>
        <v>NBA</v>
      </c>
      <c r="D378" s="26" t="s">
        <v>1592</v>
      </c>
      <c r="E378" s="28" t="s">
        <v>991</v>
      </c>
      <c r="F378" s="74">
        <v>0.66620371176841564</v>
      </c>
      <c r="G378" s="29">
        <v>-110</v>
      </c>
      <c r="H378" s="50" t="s">
        <v>57</v>
      </c>
      <c r="I37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7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378" s="40" t="str">
        <f>MID(Tracker[[#This Row],[Game]],SEARCH("@",Tracker[[#This Row],[Game]])+2,LEN(Tracker[[#This Row],[Game]]))</f>
        <v>Mavericks</v>
      </c>
      <c r="L378" s="40" t="str">
        <f>LEFT(Tracker[[#This Row],[Game]],SEARCH("@",Tracker[[#This Row],[Game]])-2)</f>
        <v>Kings</v>
      </c>
      <c r="M37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378" s="123">
        <v>0.41849999999999998</v>
      </c>
      <c r="O378" s="147">
        <v>0.61</v>
      </c>
      <c r="P378" s="147">
        <v>0.92</v>
      </c>
      <c r="Q378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30-35%</v>
      </c>
      <c r="R378" s="147">
        <f>IF(AND(Tracker[[#This Row],[Money %]]&lt;&gt;"",Tracker[[#This Row],[Bet %]]&lt;&gt;""),Tracker[[#This Row],[Money %]]-Tracker[[#This Row],[Bet %]],NA())</f>
        <v>0.31000000000000005</v>
      </c>
      <c r="S378" s="110"/>
      <c r="T378" s="110"/>
      <c r="U378" s="56">
        <f>IFERROR(INDEX($A$4:$B10374,MATCH(ROW()-3,$A$4:$A$4:$A1374,0),2),0)</f>
        <v>0</v>
      </c>
      <c r="V378" s="33" t="str">
        <f>COUNTIFS(Tracker[Date],U378,Tracker[Result],"W")&amp;"-"&amp;COUNTIFS(Tracker[Date],U378,Tracker[Result],"L")&amp;IF(COUNTIFS(Tracker[Date],U378,Tracker[Result],"Push")&gt;0,"-"&amp;COUNTIFS(Tracker[Date],U378,Tracker[Result],"Push"),"")</f>
        <v>0-0</v>
      </c>
      <c r="W378" s="34" t="str">
        <f>IFERROR(COUNTIFS(Tracker[Date],U378,Tracker[Result],"W")/(COUNTIFS(Tracker[Date],U378,Tracker[Result],"W")+COUNTIFS(Tracker[Date],U378,Tracker[Result],"L")),"")</f>
        <v/>
      </c>
      <c r="X378" s="61">
        <f>SUMIF(Tracker[Date],U378,Tracker[Net])</f>
        <v>0</v>
      </c>
    </row>
    <row r="379" spans="1:24" x14ac:dyDescent="0.25">
      <c r="A379" s="36">
        <f t="shared" si="53"/>
        <v>38</v>
      </c>
      <c r="B379" s="25">
        <v>43873</v>
      </c>
      <c r="C379" s="25" t="str">
        <f t="shared" si="58"/>
        <v>NBA</v>
      </c>
      <c r="D379" s="51" t="s">
        <v>1593</v>
      </c>
      <c r="E379" s="28" t="s">
        <v>1594</v>
      </c>
      <c r="F379" s="74">
        <v>0.55877204780480838</v>
      </c>
      <c r="G379" s="29">
        <v>-110</v>
      </c>
      <c r="H379" s="50" t="s">
        <v>56</v>
      </c>
      <c r="I37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7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379" s="40" t="str">
        <f>MID(Tracker[[#This Row],[Game]],SEARCH("@",Tracker[[#This Row],[Game]])+2,LEN(Tracker[[#This Row],[Game]]))</f>
        <v>Suns</v>
      </c>
      <c r="L379" s="40" t="str">
        <f>LEFT(Tracker[[#This Row],[Game]],SEARCH("@",Tracker[[#This Row],[Game]])-2)</f>
        <v>Warriors</v>
      </c>
      <c r="M37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379" s="123">
        <v>0.47199999999999998</v>
      </c>
      <c r="O379" s="147">
        <v>0.33</v>
      </c>
      <c r="P379" s="147"/>
      <c r="Q379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79" s="147" t="e">
        <f>IF(AND(Tracker[[#This Row],[Money %]]&lt;&gt;"",Tracker[[#This Row],[Bet %]]&lt;&gt;""),Tracker[[#This Row],[Money %]]-Tracker[[#This Row],[Bet %]],NA())</f>
        <v>#N/A</v>
      </c>
      <c r="S379" s="110"/>
      <c r="T379" s="110"/>
      <c r="U379" s="56">
        <f>IFERROR(INDEX($A$4:$B10375,MATCH(ROW()-3,$A$4:$A$4:$A1375,0),2),0)</f>
        <v>0</v>
      </c>
      <c r="V379" s="33" t="str">
        <f>COUNTIFS(Tracker[Date],U379,Tracker[Result],"W")&amp;"-"&amp;COUNTIFS(Tracker[Date],U379,Tracker[Result],"L")&amp;IF(COUNTIFS(Tracker[Date],U379,Tracker[Result],"Push")&gt;0,"-"&amp;COUNTIFS(Tracker[Date],U379,Tracker[Result],"Push"),"")</f>
        <v>0-0</v>
      </c>
      <c r="W379" s="34" t="str">
        <f>IFERROR(COUNTIFS(Tracker[Date],U379,Tracker[Result],"W")/(COUNTIFS(Tracker[Date],U379,Tracker[Result],"W")+COUNTIFS(Tracker[Date],U379,Tracker[Result],"L")),"")</f>
        <v/>
      </c>
      <c r="X379" s="61">
        <f>SUMIF(Tracker[Date],U379,Tracker[Net])</f>
        <v>0</v>
      </c>
    </row>
    <row r="380" spans="1:24" x14ac:dyDescent="0.25">
      <c r="A380" s="36">
        <f t="shared" si="53"/>
        <v>38</v>
      </c>
      <c r="B380" s="25">
        <v>43873</v>
      </c>
      <c r="C380" s="25" t="str">
        <f t="shared" si="58"/>
        <v>NBA</v>
      </c>
      <c r="D380" s="26" t="s">
        <v>1595</v>
      </c>
      <c r="E380" s="28" t="s">
        <v>1596</v>
      </c>
      <c r="F380" s="74">
        <v>0.58597916521438642</v>
      </c>
      <c r="G380" s="29">
        <v>-110</v>
      </c>
      <c r="H380" s="50" t="s">
        <v>57</v>
      </c>
      <c r="I38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8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380" s="40" t="str">
        <f>MID(Tracker[[#This Row],[Game]],SEARCH("@",Tracker[[#This Row],[Game]])+2,LEN(Tracker[[#This Row],[Game]]))</f>
        <v>Jazz</v>
      </c>
      <c r="L380" s="40" t="str">
        <f>LEFT(Tracker[[#This Row],[Game]],SEARCH("@",Tracker[[#This Row],[Game]])-2)</f>
        <v>Heat</v>
      </c>
      <c r="M38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380" s="123">
        <v>0.46450000000000002</v>
      </c>
      <c r="O380" s="147">
        <v>0.38</v>
      </c>
      <c r="P380" s="147">
        <v>0.11</v>
      </c>
      <c r="Q380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-30--25%</v>
      </c>
      <c r="R380" s="147">
        <f>IF(AND(Tracker[[#This Row],[Money %]]&lt;&gt;"",Tracker[[#This Row],[Bet %]]&lt;&gt;""),Tracker[[#This Row],[Money %]]-Tracker[[#This Row],[Bet %]],NA())</f>
        <v>-0.27</v>
      </c>
      <c r="S380" s="110"/>
      <c r="T380" s="110"/>
      <c r="U380" s="56">
        <f>IFERROR(INDEX($A$4:$B10376,MATCH(ROW()-3,$A$4:$A$4:$A1376,0),2),0)</f>
        <v>0</v>
      </c>
      <c r="V380" s="33" t="str">
        <f>COUNTIFS(Tracker[Date],U380,Tracker[Result],"W")&amp;"-"&amp;COUNTIFS(Tracker[Date],U380,Tracker[Result],"L")&amp;IF(COUNTIFS(Tracker[Date],U380,Tracker[Result],"Push")&gt;0,"-"&amp;COUNTIFS(Tracker[Date],U380,Tracker[Result],"Push"),"")</f>
        <v>0-0</v>
      </c>
      <c r="W380" s="34" t="str">
        <f>IFERROR(COUNTIFS(Tracker[Date],U380,Tracker[Result],"W")/(COUNTIFS(Tracker[Date],U380,Tracker[Result],"W")+COUNTIFS(Tracker[Date],U380,Tracker[Result],"L")),"")</f>
        <v/>
      </c>
      <c r="X380" s="61">
        <f>SUMIF(Tracker[Date],U380,Tracker[Net])</f>
        <v>0</v>
      </c>
    </row>
    <row r="381" spans="1:24" x14ac:dyDescent="0.25">
      <c r="A381" s="36">
        <f t="shared" si="53"/>
        <v>38</v>
      </c>
      <c r="B381" s="25">
        <v>43873</v>
      </c>
      <c r="C381" s="25" t="str">
        <f t="shared" si="58"/>
        <v>NBA</v>
      </c>
      <c r="D381" s="26" t="s">
        <v>1595</v>
      </c>
      <c r="E381" s="28" t="s">
        <v>1597</v>
      </c>
      <c r="F381" s="74">
        <v>0.58076267504431556</v>
      </c>
      <c r="G381" s="29">
        <v>-110</v>
      </c>
      <c r="H381" s="50" t="s">
        <v>56</v>
      </c>
      <c r="I38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8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381" s="40" t="str">
        <f>MID(Tracker[[#This Row],[Game]],SEARCH("@",Tracker[[#This Row],[Game]])+2,LEN(Tracker[[#This Row],[Game]]))</f>
        <v>Jazz</v>
      </c>
      <c r="L381" s="40" t="str">
        <f>LEFT(Tracker[[#This Row],[Game]],SEARCH("@",Tracker[[#This Row],[Game]])-2)</f>
        <v>Heat</v>
      </c>
      <c r="M38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381" s="123">
        <v>0.46950000000000003</v>
      </c>
      <c r="O381" s="147">
        <v>0.28000000000000003</v>
      </c>
      <c r="P381" s="147">
        <v>0.38</v>
      </c>
      <c r="Q381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10-15%</v>
      </c>
      <c r="R381" s="147">
        <f>IF(AND(Tracker[[#This Row],[Money %]]&lt;&gt;"",Tracker[[#This Row],[Bet %]]&lt;&gt;""),Tracker[[#This Row],[Money %]]-Tracker[[#This Row],[Bet %]],NA())</f>
        <v>9.9999999999999978E-2</v>
      </c>
      <c r="S381" s="110"/>
      <c r="T381" s="110"/>
      <c r="U381" s="56">
        <f>IFERROR(INDEX($A$4:$B10377,MATCH(ROW()-3,$A$4:$A$4:$A1377,0),2),0)</f>
        <v>0</v>
      </c>
      <c r="V381" s="33" t="str">
        <f>COUNTIFS(Tracker[Date],U381,Tracker[Result],"W")&amp;"-"&amp;COUNTIFS(Tracker[Date],U381,Tracker[Result],"L")&amp;IF(COUNTIFS(Tracker[Date],U381,Tracker[Result],"Push")&gt;0,"-"&amp;COUNTIFS(Tracker[Date],U381,Tracker[Result],"Push"),"")</f>
        <v>0-0</v>
      </c>
      <c r="W381" s="34" t="str">
        <f>IFERROR(COUNTIFS(Tracker[Date],U381,Tracker[Result],"W")/(COUNTIFS(Tracker[Date],U381,Tracker[Result],"W")+COUNTIFS(Tracker[Date],U381,Tracker[Result],"L")),"")</f>
        <v/>
      </c>
      <c r="X381" s="61">
        <f>SUMIF(Tracker[Date],U381,Tracker[Net])</f>
        <v>0</v>
      </c>
    </row>
    <row r="382" spans="1:24" x14ac:dyDescent="0.25">
      <c r="A382" s="36">
        <f t="shared" si="53"/>
        <v>38</v>
      </c>
      <c r="B382" s="25">
        <v>43873</v>
      </c>
      <c r="C382" s="25" t="str">
        <f t="shared" si="58"/>
        <v>NBA</v>
      </c>
      <c r="D382" s="26" t="s">
        <v>1598</v>
      </c>
      <c r="E382" s="28" t="s">
        <v>1599</v>
      </c>
      <c r="F382" s="74">
        <v>0.56246539373598314</v>
      </c>
      <c r="G382" s="29">
        <v>-110</v>
      </c>
      <c r="H382" s="50" t="s">
        <v>56</v>
      </c>
      <c r="I38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8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382" s="40" t="str">
        <f>MID(Tracker[[#This Row],[Game]],SEARCH("@",Tracker[[#This Row],[Game]])+2,LEN(Tracker[[#This Row],[Game]]))</f>
        <v>Nuggets</v>
      </c>
      <c r="L382" s="40" t="str">
        <f>LEFT(Tracker[[#This Row],[Game]],SEARCH("@",Tracker[[#This Row],[Game]])-2)</f>
        <v>Lakers</v>
      </c>
      <c r="M38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382" s="123">
        <v>0.45</v>
      </c>
      <c r="O382" s="147">
        <v>0.83</v>
      </c>
      <c r="P382" s="147">
        <v>0.86</v>
      </c>
      <c r="Q382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0-5%</v>
      </c>
      <c r="R382" s="147">
        <f>IF(AND(Tracker[[#This Row],[Money %]]&lt;&gt;"",Tracker[[#This Row],[Bet %]]&lt;&gt;""),Tracker[[#This Row],[Money %]]-Tracker[[#This Row],[Bet %]],NA())</f>
        <v>3.0000000000000027E-2</v>
      </c>
      <c r="S382" s="110"/>
      <c r="T382" s="110"/>
      <c r="U382" s="56">
        <f>IFERROR(INDEX($A$4:$B10378,MATCH(ROW()-3,$A$4:$A$4:$A1378,0),2),0)</f>
        <v>0</v>
      </c>
      <c r="V382" s="33" t="str">
        <f>COUNTIFS(Tracker[Date],U382,Tracker[Result],"W")&amp;"-"&amp;COUNTIFS(Tracker[Date],U382,Tracker[Result],"L")&amp;IF(COUNTIFS(Tracker[Date],U382,Tracker[Result],"Push")&gt;0,"-"&amp;COUNTIFS(Tracker[Date],U382,Tracker[Result],"Push"),"")</f>
        <v>0-0</v>
      </c>
      <c r="W382" s="34" t="str">
        <f>IFERROR(COUNTIFS(Tracker[Date],U382,Tracker[Result],"W")/(COUNTIFS(Tracker[Date],U382,Tracker[Result],"W")+COUNTIFS(Tracker[Date],U382,Tracker[Result],"L")),"")</f>
        <v/>
      </c>
      <c r="X382" s="61">
        <f>SUMIF(Tracker[Date],U382,Tracker[Net])</f>
        <v>0</v>
      </c>
    </row>
    <row r="383" spans="1:24" x14ac:dyDescent="0.25">
      <c r="A383" s="36">
        <f t="shared" si="53"/>
        <v>38</v>
      </c>
      <c r="B383" s="25">
        <v>43873</v>
      </c>
      <c r="C383" s="25" t="str">
        <f t="shared" si="58"/>
        <v>NBA</v>
      </c>
      <c r="D383" s="26" t="s">
        <v>1598</v>
      </c>
      <c r="E383" s="28" t="s">
        <v>1020</v>
      </c>
      <c r="F383" s="74">
        <v>0.59955645960214321</v>
      </c>
      <c r="G383" s="29">
        <v>-110</v>
      </c>
      <c r="H383" s="50" t="s">
        <v>57</v>
      </c>
      <c r="I38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8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383" s="40" t="str">
        <f>MID(Tracker[[#This Row],[Game]],SEARCH("@",Tracker[[#This Row],[Game]])+2,LEN(Tracker[[#This Row],[Game]]))</f>
        <v>Nuggets</v>
      </c>
      <c r="L383" s="40" t="str">
        <f>LEFT(Tracker[[#This Row],[Game]],SEARCH("@",Tracker[[#This Row],[Game]])-2)</f>
        <v>Lakers</v>
      </c>
      <c r="M38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383" s="123">
        <v>0.5</v>
      </c>
      <c r="O383" s="147">
        <v>0.27</v>
      </c>
      <c r="P383" s="147">
        <v>0.23</v>
      </c>
      <c r="Q383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-5-0%</v>
      </c>
      <c r="R383" s="147">
        <f>IF(AND(Tracker[[#This Row],[Money %]]&lt;&gt;"",Tracker[[#This Row],[Bet %]]&lt;&gt;""),Tracker[[#This Row],[Money %]]-Tracker[[#This Row],[Bet %]],NA())</f>
        <v>-4.0000000000000008E-2</v>
      </c>
      <c r="S383" s="110"/>
      <c r="T383" s="110"/>
      <c r="U383" s="56">
        <f>IFERROR(INDEX($A$4:$B10379,MATCH(ROW()-3,$A$4:$A$4:$A1379,0),2),0)</f>
        <v>0</v>
      </c>
      <c r="V383" s="33" t="str">
        <f>COUNTIFS(Tracker[Date],U383,Tracker[Result],"W")&amp;"-"&amp;COUNTIFS(Tracker[Date],U383,Tracker[Result],"L")&amp;IF(COUNTIFS(Tracker[Date],U383,Tracker[Result],"Push")&gt;0,"-"&amp;COUNTIFS(Tracker[Date],U383,Tracker[Result],"Push"),"")</f>
        <v>0-0</v>
      </c>
      <c r="W383" s="34" t="str">
        <f>IFERROR(COUNTIFS(Tracker[Date],U383,Tracker[Result],"W")/(COUNTIFS(Tracker[Date],U383,Tracker[Result],"W")+COUNTIFS(Tracker[Date],U383,Tracker[Result],"L")),"")</f>
        <v/>
      </c>
      <c r="X383" s="61">
        <f>SUMIF(Tracker[Date],U383,Tracker[Net])</f>
        <v>0</v>
      </c>
    </row>
    <row r="384" spans="1:24" x14ac:dyDescent="0.25">
      <c r="A384" s="36">
        <f t="shared" si="53"/>
        <v>39</v>
      </c>
      <c r="B384" s="25">
        <v>43874</v>
      </c>
      <c r="C384" s="25" t="str">
        <f t="shared" ref="C384:C386" si="59">"NBA"</f>
        <v>NBA</v>
      </c>
      <c r="D384" s="26" t="s">
        <v>1616</v>
      </c>
      <c r="E384" s="28" t="s">
        <v>862</v>
      </c>
      <c r="F384" s="74">
        <v>0.63046167261997765</v>
      </c>
      <c r="G384" s="29">
        <v>-110</v>
      </c>
      <c r="H384" s="50" t="s">
        <v>57</v>
      </c>
      <c r="I38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8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384" s="40" t="str">
        <f>MID(Tracker[[#This Row],[Game]],SEARCH("@",Tracker[[#This Row],[Game]])+2,LEN(Tracker[[#This Row],[Game]]))</f>
        <v>Celtics</v>
      </c>
      <c r="L384" s="40" t="str">
        <f>LEFT(Tracker[[#This Row],[Game]],SEARCH("@",Tracker[[#This Row],[Game]])-2)</f>
        <v>Clippers</v>
      </c>
      <c r="M38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384" s="123">
        <v>0.53700000000000003</v>
      </c>
      <c r="O384" s="147"/>
      <c r="P384" s="147"/>
      <c r="Q384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84" s="147" t="e">
        <f>IF(AND(Tracker[[#This Row],[Money %]]&lt;&gt;"",Tracker[[#This Row],[Bet %]]&lt;&gt;""),Tracker[[#This Row],[Money %]]-Tracker[[#This Row],[Bet %]],NA())</f>
        <v>#N/A</v>
      </c>
      <c r="S384" s="110"/>
      <c r="T384" s="110"/>
      <c r="U384" s="56">
        <f>IFERROR(INDEX($A$4:$B10380,MATCH(ROW()-3,$A$4:$A$4:$A1380,0),2),0)</f>
        <v>0</v>
      </c>
      <c r="V384" s="33" t="str">
        <f>COUNTIFS(Tracker[Date],U384,Tracker[Result],"W")&amp;"-"&amp;COUNTIFS(Tracker[Date],U384,Tracker[Result],"L")&amp;IF(COUNTIFS(Tracker[Date],U384,Tracker[Result],"Push")&gt;0,"-"&amp;COUNTIFS(Tracker[Date],U384,Tracker[Result],"Push"),"")</f>
        <v>0-0</v>
      </c>
      <c r="W384" s="34" t="str">
        <f>IFERROR(COUNTIFS(Tracker[Date],U384,Tracker[Result],"W")/(COUNTIFS(Tracker[Date],U384,Tracker[Result],"W")+COUNTIFS(Tracker[Date],U384,Tracker[Result],"L")),"")</f>
        <v/>
      </c>
      <c r="X384" s="61">
        <f>SUMIF(Tracker[Date],U384,Tracker[Net])</f>
        <v>0</v>
      </c>
    </row>
    <row r="385" spans="1:24" x14ac:dyDescent="0.25">
      <c r="A385" s="36">
        <f t="shared" si="53"/>
        <v>39</v>
      </c>
      <c r="B385" s="25">
        <v>43874</v>
      </c>
      <c r="C385" s="25" t="str">
        <f t="shared" si="59"/>
        <v>NBA</v>
      </c>
      <c r="D385" s="26" t="s">
        <v>1617</v>
      </c>
      <c r="E385" s="28" t="s">
        <v>1618</v>
      </c>
      <c r="F385" s="74">
        <v>0.70143702447212464</v>
      </c>
      <c r="G385" s="29">
        <v>-110</v>
      </c>
      <c r="H385" s="50" t="s">
        <v>56</v>
      </c>
      <c r="I38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8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385" s="40" t="str">
        <f>MID(Tracker[[#This Row],[Game]],SEARCH("@",Tracker[[#This Row],[Game]])+2,LEN(Tracker[[#This Row],[Game]]))</f>
        <v>Pelicans</v>
      </c>
      <c r="L385" s="40" t="str">
        <f>LEFT(Tracker[[#This Row],[Game]],SEARCH("@",Tracker[[#This Row],[Game]])-2)</f>
        <v>Thunder</v>
      </c>
      <c r="M38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385" s="123">
        <v>0.65500000000000003</v>
      </c>
      <c r="O385" s="147"/>
      <c r="P385" s="147"/>
      <c r="Q385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85" s="147" t="e">
        <f>IF(AND(Tracker[[#This Row],[Money %]]&lt;&gt;"",Tracker[[#This Row],[Bet %]]&lt;&gt;""),Tracker[[#This Row],[Money %]]-Tracker[[#This Row],[Bet %]],NA())</f>
        <v>#N/A</v>
      </c>
      <c r="S385" s="110"/>
      <c r="T385" s="110"/>
      <c r="U385" s="56">
        <f>IFERROR(INDEX($A$4:$B10381,MATCH(ROW()-3,$A$4:$A$4:$A1381,0),2),0)</f>
        <v>0</v>
      </c>
      <c r="V385" s="33" t="str">
        <f>COUNTIFS(Tracker[Date],U385,Tracker[Result],"W")&amp;"-"&amp;COUNTIFS(Tracker[Date],U385,Tracker[Result],"L")&amp;IF(COUNTIFS(Tracker[Date],U385,Tracker[Result],"Push")&gt;0,"-"&amp;COUNTIFS(Tracker[Date],U385,Tracker[Result],"Push"),"")</f>
        <v>0-0</v>
      </c>
      <c r="W385" s="34" t="str">
        <f>IFERROR(COUNTIFS(Tracker[Date],U385,Tracker[Result],"W")/(COUNTIFS(Tracker[Date],U385,Tracker[Result],"W")+COUNTIFS(Tracker[Date],U385,Tracker[Result],"L")),"")</f>
        <v/>
      </c>
      <c r="X385" s="61">
        <f>SUMIF(Tracker[Date],U385,Tracker[Net])</f>
        <v>0</v>
      </c>
    </row>
    <row r="386" spans="1:24" x14ac:dyDescent="0.25">
      <c r="A386" s="36">
        <f t="shared" si="53"/>
        <v>39</v>
      </c>
      <c r="B386" s="25">
        <v>43874</v>
      </c>
      <c r="C386" s="25" t="str">
        <f t="shared" si="59"/>
        <v>NBA</v>
      </c>
      <c r="D386" s="26" t="s">
        <v>1617</v>
      </c>
      <c r="E386" s="28" t="s">
        <v>837</v>
      </c>
      <c r="F386" s="74">
        <v>0.63672078071004479</v>
      </c>
      <c r="G386" s="29">
        <v>-110</v>
      </c>
      <c r="H386" s="50" t="s">
        <v>57</v>
      </c>
      <c r="I38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8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386" s="40" t="str">
        <f>MID(Tracker[[#This Row],[Game]],SEARCH("@",Tracker[[#This Row],[Game]])+2,LEN(Tracker[[#This Row],[Game]]))</f>
        <v>Pelicans</v>
      </c>
      <c r="L386" s="40" t="str">
        <f>LEFT(Tracker[[#This Row],[Game]],SEARCH("@",Tracker[[#This Row],[Game]])-2)</f>
        <v>Thunder</v>
      </c>
      <c r="M38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386" s="123">
        <v>0.52200000000000002</v>
      </c>
      <c r="O386" s="147"/>
      <c r="P386" s="147"/>
      <c r="Q386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386" s="147" t="e">
        <f>IF(AND(Tracker[[#This Row],[Money %]]&lt;&gt;"",Tracker[[#This Row],[Bet %]]&lt;&gt;""),Tracker[[#This Row],[Money %]]-Tracker[[#This Row],[Bet %]],NA())</f>
        <v>#N/A</v>
      </c>
      <c r="S386" s="110"/>
      <c r="T386" s="110"/>
      <c r="U386" s="56">
        <f>IFERROR(INDEX($A$4:$B10382,MATCH(ROW()-3,$A$4:$A$4:$A1382,0),2),0)</f>
        <v>0</v>
      </c>
      <c r="V386" s="33" t="str">
        <f>COUNTIFS(Tracker[Date],U386,Tracker[Result],"W")&amp;"-"&amp;COUNTIFS(Tracker[Date],U386,Tracker[Result],"L")&amp;IF(COUNTIFS(Tracker[Date],U386,Tracker[Result],"Push")&gt;0,"-"&amp;COUNTIFS(Tracker[Date],U386,Tracker[Result],"Push"),"")</f>
        <v>0-0</v>
      </c>
      <c r="W386" s="34" t="str">
        <f>IFERROR(COUNTIFS(Tracker[Date],U386,Tracker[Result],"W")/(COUNTIFS(Tracker[Date],U386,Tracker[Result],"W")+COUNTIFS(Tracker[Date],U386,Tracker[Result],"L")),"")</f>
        <v/>
      </c>
      <c r="X386" s="61">
        <f>SUMIF(Tracker[Date],U386,Tracker[Net])</f>
        <v>0</v>
      </c>
    </row>
    <row r="387" spans="1:24" x14ac:dyDescent="0.25">
      <c r="A387" s="36">
        <f t="shared" si="53"/>
        <v>40</v>
      </c>
      <c r="B387" s="25">
        <v>43882</v>
      </c>
      <c r="C387" s="25" t="str">
        <f t="shared" ref="C387:C393" si="60">"NBA"</f>
        <v>NBA</v>
      </c>
      <c r="D387" s="26" t="s">
        <v>1633</v>
      </c>
      <c r="E387" s="28" t="s">
        <v>1182</v>
      </c>
      <c r="F387" s="74">
        <v>0.60231393914636766</v>
      </c>
      <c r="G387" s="29">
        <v>-110</v>
      </c>
      <c r="H387" s="50" t="s">
        <v>56</v>
      </c>
      <c r="I38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8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387" s="40" t="str">
        <f>MID(Tracker[[#This Row],[Game]],SEARCH("@",Tracker[[#This Row],[Game]])+2,LEN(Tracker[[#This Row],[Game]]))</f>
        <v>Magic</v>
      </c>
      <c r="L387" s="40" t="str">
        <f>LEFT(Tracker[[#This Row],[Game]],SEARCH("@",Tracker[[#This Row],[Game]])-2)</f>
        <v>Mavericks</v>
      </c>
      <c r="M38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387" s="123">
        <v>0.77500000000000002</v>
      </c>
      <c r="O387" s="147">
        <v>0.91</v>
      </c>
      <c r="P387" s="147">
        <v>0.96</v>
      </c>
      <c r="Q387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0-5%</v>
      </c>
      <c r="R387" s="155">
        <f>IF(AND(Tracker[[#This Row],[Money %]]&lt;&gt;"",Tracker[[#This Row],[Bet %]]&lt;&gt;""),Tracker[[#This Row],[Money %]]-Tracker[[#This Row],[Bet %]],NA())</f>
        <v>4.9999999999999933E-2</v>
      </c>
      <c r="S387" s="110"/>
      <c r="T387" s="110"/>
      <c r="U387" s="56">
        <f>IFERROR(INDEX($A$4:$B10383,MATCH(ROW()-3,$A$4:$A$4:$A1383,0),2),0)</f>
        <v>0</v>
      </c>
      <c r="V387" s="33" t="str">
        <f>COUNTIFS(Tracker[Date],U387,Tracker[Result],"W")&amp;"-"&amp;COUNTIFS(Tracker[Date],U387,Tracker[Result],"L")&amp;IF(COUNTIFS(Tracker[Date],U387,Tracker[Result],"Push")&gt;0,"-"&amp;COUNTIFS(Tracker[Date],U387,Tracker[Result],"Push"),"")</f>
        <v>0-0</v>
      </c>
      <c r="W387" s="34" t="str">
        <f>IFERROR(COUNTIFS(Tracker[Date],U387,Tracker[Result],"W")/(COUNTIFS(Tracker[Date],U387,Tracker[Result],"W")+COUNTIFS(Tracker[Date],U387,Tracker[Result],"L")),"")</f>
        <v/>
      </c>
      <c r="X387" s="61">
        <f>SUMIF(Tracker[Date],U387,Tracker[Net])</f>
        <v>0</v>
      </c>
    </row>
    <row r="388" spans="1:24" x14ac:dyDescent="0.25">
      <c r="A388" s="36">
        <f t="shared" si="53"/>
        <v>40</v>
      </c>
      <c r="B388" s="25">
        <v>43882</v>
      </c>
      <c r="C388" s="25" t="str">
        <f t="shared" si="60"/>
        <v>NBA</v>
      </c>
      <c r="D388" s="26" t="s">
        <v>1634</v>
      </c>
      <c r="E388" s="28" t="s">
        <v>1635</v>
      </c>
      <c r="F388" s="74">
        <v>0.62494054726447357</v>
      </c>
      <c r="G388" s="29">
        <v>-110</v>
      </c>
      <c r="H388" s="50" t="s">
        <v>56</v>
      </c>
      <c r="I38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8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388" s="40" t="str">
        <f>MID(Tracker[[#This Row],[Game]],SEARCH("@",Tracker[[#This Row],[Game]])+2,LEN(Tracker[[#This Row],[Game]]))</f>
        <v>Knicks</v>
      </c>
      <c r="L388" s="40" t="str">
        <f>LEFT(Tracker[[#This Row],[Game]],SEARCH("@",Tracker[[#This Row],[Game]])-2)</f>
        <v>Pacers</v>
      </c>
      <c r="M38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388" s="123">
        <v>0.51049999999999995</v>
      </c>
      <c r="O388" s="147">
        <v>0.76</v>
      </c>
      <c r="P388" s="147">
        <v>0.95</v>
      </c>
      <c r="Q388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15-20%</v>
      </c>
      <c r="R388" s="155">
        <f>IF(AND(Tracker[[#This Row],[Money %]]&lt;&gt;"",Tracker[[#This Row],[Bet %]]&lt;&gt;""),Tracker[[#This Row],[Money %]]-Tracker[[#This Row],[Bet %]],NA())</f>
        <v>0.18999999999999995</v>
      </c>
      <c r="S388" s="110"/>
      <c r="T388" s="110"/>
      <c r="U388" s="56">
        <f>IFERROR(INDEX($A$4:$B10384,MATCH(ROW()-3,$A$4:$A$4:$A1384,0),2),0)</f>
        <v>0</v>
      </c>
      <c r="V388" s="33" t="str">
        <f>COUNTIFS(Tracker[Date],U388,Tracker[Result],"W")&amp;"-"&amp;COUNTIFS(Tracker[Date],U388,Tracker[Result],"L")&amp;IF(COUNTIFS(Tracker[Date],U388,Tracker[Result],"Push")&gt;0,"-"&amp;COUNTIFS(Tracker[Date],U388,Tracker[Result],"Push"),"")</f>
        <v>0-0</v>
      </c>
      <c r="W388" s="34" t="str">
        <f>IFERROR(COUNTIFS(Tracker[Date],U388,Tracker[Result],"W")/(COUNTIFS(Tracker[Date],U388,Tracker[Result],"W")+COUNTIFS(Tracker[Date],U388,Tracker[Result],"L")),"")</f>
        <v/>
      </c>
      <c r="X388" s="61">
        <f>SUMIF(Tracker[Date],U388,Tracker[Net])</f>
        <v>0</v>
      </c>
    </row>
    <row r="389" spans="1:24" x14ac:dyDescent="0.25">
      <c r="A389" s="36">
        <f t="shared" ref="A389:A452" si="61">IF(B389=B388,A388,A388+1)</f>
        <v>40</v>
      </c>
      <c r="B389" s="25">
        <v>43882</v>
      </c>
      <c r="C389" s="25" t="str">
        <f t="shared" si="60"/>
        <v>NBA</v>
      </c>
      <c r="D389" s="26" t="s">
        <v>1634</v>
      </c>
      <c r="E389" s="28" t="s">
        <v>1636</v>
      </c>
      <c r="F389" s="74">
        <v>0.62650956112951883</v>
      </c>
      <c r="G389" s="29">
        <v>-110</v>
      </c>
      <c r="H389" s="50" t="s">
        <v>57</v>
      </c>
      <c r="I38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8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389" s="40" t="str">
        <f>MID(Tracker[[#This Row],[Game]],SEARCH("@",Tracker[[#This Row],[Game]])+2,LEN(Tracker[[#This Row],[Game]]))</f>
        <v>Knicks</v>
      </c>
      <c r="L389" s="40" t="str">
        <f>LEFT(Tracker[[#This Row],[Game]],SEARCH("@",Tracker[[#This Row],[Game]])-2)</f>
        <v>Pacers</v>
      </c>
      <c r="M38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389" s="123">
        <v>0.442</v>
      </c>
      <c r="O389" s="147">
        <v>0.66</v>
      </c>
      <c r="P389" s="147">
        <v>0.63</v>
      </c>
      <c r="Q389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-5-0%</v>
      </c>
      <c r="R389" s="155">
        <f>IF(AND(Tracker[[#This Row],[Money %]]&lt;&gt;"",Tracker[[#This Row],[Bet %]]&lt;&gt;""),Tracker[[#This Row],[Money %]]-Tracker[[#This Row],[Bet %]],NA())</f>
        <v>-3.0000000000000027E-2</v>
      </c>
      <c r="S389" s="110"/>
      <c r="T389" s="110"/>
      <c r="U389" s="56">
        <f>IFERROR(INDEX($A$4:$B10385,MATCH(ROW()-3,$A$4:$A$4:$A1385,0),2),0)</f>
        <v>0</v>
      </c>
      <c r="V389" s="33" t="str">
        <f>COUNTIFS(Tracker[Date],U389,Tracker[Result],"W")&amp;"-"&amp;COUNTIFS(Tracker[Date],U389,Tracker[Result],"L")&amp;IF(COUNTIFS(Tracker[Date],U389,Tracker[Result],"Push")&gt;0,"-"&amp;COUNTIFS(Tracker[Date],U389,Tracker[Result],"Push"),"")</f>
        <v>0-0</v>
      </c>
      <c r="W389" s="34" t="str">
        <f>IFERROR(COUNTIFS(Tracker[Date],U389,Tracker[Result],"W")/(COUNTIFS(Tracker[Date],U389,Tracker[Result],"W")+COUNTIFS(Tracker[Date],U389,Tracker[Result],"L")),"")</f>
        <v/>
      </c>
      <c r="X389" s="61">
        <f>SUMIF(Tracker[Date],U389,Tracker[Net])</f>
        <v>0</v>
      </c>
    </row>
    <row r="390" spans="1:24" x14ac:dyDescent="0.25">
      <c r="A390" s="36">
        <f t="shared" si="61"/>
        <v>40</v>
      </c>
      <c r="B390" s="25">
        <v>43882</v>
      </c>
      <c r="C390" s="25" t="str">
        <f t="shared" si="60"/>
        <v>NBA</v>
      </c>
      <c r="D390" s="51" t="s">
        <v>1637</v>
      </c>
      <c r="E390" s="28" t="s">
        <v>1163</v>
      </c>
      <c r="F390" s="74">
        <v>0.67534063293397062</v>
      </c>
      <c r="G390" s="29">
        <v>-110</v>
      </c>
      <c r="H390" s="50" t="s">
        <v>56</v>
      </c>
      <c r="I39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9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390" s="40" t="str">
        <f>MID(Tracker[[#This Row],[Game]],SEARCH("@",Tracker[[#This Row],[Game]])+2,LEN(Tracker[[#This Row],[Game]]))</f>
        <v>Timberwolves</v>
      </c>
      <c r="L390" s="40" t="str">
        <f>LEFT(Tracker[[#This Row],[Game]],SEARCH("@",Tracker[[#This Row],[Game]])-2)</f>
        <v>Celtics</v>
      </c>
      <c r="M39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390" s="123">
        <v>0.58699999999999997</v>
      </c>
      <c r="O390" s="147">
        <v>0.89</v>
      </c>
      <c r="P390" s="147">
        <v>0.79</v>
      </c>
      <c r="Q390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-10--5%</v>
      </c>
      <c r="R390" s="155">
        <f>IF(AND(Tracker[[#This Row],[Money %]]&lt;&gt;"",Tracker[[#This Row],[Bet %]]&lt;&gt;""),Tracker[[#This Row],[Money %]]-Tracker[[#This Row],[Bet %]],NA())</f>
        <v>-9.9999999999999978E-2</v>
      </c>
      <c r="S390" s="110"/>
      <c r="T390" s="110"/>
      <c r="U390" s="56">
        <f>IFERROR(INDEX($A$4:$B10386,MATCH(ROW()-3,$A$4:$A$4:$A1386,0),2),0)</f>
        <v>0</v>
      </c>
      <c r="V390" s="33" t="str">
        <f>COUNTIFS(Tracker[Date],U390,Tracker[Result],"W")&amp;"-"&amp;COUNTIFS(Tracker[Date],U390,Tracker[Result],"L")&amp;IF(COUNTIFS(Tracker[Date],U390,Tracker[Result],"Push")&gt;0,"-"&amp;COUNTIFS(Tracker[Date],U390,Tracker[Result],"Push"),"")</f>
        <v>0-0</v>
      </c>
      <c r="W390" s="34" t="str">
        <f>IFERROR(COUNTIFS(Tracker[Date],U390,Tracker[Result],"W")/(COUNTIFS(Tracker[Date],U390,Tracker[Result],"W")+COUNTIFS(Tracker[Date],U390,Tracker[Result],"L")),"")</f>
        <v/>
      </c>
      <c r="X390" s="61">
        <f>SUMIF(Tracker[Date],U390,Tracker[Net])</f>
        <v>0</v>
      </c>
    </row>
    <row r="391" spans="1:24" x14ac:dyDescent="0.25">
      <c r="A391" s="36">
        <f t="shared" si="61"/>
        <v>40</v>
      </c>
      <c r="B391" s="25">
        <v>43882</v>
      </c>
      <c r="C391" s="25" t="str">
        <f t="shared" si="60"/>
        <v>NBA</v>
      </c>
      <c r="D391" s="26" t="s">
        <v>1638</v>
      </c>
      <c r="E391" s="28" t="s">
        <v>1639</v>
      </c>
      <c r="F391" s="67">
        <v>0.59715911925086318</v>
      </c>
      <c r="G391" s="29">
        <v>-110</v>
      </c>
      <c r="H391" s="50" t="s">
        <v>57</v>
      </c>
      <c r="I39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9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391" s="40" t="str">
        <f>MID(Tracker[[#This Row],[Game]],SEARCH("@",Tracker[[#This Row],[Game]])+2,LEN(Tracker[[#This Row],[Game]]))</f>
        <v>Thunder</v>
      </c>
      <c r="L391" s="40" t="str">
        <f>LEFT(Tracker[[#This Row],[Game]],SEARCH("@",Tracker[[#This Row],[Game]])-2)</f>
        <v>Nuggets</v>
      </c>
      <c r="M39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391" s="123">
        <v>0.56299999999999994</v>
      </c>
      <c r="O391" s="147">
        <v>0.74</v>
      </c>
      <c r="P391" s="147">
        <v>0.88</v>
      </c>
      <c r="Q391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10-15%</v>
      </c>
      <c r="R391" s="155">
        <f>IF(AND(Tracker[[#This Row],[Money %]]&lt;&gt;"",Tracker[[#This Row],[Bet %]]&lt;&gt;""),Tracker[[#This Row],[Money %]]-Tracker[[#This Row],[Bet %]],NA())</f>
        <v>0.14000000000000001</v>
      </c>
      <c r="S391" s="110"/>
      <c r="T391" s="110"/>
      <c r="U391" s="56">
        <f>IFERROR(INDEX($A$4:$B10387,MATCH(ROW()-3,$A$4:$A$4:$A1387,0),2),0)</f>
        <v>0</v>
      </c>
      <c r="V391" s="33" t="str">
        <f>COUNTIFS(Tracker[Date],U391,Tracker[Result],"W")&amp;"-"&amp;COUNTIFS(Tracker[Date],U391,Tracker[Result],"L")&amp;IF(COUNTIFS(Tracker[Date],U391,Tracker[Result],"Push")&gt;0,"-"&amp;COUNTIFS(Tracker[Date],U391,Tracker[Result],"Push"),"")</f>
        <v>0-0</v>
      </c>
      <c r="W391" s="34" t="str">
        <f>IFERROR(COUNTIFS(Tracker[Date],U391,Tracker[Result],"W")/(COUNTIFS(Tracker[Date],U391,Tracker[Result],"W")+COUNTIFS(Tracker[Date],U391,Tracker[Result],"L")),"")</f>
        <v/>
      </c>
      <c r="X391" s="61">
        <f>SUMIF(Tracker[Date],U391,Tracker[Net])</f>
        <v>0</v>
      </c>
    </row>
    <row r="392" spans="1:24" x14ac:dyDescent="0.25">
      <c r="A392" s="36">
        <f t="shared" si="61"/>
        <v>40</v>
      </c>
      <c r="B392" s="25">
        <v>43882</v>
      </c>
      <c r="C392" s="25" t="str">
        <f t="shared" si="60"/>
        <v>NBA</v>
      </c>
      <c r="D392" s="26" t="s">
        <v>1640</v>
      </c>
      <c r="E392" s="28" t="s">
        <v>993</v>
      </c>
      <c r="F392" s="67">
        <v>0.55194736536493205</v>
      </c>
      <c r="G392" s="29">
        <v>-110</v>
      </c>
      <c r="H392" s="50" t="s">
        <v>56</v>
      </c>
      <c r="I39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9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392" s="40" t="str">
        <f>MID(Tracker[[#This Row],[Game]],SEARCH("@",Tracker[[#This Row],[Game]])+2,LEN(Tracker[[#This Row],[Game]]))</f>
        <v>Lakers</v>
      </c>
      <c r="L392" s="40" t="str">
        <f>LEFT(Tracker[[#This Row],[Game]],SEARCH("@",Tracker[[#This Row],[Game]])-2)</f>
        <v>Grizzlies</v>
      </c>
      <c r="M39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392" s="123">
        <v>0.52100000000000002</v>
      </c>
      <c r="O392" s="147">
        <v>0.7</v>
      </c>
      <c r="P392" s="147">
        <v>0.68</v>
      </c>
      <c r="Q392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-5-0%</v>
      </c>
      <c r="R392" s="155">
        <f>IF(AND(Tracker[[#This Row],[Money %]]&lt;&gt;"",Tracker[[#This Row],[Bet %]]&lt;&gt;""),Tracker[[#This Row],[Money %]]-Tracker[[#This Row],[Bet %]],NA())</f>
        <v>-1.9999999999999907E-2</v>
      </c>
      <c r="S392" s="110"/>
      <c r="T392" s="110"/>
      <c r="U392" s="56">
        <f>IFERROR(INDEX($A$4:$B10388,MATCH(ROW()-3,$A$4:$A$4:$A1388,0),2),0)</f>
        <v>0</v>
      </c>
      <c r="V392" s="33" t="str">
        <f>COUNTIFS(Tracker[Date],U392,Tracker[Result],"W")&amp;"-"&amp;COUNTIFS(Tracker[Date],U392,Tracker[Result],"L")&amp;IF(COUNTIFS(Tracker[Date],U392,Tracker[Result],"Push")&gt;0,"-"&amp;COUNTIFS(Tracker[Date],U392,Tracker[Result],"Push"),"")</f>
        <v>0-0</v>
      </c>
      <c r="W392" s="34" t="str">
        <f>IFERROR(COUNTIFS(Tracker[Date],U392,Tracker[Result],"W")/(COUNTIFS(Tracker[Date],U392,Tracker[Result],"W")+COUNTIFS(Tracker[Date],U392,Tracker[Result],"L")),"")</f>
        <v/>
      </c>
      <c r="X392" s="61">
        <f>SUMIF(Tracker[Date],U392,Tracker[Net])</f>
        <v>0</v>
      </c>
    </row>
    <row r="393" spans="1:24" x14ac:dyDescent="0.25">
      <c r="A393" s="36">
        <f t="shared" si="61"/>
        <v>40</v>
      </c>
      <c r="B393" s="25">
        <v>43882</v>
      </c>
      <c r="C393" s="25" t="str">
        <f t="shared" si="60"/>
        <v>NBA</v>
      </c>
      <c r="D393" s="26" t="s">
        <v>1641</v>
      </c>
      <c r="E393" s="28" t="s">
        <v>1642</v>
      </c>
      <c r="F393" s="67">
        <v>0.65718318812449728</v>
      </c>
      <c r="G393" s="29">
        <v>-110</v>
      </c>
      <c r="H393" s="50" t="s">
        <v>57</v>
      </c>
      <c r="I39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9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393" s="40" t="str">
        <f>MID(Tracker[[#This Row],[Game]],SEARCH("@",Tracker[[#This Row],[Game]])+2,LEN(Tracker[[#This Row],[Game]]))</f>
        <v>Trail Blazers</v>
      </c>
      <c r="L393" s="40" t="str">
        <f>LEFT(Tracker[[#This Row],[Game]],SEARCH("@",Tracker[[#This Row],[Game]])-2)</f>
        <v>Pelicans</v>
      </c>
      <c r="M39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HD</v>
      </c>
      <c r="N393" s="123">
        <v>0.24299999999999997</v>
      </c>
      <c r="O393" s="147">
        <v>0.31</v>
      </c>
      <c r="P393" s="147">
        <v>0.11</v>
      </c>
      <c r="Q393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-20--15%</v>
      </c>
      <c r="R393" s="155">
        <f>IF(AND(Tracker[[#This Row],[Money %]]&lt;&gt;"",Tracker[[#This Row],[Bet %]]&lt;&gt;""),Tracker[[#This Row],[Money %]]-Tracker[[#This Row],[Bet %]],NA())</f>
        <v>-0.2</v>
      </c>
      <c r="S393" s="110"/>
      <c r="T393" s="110"/>
      <c r="U393" s="56">
        <f>IFERROR(INDEX($A$4:$B10389,MATCH(ROW()-3,$A$4:$A$4:$A1389,0),2),0)</f>
        <v>0</v>
      </c>
      <c r="V393" s="33" t="str">
        <f>COUNTIFS(Tracker[Date],U393,Tracker[Result],"W")&amp;"-"&amp;COUNTIFS(Tracker[Date],U393,Tracker[Result],"L")&amp;IF(COUNTIFS(Tracker[Date],U393,Tracker[Result],"Push")&gt;0,"-"&amp;COUNTIFS(Tracker[Date],U393,Tracker[Result],"Push"),"")</f>
        <v>0-0</v>
      </c>
      <c r="W393" s="34" t="str">
        <f>IFERROR(COUNTIFS(Tracker[Date],U393,Tracker[Result],"W")/(COUNTIFS(Tracker[Date],U393,Tracker[Result],"W")+COUNTIFS(Tracker[Date],U393,Tracker[Result],"L")),"")</f>
        <v/>
      </c>
      <c r="X393" s="61">
        <f>SUMIF(Tracker[Date],U393,Tracker[Net])</f>
        <v>0</v>
      </c>
    </row>
    <row r="394" spans="1:24" x14ac:dyDescent="0.25">
      <c r="A394" s="36">
        <f t="shared" si="61"/>
        <v>41</v>
      </c>
      <c r="B394" s="25">
        <v>43885</v>
      </c>
      <c r="C394" s="25" t="str">
        <f t="shared" ref="C394:C405" si="62">"NBA"</f>
        <v>NBA</v>
      </c>
      <c r="D394" s="26" t="s">
        <v>1661</v>
      </c>
      <c r="E394" s="28" t="s">
        <v>1505</v>
      </c>
      <c r="F394" s="67">
        <v>0.74394189421631507</v>
      </c>
      <c r="G394" s="29">
        <v>-110</v>
      </c>
      <c r="H394" s="50" t="s">
        <v>57</v>
      </c>
      <c r="I39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9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394" s="40" t="str">
        <f>MID(Tracker[[#This Row],[Game]],SEARCH("@",Tracker[[#This Row],[Game]])+2,LEN(Tracker[[#This Row],[Game]]))</f>
        <v>Cavaliers</v>
      </c>
      <c r="L394" s="40" t="str">
        <f>LEFT(Tracker[[#This Row],[Game]],SEARCH("@",Tracker[[#This Row],[Game]])-2)</f>
        <v>Heat</v>
      </c>
      <c r="M39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394" s="123">
        <v>0.47650000000000003</v>
      </c>
      <c r="O394" s="147">
        <v>0.84</v>
      </c>
      <c r="P394" s="147">
        <v>0.92</v>
      </c>
      <c r="Q394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5-10%</v>
      </c>
      <c r="R394" s="155">
        <f>IF(AND(Tracker[[#This Row],[Money %]]&lt;&gt;"",Tracker[[#This Row],[Bet %]]&lt;&gt;""),Tracker[[#This Row],[Money %]]-Tracker[[#This Row],[Bet %]],NA())</f>
        <v>8.0000000000000071E-2</v>
      </c>
      <c r="S394" s="110"/>
      <c r="T394" s="110"/>
      <c r="V394" s="4"/>
      <c r="W394" s="35"/>
    </row>
    <row r="395" spans="1:24" x14ac:dyDescent="0.25">
      <c r="A395" s="36">
        <f t="shared" si="61"/>
        <v>41</v>
      </c>
      <c r="B395" s="25">
        <v>43885</v>
      </c>
      <c r="C395" s="25" t="str">
        <f t="shared" si="62"/>
        <v>NBA</v>
      </c>
      <c r="D395" s="26" t="s">
        <v>1661</v>
      </c>
      <c r="E395" s="28" t="s">
        <v>895</v>
      </c>
      <c r="F395" s="67">
        <v>0.74142222848183204</v>
      </c>
      <c r="G395" s="29">
        <v>-110</v>
      </c>
      <c r="H395" s="50" t="s">
        <v>57</v>
      </c>
      <c r="I39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9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395" s="40" t="str">
        <f>MID(Tracker[[#This Row],[Game]],SEARCH("@",Tracker[[#This Row],[Game]])+2,LEN(Tracker[[#This Row],[Game]]))</f>
        <v>Cavaliers</v>
      </c>
      <c r="L395" s="40" t="str">
        <f>LEFT(Tracker[[#This Row],[Game]],SEARCH("@",Tracker[[#This Row],[Game]])-2)</f>
        <v>Heat</v>
      </c>
      <c r="M39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395" s="123">
        <v>0.44800000000000001</v>
      </c>
      <c r="O395" s="147">
        <v>0.51</v>
      </c>
      <c r="P395" s="147">
        <v>0.66</v>
      </c>
      <c r="Q395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15-20%</v>
      </c>
      <c r="R395" s="155">
        <f>IF(AND(Tracker[[#This Row],[Money %]]&lt;&gt;"",Tracker[[#This Row],[Bet %]]&lt;&gt;""),Tracker[[#This Row],[Money %]]-Tracker[[#This Row],[Bet %]],NA())</f>
        <v>0.15000000000000002</v>
      </c>
      <c r="S395" s="110"/>
      <c r="T395" s="110"/>
      <c r="V395" s="4"/>
      <c r="W395" s="35"/>
    </row>
    <row r="396" spans="1:24" x14ac:dyDescent="0.25">
      <c r="A396" s="36">
        <f t="shared" si="61"/>
        <v>41</v>
      </c>
      <c r="B396" s="25">
        <v>43885</v>
      </c>
      <c r="C396" s="25" t="str">
        <f t="shared" si="62"/>
        <v>NBA</v>
      </c>
      <c r="D396" s="26" t="s">
        <v>1662</v>
      </c>
      <c r="E396" s="28" t="s">
        <v>1663</v>
      </c>
      <c r="F396" s="67">
        <v>0.59972321317091337</v>
      </c>
      <c r="G396" s="29">
        <v>-110</v>
      </c>
      <c r="H396" s="50" t="s">
        <v>56</v>
      </c>
      <c r="I39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39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396" s="40" t="str">
        <f>MID(Tracker[[#This Row],[Game]],SEARCH("@",Tracker[[#This Row],[Game]])+2,LEN(Tracker[[#This Row],[Game]]))</f>
        <v>76ers</v>
      </c>
      <c r="L396" s="40" t="str">
        <f>LEFT(Tracker[[#This Row],[Game]],SEARCH("@",Tracker[[#This Row],[Game]])-2)</f>
        <v>Hawks</v>
      </c>
      <c r="M39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396" s="123">
        <v>0.59749999999999992</v>
      </c>
      <c r="O396" s="147">
        <v>0.43</v>
      </c>
      <c r="P396" s="147">
        <v>0.51</v>
      </c>
      <c r="Q396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5-10%</v>
      </c>
      <c r="R396" s="155">
        <f>IF(AND(Tracker[[#This Row],[Money %]]&lt;&gt;"",Tracker[[#This Row],[Bet %]]&lt;&gt;""),Tracker[[#This Row],[Money %]]-Tracker[[#This Row],[Bet %]],NA())</f>
        <v>8.0000000000000016E-2</v>
      </c>
      <c r="S396" s="110"/>
      <c r="T396" s="110"/>
      <c r="V396" s="4"/>
      <c r="W396" s="35"/>
    </row>
    <row r="397" spans="1:24" x14ac:dyDescent="0.25">
      <c r="A397" s="36">
        <f t="shared" si="61"/>
        <v>41</v>
      </c>
      <c r="B397" s="25">
        <v>43885</v>
      </c>
      <c r="C397" s="25" t="str">
        <f t="shared" si="62"/>
        <v>NBA</v>
      </c>
      <c r="D397" s="26" t="s">
        <v>1662</v>
      </c>
      <c r="E397" s="28" t="s">
        <v>862</v>
      </c>
      <c r="F397" s="67">
        <v>0.69283009695250763</v>
      </c>
      <c r="G397" s="29">
        <v>-110</v>
      </c>
      <c r="H397" s="50" t="s">
        <v>57</v>
      </c>
      <c r="I39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9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397" s="40" t="str">
        <f>MID(Tracker[[#This Row],[Game]],SEARCH("@",Tracker[[#This Row],[Game]])+2,LEN(Tracker[[#This Row],[Game]]))</f>
        <v>76ers</v>
      </c>
      <c r="L397" s="40" t="str">
        <f>LEFT(Tracker[[#This Row],[Game]],SEARCH("@",Tracker[[#This Row],[Game]])-2)</f>
        <v>Hawks</v>
      </c>
      <c r="M39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397" s="123">
        <v>0.42200000000000004</v>
      </c>
      <c r="O397" s="147">
        <v>0.33</v>
      </c>
      <c r="P397" s="147">
        <v>0.54</v>
      </c>
      <c r="Q397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20-25%</v>
      </c>
      <c r="R397" s="155">
        <f>IF(AND(Tracker[[#This Row],[Money %]]&lt;&gt;"",Tracker[[#This Row],[Bet %]]&lt;&gt;""),Tracker[[#This Row],[Money %]]-Tracker[[#This Row],[Bet %]],NA())</f>
        <v>0.21000000000000002</v>
      </c>
      <c r="S397" s="110"/>
      <c r="T397" s="110"/>
      <c r="V397" s="4"/>
      <c r="W397" s="35"/>
    </row>
    <row r="398" spans="1:24" x14ac:dyDescent="0.25">
      <c r="A398" s="36">
        <f t="shared" si="61"/>
        <v>41</v>
      </c>
      <c r="B398" s="25">
        <v>43885</v>
      </c>
      <c r="C398" s="25" t="str">
        <f t="shared" si="62"/>
        <v>NBA</v>
      </c>
      <c r="D398" s="26" t="s">
        <v>1664</v>
      </c>
      <c r="E398" s="28" t="s">
        <v>1047</v>
      </c>
      <c r="F398" s="74">
        <v>0.6861144695935214</v>
      </c>
      <c r="G398" s="29">
        <v>-110</v>
      </c>
      <c r="H398" s="50" t="s">
        <v>57</v>
      </c>
      <c r="I39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9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398" s="40" t="str">
        <f>MID(Tracker[[#This Row],[Game]],SEARCH("@",Tracker[[#This Row],[Game]])+2,LEN(Tracker[[#This Row],[Game]]))</f>
        <v>Wizards</v>
      </c>
      <c r="L398" s="40" t="str">
        <f>LEFT(Tracker[[#This Row],[Game]],SEARCH("@",Tracker[[#This Row],[Game]])-2)</f>
        <v>Bucks</v>
      </c>
      <c r="M39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398" s="123">
        <v>0.53149999999999997</v>
      </c>
      <c r="O398" s="147">
        <v>0.78</v>
      </c>
      <c r="P398" s="147">
        <v>0.79</v>
      </c>
      <c r="Q398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0-5%</v>
      </c>
      <c r="R398" s="155">
        <f>IF(AND(Tracker[[#This Row],[Money %]]&lt;&gt;"",Tracker[[#This Row],[Bet %]]&lt;&gt;""),Tracker[[#This Row],[Money %]]-Tracker[[#This Row],[Bet %]],NA())</f>
        <v>1.0000000000000009E-2</v>
      </c>
      <c r="S398" s="110"/>
      <c r="T398" s="110"/>
      <c r="V398" s="4"/>
      <c r="W398" s="35"/>
    </row>
    <row r="399" spans="1:24" x14ac:dyDescent="0.25">
      <c r="A399" s="36">
        <f t="shared" si="61"/>
        <v>41</v>
      </c>
      <c r="B399" s="25">
        <v>43885</v>
      </c>
      <c r="C399" s="25" t="str">
        <f t="shared" si="62"/>
        <v>NBA</v>
      </c>
      <c r="D399" s="26" t="s">
        <v>1664</v>
      </c>
      <c r="E399" s="28" t="s">
        <v>1665</v>
      </c>
      <c r="F399" s="74">
        <v>0.67718177266447965</v>
      </c>
      <c r="G399" s="29">
        <v>-110</v>
      </c>
      <c r="H399" s="50" t="s">
        <v>57</v>
      </c>
      <c r="I39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39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399" s="40" t="str">
        <f>MID(Tracker[[#This Row],[Game]],SEARCH("@",Tracker[[#This Row],[Game]])+2,LEN(Tracker[[#This Row],[Game]]))</f>
        <v>Wizards</v>
      </c>
      <c r="L399" s="40" t="str">
        <f>LEFT(Tracker[[#This Row],[Game]],SEARCH("@",Tracker[[#This Row],[Game]])-2)</f>
        <v>Bucks</v>
      </c>
      <c r="M39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399" s="123">
        <v>0.50049999999999994</v>
      </c>
      <c r="O399" s="147">
        <v>0.52</v>
      </c>
      <c r="P399" s="147">
        <v>0.5</v>
      </c>
      <c r="Q399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-5-0%</v>
      </c>
      <c r="R399" s="155">
        <f>IF(AND(Tracker[[#This Row],[Money %]]&lt;&gt;"",Tracker[[#This Row],[Bet %]]&lt;&gt;""),Tracker[[#This Row],[Money %]]-Tracker[[#This Row],[Bet %]],NA())</f>
        <v>-2.0000000000000018E-2</v>
      </c>
      <c r="S399" s="110"/>
      <c r="T399" s="110"/>
      <c r="V399" s="4"/>
      <c r="W399" s="35"/>
    </row>
    <row r="400" spans="1:24" x14ac:dyDescent="0.25">
      <c r="A400" s="36">
        <f t="shared" si="61"/>
        <v>41</v>
      </c>
      <c r="B400" s="25">
        <v>43885</v>
      </c>
      <c r="C400" s="25" t="str">
        <f t="shared" si="62"/>
        <v>NBA</v>
      </c>
      <c r="D400" s="26" t="s">
        <v>1666</v>
      </c>
      <c r="E400" s="28" t="s">
        <v>1667</v>
      </c>
      <c r="F400" s="74">
        <v>0.56036132065577016</v>
      </c>
      <c r="G400" s="29">
        <v>-110</v>
      </c>
      <c r="H400" s="50" t="s">
        <v>56</v>
      </c>
      <c r="I40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0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400" s="40" t="str">
        <f>MID(Tracker[[#This Row],[Game]],SEARCH("@",Tracker[[#This Row],[Game]])+2,LEN(Tracker[[#This Row],[Game]]))</f>
        <v>Nets</v>
      </c>
      <c r="L400" s="40" t="str">
        <f>LEFT(Tracker[[#This Row],[Game]],SEARCH("@",Tracker[[#This Row],[Game]])-2)</f>
        <v>Magic</v>
      </c>
      <c r="M40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400" s="123">
        <v>0.45750000000000002</v>
      </c>
      <c r="O400" s="147">
        <v>0.22</v>
      </c>
      <c r="P400" s="147">
        <v>0.2</v>
      </c>
      <c r="Q400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-5-0%</v>
      </c>
      <c r="R400" s="155">
        <f>IF(AND(Tracker[[#This Row],[Money %]]&lt;&gt;"",Tracker[[#This Row],[Bet %]]&lt;&gt;""),Tracker[[#This Row],[Money %]]-Tracker[[#This Row],[Bet %]],NA())</f>
        <v>-1.999999999999999E-2</v>
      </c>
      <c r="S400" s="110"/>
      <c r="T400" s="110"/>
      <c r="V400" s="4"/>
      <c r="W400" s="35"/>
    </row>
    <row r="401" spans="1:23" x14ac:dyDescent="0.25">
      <c r="A401" s="36">
        <f t="shared" si="61"/>
        <v>41</v>
      </c>
      <c r="B401" s="25">
        <v>43885</v>
      </c>
      <c r="C401" s="25" t="str">
        <f t="shared" si="62"/>
        <v>NBA</v>
      </c>
      <c r="D401" s="26" t="s">
        <v>1666</v>
      </c>
      <c r="E401" s="28" t="s">
        <v>891</v>
      </c>
      <c r="F401" s="74">
        <v>0.62648731189396833</v>
      </c>
      <c r="G401" s="29">
        <v>-110</v>
      </c>
      <c r="H401" s="50" t="s">
        <v>57</v>
      </c>
      <c r="I40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0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01" s="40" t="str">
        <f>MID(Tracker[[#This Row],[Game]],SEARCH("@",Tracker[[#This Row],[Game]])+2,LEN(Tracker[[#This Row],[Game]]))</f>
        <v>Nets</v>
      </c>
      <c r="L401" s="40" t="str">
        <f>LEFT(Tracker[[#This Row],[Game]],SEARCH("@",Tracker[[#This Row],[Game]])-2)</f>
        <v>Magic</v>
      </c>
      <c r="M40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01" s="123">
        <v>0.47899999999999998</v>
      </c>
      <c r="O401" s="147">
        <v>0.35</v>
      </c>
      <c r="P401" s="147">
        <v>0.59</v>
      </c>
      <c r="Q401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20-25%</v>
      </c>
      <c r="R401" s="155">
        <f>IF(AND(Tracker[[#This Row],[Money %]]&lt;&gt;"",Tracker[[#This Row],[Bet %]]&lt;&gt;""),Tracker[[#This Row],[Money %]]-Tracker[[#This Row],[Bet %]],NA())</f>
        <v>0.24</v>
      </c>
      <c r="S401" s="110"/>
      <c r="T401" s="110"/>
      <c r="V401" s="4"/>
      <c r="W401" s="35"/>
    </row>
    <row r="402" spans="1:23" x14ac:dyDescent="0.25">
      <c r="A402" s="36">
        <f t="shared" si="61"/>
        <v>41</v>
      </c>
      <c r="B402" s="25">
        <v>43885</v>
      </c>
      <c r="C402" s="25" t="str">
        <f t="shared" si="62"/>
        <v>NBA</v>
      </c>
      <c r="D402" s="26" t="s">
        <v>1668</v>
      </c>
      <c r="E402" s="28" t="s">
        <v>1669</v>
      </c>
      <c r="F402" s="74">
        <v>0.61827978777652348</v>
      </c>
      <c r="G402" s="29">
        <v>-110</v>
      </c>
      <c r="H402" s="50" t="s">
        <v>57</v>
      </c>
      <c r="I40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0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02" s="40" t="str">
        <f>MID(Tracker[[#This Row],[Game]],SEARCH("@",Tracker[[#This Row],[Game]])+2,LEN(Tracker[[#This Row],[Game]]))</f>
        <v>Rockets</v>
      </c>
      <c r="L402" s="40" t="str">
        <f>LEFT(Tracker[[#This Row],[Game]],SEARCH("@",Tracker[[#This Row],[Game]])-2)</f>
        <v>Knicks</v>
      </c>
      <c r="M40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02" s="123">
        <v>0.52800000000000002</v>
      </c>
      <c r="O402" s="147">
        <v>0.51</v>
      </c>
      <c r="P402" s="147">
        <v>0.89</v>
      </c>
      <c r="Q402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35-40%</v>
      </c>
      <c r="R402" s="155">
        <f>IF(AND(Tracker[[#This Row],[Money %]]&lt;&gt;"",Tracker[[#This Row],[Bet %]]&lt;&gt;""),Tracker[[#This Row],[Money %]]-Tracker[[#This Row],[Bet %]],NA())</f>
        <v>0.38</v>
      </c>
      <c r="S402" s="110"/>
      <c r="T402" s="110"/>
      <c r="V402" s="4"/>
      <c r="W402" s="35"/>
    </row>
    <row r="403" spans="1:23" x14ac:dyDescent="0.25">
      <c r="A403" s="36">
        <f t="shared" si="61"/>
        <v>41</v>
      </c>
      <c r="B403" s="25">
        <v>43885</v>
      </c>
      <c r="C403" s="25" t="str">
        <f t="shared" si="62"/>
        <v>NBA</v>
      </c>
      <c r="D403" s="26" t="s">
        <v>1670</v>
      </c>
      <c r="E403" s="28" t="s">
        <v>1671</v>
      </c>
      <c r="F403" s="74">
        <v>0.76717673179490664</v>
      </c>
      <c r="G403" s="29">
        <v>-110</v>
      </c>
      <c r="H403" s="50" t="s">
        <v>57</v>
      </c>
      <c r="I40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0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03" s="40" t="str">
        <f>MID(Tracker[[#This Row],[Game]],SEARCH("@",Tracker[[#This Row],[Game]])+2,LEN(Tracker[[#This Row],[Game]]))</f>
        <v>Mavericks</v>
      </c>
      <c r="L403" s="40" t="str">
        <f>LEFT(Tracker[[#This Row],[Game]],SEARCH("@",Tracker[[#This Row],[Game]])-2)</f>
        <v>Timberwolves</v>
      </c>
      <c r="M40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03" s="123">
        <v>0.39300000000000002</v>
      </c>
      <c r="O403" s="147">
        <v>0.52</v>
      </c>
      <c r="P403" s="147">
        <v>0.67</v>
      </c>
      <c r="Q403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15-20%</v>
      </c>
      <c r="R403" s="155">
        <f>IF(AND(Tracker[[#This Row],[Money %]]&lt;&gt;"",Tracker[[#This Row],[Bet %]]&lt;&gt;""),Tracker[[#This Row],[Money %]]-Tracker[[#This Row],[Bet %]],NA())</f>
        <v>0.15000000000000002</v>
      </c>
      <c r="S403" s="110"/>
      <c r="T403" s="110"/>
      <c r="V403" s="4"/>
      <c r="W403" s="35"/>
    </row>
    <row r="404" spans="1:23" x14ac:dyDescent="0.25">
      <c r="A404" s="36">
        <f t="shared" si="61"/>
        <v>41</v>
      </c>
      <c r="B404" s="25">
        <v>43885</v>
      </c>
      <c r="C404" s="25" t="str">
        <f t="shared" si="62"/>
        <v>NBA</v>
      </c>
      <c r="D404" s="26" t="s">
        <v>1672</v>
      </c>
      <c r="E404" s="28" t="s">
        <v>951</v>
      </c>
      <c r="F404" s="74">
        <v>0.64703168941741285</v>
      </c>
      <c r="G404" s="29">
        <v>-110</v>
      </c>
      <c r="H404" s="50" t="s">
        <v>57</v>
      </c>
      <c r="I40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0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04" s="40" t="str">
        <f>MID(Tracker[[#This Row],[Game]],SEARCH("@",Tracker[[#This Row],[Game]])+2,LEN(Tracker[[#This Row],[Game]]))</f>
        <v>Jazz</v>
      </c>
      <c r="L404" s="40" t="str">
        <f>LEFT(Tracker[[#This Row],[Game]],SEARCH("@",Tracker[[#This Row],[Game]])-2)</f>
        <v>Suns</v>
      </c>
      <c r="M40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04" s="123">
        <v>0.52600000000000002</v>
      </c>
      <c r="O404" s="147">
        <v>0.57999999999999996</v>
      </c>
      <c r="P404" s="147">
        <v>0.86</v>
      </c>
      <c r="Q404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25-30%</v>
      </c>
      <c r="R404" s="155">
        <f>IF(AND(Tracker[[#This Row],[Money %]]&lt;&gt;"",Tracker[[#This Row],[Bet %]]&lt;&gt;""),Tracker[[#This Row],[Money %]]-Tracker[[#This Row],[Bet %]],NA())</f>
        <v>0.28000000000000003</v>
      </c>
      <c r="S404" s="110"/>
      <c r="T404" s="110"/>
      <c r="V404" s="4"/>
      <c r="W404" s="35"/>
    </row>
    <row r="405" spans="1:23" x14ac:dyDescent="0.25">
      <c r="A405" s="36">
        <f t="shared" si="61"/>
        <v>41</v>
      </c>
      <c r="B405" s="25">
        <v>43885</v>
      </c>
      <c r="C405" s="25" t="str">
        <f t="shared" si="62"/>
        <v>NBA</v>
      </c>
      <c r="D405" s="26" t="s">
        <v>1673</v>
      </c>
      <c r="E405" s="28" t="s">
        <v>1233</v>
      </c>
      <c r="F405" s="74">
        <v>0.61195238773448357</v>
      </c>
      <c r="G405" s="29">
        <v>-110</v>
      </c>
      <c r="H405" s="50" t="s">
        <v>56</v>
      </c>
      <c r="I40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0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05" s="40" t="str">
        <f>MID(Tracker[[#This Row],[Game]],SEARCH("@",Tracker[[#This Row],[Game]])+2,LEN(Tracker[[#This Row],[Game]]))</f>
        <v>Clippers</v>
      </c>
      <c r="L405" s="40" t="str">
        <f>LEFT(Tracker[[#This Row],[Game]],SEARCH("@",Tracker[[#This Row],[Game]])-2)</f>
        <v>Grizzlies</v>
      </c>
      <c r="M40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05" s="123">
        <v>0.4995</v>
      </c>
      <c r="O405" s="147">
        <v>0.46</v>
      </c>
      <c r="P405" s="147">
        <v>0.69</v>
      </c>
      <c r="Q405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20-25%</v>
      </c>
      <c r="R405" s="155">
        <f>IF(AND(Tracker[[#This Row],[Money %]]&lt;&gt;"",Tracker[[#This Row],[Bet %]]&lt;&gt;""),Tracker[[#This Row],[Money %]]-Tracker[[#This Row],[Bet %]],NA())</f>
        <v>0.22999999999999993</v>
      </c>
      <c r="S405" s="110"/>
      <c r="T405" s="110"/>
      <c r="V405" s="4"/>
      <c r="W405" s="35"/>
    </row>
    <row r="406" spans="1:23" x14ac:dyDescent="0.25">
      <c r="A406" s="36">
        <f t="shared" si="61"/>
        <v>42</v>
      </c>
      <c r="B406" s="25">
        <v>43886</v>
      </c>
      <c r="C406" s="25" t="str">
        <f t="shared" ref="C406:C409" si="63">"NBA"</f>
        <v>NBA</v>
      </c>
      <c r="D406" s="26" t="s">
        <v>1682</v>
      </c>
      <c r="E406" s="28" t="s">
        <v>1683</v>
      </c>
      <c r="F406" s="74">
        <v>0.55873565801630254</v>
      </c>
      <c r="G406" s="29">
        <v>-110</v>
      </c>
      <c r="H406" s="50" t="s">
        <v>57</v>
      </c>
      <c r="I40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0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406" s="40" t="str">
        <f>MID(Tracker[[#This Row],[Game]],SEARCH("@",Tracker[[#This Row],[Game]])+2,LEN(Tracker[[#This Row],[Game]]))</f>
        <v>Pacers</v>
      </c>
      <c r="L406" s="40" t="str">
        <f>LEFT(Tracker[[#This Row],[Game]],SEARCH("@",Tracker[[#This Row],[Game]])-2)</f>
        <v>Hornets</v>
      </c>
      <c r="M40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406" s="123">
        <v>0.55200000000000005</v>
      </c>
      <c r="O406" s="147">
        <v>0.64</v>
      </c>
      <c r="P406" s="147">
        <v>0.24</v>
      </c>
      <c r="Q406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-40--35%</v>
      </c>
      <c r="R406" s="155">
        <f>IF(AND(Tracker[[#This Row],[Money %]]&lt;&gt;"",Tracker[[#This Row],[Bet %]]&lt;&gt;""),Tracker[[#This Row],[Money %]]-Tracker[[#This Row],[Bet %]],NA())</f>
        <v>-0.4</v>
      </c>
      <c r="S406" s="110"/>
      <c r="T406" s="110"/>
      <c r="V406" s="4"/>
      <c r="W406" s="35"/>
    </row>
    <row r="407" spans="1:23" x14ac:dyDescent="0.25">
      <c r="A407" s="36">
        <f t="shared" si="61"/>
        <v>42</v>
      </c>
      <c r="B407" s="25">
        <v>43886</v>
      </c>
      <c r="C407" s="25" t="str">
        <f t="shared" si="63"/>
        <v>NBA</v>
      </c>
      <c r="D407" s="26" t="s">
        <v>1684</v>
      </c>
      <c r="E407" s="28" t="s">
        <v>1685</v>
      </c>
      <c r="F407" s="74">
        <v>0.61112886389087107</v>
      </c>
      <c r="G407" s="29">
        <v>-110</v>
      </c>
      <c r="H407" s="50" t="s">
        <v>56</v>
      </c>
      <c r="I40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0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407" s="40" t="str">
        <f>MID(Tracker[[#This Row],[Game]],SEARCH("@",Tracker[[#This Row],[Game]])+2,LEN(Tracker[[#This Row],[Game]]))</f>
        <v>Raptors</v>
      </c>
      <c r="L407" s="40" t="str">
        <f>LEFT(Tracker[[#This Row],[Game]],SEARCH("@",Tracker[[#This Row],[Game]])-2)</f>
        <v>Bucks</v>
      </c>
      <c r="M40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407" s="123">
        <v>0.63349999999999995</v>
      </c>
      <c r="O407" s="147">
        <v>0.55000000000000004</v>
      </c>
      <c r="P407" s="147">
        <v>0.42</v>
      </c>
      <c r="Q407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-15--10%</v>
      </c>
      <c r="R407" s="155">
        <f>IF(AND(Tracker[[#This Row],[Money %]]&lt;&gt;"",Tracker[[#This Row],[Bet %]]&lt;&gt;""),Tracker[[#This Row],[Money %]]-Tracker[[#This Row],[Bet %]],NA())</f>
        <v>-0.13000000000000006</v>
      </c>
      <c r="S407" s="110"/>
      <c r="T407" s="110"/>
      <c r="V407" s="4"/>
      <c r="W407" s="35"/>
    </row>
    <row r="408" spans="1:23" x14ac:dyDescent="0.25">
      <c r="A408" s="36">
        <f t="shared" si="61"/>
        <v>42</v>
      </c>
      <c r="B408" s="25">
        <v>43886</v>
      </c>
      <c r="C408" s="25" t="str">
        <f t="shared" si="63"/>
        <v>NBA</v>
      </c>
      <c r="D408" s="26" t="s">
        <v>1686</v>
      </c>
      <c r="E408" s="28" t="s">
        <v>1687</v>
      </c>
      <c r="F408" s="74">
        <v>0.58570648156210248</v>
      </c>
      <c r="G408" s="29">
        <v>-110</v>
      </c>
      <c r="H408" s="50" t="s">
        <v>57</v>
      </c>
      <c r="I40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0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408" s="40" t="str">
        <f>MID(Tracker[[#This Row],[Game]],SEARCH("@",Tracker[[#This Row],[Game]])+2,LEN(Tracker[[#This Row],[Game]]))</f>
        <v>Nuggets</v>
      </c>
      <c r="L408" s="40" t="str">
        <f>LEFT(Tracker[[#This Row],[Game]],SEARCH("@",Tracker[[#This Row],[Game]])-2)</f>
        <v>Pistons</v>
      </c>
      <c r="M40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408" s="123">
        <v>0.4405</v>
      </c>
      <c r="O408" s="147">
        <v>0.2</v>
      </c>
      <c r="P408" s="147">
        <v>0.05</v>
      </c>
      <c r="Q408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-15--10%</v>
      </c>
      <c r="R408" s="155">
        <f>IF(AND(Tracker[[#This Row],[Money %]]&lt;&gt;"",Tracker[[#This Row],[Bet %]]&lt;&gt;""),Tracker[[#This Row],[Money %]]-Tracker[[#This Row],[Bet %]],NA())</f>
        <v>-0.15000000000000002</v>
      </c>
      <c r="S408" s="110"/>
      <c r="T408" s="110"/>
      <c r="V408" s="4"/>
      <c r="W408" s="35"/>
    </row>
    <row r="409" spans="1:23" x14ac:dyDescent="0.25">
      <c r="A409" s="36">
        <f t="shared" si="61"/>
        <v>42</v>
      </c>
      <c r="B409" s="25">
        <v>43886</v>
      </c>
      <c r="C409" s="25" t="str">
        <f t="shared" si="63"/>
        <v>NBA</v>
      </c>
      <c r="D409" s="26" t="s">
        <v>992</v>
      </c>
      <c r="E409" s="28" t="s">
        <v>786</v>
      </c>
      <c r="F409" s="74">
        <v>0.64564495513487841</v>
      </c>
      <c r="G409" s="29">
        <v>-110</v>
      </c>
      <c r="H409" s="50" t="s">
        <v>56</v>
      </c>
      <c r="I40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0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09" s="40" t="str">
        <f>MID(Tracker[[#This Row],[Game]],SEARCH("@",Tracker[[#This Row],[Game]])+2,LEN(Tracker[[#This Row],[Game]]))</f>
        <v>Lakers</v>
      </c>
      <c r="L409" s="40" t="str">
        <f>LEFT(Tracker[[#This Row],[Game]],SEARCH("@",Tracker[[#This Row],[Game]])-2)</f>
        <v>Pelicans</v>
      </c>
      <c r="M40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09" s="123">
        <v>0.48499999999999999</v>
      </c>
      <c r="O409" s="147">
        <v>0.61</v>
      </c>
      <c r="P409" s="147">
        <v>0.61</v>
      </c>
      <c r="Q409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0-5%</v>
      </c>
      <c r="R409" s="155">
        <f>IF(AND(Tracker[[#This Row],[Money %]]&lt;&gt;"",Tracker[[#This Row],[Bet %]]&lt;&gt;""),Tracker[[#This Row],[Money %]]-Tracker[[#This Row],[Bet %]],NA())</f>
        <v>0</v>
      </c>
      <c r="S409" s="110"/>
      <c r="T409" s="110"/>
      <c r="V409" s="4"/>
      <c r="W409" s="35"/>
    </row>
    <row r="410" spans="1:23" x14ac:dyDescent="0.25">
      <c r="A410" s="36">
        <f t="shared" si="61"/>
        <v>43</v>
      </c>
      <c r="B410" s="25">
        <v>43887</v>
      </c>
      <c r="C410" s="25" t="str">
        <f t="shared" ref="C410:C421" si="64">"NBA"</f>
        <v>NBA</v>
      </c>
      <c r="D410" s="26" t="s">
        <v>1701</v>
      </c>
      <c r="E410" s="28" t="s">
        <v>1702</v>
      </c>
      <c r="F410" s="74">
        <v>0.64244911227504442</v>
      </c>
      <c r="G410" s="29">
        <v>-110</v>
      </c>
      <c r="H410" s="50" t="s">
        <v>57</v>
      </c>
      <c r="I41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1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410" s="40" t="str">
        <f>MID(Tracker[[#This Row],[Game]],SEARCH("@",Tracker[[#This Row],[Game]])+2,LEN(Tracker[[#This Row],[Game]]))</f>
        <v>Cavaliers</v>
      </c>
      <c r="L410" s="40" t="str">
        <f>LEFT(Tracker[[#This Row],[Game]],SEARCH("@",Tracker[[#This Row],[Game]])-2)</f>
        <v>76ers</v>
      </c>
      <c r="M41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410" s="123">
        <v>0.39300000000000002</v>
      </c>
      <c r="O410" s="147">
        <v>0.74</v>
      </c>
      <c r="P410" s="147">
        <v>0.95</v>
      </c>
      <c r="Q410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20-25%</v>
      </c>
      <c r="R410" s="155">
        <f>IF(AND(Tracker[[#This Row],[Money %]]&lt;&gt;"",Tracker[[#This Row],[Bet %]]&lt;&gt;""),Tracker[[#This Row],[Money %]]-Tracker[[#This Row],[Bet %]],NA())</f>
        <v>0.20999999999999996</v>
      </c>
      <c r="S410" s="110"/>
      <c r="T410" s="110"/>
      <c r="V410" s="4"/>
      <c r="W410" s="35"/>
    </row>
    <row r="411" spans="1:23" x14ac:dyDescent="0.25">
      <c r="A411" s="36">
        <f t="shared" si="61"/>
        <v>43</v>
      </c>
      <c r="B411" s="25">
        <v>43887</v>
      </c>
      <c r="C411" s="25" t="str">
        <f t="shared" si="64"/>
        <v>NBA</v>
      </c>
      <c r="D411" s="26" t="s">
        <v>1703</v>
      </c>
      <c r="E411" s="28" t="s">
        <v>1704</v>
      </c>
      <c r="F411" s="74">
        <v>0.53378061372795493</v>
      </c>
      <c r="G411" s="29">
        <v>-110</v>
      </c>
      <c r="H411" s="50" t="s">
        <v>57</v>
      </c>
      <c r="I41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1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411" s="40" t="str">
        <f>MID(Tracker[[#This Row],[Game]],SEARCH("@",Tracker[[#This Row],[Game]])+2,LEN(Tracker[[#This Row],[Game]]))</f>
        <v>Wizards</v>
      </c>
      <c r="L411" s="40" t="str">
        <f>LEFT(Tracker[[#This Row],[Game]],SEARCH("@",Tracker[[#This Row],[Game]])-2)</f>
        <v>Nets</v>
      </c>
      <c r="M41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411" s="123">
        <v>0.45600000000000002</v>
      </c>
      <c r="O411" s="147">
        <v>0.44</v>
      </c>
      <c r="P411" s="147">
        <v>0.68</v>
      </c>
      <c r="Q411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20-25%</v>
      </c>
      <c r="R411" s="155">
        <f>IF(AND(Tracker[[#This Row],[Money %]]&lt;&gt;"",Tracker[[#This Row],[Bet %]]&lt;&gt;""),Tracker[[#This Row],[Money %]]-Tracker[[#This Row],[Bet %]],NA())</f>
        <v>0.24000000000000005</v>
      </c>
      <c r="S411" s="110"/>
      <c r="T411" s="110"/>
      <c r="V411" s="4"/>
      <c r="W411" s="35"/>
    </row>
    <row r="412" spans="1:23" x14ac:dyDescent="0.25">
      <c r="A412" s="36">
        <f t="shared" si="61"/>
        <v>43</v>
      </c>
      <c r="B412" s="25">
        <v>43887</v>
      </c>
      <c r="C412" s="25" t="str">
        <f t="shared" si="64"/>
        <v>NBA</v>
      </c>
      <c r="D412" s="51" t="s">
        <v>1703</v>
      </c>
      <c r="E412" s="28" t="s">
        <v>837</v>
      </c>
      <c r="F412" s="74">
        <v>0.57561245886658052</v>
      </c>
      <c r="G412" s="29">
        <v>-110</v>
      </c>
      <c r="H412" s="50" t="s">
        <v>56</v>
      </c>
      <c r="I41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1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12" s="40" t="str">
        <f>MID(Tracker[[#This Row],[Game]],SEARCH("@",Tracker[[#This Row],[Game]])+2,LEN(Tracker[[#This Row],[Game]]))</f>
        <v>Wizards</v>
      </c>
      <c r="L412" s="40" t="str">
        <f>LEFT(Tracker[[#This Row],[Game]],SEARCH("@",Tracker[[#This Row],[Game]])-2)</f>
        <v>Nets</v>
      </c>
      <c r="M41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12" s="123">
        <v>0.49099999999999999</v>
      </c>
      <c r="O412" s="147">
        <v>0.52</v>
      </c>
      <c r="P412" s="147">
        <v>0.3</v>
      </c>
      <c r="Q412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-25--20%</v>
      </c>
      <c r="R412" s="155">
        <f>IF(AND(Tracker[[#This Row],[Money %]]&lt;&gt;"",Tracker[[#This Row],[Bet %]]&lt;&gt;""),Tracker[[#This Row],[Money %]]-Tracker[[#This Row],[Bet %]],NA())</f>
        <v>-0.22000000000000003</v>
      </c>
      <c r="S412" s="110"/>
      <c r="T412" s="110"/>
      <c r="V412" s="4"/>
      <c r="W412" s="35"/>
    </row>
    <row r="413" spans="1:23" x14ac:dyDescent="0.25">
      <c r="A413" s="36">
        <f t="shared" si="61"/>
        <v>43</v>
      </c>
      <c r="B413" s="25">
        <v>43887</v>
      </c>
      <c r="C413" s="25" t="str">
        <f t="shared" si="64"/>
        <v>NBA</v>
      </c>
      <c r="D413" s="26" t="s">
        <v>1229</v>
      </c>
      <c r="E413" s="28" t="s">
        <v>1705</v>
      </c>
      <c r="F413" s="67">
        <v>0.52211109802625433</v>
      </c>
      <c r="G413" s="29">
        <v>-110</v>
      </c>
      <c r="H413" s="50" t="s">
        <v>57</v>
      </c>
      <c r="I41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1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413" s="40" t="str">
        <f>MID(Tracker[[#This Row],[Game]],SEARCH("@",Tracker[[#This Row],[Game]])+2,LEN(Tracker[[#This Row],[Game]]))</f>
        <v>Hornets</v>
      </c>
      <c r="L413" s="40" t="str">
        <f>LEFT(Tracker[[#This Row],[Game]],SEARCH("@",Tracker[[#This Row],[Game]])-2)</f>
        <v>Knicks</v>
      </c>
      <c r="M41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413" s="123">
        <v>0.8</v>
      </c>
      <c r="O413" s="147">
        <v>0.69</v>
      </c>
      <c r="P413" s="147">
        <v>0.36</v>
      </c>
      <c r="Q413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-35--30%</v>
      </c>
      <c r="R413" s="155">
        <f>IF(AND(Tracker[[#This Row],[Money %]]&lt;&gt;"",Tracker[[#This Row],[Bet %]]&lt;&gt;""),Tracker[[#This Row],[Money %]]-Tracker[[#This Row],[Bet %]],NA())</f>
        <v>-0.32999999999999996</v>
      </c>
      <c r="S413" s="110"/>
      <c r="T413" s="110"/>
      <c r="V413" s="4"/>
      <c r="W413" s="35"/>
    </row>
    <row r="414" spans="1:23" x14ac:dyDescent="0.25">
      <c r="A414" s="36">
        <f t="shared" si="61"/>
        <v>43</v>
      </c>
      <c r="B414" s="25">
        <v>43887</v>
      </c>
      <c r="C414" s="25" t="str">
        <f t="shared" si="64"/>
        <v>NBA</v>
      </c>
      <c r="D414" s="26" t="s">
        <v>1229</v>
      </c>
      <c r="E414" s="28" t="s">
        <v>1706</v>
      </c>
      <c r="F414" s="67">
        <v>0.58779719587785362</v>
      </c>
      <c r="G414" s="29">
        <v>-110</v>
      </c>
      <c r="H414" s="50" t="s">
        <v>847</v>
      </c>
      <c r="I41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</v>
      </c>
      <c r="J41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414" s="40" t="str">
        <f>MID(Tracker[[#This Row],[Game]],SEARCH("@",Tracker[[#This Row],[Game]])+2,LEN(Tracker[[#This Row],[Game]]))</f>
        <v>Hornets</v>
      </c>
      <c r="L414" s="40" t="str">
        <f>LEFT(Tracker[[#This Row],[Game]],SEARCH("@",Tracker[[#This Row],[Game]])-2)</f>
        <v>Knicks</v>
      </c>
      <c r="M41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414" s="123">
        <v>0.47850000000000004</v>
      </c>
      <c r="O414" s="147">
        <v>0.66</v>
      </c>
      <c r="P414" s="147">
        <v>0.86</v>
      </c>
      <c r="Q414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20-25%</v>
      </c>
      <c r="R414" s="155">
        <f>IF(AND(Tracker[[#This Row],[Money %]]&lt;&gt;"",Tracker[[#This Row],[Bet %]]&lt;&gt;""),Tracker[[#This Row],[Money %]]-Tracker[[#This Row],[Bet %]],NA())</f>
        <v>0.19999999999999996</v>
      </c>
      <c r="S414" s="110"/>
      <c r="T414" s="110"/>
      <c r="V414" s="4"/>
      <c r="W414" s="35"/>
    </row>
    <row r="415" spans="1:23" x14ac:dyDescent="0.25">
      <c r="A415" s="36">
        <f t="shared" si="61"/>
        <v>43</v>
      </c>
      <c r="B415" s="25">
        <v>43887</v>
      </c>
      <c r="C415" s="25" t="str">
        <f t="shared" si="64"/>
        <v>NBA</v>
      </c>
      <c r="D415" s="26" t="s">
        <v>1707</v>
      </c>
      <c r="E415" s="28" t="s">
        <v>1708</v>
      </c>
      <c r="F415" s="67">
        <v>0.59121838050984821</v>
      </c>
      <c r="G415" s="29">
        <v>-110</v>
      </c>
      <c r="H415" s="50" t="s">
        <v>56</v>
      </c>
      <c r="I41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1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415" s="40" t="str">
        <f>MID(Tracker[[#This Row],[Game]],SEARCH("@",Tracker[[#This Row],[Game]])+2,LEN(Tracker[[#This Row],[Game]]))</f>
        <v>Hawks</v>
      </c>
      <c r="L415" s="40" t="str">
        <f>LEFT(Tracker[[#This Row],[Game]],SEARCH("@",Tracker[[#This Row],[Game]])-2)</f>
        <v>Magic</v>
      </c>
      <c r="M41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415" s="123">
        <v>0.50800000000000001</v>
      </c>
      <c r="O415" s="147">
        <v>0.47</v>
      </c>
      <c r="P415" s="147">
        <v>0.7</v>
      </c>
      <c r="Q415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20-25%</v>
      </c>
      <c r="R415" s="155">
        <f>IF(AND(Tracker[[#This Row],[Money %]]&lt;&gt;"",Tracker[[#This Row],[Bet %]]&lt;&gt;""),Tracker[[#This Row],[Money %]]-Tracker[[#This Row],[Bet %]],NA())</f>
        <v>0.22999999999999998</v>
      </c>
      <c r="S415" s="110"/>
      <c r="T415" s="110"/>
      <c r="V415" s="4"/>
      <c r="W415" s="35"/>
    </row>
    <row r="416" spans="1:23" x14ac:dyDescent="0.25">
      <c r="A416" s="36">
        <f t="shared" si="61"/>
        <v>43</v>
      </c>
      <c r="B416" s="25">
        <v>43887</v>
      </c>
      <c r="C416" s="25" t="str">
        <f t="shared" si="64"/>
        <v>NBA</v>
      </c>
      <c r="D416" s="26" t="s">
        <v>1707</v>
      </c>
      <c r="E416" s="28" t="s">
        <v>1594</v>
      </c>
      <c r="F416" s="67">
        <v>0.56873742869929311</v>
      </c>
      <c r="G416" s="29">
        <v>-110</v>
      </c>
      <c r="H416" s="50" t="s">
        <v>57</v>
      </c>
      <c r="I41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1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16" s="40" t="str">
        <f>MID(Tracker[[#This Row],[Game]],SEARCH("@",Tracker[[#This Row],[Game]])+2,LEN(Tracker[[#This Row],[Game]]))</f>
        <v>Hawks</v>
      </c>
      <c r="L416" s="40" t="str">
        <f>LEFT(Tracker[[#This Row],[Game]],SEARCH("@",Tracker[[#This Row],[Game]])-2)</f>
        <v>Magic</v>
      </c>
      <c r="M41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16" s="123">
        <v>0.42599999999999999</v>
      </c>
      <c r="O416" s="147">
        <v>0.23</v>
      </c>
      <c r="P416" s="147">
        <v>0.49</v>
      </c>
      <c r="Q416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25-30%</v>
      </c>
      <c r="R416" s="155">
        <f>IF(AND(Tracker[[#This Row],[Money %]]&lt;&gt;"",Tracker[[#This Row],[Bet %]]&lt;&gt;""),Tracker[[#This Row],[Money %]]-Tracker[[#This Row],[Bet %]],NA())</f>
        <v>0.26</v>
      </c>
      <c r="S416" s="110"/>
      <c r="T416" s="110"/>
      <c r="V416" s="4"/>
      <c r="W416" s="35"/>
    </row>
    <row r="417" spans="1:23" x14ac:dyDescent="0.25">
      <c r="A417" s="36">
        <f t="shared" si="61"/>
        <v>43</v>
      </c>
      <c r="B417" s="25">
        <v>43887</v>
      </c>
      <c r="C417" s="25" t="str">
        <f t="shared" si="64"/>
        <v>NBA</v>
      </c>
      <c r="D417" s="26" t="s">
        <v>1709</v>
      </c>
      <c r="E417" s="28" t="s">
        <v>1710</v>
      </c>
      <c r="F417" s="67">
        <v>0.56988457336130616</v>
      </c>
      <c r="G417" s="29">
        <v>-110</v>
      </c>
      <c r="H417" s="50" t="s">
        <v>56</v>
      </c>
      <c r="I41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1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417" s="40" t="str">
        <f>MID(Tracker[[#This Row],[Game]],SEARCH("@",Tracker[[#This Row],[Game]])+2,LEN(Tracker[[#This Row],[Game]]))</f>
        <v>Heat</v>
      </c>
      <c r="L417" s="40" t="str">
        <f>LEFT(Tracker[[#This Row],[Game]],SEARCH("@",Tracker[[#This Row],[Game]])-2)</f>
        <v>Timberwolves</v>
      </c>
      <c r="M41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417" s="123">
        <v>0.36399999999999999</v>
      </c>
      <c r="O417" s="147">
        <v>0.19</v>
      </c>
      <c r="P417" s="147">
        <v>0.15</v>
      </c>
      <c r="Q417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-5-0%</v>
      </c>
      <c r="R417" s="155">
        <f>IF(AND(Tracker[[#This Row],[Money %]]&lt;&gt;"",Tracker[[#This Row],[Bet %]]&lt;&gt;""),Tracker[[#This Row],[Money %]]-Tracker[[#This Row],[Bet %]],NA())</f>
        <v>-4.0000000000000008E-2</v>
      </c>
      <c r="S417" s="110"/>
      <c r="T417" s="110"/>
      <c r="V417" s="4"/>
      <c r="W417" s="35"/>
    </row>
    <row r="418" spans="1:23" x14ac:dyDescent="0.25">
      <c r="A418" s="36">
        <f t="shared" si="61"/>
        <v>43</v>
      </c>
      <c r="B418" s="25">
        <v>43887</v>
      </c>
      <c r="C418" s="25" t="str">
        <f t="shared" si="64"/>
        <v>NBA</v>
      </c>
      <c r="D418" s="26" t="s">
        <v>1709</v>
      </c>
      <c r="E418" s="28" t="s">
        <v>908</v>
      </c>
      <c r="F418" s="67">
        <v>0.67036076546593171</v>
      </c>
      <c r="G418" s="29">
        <v>-110</v>
      </c>
      <c r="H418" s="50" t="s">
        <v>57</v>
      </c>
      <c r="I41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1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18" s="40" t="str">
        <f>MID(Tracker[[#This Row],[Game]],SEARCH("@",Tracker[[#This Row],[Game]])+2,LEN(Tracker[[#This Row],[Game]]))</f>
        <v>Heat</v>
      </c>
      <c r="L418" s="40" t="str">
        <f>LEFT(Tracker[[#This Row],[Game]],SEARCH("@",Tracker[[#This Row],[Game]])-2)</f>
        <v>Timberwolves</v>
      </c>
      <c r="M41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18" s="123">
        <v>0.3695</v>
      </c>
      <c r="O418" s="147">
        <v>0.14000000000000001</v>
      </c>
      <c r="P418" s="147">
        <v>0.09</v>
      </c>
      <c r="Q418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-5-0%</v>
      </c>
      <c r="R418" s="155">
        <f>IF(AND(Tracker[[#This Row],[Money %]]&lt;&gt;"",Tracker[[#This Row],[Bet %]]&lt;&gt;""),Tracker[[#This Row],[Money %]]-Tracker[[#This Row],[Bet %]],NA())</f>
        <v>-5.0000000000000017E-2</v>
      </c>
      <c r="S418" s="110"/>
      <c r="T418" s="110"/>
      <c r="V418" s="4"/>
      <c r="W418" s="35"/>
    </row>
    <row r="419" spans="1:23" x14ac:dyDescent="0.25">
      <c r="A419" s="36">
        <f t="shared" si="61"/>
        <v>43</v>
      </c>
      <c r="B419" s="25">
        <v>43887</v>
      </c>
      <c r="C419" s="25" t="str">
        <f t="shared" si="64"/>
        <v>NBA</v>
      </c>
      <c r="D419" s="26" t="s">
        <v>1711</v>
      </c>
      <c r="E419" s="28" t="s">
        <v>1712</v>
      </c>
      <c r="F419" s="67">
        <v>0.55537470226779018</v>
      </c>
      <c r="G419" s="29">
        <v>-110</v>
      </c>
      <c r="H419" s="50" t="s">
        <v>57</v>
      </c>
      <c r="I41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1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419" s="40" t="str">
        <f>MID(Tracker[[#This Row],[Game]],SEARCH("@",Tracker[[#This Row],[Game]])+2,LEN(Tracker[[#This Row],[Game]]))</f>
        <v>Rockets</v>
      </c>
      <c r="L419" s="40" t="str">
        <f>LEFT(Tracker[[#This Row],[Game]],SEARCH("@",Tracker[[#This Row],[Game]])-2)</f>
        <v>Grizzlies</v>
      </c>
      <c r="M41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419" s="123">
        <v>0.47750000000000004</v>
      </c>
      <c r="O419" s="147">
        <v>0.28000000000000003</v>
      </c>
      <c r="P419" s="147">
        <v>0.34</v>
      </c>
      <c r="Q419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5-10%</v>
      </c>
      <c r="R419" s="155">
        <f>IF(AND(Tracker[[#This Row],[Money %]]&lt;&gt;"",Tracker[[#This Row],[Bet %]]&lt;&gt;""),Tracker[[#This Row],[Money %]]-Tracker[[#This Row],[Bet %]],NA())</f>
        <v>0.06</v>
      </c>
      <c r="S419" s="110"/>
      <c r="T419" s="110"/>
      <c r="V419" s="4"/>
      <c r="W419" s="35"/>
    </row>
    <row r="420" spans="1:23" x14ac:dyDescent="0.25">
      <c r="A420" s="36">
        <f t="shared" si="61"/>
        <v>43</v>
      </c>
      <c r="B420" s="25">
        <v>43887</v>
      </c>
      <c r="C420" s="25" t="str">
        <f t="shared" si="64"/>
        <v>NBA</v>
      </c>
      <c r="D420" s="26" t="s">
        <v>1711</v>
      </c>
      <c r="E420" s="28" t="s">
        <v>1059</v>
      </c>
      <c r="F420" s="67">
        <v>0.52414775282755732</v>
      </c>
      <c r="G420" s="29">
        <v>-110</v>
      </c>
      <c r="H420" s="50" t="s">
        <v>57</v>
      </c>
      <c r="I42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2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20" s="40" t="str">
        <f>MID(Tracker[[#This Row],[Game]],SEARCH("@",Tracker[[#This Row],[Game]])+2,LEN(Tracker[[#This Row],[Game]]))</f>
        <v>Rockets</v>
      </c>
      <c r="L420" s="40" t="str">
        <f>LEFT(Tracker[[#This Row],[Game]],SEARCH("@",Tracker[[#This Row],[Game]])-2)</f>
        <v>Grizzlies</v>
      </c>
      <c r="M42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20" s="123">
        <v>0.51800000000000002</v>
      </c>
      <c r="O420" s="147">
        <v>0.6</v>
      </c>
      <c r="P420" s="147">
        <v>0.54</v>
      </c>
      <c r="Q420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-10--5%</v>
      </c>
      <c r="R420" s="155">
        <f>IF(AND(Tracker[[#This Row],[Money %]]&lt;&gt;"",Tracker[[#This Row],[Bet %]]&lt;&gt;""),Tracker[[#This Row],[Money %]]-Tracker[[#This Row],[Bet %]],NA())</f>
        <v>-5.9999999999999942E-2</v>
      </c>
      <c r="S420" s="110"/>
      <c r="T420" s="110"/>
      <c r="V420" s="4"/>
      <c r="W420" s="35"/>
    </row>
    <row r="421" spans="1:23" x14ac:dyDescent="0.25">
      <c r="A421" s="36">
        <f t="shared" si="61"/>
        <v>43</v>
      </c>
      <c r="B421" s="25">
        <v>43887</v>
      </c>
      <c r="C421" s="25" t="str">
        <f t="shared" si="64"/>
        <v>NBA</v>
      </c>
      <c r="D421" s="26" t="s">
        <v>1713</v>
      </c>
      <c r="E421" s="28" t="s">
        <v>1468</v>
      </c>
      <c r="F421" s="67">
        <v>0.60458536469051705</v>
      </c>
      <c r="G421" s="29">
        <v>-110</v>
      </c>
      <c r="H421" s="50" t="s">
        <v>56</v>
      </c>
      <c r="I42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2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421" s="40" t="str">
        <f>MID(Tracker[[#This Row],[Game]],SEARCH("@",Tracker[[#This Row],[Game]])+2,LEN(Tracker[[#This Row],[Game]]))</f>
        <v>Spurs</v>
      </c>
      <c r="L421" s="40" t="str">
        <f>LEFT(Tracker[[#This Row],[Game]],SEARCH("@",Tracker[[#This Row],[Game]])-2)</f>
        <v>Mavericks</v>
      </c>
      <c r="M42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421" s="123">
        <v>0.60650000000000004</v>
      </c>
      <c r="O421" s="147">
        <v>0.78</v>
      </c>
      <c r="P421" s="147">
        <v>0.61</v>
      </c>
      <c r="Q421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-20--15%</v>
      </c>
      <c r="R421" s="155">
        <f>IF(AND(Tracker[[#This Row],[Money %]]&lt;&gt;"",Tracker[[#This Row],[Bet %]]&lt;&gt;""),Tracker[[#This Row],[Money %]]-Tracker[[#This Row],[Bet %]],NA())</f>
        <v>-0.17000000000000004</v>
      </c>
      <c r="S421" s="110"/>
      <c r="T421" s="110"/>
      <c r="V421" s="4"/>
      <c r="W421" s="35"/>
    </row>
    <row r="422" spans="1:23" x14ac:dyDescent="0.25">
      <c r="A422" s="36">
        <f t="shared" si="61"/>
        <v>43</v>
      </c>
      <c r="B422" s="25">
        <v>43887</v>
      </c>
      <c r="C422" s="25" t="str">
        <f t="shared" ref="C422:C426" si="65">"NBA"</f>
        <v>NBA</v>
      </c>
      <c r="D422" s="26" t="s">
        <v>1713</v>
      </c>
      <c r="E422" s="28" t="s">
        <v>1233</v>
      </c>
      <c r="F422" s="67">
        <v>0.6433355679095315</v>
      </c>
      <c r="G422" s="29">
        <v>-110</v>
      </c>
      <c r="H422" s="50" t="s">
        <v>56</v>
      </c>
      <c r="I42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2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22" s="40" t="str">
        <f>MID(Tracker[[#This Row],[Game]],SEARCH("@",Tracker[[#This Row],[Game]])+2,LEN(Tracker[[#This Row],[Game]]))</f>
        <v>Spurs</v>
      </c>
      <c r="L422" s="40" t="str">
        <f>LEFT(Tracker[[#This Row],[Game]],SEARCH("@",Tracker[[#This Row],[Game]])-2)</f>
        <v>Mavericks</v>
      </c>
      <c r="M42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22" s="123">
        <v>0.39649999999999996</v>
      </c>
      <c r="O422" s="147">
        <v>0.34</v>
      </c>
      <c r="P422" s="147">
        <v>0.22</v>
      </c>
      <c r="Q422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-15--10%</v>
      </c>
      <c r="R422" s="155">
        <f>IF(AND(Tracker[[#This Row],[Money %]]&lt;&gt;"",Tracker[[#This Row],[Bet %]]&lt;&gt;""),Tracker[[#This Row],[Money %]]-Tracker[[#This Row],[Bet %]],NA())</f>
        <v>-0.12000000000000002</v>
      </c>
      <c r="S422" s="110"/>
      <c r="T422" s="110"/>
      <c r="V422" s="4"/>
      <c r="W422" s="35"/>
    </row>
    <row r="423" spans="1:23" x14ac:dyDescent="0.25">
      <c r="A423" s="36">
        <f t="shared" si="61"/>
        <v>43</v>
      </c>
      <c r="B423" s="25">
        <v>43887</v>
      </c>
      <c r="C423" s="25" t="str">
        <f t="shared" si="65"/>
        <v>NBA</v>
      </c>
      <c r="D423" s="26" t="s">
        <v>1714</v>
      </c>
      <c r="E423" s="28" t="s">
        <v>788</v>
      </c>
      <c r="F423" s="67">
        <v>0.53174679372001266</v>
      </c>
      <c r="G423" s="29">
        <v>-110</v>
      </c>
      <c r="H423" s="50" t="s">
        <v>56</v>
      </c>
      <c r="I42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2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423" s="40" t="str">
        <f>MID(Tracker[[#This Row],[Game]],SEARCH("@",Tracker[[#This Row],[Game]])+2,LEN(Tracker[[#This Row],[Game]]))</f>
        <v>Suns</v>
      </c>
      <c r="L423" s="40" t="str">
        <f>LEFT(Tracker[[#This Row],[Game]],SEARCH("@",Tracker[[#This Row],[Game]])-2)</f>
        <v>Clippers</v>
      </c>
      <c r="M42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423" s="123">
        <v>0.52800000000000002</v>
      </c>
      <c r="O423" s="147">
        <v>0.87</v>
      </c>
      <c r="P423" s="147">
        <v>0.93</v>
      </c>
      <c r="Q423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5-10%</v>
      </c>
      <c r="R423" s="155">
        <f>IF(AND(Tracker[[#This Row],[Money %]]&lt;&gt;"",Tracker[[#This Row],[Bet %]]&lt;&gt;""),Tracker[[#This Row],[Money %]]-Tracker[[#This Row],[Bet %]],NA())</f>
        <v>6.0000000000000053E-2</v>
      </c>
      <c r="S423" s="110"/>
      <c r="T423" s="110"/>
      <c r="V423" s="4"/>
      <c r="W423" s="35"/>
    </row>
    <row r="424" spans="1:23" x14ac:dyDescent="0.25">
      <c r="A424" s="36">
        <f t="shared" si="61"/>
        <v>43</v>
      </c>
      <c r="B424" s="25">
        <v>43887</v>
      </c>
      <c r="C424" s="25" t="str">
        <f t="shared" si="65"/>
        <v>NBA</v>
      </c>
      <c r="D424" s="26" t="s">
        <v>1714</v>
      </c>
      <c r="E424" s="28" t="s">
        <v>908</v>
      </c>
      <c r="F424" s="67">
        <v>0.56473319513186038</v>
      </c>
      <c r="G424" s="29">
        <v>-110</v>
      </c>
      <c r="H424" s="50" t="s">
        <v>56</v>
      </c>
      <c r="I42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2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24" s="40" t="str">
        <f>MID(Tracker[[#This Row],[Game]],SEARCH("@",Tracker[[#This Row],[Game]])+2,LEN(Tracker[[#This Row],[Game]]))</f>
        <v>Suns</v>
      </c>
      <c r="L424" s="40" t="str">
        <f>LEFT(Tracker[[#This Row],[Game]],SEARCH("@",Tracker[[#This Row],[Game]])-2)</f>
        <v>Clippers</v>
      </c>
      <c r="M42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24" s="123">
        <v>0.5</v>
      </c>
      <c r="O424" s="147">
        <v>0.4</v>
      </c>
      <c r="P424" s="147">
        <v>0.18</v>
      </c>
      <c r="Q424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-25--20%</v>
      </c>
      <c r="R424" s="155">
        <f>IF(AND(Tracker[[#This Row],[Money %]]&lt;&gt;"",Tracker[[#This Row],[Bet %]]&lt;&gt;""),Tracker[[#This Row],[Money %]]-Tracker[[#This Row],[Bet %]],NA())</f>
        <v>-0.22000000000000003</v>
      </c>
      <c r="S424" s="110"/>
      <c r="T424" s="110"/>
      <c r="V424" s="4"/>
      <c r="W424" s="35"/>
    </row>
    <row r="425" spans="1:23" x14ac:dyDescent="0.25">
      <c r="A425" s="36">
        <f t="shared" si="61"/>
        <v>43</v>
      </c>
      <c r="B425" s="25">
        <v>43887</v>
      </c>
      <c r="C425" s="25" t="str">
        <f t="shared" si="65"/>
        <v>NBA</v>
      </c>
      <c r="D425" s="26" t="s">
        <v>1715</v>
      </c>
      <c r="E425" s="28" t="s">
        <v>1716</v>
      </c>
      <c r="F425" s="67">
        <v>0.7152926570280056</v>
      </c>
      <c r="G425" s="29">
        <v>-110</v>
      </c>
      <c r="H425" s="50" t="s">
        <v>56</v>
      </c>
      <c r="I42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2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425" s="40" t="str">
        <f>MID(Tracker[[#This Row],[Game]],SEARCH("@",Tracker[[#This Row],[Game]])+2,LEN(Tracker[[#This Row],[Game]]))</f>
        <v>Jazz</v>
      </c>
      <c r="L425" s="40" t="str">
        <f>LEFT(Tracker[[#This Row],[Game]],SEARCH("@",Tracker[[#This Row],[Game]])-2)</f>
        <v>Celtics</v>
      </c>
      <c r="M42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425" s="123">
        <v>0.61499999999999999</v>
      </c>
      <c r="O425" s="147">
        <v>0.75</v>
      </c>
      <c r="P425" s="147">
        <v>0.6</v>
      </c>
      <c r="Q425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-15--10%</v>
      </c>
      <c r="R425" s="155">
        <f>IF(AND(Tracker[[#This Row],[Money %]]&lt;&gt;"",Tracker[[#This Row],[Bet %]]&lt;&gt;""),Tracker[[#This Row],[Money %]]-Tracker[[#This Row],[Bet %]],NA())</f>
        <v>-0.15000000000000002</v>
      </c>
      <c r="S425" s="110"/>
      <c r="T425" s="110"/>
      <c r="V425" s="4"/>
      <c r="W425" s="35"/>
    </row>
    <row r="426" spans="1:23" x14ac:dyDescent="0.25">
      <c r="A426" s="36">
        <f t="shared" si="61"/>
        <v>43</v>
      </c>
      <c r="B426" s="25">
        <v>43887</v>
      </c>
      <c r="C426" s="25" t="str">
        <f t="shared" si="65"/>
        <v>NBA</v>
      </c>
      <c r="D426" s="26" t="s">
        <v>1715</v>
      </c>
      <c r="E426" s="28" t="s">
        <v>1020</v>
      </c>
      <c r="F426" s="67">
        <v>0.56899149590935627</v>
      </c>
      <c r="G426" s="29">
        <v>-110</v>
      </c>
      <c r="H426" s="50" t="s">
        <v>56</v>
      </c>
      <c r="I42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2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26" s="40" t="str">
        <f>MID(Tracker[[#This Row],[Game]],SEARCH("@",Tracker[[#This Row],[Game]])+2,LEN(Tracker[[#This Row],[Game]]))</f>
        <v>Jazz</v>
      </c>
      <c r="L426" s="40" t="str">
        <f>LEFT(Tracker[[#This Row],[Game]],SEARCH("@",Tracker[[#This Row],[Game]])-2)</f>
        <v>Celtics</v>
      </c>
      <c r="M42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26" s="123">
        <v>0.50800000000000001</v>
      </c>
      <c r="O426" s="147">
        <v>0.43</v>
      </c>
      <c r="P426" s="147">
        <v>0.9</v>
      </c>
      <c r="Q426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45-50%</v>
      </c>
      <c r="R426" s="155">
        <f>IF(AND(Tracker[[#This Row],[Money %]]&lt;&gt;"",Tracker[[#This Row],[Bet %]]&lt;&gt;""),Tracker[[#This Row],[Money %]]-Tracker[[#This Row],[Bet %]],NA())</f>
        <v>0.47000000000000003</v>
      </c>
      <c r="S426" s="110"/>
      <c r="T426" s="110"/>
      <c r="V426" s="4"/>
      <c r="W426" s="35"/>
    </row>
    <row r="427" spans="1:23" x14ac:dyDescent="0.25">
      <c r="A427" s="36">
        <f t="shared" si="61"/>
        <v>44</v>
      </c>
      <c r="B427" s="25">
        <v>43889</v>
      </c>
      <c r="C427" s="25" t="str">
        <f t="shared" ref="C427:C446" si="66">"NBA"</f>
        <v>NBA</v>
      </c>
      <c r="D427" s="51" t="s">
        <v>1736</v>
      </c>
      <c r="E427" s="28" t="s">
        <v>1737</v>
      </c>
      <c r="F427" s="67">
        <v>0.59061502487548023</v>
      </c>
      <c r="G427" s="29">
        <v>-110</v>
      </c>
      <c r="H427" s="50" t="s">
        <v>57</v>
      </c>
      <c r="I42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2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427" s="40" t="str">
        <f>MID(Tracker[[#This Row],[Game]],SEARCH("@",Tracker[[#This Row],[Game]])+2,LEN(Tracker[[#This Row],[Game]]))</f>
        <v>Magic</v>
      </c>
      <c r="L427" s="40" t="str">
        <f>LEFT(Tracker[[#This Row],[Game]],SEARCH("@",Tracker[[#This Row],[Game]])-2)</f>
        <v>Timberwolves</v>
      </c>
      <c r="M42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427" s="123">
        <v>0.50350000000000006</v>
      </c>
      <c r="O427" s="147">
        <v>0.41</v>
      </c>
      <c r="P427" s="147">
        <v>0.45</v>
      </c>
      <c r="Q427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0-5%</v>
      </c>
      <c r="R427" s="155">
        <f>IF(AND(Tracker[[#This Row],[Money %]]&lt;&gt;"",Tracker[[#This Row],[Bet %]]&lt;&gt;""),Tracker[[#This Row],[Money %]]-Tracker[[#This Row],[Bet %]],NA())</f>
        <v>4.0000000000000036E-2</v>
      </c>
      <c r="S427" s="110"/>
      <c r="T427" s="110"/>
      <c r="V427" s="4"/>
      <c r="W427" s="35"/>
    </row>
    <row r="428" spans="1:23" x14ac:dyDescent="0.25">
      <c r="A428" s="36">
        <f t="shared" si="61"/>
        <v>44</v>
      </c>
      <c r="B428" s="25">
        <v>43889</v>
      </c>
      <c r="C428" s="25" t="str">
        <f t="shared" si="66"/>
        <v>NBA</v>
      </c>
      <c r="D428" s="26" t="s">
        <v>1736</v>
      </c>
      <c r="E428" s="28" t="s">
        <v>1580</v>
      </c>
      <c r="F428" s="74">
        <v>0.73475957132225522</v>
      </c>
      <c r="G428" s="29">
        <v>-110</v>
      </c>
      <c r="H428" s="50" t="s">
        <v>57</v>
      </c>
      <c r="I42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2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28" s="40" t="str">
        <f>MID(Tracker[[#This Row],[Game]],SEARCH("@",Tracker[[#This Row],[Game]])+2,LEN(Tracker[[#This Row],[Game]]))</f>
        <v>Magic</v>
      </c>
      <c r="L428" s="40" t="str">
        <f>LEFT(Tracker[[#This Row],[Game]],SEARCH("@",Tracker[[#This Row],[Game]])-2)</f>
        <v>Timberwolves</v>
      </c>
      <c r="M42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28" s="123">
        <v>0.51100000000000001</v>
      </c>
      <c r="O428" s="147">
        <v>0.52</v>
      </c>
      <c r="P428" s="147">
        <v>0.53</v>
      </c>
      <c r="Q428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0-5%</v>
      </c>
      <c r="R428" s="155">
        <f>IF(AND(Tracker[[#This Row],[Money %]]&lt;&gt;"",Tracker[[#This Row],[Bet %]]&lt;&gt;""),Tracker[[#This Row],[Money %]]-Tracker[[#This Row],[Bet %]],NA())</f>
        <v>1.0000000000000009E-2</v>
      </c>
      <c r="S428" s="110"/>
      <c r="T428" s="110"/>
      <c r="V428" s="4"/>
      <c r="W428" s="35"/>
    </row>
    <row r="429" spans="1:23" x14ac:dyDescent="0.25">
      <c r="A429" s="36">
        <f t="shared" si="61"/>
        <v>44</v>
      </c>
      <c r="B429" s="25">
        <v>43889</v>
      </c>
      <c r="C429" s="25" t="str">
        <f t="shared" si="66"/>
        <v>NBA</v>
      </c>
      <c r="D429" s="26" t="s">
        <v>1738</v>
      </c>
      <c r="E429" s="28" t="s">
        <v>1739</v>
      </c>
      <c r="F429" s="74">
        <v>0.59792619821278392</v>
      </c>
      <c r="G429" s="29">
        <v>-110</v>
      </c>
      <c r="H429" s="50" t="s">
        <v>57</v>
      </c>
      <c r="I42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2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429" s="40" t="str">
        <f>MID(Tracker[[#This Row],[Game]],SEARCH("@",Tracker[[#This Row],[Game]])+2,LEN(Tracker[[#This Row],[Game]]))</f>
        <v>Hawks</v>
      </c>
      <c r="L429" s="40" t="str">
        <f>LEFT(Tracker[[#This Row],[Game]],SEARCH("@",Tracker[[#This Row],[Game]])-2)</f>
        <v>Nets</v>
      </c>
      <c r="M42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429" s="123">
        <v>0.43600000000000005</v>
      </c>
      <c r="O429" s="147">
        <v>0.56000000000000005</v>
      </c>
      <c r="P429" s="147">
        <v>0.51</v>
      </c>
      <c r="Q429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-5-0%</v>
      </c>
      <c r="R429" s="155">
        <f>IF(AND(Tracker[[#This Row],[Money %]]&lt;&gt;"",Tracker[[#This Row],[Bet %]]&lt;&gt;""),Tracker[[#This Row],[Money %]]-Tracker[[#This Row],[Bet %]],NA())</f>
        <v>-5.0000000000000044E-2</v>
      </c>
      <c r="S429" s="110"/>
      <c r="T429" s="110"/>
      <c r="V429" s="4"/>
      <c r="W429" s="35"/>
    </row>
    <row r="430" spans="1:23" x14ac:dyDescent="0.25">
      <c r="A430" s="36">
        <f t="shared" si="61"/>
        <v>44</v>
      </c>
      <c r="B430" s="25">
        <v>43889</v>
      </c>
      <c r="C430" s="25" t="str">
        <f t="shared" si="66"/>
        <v>NBA</v>
      </c>
      <c r="D430" s="26" t="s">
        <v>1738</v>
      </c>
      <c r="E430" s="28" t="s">
        <v>1591</v>
      </c>
      <c r="F430" s="74">
        <v>0.68021321132000345</v>
      </c>
      <c r="G430" s="29">
        <v>-110</v>
      </c>
      <c r="H430" s="50" t="s">
        <v>57</v>
      </c>
      <c r="I43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3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30" s="40" t="str">
        <f>MID(Tracker[[#This Row],[Game]],SEARCH("@",Tracker[[#This Row],[Game]])+2,LEN(Tracker[[#This Row],[Game]]))</f>
        <v>Hawks</v>
      </c>
      <c r="L430" s="40" t="str">
        <f>LEFT(Tracker[[#This Row],[Game]],SEARCH("@",Tracker[[#This Row],[Game]])-2)</f>
        <v>Nets</v>
      </c>
      <c r="M43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30" s="123">
        <v>0.47499999999999998</v>
      </c>
      <c r="O430" s="147">
        <v>0.28999999999999998</v>
      </c>
      <c r="P430" s="147">
        <v>0.24</v>
      </c>
      <c r="Q430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-5-0%</v>
      </c>
      <c r="R430" s="155">
        <f>IF(AND(Tracker[[#This Row],[Money %]]&lt;&gt;"",Tracker[[#This Row],[Bet %]]&lt;&gt;""),Tracker[[#This Row],[Money %]]-Tracker[[#This Row],[Bet %]],NA())</f>
        <v>-4.9999999999999989E-2</v>
      </c>
      <c r="S430" s="110"/>
      <c r="T430" s="110"/>
      <c r="V430" s="4"/>
      <c r="W430" s="35"/>
    </row>
    <row r="431" spans="1:23" x14ac:dyDescent="0.25">
      <c r="A431" s="36">
        <f t="shared" si="61"/>
        <v>44</v>
      </c>
      <c r="B431" s="25">
        <v>43889</v>
      </c>
      <c r="C431" s="25" t="str">
        <f t="shared" si="66"/>
        <v>NBA</v>
      </c>
      <c r="D431" s="26" t="s">
        <v>1740</v>
      </c>
      <c r="E431" s="28" t="s">
        <v>1741</v>
      </c>
      <c r="F431" s="74">
        <v>0.54001865206329924</v>
      </c>
      <c r="G431" s="29">
        <v>-110</v>
      </c>
      <c r="H431" s="50" t="s">
        <v>57</v>
      </c>
      <c r="I43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3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431" s="40" t="str">
        <f>MID(Tracker[[#This Row],[Game]],SEARCH("@",Tracker[[#This Row],[Game]])+2,LEN(Tracker[[#This Row],[Game]]))</f>
        <v>Raptors</v>
      </c>
      <c r="L431" s="40" t="str">
        <f>LEFT(Tracker[[#This Row],[Game]],SEARCH("@",Tracker[[#This Row],[Game]])-2)</f>
        <v>Hornets</v>
      </c>
      <c r="M43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431" s="123">
        <v>0.57150000000000001</v>
      </c>
      <c r="O431" s="147">
        <v>0.83</v>
      </c>
      <c r="P431" s="147">
        <v>0.76</v>
      </c>
      <c r="Q431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-10--5%</v>
      </c>
      <c r="R431" s="155">
        <f>IF(AND(Tracker[[#This Row],[Money %]]&lt;&gt;"",Tracker[[#This Row],[Bet %]]&lt;&gt;""),Tracker[[#This Row],[Money %]]-Tracker[[#This Row],[Bet %]],NA())</f>
        <v>-6.9999999999999951E-2</v>
      </c>
      <c r="S431" s="110"/>
      <c r="T431" s="110"/>
      <c r="V431" s="4"/>
      <c r="W431" s="35"/>
    </row>
    <row r="432" spans="1:23" x14ac:dyDescent="0.25">
      <c r="A432" s="36">
        <f t="shared" si="61"/>
        <v>44</v>
      </c>
      <c r="B432" s="25">
        <v>43889</v>
      </c>
      <c r="C432" s="25" t="str">
        <f t="shared" si="66"/>
        <v>NBA</v>
      </c>
      <c r="D432" s="26" t="s">
        <v>1740</v>
      </c>
      <c r="E432" s="28" t="s">
        <v>1742</v>
      </c>
      <c r="F432" s="74">
        <v>0.53529338648946978</v>
      </c>
      <c r="G432" s="29">
        <v>-110</v>
      </c>
      <c r="H432" s="50" t="s">
        <v>56</v>
      </c>
      <c r="I43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3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32" s="40" t="str">
        <f>MID(Tracker[[#This Row],[Game]],SEARCH("@",Tracker[[#This Row],[Game]])+2,LEN(Tracker[[#This Row],[Game]]))</f>
        <v>Raptors</v>
      </c>
      <c r="L432" s="40" t="str">
        <f>LEFT(Tracker[[#This Row],[Game]],SEARCH("@",Tracker[[#This Row],[Game]])-2)</f>
        <v>Hornets</v>
      </c>
      <c r="M43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32" s="123">
        <v>0.46799999999999997</v>
      </c>
      <c r="O432" s="147">
        <v>0.3</v>
      </c>
      <c r="P432" s="147">
        <v>0.66</v>
      </c>
      <c r="Q432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35-40%</v>
      </c>
      <c r="R432" s="155">
        <f>IF(AND(Tracker[[#This Row],[Money %]]&lt;&gt;"",Tracker[[#This Row],[Bet %]]&lt;&gt;""),Tracker[[#This Row],[Money %]]-Tracker[[#This Row],[Bet %]],NA())</f>
        <v>0.36000000000000004</v>
      </c>
      <c r="S432" s="110"/>
      <c r="T432" s="110"/>
      <c r="V432" s="4"/>
      <c r="W432" s="35"/>
    </row>
    <row r="433" spans="1:23" x14ac:dyDescent="0.25">
      <c r="A433" s="36">
        <f t="shared" si="61"/>
        <v>44</v>
      </c>
      <c r="B433" s="25">
        <v>43889</v>
      </c>
      <c r="C433" s="25" t="str">
        <f t="shared" si="66"/>
        <v>NBA</v>
      </c>
      <c r="D433" s="26" t="s">
        <v>1743</v>
      </c>
      <c r="E433" s="28" t="s">
        <v>1744</v>
      </c>
      <c r="F433" s="74">
        <v>0.71180241772606345</v>
      </c>
      <c r="G433" s="29">
        <v>-110</v>
      </c>
      <c r="H433" s="50" t="s">
        <v>56</v>
      </c>
      <c r="I43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3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433" s="40" t="str">
        <f>MID(Tracker[[#This Row],[Game]],SEARCH("@",Tracker[[#This Row],[Game]])+2,LEN(Tracker[[#This Row],[Game]]))</f>
        <v>Pelicans</v>
      </c>
      <c r="L433" s="40" t="str">
        <f>LEFT(Tracker[[#This Row],[Game]],SEARCH("@",Tracker[[#This Row],[Game]])-2)</f>
        <v>Cavaliers</v>
      </c>
      <c r="M43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433" s="123">
        <v>0.52350000000000008</v>
      </c>
      <c r="O433" s="147">
        <v>0.27</v>
      </c>
      <c r="P433" s="147">
        <v>0.16</v>
      </c>
      <c r="Q433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-15--10%</v>
      </c>
      <c r="R433" s="155">
        <f>IF(AND(Tracker[[#This Row],[Money %]]&lt;&gt;"",Tracker[[#This Row],[Bet %]]&lt;&gt;""),Tracker[[#This Row],[Money %]]-Tracker[[#This Row],[Bet %]],NA())</f>
        <v>-0.11000000000000001</v>
      </c>
      <c r="S433" s="110"/>
      <c r="T433" s="110"/>
      <c r="V433" s="4"/>
      <c r="W433" s="35"/>
    </row>
    <row r="434" spans="1:23" x14ac:dyDescent="0.25">
      <c r="A434" s="36">
        <f t="shared" si="61"/>
        <v>44</v>
      </c>
      <c r="B434" s="25">
        <v>43889</v>
      </c>
      <c r="C434" s="25" t="str">
        <f t="shared" si="66"/>
        <v>NBA</v>
      </c>
      <c r="D434" s="26" t="s">
        <v>1743</v>
      </c>
      <c r="E434" s="28" t="s">
        <v>1041</v>
      </c>
      <c r="F434" s="74">
        <v>0.67849497078436105</v>
      </c>
      <c r="G434" s="29">
        <v>-110</v>
      </c>
      <c r="H434" s="50" t="s">
        <v>56</v>
      </c>
      <c r="I43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3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34" s="40" t="str">
        <f>MID(Tracker[[#This Row],[Game]],SEARCH("@",Tracker[[#This Row],[Game]])+2,LEN(Tracker[[#This Row],[Game]]))</f>
        <v>Pelicans</v>
      </c>
      <c r="L434" s="40" t="str">
        <f>LEFT(Tracker[[#This Row],[Game]],SEARCH("@",Tracker[[#This Row],[Game]])-2)</f>
        <v>Cavaliers</v>
      </c>
      <c r="M43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34" s="123">
        <v>0.4365</v>
      </c>
      <c r="O434" s="147">
        <v>0.47</v>
      </c>
      <c r="P434" s="147">
        <v>0.56999999999999995</v>
      </c>
      <c r="Q434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10-15%</v>
      </c>
      <c r="R434" s="155">
        <f>IF(AND(Tracker[[#This Row],[Money %]]&lt;&gt;"",Tracker[[#This Row],[Bet %]]&lt;&gt;""),Tracker[[#This Row],[Money %]]-Tracker[[#This Row],[Bet %]],NA())</f>
        <v>9.9999999999999978E-2</v>
      </c>
      <c r="S434" s="110"/>
      <c r="T434" s="110"/>
      <c r="V434" s="4"/>
      <c r="W434" s="35"/>
    </row>
    <row r="435" spans="1:23" x14ac:dyDescent="0.25">
      <c r="A435" s="36">
        <f t="shared" si="61"/>
        <v>44</v>
      </c>
      <c r="B435" s="25">
        <v>43889</v>
      </c>
      <c r="C435" s="25" t="str">
        <f t="shared" si="66"/>
        <v>NBA</v>
      </c>
      <c r="D435" s="26" t="s">
        <v>1745</v>
      </c>
      <c r="E435" s="28" t="s">
        <v>1746</v>
      </c>
      <c r="F435" s="74">
        <v>0.69685725199944004</v>
      </c>
      <c r="G435" s="29">
        <v>-110</v>
      </c>
      <c r="H435" s="50" t="s">
        <v>57</v>
      </c>
      <c r="I43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3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435" s="40" t="str">
        <f>MID(Tracker[[#This Row],[Game]],SEARCH("@",Tracker[[#This Row],[Game]])+2,LEN(Tracker[[#This Row],[Game]]))</f>
        <v>Heat</v>
      </c>
      <c r="L435" s="40" t="str">
        <f>LEFT(Tracker[[#This Row],[Game]],SEARCH("@",Tracker[[#This Row],[Game]])-2)</f>
        <v>Mavericks</v>
      </c>
      <c r="M43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435" s="123">
        <v>0.48550000000000004</v>
      </c>
      <c r="O435" s="147">
        <v>0.45</v>
      </c>
      <c r="P435" s="147">
        <v>0.35</v>
      </c>
      <c r="Q435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-10--5%</v>
      </c>
      <c r="R435" s="155">
        <f>IF(AND(Tracker[[#This Row],[Money %]]&lt;&gt;"",Tracker[[#This Row],[Bet %]]&lt;&gt;""),Tracker[[#This Row],[Money %]]-Tracker[[#This Row],[Bet %]],NA())</f>
        <v>-0.10000000000000003</v>
      </c>
      <c r="S435" s="110"/>
      <c r="T435" s="110"/>
      <c r="V435" s="4"/>
      <c r="W435" s="35"/>
    </row>
    <row r="436" spans="1:23" x14ac:dyDescent="0.25">
      <c r="A436" s="36">
        <f t="shared" si="61"/>
        <v>44</v>
      </c>
      <c r="B436" s="25">
        <v>43889</v>
      </c>
      <c r="C436" s="25" t="str">
        <f t="shared" si="66"/>
        <v>NBA</v>
      </c>
      <c r="D436" s="26" t="s">
        <v>1745</v>
      </c>
      <c r="E436" s="28" t="s">
        <v>862</v>
      </c>
      <c r="F436" s="74">
        <v>0.6668863344607483</v>
      </c>
      <c r="G436" s="29">
        <v>-110</v>
      </c>
      <c r="H436" s="50" t="s">
        <v>57</v>
      </c>
      <c r="I43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3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36" s="40" t="str">
        <f>MID(Tracker[[#This Row],[Game]],SEARCH("@",Tracker[[#This Row],[Game]])+2,LEN(Tracker[[#This Row],[Game]]))</f>
        <v>Heat</v>
      </c>
      <c r="L436" s="40" t="str">
        <f>LEFT(Tracker[[#This Row],[Game]],SEARCH("@",Tracker[[#This Row],[Game]])-2)</f>
        <v>Mavericks</v>
      </c>
      <c r="M43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36" s="123">
        <v>0.36299999999999999</v>
      </c>
      <c r="O436" s="147">
        <v>0.46</v>
      </c>
      <c r="P436" s="147">
        <v>0.48</v>
      </c>
      <c r="Q436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0-5%</v>
      </c>
      <c r="R436" s="155">
        <f>IF(AND(Tracker[[#This Row],[Money %]]&lt;&gt;"",Tracker[[#This Row],[Bet %]]&lt;&gt;""),Tracker[[#This Row],[Money %]]-Tracker[[#This Row],[Bet %]],NA())</f>
        <v>1.9999999999999962E-2</v>
      </c>
      <c r="S436" s="110"/>
      <c r="T436" s="110"/>
      <c r="V436" s="4"/>
      <c r="W436" s="35"/>
    </row>
    <row r="437" spans="1:23" x14ac:dyDescent="0.25">
      <c r="A437" s="36">
        <f t="shared" si="61"/>
        <v>44</v>
      </c>
      <c r="B437" s="25">
        <v>43889</v>
      </c>
      <c r="C437" s="25" t="str">
        <f t="shared" si="66"/>
        <v>NBA</v>
      </c>
      <c r="D437" s="26" t="s">
        <v>1747</v>
      </c>
      <c r="E437" s="28" t="s">
        <v>1748</v>
      </c>
      <c r="F437" s="74">
        <v>0.51179945798079984</v>
      </c>
      <c r="G437" s="29">
        <v>-110</v>
      </c>
      <c r="H437" s="50" t="s">
        <v>57</v>
      </c>
      <c r="I43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3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437" s="40" t="str">
        <f>MID(Tracker[[#This Row],[Game]],SEARCH("@",Tracker[[#This Row],[Game]])+2,LEN(Tracker[[#This Row],[Game]]))</f>
        <v>Bucks</v>
      </c>
      <c r="L437" s="40" t="str">
        <f>LEFT(Tracker[[#This Row],[Game]],SEARCH("@",Tracker[[#This Row],[Game]])-2)</f>
        <v>Thunder</v>
      </c>
      <c r="M43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437" s="123">
        <v>0.61599999999999999</v>
      </c>
      <c r="O437" s="147">
        <v>0.28999999999999998</v>
      </c>
      <c r="P437" s="147">
        <v>0.36</v>
      </c>
      <c r="Q437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5-10%</v>
      </c>
      <c r="R437" s="155">
        <f>IF(AND(Tracker[[#This Row],[Money %]]&lt;&gt;"",Tracker[[#This Row],[Bet %]]&lt;&gt;""),Tracker[[#This Row],[Money %]]-Tracker[[#This Row],[Bet %]],NA())</f>
        <v>7.0000000000000007E-2</v>
      </c>
      <c r="S437" s="110"/>
      <c r="T437" s="110"/>
      <c r="V437" s="4"/>
      <c r="W437" s="35"/>
    </row>
    <row r="438" spans="1:23" x14ac:dyDescent="0.25">
      <c r="A438" s="36">
        <f t="shared" si="61"/>
        <v>44</v>
      </c>
      <c r="B438" s="25">
        <v>43889</v>
      </c>
      <c r="C438" s="25" t="str">
        <f t="shared" si="66"/>
        <v>NBA</v>
      </c>
      <c r="D438" s="26" t="s">
        <v>1747</v>
      </c>
      <c r="E438" s="28" t="s">
        <v>1361</v>
      </c>
      <c r="F438" s="67">
        <v>0.58102700061189294</v>
      </c>
      <c r="G438" s="29">
        <v>-110</v>
      </c>
      <c r="H438" s="50" t="s">
        <v>56</v>
      </c>
      <c r="I43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3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38" s="40" t="str">
        <f>MID(Tracker[[#This Row],[Game]],SEARCH("@",Tracker[[#This Row],[Game]])+2,LEN(Tracker[[#This Row],[Game]]))</f>
        <v>Bucks</v>
      </c>
      <c r="L438" s="40" t="str">
        <f>LEFT(Tracker[[#This Row],[Game]],SEARCH("@",Tracker[[#This Row],[Game]])-2)</f>
        <v>Thunder</v>
      </c>
      <c r="M43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38" s="123">
        <v>0.502</v>
      </c>
      <c r="O438" s="147">
        <v>0.35</v>
      </c>
      <c r="P438" s="147">
        <v>0.21</v>
      </c>
      <c r="Q438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-15--10%</v>
      </c>
      <c r="R438" s="155">
        <f>IF(AND(Tracker[[#This Row],[Money %]]&lt;&gt;"",Tracker[[#This Row],[Bet %]]&lt;&gt;""),Tracker[[#This Row],[Money %]]-Tracker[[#This Row],[Bet %]],NA())</f>
        <v>-0.13999999999999999</v>
      </c>
      <c r="S438" s="110"/>
      <c r="T438" s="110"/>
      <c r="V438" s="4"/>
      <c r="W438" s="35"/>
    </row>
    <row r="439" spans="1:23" x14ac:dyDescent="0.25">
      <c r="A439" s="36">
        <f t="shared" si="61"/>
        <v>44</v>
      </c>
      <c r="B439" s="25">
        <v>43889</v>
      </c>
      <c r="C439" s="25" t="str">
        <f t="shared" si="66"/>
        <v>NBA</v>
      </c>
      <c r="D439" s="26" t="s">
        <v>1749</v>
      </c>
      <c r="E439" s="28" t="s">
        <v>1750</v>
      </c>
      <c r="F439" s="67">
        <v>0.62797802715341755</v>
      </c>
      <c r="G439" s="29">
        <v>-110</v>
      </c>
      <c r="H439" s="50" t="s">
        <v>56</v>
      </c>
      <c r="I43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3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439" s="40" t="str">
        <f>MID(Tracker[[#This Row],[Game]],SEARCH("@",Tracker[[#This Row],[Game]])+2,LEN(Tracker[[#This Row],[Game]]))</f>
        <v>Grizzlies</v>
      </c>
      <c r="L439" s="40" t="str">
        <f>LEFT(Tracker[[#This Row],[Game]],SEARCH("@",Tracker[[#This Row],[Game]])-2)</f>
        <v>Kings</v>
      </c>
      <c r="M43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439" s="123">
        <v>0.4375</v>
      </c>
      <c r="O439" s="147">
        <v>0.51</v>
      </c>
      <c r="P439" s="147">
        <v>0.74</v>
      </c>
      <c r="Q439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20-25%</v>
      </c>
      <c r="R439" s="155">
        <f>IF(AND(Tracker[[#This Row],[Money %]]&lt;&gt;"",Tracker[[#This Row],[Bet %]]&lt;&gt;""),Tracker[[#This Row],[Money %]]-Tracker[[#This Row],[Bet %]],NA())</f>
        <v>0.22999999999999998</v>
      </c>
      <c r="S439" s="110"/>
      <c r="T439" s="110"/>
      <c r="V439" s="4"/>
      <c r="W439" s="35"/>
    </row>
    <row r="440" spans="1:23" x14ac:dyDescent="0.25">
      <c r="A440" s="36">
        <f t="shared" si="61"/>
        <v>44</v>
      </c>
      <c r="B440" s="25">
        <v>43889</v>
      </c>
      <c r="C440" s="25" t="str">
        <f t="shared" si="66"/>
        <v>NBA</v>
      </c>
      <c r="D440" s="26" t="s">
        <v>1749</v>
      </c>
      <c r="E440" s="28" t="s">
        <v>789</v>
      </c>
      <c r="F440" s="67">
        <v>0.56324789945279186</v>
      </c>
      <c r="G440" s="29">
        <v>-110</v>
      </c>
      <c r="H440" s="50" t="s">
        <v>56</v>
      </c>
      <c r="I44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4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40" s="40" t="str">
        <f>MID(Tracker[[#This Row],[Game]],SEARCH("@",Tracker[[#This Row],[Game]])+2,LEN(Tracker[[#This Row],[Game]]))</f>
        <v>Grizzlies</v>
      </c>
      <c r="L440" s="40" t="str">
        <f>LEFT(Tracker[[#This Row],[Game]],SEARCH("@",Tracker[[#This Row],[Game]])-2)</f>
        <v>Kings</v>
      </c>
      <c r="M44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40" s="123">
        <v>0.50049999999999994</v>
      </c>
      <c r="O440" s="147">
        <v>0.59</v>
      </c>
      <c r="P440" s="147">
        <v>0.97</v>
      </c>
      <c r="Q440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35-40%</v>
      </c>
      <c r="R440" s="155">
        <f>IF(AND(Tracker[[#This Row],[Money %]]&lt;&gt;"",Tracker[[#This Row],[Bet %]]&lt;&gt;""),Tracker[[#This Row],[Money %]]-Tracker[[#This Row],[Bet %]],NA())</f>
        <v>0.38</v>
      </c>
      <c r="S440" s="110"/>
      <c r="T440" s="110"/>
      <c r="V440" s="4"/>
      <c r="W440" s="35"/>
    </row>
    <row r="441" spans="1:23" x14ac:dyDescent="0.25">
      <c r="A441" s="36">
        <f t="shared" si="61"/>
        <v>44</v>
      </c>
      <c r="B441" s="25">
        <v>43889</v>
      </c>
      <c r="C441" s="25" t="str">
        <f t="shared" si="66"/>
        <v>NBA</v>
      </c>
      <c r="D441" s="26" t="s">
        <v>1751</v>
      </c>
      <c r="E441" s="28" t="s">
        <v>1752</v>
      </c>
      <c r="F441" s="67">
        <v>0.66331999171098111</v>
      </c>
      <c r="G441" s="29">
        <v>-110</v>
      </c>
      <c r="H441" s="50" t="s">
        <v>56</v>
      </c>
      <c r="I44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4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441" s="40" t="str">
        <f>MID(Tracker[[#This Row],[Game]],SEARCH("@",Tracker[[#This Row],[Game]])+2,LEN(Tracker[[#This Row],[Game]]))</f>
        <v>Suns</v>
      </c>
      <c r="L441" s="40" t="str">
        <f>LEFT(Tracker[[#This Row],[Game]],SEARCH("@",Tracker[[#This Row],[Game]])-2)</f>
        <v>Pistons</v>
      </c>
      <c r="M44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441" s="123">
        <v>0.51550000000000007</v>
      </c>
      <c r="O441" s="147">
        <v>0.33</v>
      </c>
      <c r="P441" s="147">
        <v>0.51</v>
      </c>
      <c r="Q441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15-20%</v>
      </c>
      <c r="R441" s="155">
        <f>IF(AND(Tracker[[#This Row],[Money %]]&lt;&gt;"",Tracker[[#This Row],[Bet %]]&lt;&gt;""),Tracker[[#This Row],[Money %]]-Tracker[[#This Row],[Bet %]],NA())</f>
        <v>0.18</v>
      </c>
      <c r="S441" s="110"/>
      <c r="T441" s="110"/>
      <c r="V441" s="4"/>
      <c r="W441" s="35"/>
    </row>
    <row r="442" spans="1:23" x14ac:dyDescent="0.25">
      <c r="A442" s="36">
        <f t="shared" si="61"/>
        <v>44</v>
      </c>
      <c r="B442" s="25">
        <v>43889</v>
      </c>
      <c r="C442" s="25" t="str">
        <f t="shared" si="66"/>
        <v>NBA</v>
      </c>
      <c r="D442" s="26" t="s">
        <v>1751</v>
      </c>
      <c r="E442" s="28" t="s">
        <v>946</v>
      </c>
      <c r="F442" s="67">
        <v>0.548773016642496</v>
      </c>
      <c r="G442" s="29">
        <v>-110</v>
      </c>
      <c r="H442" s="50" t="s">
        <v>57</v>
      </c>
      <c r="I44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4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42" s="40" t="str">
        <f>MID(Tracker[[#This Row],[Game]],SEARCH("@",Tracker[[#This Row],[Game]])+2,LEN(Tracker[[#This Row],[Game]]))</f>
        <v>Suns</v>
      </c>
      <c r="L442" s="40" t="str">
        <f>LEFT(Tracker[[#This Row],[Game]],SEARCH("@",Tracker[[#This Row],[Game]])-2)</f>
        <v>Pistons</v>
      </c>
      <c r="M44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42" s="123">
        <v>0.49149999999999999</v>
      </c>
      <c r="O442" s="147">
        <v>0.82</v>
      </c>
      <c r="P442" s="147">
        <v>0.99</v>
      </c>
      <c r="Q442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15-20%</v>
      </c>
      <c r="R442" s="155">
        <f>IF(AND(Tracker[[#This Row],[Money %]]&lt;&gt;"",Tracker[[#This Row],[Bet %]]&lt;&gt;""),Tracker[[#This Row],[Money %]]-Tracker[[#This Row],[Bet %]],NA())</f>
        <v>0.17000000000000004</v>
      </c>
      <c r="S442" s="110"/>
      <c r="T442" s="110"/>
      <c r="V442" s="4"/>
      <c r="W442" s="35"/>
    </row>
    <row r="443" spans="1:23" x14ac:dyDescent="0.25">
      <c r="A443" s="36">
        <f t="shared" si="61"/>
        <v>44</v>
      </c>
      <c r="B443" s="25">
        <v>43889</v>
      </c>
      <c r="C443" s="25" t="str">
        <f t="shared" si="66"/>
        <v>NBA</v>
      </c>
      <c r="D443" s="26" t="s">
        <v>1753</v>
      </c>
      <c r="E443" s="28" t="s">
        <v>1754</v>
      </c>
      <c r="F443" s="74">
        <v>0.58203017216599728</v>
      </c>
      <c r="G443" s="29">
        <v>-110</v>
      </c>
      <c r="H443" s="50" t="s">
        <v>847</v>
      </c>
      <c r="I44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</v>
      </c>
      <c r="J44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443" s="40" t="str">
        <f>MID(Tracker[[#This Row],[Game]],SEARCH("@",Tracker[[#This Row],[Game]])+2,LEN(Tracker[[#This Row],[Game]]))</f>
        <v>Jazz</v>
      </c>
      <c r="L443" s="40" t="str">
        <f>LEFT(Tracker[[#This Row],[Game]],SEARCH("@",Tracker[[#This Row],[Game]])-2)</f>
        <v>Wizards</v>
      </c>
      <c r="M44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443" s="123">
        <v>0.53800000000000003</v>
      </c>
      <c r="O443" s="147">
        <v>0.53</v>
      </c>
      <c r="P443" s="147">
        <v>0.67</v>
      </c>
      <c r="Q443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10-15%</v>
      </c>
      <c r="R443" s="155">
        <f>IF(AND(Tracker[[#This Row],[Money %]]&lt;&gt;"",Tracker[[#This Row],[Bet %]]&lt;&gt;""),Tracker[[#This Row],[Money %]]-Tracker[[#This Row],[Bet %]],NA())</f>
        <v>0.14000000000000001</v>
      </c>
      <c r="S443" s="110"/>
      <c r="T443" s="110"/>
      <c r="V443" s="4"/>
      <c r="W443" s="35"/>
    </row>
    <row r="444" spans="1:23" x14ac:dyDescent="0.25">
      <c r="A444" s="36">
        <f t="shared" si="61"/>
        <v>44</v>
      </c>
      <c r="B444" s="25">
        <v>43889</v>
      </c>
      <c r="C444" s="25" t="str">
        <f t="shared" si="66"/>
        <v>NBA</v>
      </c>
      <c r="D444" s="26" t="s">
        <v>1753</v>
      </c>
      <c r="E444" s="28" t="s">
        <v>874</v>
      </c>
      <c r="F444" s="74">
        <v>0.6417263608418553</v>
      </c>
      <c r="G444" s="29">
        <v>-110</v>
      </c>
      <c r="H444" s="50" t="s">
        <v>57</v>
      </c>
      <c r="I44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4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44" s="40" t="str">
        <f>MID(Tracker[[#This Row],[Game]],SEARCH("@",Tracker[[#This Row],[Game]])+2,LEN(Tracker[[#This Row],[Game]]))</f>
        <v>Jazz</v>
      </c>
      <c r="L444" s="40" t="str">
        <f>LEFT(Tracker[[#This Row],[Game]],SEARCH("@",Tracker[[#This Row],[Game]])-2)</f>
        <v>Wizards</v>
      </c>
      <c r="M44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44" s="123">
        <v>0.40800000000000003</v>
      </c>
      <c r="O444" s="147">
        <v>0.39</v>
      </c>
      <c r="P444" s="147">
        <v>0.02</v>
      </c>
      <c r="Q444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-40--35%</v>
      </c>
      <c r="R444" s="155">
        <f>IF(AND(Tracker[[#This Row],[Money %]]&lt;&gt;"",Tracker[[#This Row],[Bet %]]&lt;&gt;""),Tracker[[#This Row],[Money %]]-Tracker[[#This Row],[Bet %]],NA())</f>
        <v>-0.37</v>
      </c>
      <c r="S444" s="110"/>
      <c r="T444" s="110"/>
      <c r="V444" s="4"/>
      <c r="W444" s="35"/>
    </row>
    <row r="445" spans="1:23" x14ac:dyDescent="0.25">
      <c r="A445" s="36">
        <f t="shared" si="61"/>
        <v>44</v>
      </c>
      <c r="B445" s="25">
        <v>43889</v>
      </c>
      <c r="C445" s="25" t="str">
        <f t="shared" si="66"/>
        <v>NBA</v>
      </c>
      <c r="D445" s="26" t="s">
        <v>1755</v>
      </c>
      <c r="E445" s="28" t="s">
        <v>1756</v>
      </c>
      <c r="F445" s="74">
        <v>0.59255397388095821</v>
      </c>
      <c r="G445" s="29">
        <v>-110</v>
      </c>
      <c r="H445" s="50" t="s">
        <v>57</v>
      </c>
      <c r="I44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4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445" s="40" t="str">
        <f>MID(Tracker[[#This Row],[Game]],SEARCH("@",Tracker[[#This Row],[Game]])+2,LEN(Tracker[[#This Row],[Game]]))</f>
        <v>Clippers</v>
      </c>
      <c r="L445" s="40" t="str">
        <f>LEFT(Tracker[[#This Row],[Game]],SEARCH("@",Tracker[[#This Row],[Game]])-2)</f>
        <v>Nuggets</v>
      </c>
      <c r="M44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445" s="123">
        <v>0.4945</v>
      </c>
      <c r="O445" s="147">
        <v>0.55000000000000004</v>
      </c>
      <c r="P445" s="147">
        <v>0.32</v>
      </c>
      <c r="Q445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-25--20%</v>
      </c>
      <c r="R445" s="155">
        <f>IF(AND(Tracker[[#This Row],[Money %]]&lt;&gt;"",Tracker[[#This Row],[Bet %]]&lt;&gt;""),Tracker[[#This Row],[Money %]]-Tracker[[#This Row],[Bet %]],NA())</f>
        <v>-0.23000000000000004</v>
      </c>
      <c r="S445" s="110"/>
      <c r="T445" s="110"/>
      <c r="V445" s="4"/>
      <c r="W445" s="35"/>
    </row>
    <row r="446" spans="1:23" x14ac:dyDescent="0.25">
      <c r="A446" s="36">
        <f t="shared" si="61"/>
        <v>44</v>
      </c>
      <c r="B446" s="25">
        <v>43889</v>
      </c>
      <c r="C446" s="25" t="str">
        <f t="shared" si="66"/>
        <v>NBA</v>
      </c>
      <c r="D446" s="26" t="s">
        <v>1755</v>
      </c>
      <c r="E446" s="28" t="s">
        <v>855</v>
      </c>
      <c r="F446" s="74">
        <v>0.50896018874115767</v>
      </c>
      <c r="G446" s="29">
        <v>-110</v>
      </c>
      <c r="H446" s="50" t="s">
        <v>57</v>
      </c>
      <c r="I44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4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46" s="40" t="str">
        <f>MID(Tracker[[#This Row],[Game]],SEARCH("@",Tracker[[#This Row],[Game]])+2,LEN(Tracker[[#This Row],[Game]]))</f>
        <v>Clippers</v>
      </c>
      <c r="L446" s="40" t="str">
        <f>LEFT(Tracker[[#This Row],[Game]],SEARCH("@",Tracker[[#This Row],[Game]])-2)</f>
        <v>Nuggets</v>
      </c>
      <c r="M44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46" s="123">
        <v>0.53600000000000003</v>
      </c>
      <c r="O446" s="147">
        <v>0.26</v>
      </c>
      <c r="P446" s="147">
        <v>0.08</v>
      </c>
      <c r="Q446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-20--15%</v>
      </c>
      <c r="R446" s="155">
        <f>IF(AND(Tracker[[#This Row],[Money %]]&lt;&gt;"",Tracker[[#This Row],[Bet %]]&lt;&gt;""),Tracker[[#This Row],[Money %]]-Tracker[[#This Row],[Bet %]],NA())</f>
        <v>-0.18</v>
      </c>
      <c r="S446" s="110"/>
      <c r="T446" s="110"/>
      <c r="V446" s="4"/>
      <c r="W446" s="35"/>
    </row>
    <row r="447" spans="1:23" x14ac:dyDescent="0.25">
      <c r="A447" s="36">
        <f t="shared" si="61"/>
        <v>45</v>
      </c>
      <c r="B447" s="25">
        <v>43892</v>
      </c>
      <c r="C447" s="25" t="str">
        <f t="shared" ref="C447:C460" si="67">"NBA"</f>
        <v>NBA</v>
      </c>
      <c r="D447" s="26" t="s">
        <v>1788</v>
      </c>
      <c r="E447" s="28" t="s">
        <v>1789</v>
      </c>
      <c r="F447" s="74">
        <v>0.58370252911438536</v>
      </c>
      <c r="G447" s="29">
        <v>-110</v>
      </c>
      <c r="H447" s="50" t="s">
        <v>56</v>
      </c>
      <c r="I44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4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447" s="40" t="str">
        <f>MID(Tracker[[#This Row],[Game]],SEARCH("@",Tracker[[#This Row],[Game]])+2,LEN(Tracker[[#This Row],[Game]]))</f>
        <v>Cavaliers</v>
      </c>
      <c r="L447" s="40" t="str">
        <f>LEFT(Tracker[[#This Row],[Game]],SEARCH("@",Tracker[[#This Row],[Game]])-2)</f>
        <v>Jazz</v>
      </c>
      <c r="M44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447" s="123">
        <v>0.48899999999999999</v>
      </c>
      <c r="O447" s="147">
        <v>0.71</v>
      </c>
      <c r="P447" s="147">
        <v>0.84</v>
      </c>
      <c r="Q447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10-15%</v>
      </c>
      <c r="R447" s="155">
        <f>IF(AND(Tracker[[#This Row],[Money %]]&lt;&gt;"",Tracker[[#This Row],[Bet %]]&lt;&gt;""),Tracker[[#This Row],[Money %]]-Tracker[[#This Row],[Bet %]],NA())</f>
        <v>0.13</v>
      </c>
      <c r="S447" s="110"/>
      <c r="T447" s="110"/>
      <c r="V447" s="4"/>
      <c r="W447" s="35"/>
    </row>
    <row r="448" spans="1:23" x14ac:dyDescent="0.25">
      <c r="A448" s="36">
        <f t="shared" si="61"/>
        <v>45</v>
      </c>
      <c r="B448" s="25">
        <v>43892</v>
      </c>
      <c r="C448" s="25" t="str">
        <f t="shared" si="67"/>
        <v>NBA</v>
      </c>
      <c r="D448" s="26" t="s">
        <v>1788</v>
      </c>
      <c r="E448" s="28" t="s">
        <v>1790</v>
      </c>
      <c r="F448" s="74">
        <v>0.5623214925640978</v>
      </c>
      <c r="G448" s="29">
        <v>-110</v>
      </c>
      <c r="H448" s="50" t="s">
        <v>56</v>
      </c>
      <c r="I44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4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448" s="40" t="str">
        <f>MID(Tracker[[#This Row],[Game]],SEARCH("@",Tracker[[#This Row],[Game]])+2,LEN(Tracker[[#This Row],[Game]]))</f>
        <v>Cavaliers</v>
      </c>
      <c r="L448" s="40" t="str">
        <f>LEFT(Tracker[[#This Row],[Game]],SEARCH("@",Tracker[[#This Row],[Game]])-2)</f>
        <v>Jazz</v>
      </c>
      <c r="M44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448" s="123">
        <v>0.53950000000000009</v>
      </c>
      <c r="O448" s="147">
        <v>0.44</v>
      </c>
      <c r="P448" s="147">
        <v>0.71</v>
      </c>
      <c r="Q448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25-30%</v>
      </c>
      <c r="R448" s="155">
        <f>IF(AND(Tracker[[#This Row],[Money %]]&lt;&gt;"",Tracker[[#This Row],[Bet %]]&lt;&gt;""),Tracker[[#This Row],[Money %]]-Tracker[[#This Row],[Bet %]],NA())</f>
        <v>0.26999999999999996</v>
      </c>
      <c r="S448" s="110"/>
      <c r="T448" s="110"/>
      <c r="V448" s="4"/>
      <c r="W448" s="35"/>
    </row>
    <row r="449" spans="1:23" x14ac:dyDescent="0.25">
      <c r="A449" s="36">
        <f t="shared" si="61"/>
        <v>45</v>
      </c>
      <c r="B449" s="25">
        <v>43892</v>
      </c>
      <c r="C449" s="25" t="str">
        <f t="shared" si="67"/>
        <v>NBA</v>
      </c>
      <c r="D449" s="26" t="s">
        <v>1791</v>
      </c>
      <c r="E449" s="28" t="s">
        <v>1792</v>
      </c>
      <c r="F449" s="74">
        <v>0.59324503728524336</v>
      </c>
      <c r="G449" s="29">
        <v>-110</v>
      </c>
      <c r="H449" s="50" t="s">
        <v>57</v>
      </c>
      <c r="I44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4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449" s="40" t="str">
        <f>MID(Tracker[[#This Row],[Game]],SEARCH("@",Tracker[[#This Row],[Game]])+2,LEN(Tracker[[#This Row],[Game]]))</f>
        <v>Knicks</v>
      </c>
      <c r="L449" s="40" t="str">
        <f>LEFT(Tracker[[#This Row],[Game]],SEARCH("@",Tracker[[#This Row],[Game]])-2)</f>
        <v>Rockets</v>
      </c>
      <c r="M44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449" s="123">
        <v>0.41299999999999998</v>
      </c>
      <c r="O449" s="147">
        <v>0.82</v>
      </c>
      <c r="P449" s="147">
        <v>0.85</v>
      </c>
      <c r="Q449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0-5%</v>
      </c>
      <c r="R449" s="155">
        <f>IF(AND(Tracker[[#This Row],[Money %]]&lt;&gt;"",Tracker[[#This Row],[Bet %]]&lt;&gt;""),Tracker[[#This Row],[Money %]]-Tracker[[#This Row],[Bet %]],NA())</f>
        <v>3.0000000000000027E-2</v>
      </c>
      <c r="S449" s="110"/>
      <c r="T449" s="110"/>
      <c r="V449" s="4"/>
      <c r="W449" s="35"/>
    </row>
    <row r="450" spans="1:23" x14ac:dyDescent="0.25">
      <c r="A450" s="36">
        <f t="shared" si="61"/>
        <v>45</v>
      </c>
      <c r="B450" s="25">
        <v>43892</v>
      </c>
      <c r="C450" s="25" t="str">
        <f t="shared" si="67"/>
        <v>NBA</v>
      </c>
      <c r="D450" s="26" t="s">
        <v>1791</v>
      </c>
      <c r="E450" s="28" t="s">
        <v>1121</v>
      </c>
      <c r="F450" s="67">
        <v>0.54318814284689665</v>
      </c>
      <c r="G450" s="29">
        <v>-110</v>
      </c>
      <c r="H450" s="50" t="s">
        <v>56</v>
      </c>
      <c r="I45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5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450" s="40" t="str">
        <f>MID(Tracker[[#This Row],[Game]],SEARCH("@",Tracker[[#This Row],[Game]])+2,LEN(Tracker[[#This Row],[Game]]))</f>
        <v>Knicks</v>
      </c>
      <c r="L450" s="40" t="str">
        <f>LEFT(Tracker[[#This Row],[Game]],SEARCH("@",Tracker[[#This Row],[Game]])-2)</f>
        <v>Rockets</v>
      </c>
      <c r="M45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450" s="123">
        <v>0.3785</v>
      </c>
      <c r="O450" s="147">
        <v>0.57999999999999996</v>
      </c>
      <c r="P450" s="147">
        <v>0.76</v>
      </c>
      <c r="Q450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15-20%</v>
      </c>
      <c r="R450" s="155">
        <f>IF(AND(Tracker[[#This Row],[Money %]]&lt;&gt;"",Tracker[[#This Row],[Bet %]]&lt;&gt;""),Tracker[[#This Row],[Money %]]-Tracker[[#This Row],[Bet %]],NA())</f>
        <v>0.18000000000000005</v>
      </c>
      <c r="S450" s="110"/>
      <c r="T450" s="110"/>
      <c r="V450" s="4"/>
      <c r="W450" s="35"/>
    </row>
    <row r="451" spans="1:23" x14ac:dyDescent="0.25">
      <c r="A451" s="36">
        <f t="shared" si="61"/>
        <v>45</v>
      </c>
      <c r="B451" s="25">
        <v>43892</v>
      </c>
      <c r="C451" s="25" t="str">
        <f t="shared" si="67"/>
        <v>NBA</v>
      </c>
      <c r="D451" s="26" t="s">
        <v>1793</v>
      </c>
      <c r="E451" s="28" t="s">
        <v>1794</v>
      </c>
      <c r="F451" s="67">
        <v>0.63324368427038902</v>
      </c>
      <c r="G451" s="29">
        <v>-110</v>
      </c>
      <c r="H451" s="50" t="s">
        <v>56</v>
      </c>
      <c r="I45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5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451" s="40" t="str">
        <f>MID(Tracker[[#This Row],[Game]],SEARCH("@",Tracker[[#This Row],[Game]])+2,LEN(Tracker[[#This Row],[Game]]))</f>
        <v>Magic</v>
      </c>
      <c r="L451" s="40" t="str">
        <f>LEFT(Tracker[[#This Row],[Game]],SEARCH("@",Tracker[[#This Row],[Game]])-2)</f>
        <v>Trail Blazers</v>
      </c>
      <c r="M45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451" s="123">
        <v>0.45450000000000002</v>
      </c>
      <c r="O451" s="147">
        <v>0.56000000000000005</v>
      </c>
      <c r="P451" s="147">
        <v>0.35</v>
      </c>
      <c r="Q451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-25--20%</v>
      </c>
      <c r="R451" s="155">
        <f>IF(AND(Tracker[[#This Row],[Money %]]&lt;&gt;"",Tracker[[#This Row],[Bet %]]&lt;&gt;""),Tracker[[#This Row],[Money %]]-Tracker[[#This Row],[Bet %]],NA())</f>
        <v>-0.21000000000000008</v>
      </c>
      <c r="S451" s="110"/>
      <c r="T451" s="110"/>
      <c r="V451" s="4"/>
      <c r="W451" s="35"/>
    </row>
    <row r="452" spans="1:23" x14ac:dyDescent="0.25">
      <c r="A452" s="36">
        <f t="shared" si="61"/>
        <v>45</v>
      </c>
      <c r="B452" s="25">
        <v>43892</v>
      </c>
      <c r="C452" s="25" t="str">
        <f t="shared" si="67"/>
        <v>NBA</v>
      </c>
      <c r="D452" s="26" t="s">
        <v>1793</v>
      </c>
      <c r="E452" s="28" t="s">
        <v>1253</v>
      </c>
      <c r="F452" s="67">
        <v>0.56832790426839441</v>
      </c>
      <c r="G452" s="29">
        <v>-110</v>
      </c>
      <c r="H452" s="50" t="s">
        <v>56</v>
      </c>
      <c r="I45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5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452" s="40" t="str">
        <f>MID(Tracker[[#This Row],[Game]],SEARCH("@",Tracker[[#This Row],[Game]])+2,LEN(Tracker[[#This Row],[Game]]))</f>
        <v>Magic</v>
      </c>
      <c r="L452" s="40" t="str">
        <f>LEFT(Tracker[[#This Row],[Game]],SEARCH("@",Tracker[[#This Row],[Game]])-2)</f>
        <v>Trail Blazers</v>
      </c>
      <c r="M45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452" s="123">
        <v>0.4395</v>
      </c>
      <c r="O452" s="147">
        <v>0.43</v>
      </c>
      <c r="P452" s="147">
        <v>0.44</v>
      </c>
      <c r="Q452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0-5%</v>
      </c>
      <c r="R452" s="155">
        <f>IF(AND(Tracker[[#This Row],[Money %]]&lt;&gt;"",Tracker[[#This Row],[Bet %]]&lt;&gt;""),Tracker[[#This Row],[Money %]]-Tracker[[#This Row],[Bet %]],NA())</f>
        <v>1.0000000000000009E-2</v>
      </c>
      <c r="S452" s="110"/>
      <c r="T452" s="110"/>
      <c r="V452" s="4"/>
      <c r="W452" s="35"/>
    </row>
    <row r="453" spans="1:23" x14ac:dyDescent="0.25">
      <c r="A453" s="36">
        <f t="shared" ref="A453:A516" si="68">IF(B453=B452,A452,A452+1)</f>
        <v>45</v>
      </c>
      <c r="B453" s="25">
        <v>43892</v>
      </c>
      <c r="C453" s="25" t="str">
        <f t="shared" si="67"/>
        <v>NBA</v>
      </c>
      <c r="D453" s="26" t="s">
        <v>1795</v>
      </c>
      <c r="E453" s="28" t="s">
        <v>1796</v>
      </c>
      <c r="F453" s="67">
        <v>0.69307016947863587</v>
      </c>
      <c r="G453" s="29">
        <v>-110</v>
      </c>
      <c r="H453" s="50" t="s">
        <v>56</v>
      </c>
      <c r="I45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5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453" s="40" t="str">
        <f>MID(Tracker[[#This Row],[Game]],SEARCH("@",Tracker[[#This Row],[Game]])+2,LEN(Tracker[[#This Row],[Game]]))</f>
        <v>Hawks</v>
      </c>
      <c r="L453" s="40" t="str">
        <f>LEFT(Tracker[[#This Row],[Game]],SEARCH("@",Tracker[[#This Row],[Game]])-2)</f>
        <v>Grizzlies</v>
      </c>
      <c r="M45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453" s="123">
        <v>0.3175</v>
      </c>
      <c r="O453" s="147">
        <v>0.47</v>
      </c>
      <c r="P453" s="147">
        <v>0.39</v>
      </c>
      <c r="Q453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-10--5%</v>
      </c>
      <c r="R453" s="155">
        <f>IF(AND(Tracker[[#This Row],[Money %]]&lt;&gt;"",Tracker[[#This Row],[Bet %]]&lt;&gt;""),Tracker[[#This Row],[Money %]]-Tracker[[#This Row],[Bet %]],NA())</f>
        <v>-7.999999999999996E-2</v>
      </c>
      <c r="S453" s="110"/>
      <c r="T453" s="110"/>
      <c r="V453" s="4"/>
      <c r="W453" s="35"/>
    </row>
    <row r="454" spans="1:23" x14ac:dyDescent="0.25">
      <c r="A454" s="36">
        <f t="shared" si="68"/>
        <v>45</v>
      </c>
      <c r="B454" s="25">
        <v>43892</v>
      </c>
      <c r="C454" s="25" t="str">
        <f t="shared" si="67"/>
        <v>NBA</v>
      </c>
      <c r="D454" s="26" t="s">
        <v>1795</v>
      </c>
      <c r="E454" s="28" t="s">
        <v>1242</v>
      </c>
      <c r="F454" s="67">
        <v>0.54611711287005016</v>
      </c>
      <c r="G454" s="29">
        <v>-110</v>
      </c>
      <c r="H454" s="50" t="s">
        <v>56</v>
      </c>
      <c r="I45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5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54" s="40" t="str">
        <f>MID(Tracker[[#This Row],[Game]],SEARCH("@",Tracker[[#This Row],[Game]])+2,LEN(Tracker[[#This Row],[Game]]))</f>
        <v>Hawks</v>
      </c>
      <c r="L454" s="40" t="str">
        <f>LEFT(Tracker[[#This Row],[Game]],SEARCH("@",Tracker[[#This Row],[Game]])-2)</f>
        <v>Grizzlies</v>
      </c>
      <c r="M45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54" s="123">
        <v>0.435</v>
      </c>
      <c r="O454" s="147">
        <v>0.38</v>
      </c>
      <c r="P454" s="147">
        <v>0.19</v>
      </c>
      <c r="Q454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-20--15%</v>
      </c>
      <c r="R454" s="155">
        <f>IF(AND(Tracker[[#This Row],[Money %]]&lt;&gt;"",Tracker[[#This Row],[Bet %]]&lt;&gt;""),Tracker[[#This Row],[Money %]]-Tracker[[#This Row],[Bet %]],NA())</f>
        <v>-0.19</v>
      </c>
      <c r="S454" s="110"/>
      <c r="T454" s="110"/>
      <c r="V454" s="4"/>
      <c r="W454" s="35"/>
    </row>
    <row r="455" spans="1:23" x14ac:dyDescent="0.25">
      <c r="A455" s="36">
        <f t="shared" si="68"/>
        <v>45</v>
      </c>
      <c r="B455" s="25">
        <v>43892</v>
      </c>
      <c r="C455" s="25" t="str">
        <f t="shared" si="67"/>
        <v>NBA</v>
      </c>
      <c r="D455" s="26" t="s">
        <v>1797</v>
      </c>
      <c r="E455" s="28" t="s">
        <v>1798</v>
      </c>
      <c r="F455" s="67">
        <v>0.68026022700283173</v>
      </c>
      <c r="G455" s="29">
        <v>-110</v>
      </c>
      <c r="H455" s="50" t="s">
        <v>57</v>
      </c>
      <c r="I45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5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455" s="40" t="str">
        <f>MID(Tracker[[#This Row],[Game]],SEARCH("@",Tracker[[#This Row],[Game]])+2,LEN(Tracker[[#This Row],[Game]]))</f>
        <v>Heat</v>
      </c>
      <c r="L455" s="40" t="str">
        <f>LEFT(Tracker[[#This Row],[Game]],SEARCH("@",Tracker[[#This Row],[Game]])-2)</f>
        <v>Bucks</v>
      </c>
      <c r="M45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455" s="123">
        <v>0.45499999999999996</v>
      </c>
      <c r="O455" s="147">
        <v>0.79</v>
      </c>
      <c r="P455" s="147">
        <v>0.76</v>
      </c>
      <c r="Q455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-5-0%</v>
      </c>
      <c r="R455" s="155">
        <f>IF(AND(Tracker[[#This Row],[Money %]]&lt;&gt;"",Tracker[[#This Row],[Bet %]]&lt;&gt;""),Tracker[[#This Row],[Money %]]-Tracker[[#This Row],[Bet %]],NA())</f>
        <v>-3.0000000000000027E-2</v>
      </c>
      <c r="S455" s="110"/>
      <c r="T455" s="110"/>
      <c r="V455" s="4"/>
      <c r="W455" s="35"/>
    </row>
    <row r="456" spans="1:23" x14ac:dyDescent="0.25">
      <c r="A456" s="36">
        <f t="shared" si="68"/>
        <v>45</v>
      </c>
      <c r="B456" s="25">
        <v>43892</v>
      </c>
      <c r="C456" s="25" t="str">
        <f t="shared" si="67"/>
        <v>NBA</v>
      </c>
      <c r="D456" s="26" t="s">
        <v>1797</v>
      </c>
      <c r="E456" s="28" t="s">
        <v>832</v>
      </c>
      <c r="F456" s="67">
        <v>0.58420129286577271</v>
      </c>
      <c r="G456" s="29">
        <v>-110</v>
      </c>
      <c r="H456" s="50" t="s">
        <v>57</v>
      </c>
      <c r="I45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5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456" s="40" t="str">
        <f>MID(Tracker[[#This Row],[Game]],SEARCH("@",Tracker[[#This Row],[Game]])+2,LEN(Tracker[[#This Row],[Game]]))</f>
        <v>Heat</v>
      </c>
      <c r="L456" s="40" t="str">
        <f>LEFT(Tracker[[#This Row],[Game]],SEARCH("@",Tracker[[#This Row],[Game]])-2)</f>
        <v>Bucks</v>
      </c>
      <c r="M45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456" s="123">
        <v>0.57699999999999996</v>
      </c>
      <c r="O456" s="147">
        <v>0.7</v>
      </c>
      <c r="P456" s="147">
        <v>0.91</v>
      </c>
      <c r="Q456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20-25%</v>
      </c>
      <c r="R456" s="155">
        <f>IF(AND(Tracker[[#This Row],[Money %]]&lt;&gt;"",Tracker[[#This Row],[Bet %]]&lt;&gt;""),Tracker[[#This Row],[Money %]]-Tracker[[#This Row],[Bet %]],NA())</f>
        <v>0.21000000000000008</v>
      </c>
      <c r="S456" s="110"/>
      <c r="T456" s="110"/>
      <c r="V456" s="4"/>
      <c r="W456" s="35"/>
    </row>
    <row r="457" spans="1:23" x14ac:dyDescent="0.25">
      <c r="A457" s="36">
        <f t="shared" si="68"/>
        <v>45</v>
      </c>
      <c r="B457" s="25">
        <v>43892</v>
      </c>
      <c r="C457" s="25" t="str">
        <f t="shared" si="67"/>
        <v>NBA</v>
      </c>
      <c r="D457" s="26" t="s">
        <v>1799</v>
      </c>
      <c r="E457" s="28" t="s">
        <v>1244</v>
      </c>
      <c r="F457" s="67">
        <v>0.6566452508698114</v>
      </c>
      <c r="G457" s="29">
        <v>-110</v>
      </c>
      <c r="H457" s="50" t="s">
        <v>57</v>
      </c>
      <c r="I45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5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457" s="40" t="str">
        <f>MID(Tracker[[#This Row],[Game]],SEARCH("@",Tracker[[#This Row],[Game]])+2,LEN(Tracker[[#This Row],[Game]]))</f>
        <v>Bulls</v>
      </c>
      <c r="L457" s="40" t="str">
        <f>LEFT(Tracker[[#This Row],[Game]],SEARCH("@",Tracker[[#This Row],[Game]])-2)</f>
        <v>Mavericks</v>
      </c>
      <c r="M45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457" s="123">
        <v>0.72150000000000003</v>
      </c>
      <c r="O457" s="147">
        <v>0.9</v>
      </c>
      <c r="P457" s="147">
        <v>0.85</v>
      </c>
      <c r="Q457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-5-0%</v>
      </c>
      <c r="R457" s="155">
        <f>IF(AND(Tracker[[#This Row],[Money %]]&lt;&gt;"",Tracker[[#This Row],[Bet %]]&lt;&gt;""),Tracker[[#This Row],[Money %]]-Tracker[[#This Row],[Bet %]],NA())</f>
        <v>-5.0000000000000044E-2</v>
      </c>
      <c r="S457" s="110"/>
      <c r="T457" s="110"/>
      <c r="V457" s="4"/>
      <c r="W457" s="35"/>
    </row>
    <row r="458" spans="1:23" x14ac:dyDescent="0.25">
      <c r="A458" s="36">
        <f t="shared" si="68"/>
        <v>45</v>
      </c>
      <c r="B458" s="25">
        <v>43892</v>
      </c>
      <c r="C458" s="25" t="str">
        <f t="shared" si="67"/>
        <v>NBA</v>
      </c>
      <c r="D458" s="26" t="s">
        <v>1799</v>
      </c>
      <c r="E458" s="28" t="s">
        <v>1133</v>
      </c>
      <c r="F458" s="67">
        <v>0.59974207191826501</v>
      </c>
      <c r="G458" s="29">
        <v>-110</v>
      </c>
      <c r="H458" s="50" t="s">
        <v>57</v>
      </c>
      <c r="I45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5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458" s="40" t="str">
        <f>MID(Tracker[[#This Row],[Game]],SEARCH("@",Tracker[[#This Row],[Game]])+2,LEN(Tracker[[#This Row],[Game]]))</f>
        <v>Bulls</v>
      </c>
      <c r="L458" s="40" t="str">
        <f>LEFT(Tracker[[#This Row],[Game]],SEARCH("@",Tracker[[#This Row],[Game]])-2)</f>
        <v>Mavericks</v>
      </c>
      <c r="M45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458" s="123">
        <v>0.55800000000000005</v>
      </c>
      <c r="O458" s="147">
        <v>0.54</v>
      </c>
      <c r="P458" s="147">
        <v>0.56000000000000005</v>
      </c>
      <c r="Q458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0-5%</v>
      </c>
      <c r="R458" s="155">
        <f>IF(AND(Tracker[[#This Row],[Money %]]&lt;&gt;"",Tracker[[#This Row],[Bet %]]&lt;&gt;""),Tracker[[#This Row],[Money %]]-Tracker[[#This Row],[Bet %]],NA())</f>
        <v>2.0000000000000018E-2</v>
      </c>
      <c r="S458" s="110"/>
      <c r="T458" s="110"/>
      <c r="V458" s="4"/>
      <c r="W458" s="35"/>
    </row>
    <row r="459" spans="1:23" x14ac:dyDescent="0.25">
      <c r="A459" s="36">
        <f t="shared" si="68"/>
        <v>45</v>
      </c>
      <c r="B459" s="25">
        <v>43892</v>
      </c>
      <c r="C459" s="25" t="str">
        <f t="shared" si="67"/>
        <v>NBA</v>
      </c>
      <c r="D459" s="26" t="s">
        <v>1800</v>
      </c>
      <c r="E459" s="28" t="s">
        <v>1801</v>
      </c>
      <c r="F459" s="67">
        <v>0.58229799504392898</v>
      </c>
      <c r="G459" s="29">
        <v>-110</v>
      </c>
      <c r="H459" s="50" t="s">
        <v>56</v>
      </c>
      <c r="I45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5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459" s="40" t="str">
        <f>MID(Tracker[[#This Row],[Game]],SEARCH("@",Tracker[[#This Row],[Game]])+2,LEN(Tracker[[#This Row],[Game]]))</f>
        <v>Spurs</v>
      </c>
      <c r="L459" s="40" t="str">
        <f>LEFT(Tracker[[#This Row],[Game]],SEARCH("@",Tracker[[#This Row],[Game]])-2)</f>
        <v>Pacers</v>
      </c>
      <c r="M45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459" s="123">
        <v>0.55000000000000004</v>
      </c>
      <c r="O459" s="147">
        <v>0.77</v>
      </c>
      <c r="P459" s="147">
        <v>0.7</v>
      </c>
      <c r="Q459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-10--5%</v>
      </c>
      <c r="R459" s="155">
        <f>IF(AND(Tracker[[#This Row],[Money %]]&lt;&gt;"",Tracker[[#This Row],[Bet %]]&lt;&gt;""),Tracker[[#This Row],[Money %]]-Tracker[[#This Row],[Bet %]],NA())</f>
        <v>-7.0000000000000062E-2</v>
      </c>
      <c r="S459" s="110"/>
      <c r="T459" s="110"/>
      <c r="V459" s="4"/>
      <c r="W459" s="35"/>
    </row>
    <row r="460" spans="1:23" x14ac:dyDescent="0.25">
      <c r="A460" s="36">
        <f t="shared" si="68"/>
        <v>45</v>
      </c>
      <c r="B460" s="25">
        <v>43892</v>
      </c>
      <c r="C460" s="25" t="str">
        <f t="shared" si="67"/>
        <v>NBA</v>
      </c>
      <c r="D460" s="26" t="s">
        <v>1800</v>
      </c>
      <c r="E460" s="28" t="s">
        <v>1253</v>
      </c>
      <c r="F460" s="67">
        <v>0.58840969796950482</v>
      </c>
      <c r="G460" s="29">
        <v>-110</v>
      </c>
      <c r="H460" s="50" t="s">
        <v>56</v>
      </c>
      <c r="I46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6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460" s="40" t="str">
        <f>MID(Tracker[[#This Row],[Game]],SEARCH("@",Tracker[[#This Row],[Game]])+2,LEN(Tracker[[#This Row],[Game]]))</f>
        <v>Spurs</v>
      </c>
      <c r="L460" s="40" t="str">
        <f>LEFT(Tracker[[#This Row],[Game]],SEARCH("@",Tracker[[#This Row],[Game]])-2)</f>
        <v>Pacers</v>
      </c>
      <c r="M46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460" s="123">
        <v>0.54400000000000004</v>
      </c>
      <c r="O460" s="147">
        <v>0.64</v>
      </c>
      <c r="P460" s="147">
        <v>0.68</v>
      </c>
      <c r="Q460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0-5%</v>
      </c>
      <c r="R460" s="155">
        <f>IF(AND(Tracker[[#This Row],[Money %]]&lt;&gt;"",Tracker[[#This Row],[Bet %]]&lt;&gt;""),Tracker[[#This Row],[Money %]]-Tracker[[#This Row],[Bet %]],NA())</f>
        <v>4.0000000000000036E-2</v>
      </c>
      <c r="S460" s="110"/>
      <c r="T460" s="110"/>
      <c r="V460" s="4"/>
      <c r="W460" s="35"/>
    </row>
    <row r="461" spans="1:23" x14ac:dyDescent="0.25">
      <c r="A461" s="36">
        <f t="shared" si="68"/>
        <v>46</v>
      </c>
      <c r="B461" s="25">
        <v>43893</v>
      </c>
      <c r="C461" s="25" t="str">
        <f t="shared" ref="C461:C476" si="69">"NBA"</f>
        <v>NBA</v>
      </c>
      <c r="D461" s="26" t="s">
        <v>1815</v>
      </c>
      <c r="E461" s="28" t="s">
        <v>1816</v>
      </c>
      <c r="F461" s="67">
        <v>0.58420880199806335</v>
      </c>
      <c r="G461" s="29">
        <v>-110</v>
      </c>
      <c r="H461" s="50" t="s">
        <v>57</v>
      </c>
      <c r="I46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6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461" s="40" t="str">
        <f>MID(Tracker[[#This Row],[Game]],SEARCH("@",Tracker[[#This Row],[Game]])+2,LEN(Tracker[[#This Row],[Game]]))</f>
        <v>Hornets</v>
      </c>
      <c r="L461" s="40" t="str">
        <f>LEFT(Tracker[[#This Row],[Game]],SEARCH("@",Tracker[[#This Row],[Game]])-2)</f>
        <v>Spurs</v>
      </c>
      <c r="M46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461" s="123">
        <v>0.52249999999999996</v>
      </c>
      <c r="O461" s="147">
        <v>0.66</v>
      </c>
      <c r="P461" s="147">
        <v>0.77</v>
      </c>
      <c r="Q461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10-15%</v>
      </c>
      <c r="R461" s="155">
        <f>IF(AND(Tracker[[#This Row],[Money %]]&lt;&gt;"",Tracker[[#This Row],[Bet %]]&lt;&gt;""),Tracker[[#This Row],[Money %]]-Tracker[[#This Row],[Bet %]],NA())</f>
        <v>0.10999999999999999</v>
      </c>
      <c r="S461" s="110"/>
      <c r="T461" s="110"/>
      <c r="V461" s="4"/>
      <c r="W461" s="35"/>
    </row>
    <row r="462" spans="1:23" x14ac:dyDescent="0.25">
      <c r="A462" s="36">
        <f t="shared" si="68"/>
        <v>46</v>
      </c>
      <c r="B462" s="25">
        <v>43893</v>
      </c>
      <c r="C462" s="25" t="str">
        <f t="shared" si="69"/>
        <v>NBA</v>
      </c>
      <c r="D462" s="26" t="s">
        <v>1815</v>
      </c>
      <c r="E462" s="28" t="s">
        <v>840</v>
      </c>
      <c r="F462" s="67">
        <v>0.66737126335533836</v>
      </c>
      <c r="G462" s="29">
        <v>-110</v>
      </c>
      <c r="H462" s="50" t="s">
        <v>57</v>
      </c>
      <c r="I46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6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462" s="40" t="str">
        <f>MID(Tracker[[#This Row],[Game]],SEARCH("@",Tracker[[#This Row],[Game]])+2,LEN(Tracker[[#This Row],[Game]]))</f>
        <v>Hornets</v>
      </c>
      <c r="L462" s="40" t="str">
        <f>LEFT(Tracker[[#This Row],[Game]],SEARCH("@",Tracker[[#This Row],[Game]])-2)</f>
        <v>Spurs</v>
      </c>
      <c r="M46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462" s="123">
        <v>0.54349999999999998</v>
      </c>
      <c r="O462" s="147">
        <v>0.56000000000000005</v>
      </c>
      <c r="P462" s="147">
        <v>0.32</v>
      </c>
      <c r="Q462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-25--20%</v>
      </c>
      <c r="R462" s="155">
        <f>IF(AND(Tracker[[#This Row],[Money %]]&lt;&gt;"",Tracker[[#This Row],[Bet %]]&lt;&gt;""),Tracker[[#This Row],[Money %]]-Tracker[[#This Row],[Bet %]],NA())</f>
        <v>-0.24000000000000005</v>
      </c>
      <c r="S462" s="110"/>
      <c r="T462" s="110"/>
      <c r="V462" s="4"/>
      <c r="W462" s="35"/>
    </row>
    <row r="463" spans="1:23" x14ac:dyDescent="0.25">
      <c r="A463" s="36">
        <f t="shared" si="68"/>
        <v>46</v>
      </c>
      <c r="B463" s="25">
        <v>43893</v>
      </c>
      <c r="C463" s="25" t="str">
        <f t="shared" si="69"/>
        <v>NBA</v>
      </c>
      <c r="D463" s="26" t="s">
        <v>774</v>
      </c>
      <c r="E463" s="28" t="s">
        <v>1163</v>
      </c>
      <c r="F463" s="67">
        <v>0.56712302417962246</v>
      </c>
      <c r="G463" s="29">
        <v>-110</v>
      </c>
      <c r="H463" s="50" t="s">
        <v>57</v>
      </c>
      <c r="I46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6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463" s="40" t="str">
        <f>MID(Tracker[[#This Row],[Game]],SEARCH("@",Tracker[[#This Row],[Game]])+2,LEN(Tracker[[#This Row],[Game]]))</f>
        <v>Celtics</v>
      </c>
      <c r="L463" s="40" t="str">
        <f>LEFT(Tracker[[#This Row],[Game]],SEARCH("@",Tracker[[#This Row],[Game]])-2)</f>
        <v>Nets</v>
      </c>
      <c r="M46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463" s="123">
        <v>0.59699999999999998</v>
      </c>
      <c r="O463" s="147">
        <v>0.62</v>
      </c>
      <c r="P463" s="147">
        <v>0.39</v>
      </c>
      <c r="Q463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-25--20%</v>
      </c>
      <c r="R463" s="155">
        <f>IF(AND(Tracker[[#This Row],[Money %]]&lt;&gt;"",Tracker[[#This Row],[Bet %]]&lt;&gt;""),Tracker[[#This Row],[Money %]]-Tracker[[#This Row],[Bet %]],NA())</f>
        <v>-0.22999999999999998</v>
      </c>
      <c r="S463" s="110"/>
      <c r="T463" s="110"/>
      <c r="V463" s="4"/>
      <c r="W463" s="35"/>
    </row>
    <row r="464" spans="1:23" x14ac:dyDescent="0.25">
      <c r="A464" s="36">
        <f t="shared" si="68"/>
        <v>46</v>
      </c>
      <c r="B464" s="25">
        <v>43893</v>
      </c>
      <c r="C464" s="25" t="str">
        <f t="shared" si="69"/>
        <v>NBA</v>
      </c>
      <c r="D464" s="26" t="s">
        <v>774</v>
      </c>
      <c r="E464" s="28" t="s">
        <v>1075</v>
      </c>
      <c r="F464" s="67">
        <v>0.56104664296549556</v>
      </c>
      <c r="G464" s="29">
        <v>-110</v>
      </c>
      <c r="H464" s="50" t="s">
        <v>56</v>
      </c>
      <c r="I46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6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464" s="40" t="str">
        <f>MID(Tracker[[#This Row],[Game]],SEARCH("@",Tracker[[#This Row],[Game]])+2,LEN(Tracker[[#This Row],[Game]]))</f>
        <v>Celtics</v>
      </c>
      <c r="L464" s="40" t="str">
        <f>LEFT(Tracker[[#This Row],[Game]],SEARCH("@",Tracker[[#This Row],[Game]])-2)</f>
        <v>Nets</v>
      </c>
      <c r="M46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464" s="123">
        <v>0.49149999999999999</v>
      </c>
      <c r="O464" s="147">
        <v>0.61</v>
      </c>
      <c r="P464" s="147">
        <v>0.51</v>
      </c>
      <c r="Q464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-10--5%</v>
      </c>
      <c r="R464" s="155">
        <f>IF(AND(Tracker[[#This Row],[Money %]]&lt;&gt;"",Tracker[[#This Row],[Bet %]]&lt;&gt;""),Tracker[[#This Row],[Money %]]-Tracker[[#This Row],[Bet %]],NA())</f>
        <v>-9.9999999999999978E-2</v>
      </c>
      <c r="S464" s="110"/>
      <c r="T464" s="110"/>
      <c r="V464" s="4"/>
      <c r="W464" s="35"/>
    </row>
    <row r="465" spans="1:23" x14ac:dyDescent="0.25">
      <c r="A465" s="36">
        <f t="shared" si="68"/>
        <v>46</v>
      </c>
      <c r="B465" s="25">
        <v>43893</v>
      </c>
      <c r="C465" s="25" t="str">
        <f t="shared" si="69"/>
        <v>NBA</v>
      </c>
      <c r="D465" s="26" t="s">
        <v>1817</v>
      </c>
      <c r="E465" s="28" t="s">
        <v>1818</v>
      </c>
      <c r="F465" s="67">
        <v>0.67788473063215071</v>
      </c>
      <c r="G465" s="29">
        <v>-110</v>
      </c>
      <c r="H465" s="50" t="s">
        <v>56</v>
      </c>
      <c r="I46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6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465" s="40" t="str">
        <f>MID(Tracker[[#This Row],[Game]],SEARCH("@",Tracker[[#This Row],[Game]])+2,LEN(Tracker[[#This Row],[Game]]))</f>
        <v>Pelicans</v>
      </c>
      <c r="L465" s="40" t="str">
        <f>LEFT(Tracker[[#This Row],[Game]],SEARCH("@",Tracker[[#This Row],[Game]])-2)</f>
        <v>Timberwolves</v>
      </c>
      <c r="M46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465" s="123">
        <v>0.51849999999999996</v>
      </c>
      <c r="O465" s="147">
        <v>0.34</v>
      </c>
      <c r="P465" s="147">
        <v>0.26</v>
      </c>
      <c r="Q465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-10--5%</v>
      </c>
      <c r="R465" s="155">
        <f>IF(AND(Tracker[[#This Row],[Money %]]&lt;&gt;"",Tracker[[#This Row],[Bet %]]&lt;&gt;""),Tracker[[#This Row],[Money %]]-Tracker[[#This Row],[Bet %]],NA())</f>
        <v>-8.0000000000000016E-2</v>
      </c>
      <c r="S465" s="110"/>
      <c r="T465" s="110"/>
      <c r="V465" s="4"/>
      <c r="W465" s="35"/>
    </row>
    <row r="466" spans="1:23" x14ac:dyDescent="0.25">
      <c r="A466" s="36">
        <f t="shared" si="68"/>
        <v>46</v>
      </c>
      <c r="B466" s="25">
        <v>43893</v>
      </c>
      <c r="C466" s="25" t="str">
        <f t="shared" si="69"/>
        <v>NBA</v>
      </c>
      <c r="D466" s="26" t="s">
        <v>1817</v>
      </c>
      <c r="E466" s="28" t="s">
        <v>1819</v>
      </c>
      <c r="F466" s="74">
        <v>0.57579473623360611</v>
      </c>
      <c r="G466" s="29">
        <v>-110</v>
      </c>
      <c r="H466" s="50" t="s">
        <v>57</v>
      </c>
      <c r="I46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6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66" s="40" t="str">
        <f>MID(Tracker[[#This Row],[Game]],SEARCH("@",Tracker[[#This Row],[Game]])+2,LEN(Tracker[[#This Row],[Game]]))</f>
        <v>Pelicans</v>
      </c>
      <c r="L466" s="40" t="str">
        <f>LEFT(Tracker[[#This Row],[Game]],SEARCH("@",Tracker[[#This Row],[Game]])-2)</f>
        <v>Timberwolves</v>
      </c>
      <c r="M46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66" s="123">
        <v>0.4</v>
      </c>
      <c r="O466" s="147">
        <v>0.74</v>
      </c>
      <c r="P466" s="147">
        <v>0.62</v>
      </c>
      <c r="Q466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-15--10%</v>
      </c>
      <c r="R466" s="155">
        <f>IF(AND(Tracker[[#This Row],[Money %]]&lt;&gt;"",Tracker[[#This Row],[Bet %]]&lt;&gt;""),Tracker[[#This Row],[Money %]]-Tracker[[#This Row],[Bet %]],NA())</f>
        <v>-0.12</v>
      </c>
      <c r="S466" s="110"/>
      <c r="T466" s="110"/>
      <c r="V466" s="4"/>
      <c r="W466" s="35"/>
    </row>
    <row r="467" spans="1:23" x14ac:dyDescent="0.25">
      <c r="A467" s="36">
        <f t="shared" si="68"/>
        <v>46</v>
      </c>
      <c r="B467" s="25">
        <v>43893</v>
      </c>
      <c r="C467" s="25" t="str">
        <f t="shared" si="69"/>
        <v>NBA</v>
      </c>
      <c r="D467" s="26" t="s">
        <v>1820</v>
      </c>
      <c r="E467" s="28" t="s">
        <v>1821</v>
      </c>
      <c r="F467" s="74">
        <v>0.55347622953121622</v>
      </c>
      <c r="G467" s="29">
        <v>-110</v>
      </c>
      <c r="H467" s="50" t="s">
        <v>56</v>
      </c>
      <c r="I46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6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467" s="40" t="str">
        <f>MID(Tracker[[#This Row],[Game]],SEARCH("@",Tracker[[#This Row],[Game]])+2,LEN(Tracker[[#This Row],[Game]]))</f>
        <v>Thunder</v>
      </c>
      <c r="L467" s="40" t="str">
        <f>LEFT(Tracker[[#This Row],[Game]],SEARCH("@",Tracker[[#This Row],[Game]])-2)</f>
        <v>Clippers</v>
      </c>
      <c r="M46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467" s="123">
        <v>0.48949999999999999</v>
      </c>
      <c r="O467" s="147">
        <v>0.78</v>
      </c>
      <c r="P467" s="147">
        <v>0.93</v>
      </c>
      <c r="Q467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15-20%</v>
      </c>
      <c r="R467" s="155">
        <f>IF(AND(Tracker[[#This Row],[Money %]]&lt;&gt;"",Tracker[[#This Row],[Bet %]]&lt;&gt;""),Tracker[[#This Row],[Money %]]-Tracker[[#This Row],[Bet %]],NA())</f>
        <v>0.15000000000000002</v>
      </c>
      <c r="S467" s="110"/>
      <c r="T467" s="110"/>
      <c r="V467" s="4"/>
      <c r="W467" s="35"/>
    </row>
    <row r="468" spans="1:23" x14ac:dyDescent="0.25">
      <c r="A468" s="36">
        <f t="shared" si="68"/>
        <v>46</v>
      </c>
      <c r="B468" s="25">
        <v>43893</v>
      </c>
      <c r="C468" s="25" t="str">
        <f t="shared" si="69"/>
        <v>NBA</v>
      </c>
      <c r="D468" s="26" t="s">
        <v>1820</v>
      </c>
      <c r="E468" s="28" t="s">
        <v>1442</v>
      </c>
      <c r="F468" s="74">
        <v>0.51577880046073377</v>
      </c>
      <c r="G468" s="29">
        <v>-110</v>
      </c>
      <c r="H468" s="50" t="s">
        <v>57</v>
      </c>
      <c r="I46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6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468" s="40" t="str">
        <f>MID(Tracker[[#This Row],[Game]],SEARCH("@",Tracker[[#This Row],[Game]])+2,LEN(Tracker[[#This Row],[Game]]))</f>
        <v>Thunder</v>
      </c>
      <c r="L468" s="40" t="str">
        <f>LEFT(Tracker[[#This Row],[Game]],SEARCH("@",Tracker[[#This Row],[Game]])-2)</f>
        <v>Clippers</v>
      </c>
      <c r="M46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468" s="123">
        <v>0.48199999999999998</v>
      </c>
      <c r="O468" s="147">
        <v>0.31</v>
      </c>
      <c r="P468" s="147">
        <v>0.7</v>
      </c>
      <c r="Q468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35-40%</v>
      </c>
      <c r="R468" s="155">
        <f>IF(AND(Tracker[[#This Row],[Money %]]&lt;&gt;"",Tracker[[#This Row],[Bet %]]&lt;&gt;""),Tracker[[#This Row],[Money %]]-Tracker[[#This Row],[Bet %]],NA())</f>
        <v>0.38999999999999996</v>
      </c>
      <c r="S468" s="110"/>
      <c r="T468" s="110"/>
      <c r="V468" s="4"/>
      <c r="W468" s="35"/>
    </row>
    <row r="469" spans="1:23" x14ac:dyDescent="0.25">
      <c r="A469" s="36">
        <f t="shared" si="68"/>
        <v>46</v>
      </c>
      <c r="B469" s="25">
        <v>43893</v>
      </c>
      <c r="C469" s="25" t="str">
        <f t="shared" si="69"/>
        <v>NBA</v>
      </c>
      <c r="D469" s="26" t="s">
        <v>1822</v>
      </c>
      <c r="E469" s="28" t="s">
        <v>1823</v>
      </c>
      <c r="F469" s="74">
        <v>0.55691157641945266</v>
      </c>
      <c r="G469" s="29">
        <v>-110</v>
      </c>
      <c r="H469" s="50" t="s">
        <v>56</v>
      </c>
      <c r="I46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6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469" s="40" t="str">
        <f>MID(Tracker[[#This Row],[Game]],SEARCH("@",Tracker[[#This Row],[Game]])+2,LEN(Tracker[[#This Row],[Game]]))</f>
        <v>Nuggets</v>
      </c>
      <c r="L469" s="40" t="str">
        <f>LEFT(Tracker[[#This Row],[Game]],SEARCH("@",Tracker[[#This Row],[Game]])-2)</f>
        <v>Warriors</v>
      </c>
      <c r="M46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469" s="123">
        <v>0.4975</v>
      </c>
      <c r="O469" s="147">
        <v>0.46</v>
      </c>
      <c r="P469" s="147">
        <v>0.82</v>
      </c>
      <c r="Q469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35-40%</v>
      </c>
      <c r="R469" s="155">
        <f>IF(AND(Tracker[[#This Row],[Money %]]&lt;&gt;"",Tracker[[#This Row],[Bet %]]&lt;&gt;""),Tracker[[#This Row],[Money %]]-Tracker[[#This Row],[Bet %]],NA())</f>
        <v>0.35999999999999993</v>
      </c>
      <c r="S469" s="110"/>
      <c r="T469" s="110"/>
      <c r="V469" s="4"/>
      <c r="W469" s="35"/>
    </row>
    <row r="470" spans="1:23" x14ac:dyDescent="0.25">
      <c r="A470" s="36">
        <f t="shared" si="68"/>
        <v>46</v>
      </c>
      <c r="B470" s="25">
        <v>43893</v>
      </c>
      <c r="C470" s="25" t="str">
        <f t="shared" si="69"/>
        <v>NBA</v>
      </c>
      <c r="D470" s="26" t="s">
        <v>1822</v>
      </c>
      <c r="E470" s="28" t="s">
        <v>1089</v>
      </c>
      <c r="F470" s="74">
        <v>0.55092970780266981</v>
      </c>
      <c r="G470" s="29">
        <v>-110</v>
      </c>
      <c r="H470" s="50" t="s">
        <v>57</v>
      </c>
      <c r="I47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7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470" s="40" t="str">
        <f>MID(Tracker[[#This Row],[Game]],SEARCH("@",Tracker[[#This Row],[Game]])+2,LEN(Tracker[[#This Row],[Game]]))</f>
        <v>Nuggets</v>
      </c>
      <c r="L470" s="40" t="str">
        <f>LEFT(Tracker[[#This Row],[Game]],SEARCH("@",Tracker[[#This Row],[Game]])-2)</f>
        <v>Warriors</v>
      </c>
      <c r="M47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470" s="123">
        <v>0.48350000000000004</v>
      </c>
      <c r="O470" s="147">
        <v>0.86</v>
      </c>
      <c r="P470" s="147">
        <v>0.66</v>
      </c>
      <c r="Q470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-20--15%</v>
      </c>
      <c r="R470" s="155">
        <f>IF(AND(Tracker[[#This Row],[Money %]]&lt;&gt;"",Tracker[[#This Row],[Bet %]]&lt;&gt;""),Tracker[[#This Row],[Money %]]-Tracker[[#This Row],[Bet %]],NA())</f>
        <v>-0.19999999999999996</v>
      </c>
      <c r="S470" s="110"/>
      <c r="T470" s="110"/>
      <c r="V470" s="4"/>
      <c r="W470" s="35"/>
    </row>
    <row r="471" spans="1:23" x14ac:dyDescent="0.25">
      <c r="A471" s="36">
        <f t="shared" si="68"/>
        <v>46</v>
      </c>
      <c r="B471" s="25">
        <v>43893</v>
      </c>
      <c r="C471" s="25" t="str">
        <f t="shared" si="69"/>
        <v>NBA</v>
      </c>
      <c r="D471" s="26" t="s">
        <v>1824</v>
      </c>
      <c r="E471" s="28" t="s">
        <v>1825</v>
      </c>
      <c r="F471" s="74">
        <v>0.64617077454794403</v>
      </c>
      <c r="G471" s="29">
        <v>-110</v>
      </c>
      <c r="H471" s="50" t="s">
        <v>56</v>
      </c>
      <c r="I47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7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471" s="40" t="str">
        <f>MID(Tracker[[#This Row],[Game]],SEARCH("@",Tracker[[#This Row],[Game]])+2,LEN(Tracker[[#This Row],[Game]]))</f>
        <v>Suns</v>
      </c>
      <c r="L471" s="40" t="str">
        <f>LEFT(Tracker[[#This Row],[Game]],SEARCH("@",Tracker[[#This Row],[Game]])-2)</f>
        <v>Raptors</v>
      </c>
      <c r="M47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471" s="123">
        <v>0.52249999999999996</v>
      </c>
      <c r="O471" s="147">
        <v>0.88</v>
      </c>
      <c r="P471" s="147">
        <v>0.84</v>
      </c>
      <c r="Q471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-5-0%</v>
      </c>
      <c r="R471" s="155">
        <f>IF(AND(Tracker[[#This Row],[Money %]]&lt;&gt;"",Tracker[[#This Row],[Bet %]]&lt;&gt;""),Tracker[[#This Row],[Money %]]-Tracker[[#This Row],[Bet %]],NA())</f>
        <v>-4.0000000000000036E-2</v>
      </c>
      <c r="S471" s="110"/>
      <c r="T471" s="110"/>
      <c r="V471" s="4"/>
      <c r="W471" s="35"/>
    </row>
    <row r="472" spans="1:23" x14ac:dyDescent="0.25">
      <c r="A472" s="36">
        <f t="shared" si="68"/>
        <v>46</v>
      </c>
      <c r="B472" s="25">
        <v>43893</v>
      </c>
      <c r="C472" s="25" t="str">
        <f t="shared" si="69"/>
        <v>NBA</v>
      </c>
      <c r="D472" s="26" t="s">
        <v>1824</v>
      </c>
      <c r="E472" s="28" t="s">
        <v>1790</v>
      </c>
      <c r="F472" s="74">
        <v>0.63731827170485378</v>
      </c>
      <c r="G472" s="29">
        <v>-110</v>
      </c>
      <c r="H472" s="50" t="s">
        <v>56</v>
      </c>
      <c r="I47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7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472" s="40" t="str">
        <f>MID(Tracker[[#This Row],[Game]],SEARCH("@",Tracker[[#This Row],[Game]])+2,LEN(Tracker[[#This Row],[Game]]))</f>
        <v>Suns</v>
      </c>
      <c r="L472" s="40" t="str">
        <f>LEFT(Tracker[[#This Row],[Game]],SEARCH("@",Tracker[[#This Row],[Game]])-2)</f>
        <v>Raptors</v>
      </c>
      <c r="M47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472" s="123">
        <v>0.51700000000000002</v>
      </c>
      <c r="O472" s="147">
        <v>0.6</v>
      </c>
      <c r="P472" s="147">
        <v>0.91</v>
      </c>
      <c r="Q472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30-35%</v>
      </c>
      <c r="R472" s="155">
        <f>IF(AND(Tracker[[#This Row],[Money %]]&lt;&gt;"",Tracker[[#This Row],[Bet %]]&lt;&gt;""),Tracker[[#This Row],[Money %]]-Tracker[[#This Row],[Bet %]],NA())</f>
        <v>0.31000000000000005</v>
      </c>
      <c r="S472" s="110"/>
      <c r="T472" s="110"/>
      <c r="V472" s="4"/>
      <c r="W472" s="35"/>
    </row>
    <row r="473" spans="1:23" x14ac:dyDescent="0.25">
      <c r="A473" s="36">
        <f t="shared" si="68"/>
        <v>46</v>
      </c>
      <c r="B473" s="25">
        <v>43893</v>
      </c>
      <c r="C473" s="25" t="str">
        <f t="shared" si="69"/>
        <v>NBA</v>
      </c>
      <c r="D473" s="26" t="s">
        <v>1826</v>
      </c>
      <c r="E473" s="28" t="s">
        <v>1827</v>
      </c>
      <c r="F473" s="74">
        <v>0.6201353922827989</v>
      </c>
      <c r="G473" s="29">
        <v>-110</v>
      </c>
      <c r="H473" s="50" t="s">
        <v>57</v>
      </c>
      <c r="I47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7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473" s="40" t="str">
        <f>MID(Tracker[[#This Row],[Game]],SEARCH("@",Tracker[[#This Row],[Game]])+2,LEN(Tracker[[#This Row],[Game]]))</f>
        <v>Lakers</v>
      </c>
      <c r="L473" s="40" t="str">
        <f>LEFT(Tracker[[#This Row],[Game]],SEARCH("@",Tracker[[#This Row],[Game]])-2)</f>
        <v>76ers</v>
      </c>
      <c r="M47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473" s="123">
        <v>0.36499999999999999</v>
      </c>
      <c r="O473" s="147">
        <v>0.44</v>
      </c>
      <c r="P473" s="147">
        <v>0.88</v>
      </c>
      <c r="Q473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40-45%</v>
      </c>
      <c r="R473" s="155">
        <f>IF(AND(Tracker[[#This Row],[Money %]]&lt;&gt;"",Tracker[[#This Row],[Bet %]]&lt;&gt;""),Tracker[[#This Row],[Money %]]-Tracker[[#This Row],[Bet %]],NA())</f>
        <v>0.44</v>
      </c>
      <c r="S473" s="110"/>
      <c r="T473" s="110"/>
      <c r="V473" s="4"/>
      <c r="W473" s="35"/>
    </row>
    <row r="474" spans="1:23" x14ac:dyDescent="0.25">
      <c r="A474" s="36">
        <f t="shared" si="68"/>
        <v>46</v>
      </c>
      <c r="B474" s="25">
        <v>43893</v>
      </c>
      <c r="C474" s="25" t="str">
        <f t="shared" si="69"/>
        <v>NBA</v>
      </c>
      <c r="D474" s="26" t="s">
        <v>1826</v>
      </c>
      <c r="E474" s="28" t="s">
        <v>1828</v>
      </c>
      <c r="F474" s="74">
        <v>0.56179528814239033</v>
      </c>
      <c r="G474" s="29">
        <v>-110</v>
      </c>
      <c r="H474" s="50" t="s">
        <v>56</v>
      </c>
      <c r="I47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7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474" s="40" t="str">
        <f>MID(Tracker[[#This Row],[Game]],SEARCH("@",Tracker[[#This Row],[Game]])+2,LEN(Tracker[[#This Row],[Game]]))</f>
        <v>Lakers</v>
      </c>
      <c r="L474" s="40" t="str">
        <f>LEFT(Tracker[[#This Row],[Game]],SEARCH("@",Tracker[[#This Row],[Game]])-2)</f>
        <v>76ers</v>
      </c>
      <c r="M47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474" s="123">
        <v>0.42399999999999999</v>
      </c>
      <c r="O474" s="147">
        <v>0.57999999999999996</v>
      </c>
      <c r="P474" s="147">
        <v>0.84</v>
      </c>
      <c r="Q474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25-30%</v>
      </c>
      <c r="R474" s="155">
        <f>IF(AND(Tracker[[#This Row],[Money %]]&lt;&gt;"",Tracker[[#This Row],[Bet %]]&lt;&gt;""),Tracker[[#This Row],[Money %]]-Tracker[[#This Row],[Bet %]],NA())</f>
        <v>0.26</v>
      </c>
      <c r="S474" s="110"/>
      <c r="T474" s="110"/>
      <c r="V474" s="4"/>
      <c r="W474" s="35"/>
    </row>
    <row r="475" spans="1:23" x14ac:dyDescent="0.25">
      <c r="A475" s="36">
        <f t="shared" si="68"/>
        <v>46</v>
      </c>
      <c r="B475" s="25">
        <v>43893</v>
      </c>
      <c r="C475" s="25" t="str">
        <f t="shared" si="69"/>
        <v>NBA</v>
      </c>
      <c r="D475" s="26" t="s">
        <v>1829</v>
      </c>
      <c r="E475" s="28" t="s">
        <v>1830</v>
      </c>
      <c r="F475" s="74">
        <v>0.57395719163635961</v>
      </c>
      <c r="G475" s="29">
        <v>-110</v>
      </c>
      <c r="H475" s="50" t="s">
        <v>57</v>
      </c>
      <c r="I47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7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475" s="40" t="str">
        <f>MID(Tracker[[#This Row],[Game]],SEARCH("@",Tracker[[#This Row],[Game]])+2,LEN(Tracker[[#This Row],[Game]]))</f>
        <v>Kings</v>
      </c>
      <c r="L475" s="40" t="str">
        <f>LEFT(Tracker[[#This Row],[Game]],SEARCH("@",Tracker[[#This Row],[Game]])-2)</f>
        <v>Wizards</v>
      </c>
      <c r="M47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475" s="123">
        <v>0.63500000000000001</v>
      </c>
      <c r="O475" s="147">
        <v>0.37</v>
      </c>
      <c r="P475" s="147">
        <v>0.57999999999999996</v>
      </c>
      <c r="Q475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20-25%</v>
      </c>
      <c r="R475" s="155">
        <f>IF(AND(Tracker[[#This Row],[Money %]]&lt;&gt;"",Tracker[[#This Row],[Bet %]]&lt;&gt;""),Tracker[[#This Row],[Money %]]-Tracker[[#This Row],[Bet %]],NA())</f>
        <v>0.20999999999999996</v>
      </c>
      <c r="S475" s="110"/>
      <c r="T475" s="110"/>
      <c r="V475" s="4"/>
      <c r="W475" s="35"/>
    </row>
    <row r="476" spans="1:23" x14ac:dyDescent="0.25">
      <c r="A476" s="36">
        <f t="shared" si="68"/>
        <v>46</v>
      </c>
      <c r="B476" s="25">
        <v>43893</v>
      </c>
      <c r="C476" s="25" t="str">
        <f t="shared" si="69"/>
        <v>NBA</v>
      </c>
      <c r="D476" s="26" t="s">
        <v>1829</v>
      </c>
      <c r="E476" s="28" t="s">
        <v>1233</v>
      </c>
      <c r="F476" s="74">
        <v>0.53165569217230524</v>
      </c>
      <c r="G476" s="29">
        <v>-110</v>
      </c>
      <c r="H476" s="50" t="s">
        <v>57</v>
      </c>
      <c r="I47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7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76" s="40" t="str">
        <f>MID(Tracker[[#This Row],[Game]],SEARCH("@",Tracker[[#This Row],[Game]])+2,LEN(Tracker[[#This Row],[Game]]))</f>
        <v>Kings</v>
      </c>
      <c r="L476" s="40" t="str">
        <f>LEFT(Tracker[[#This Row],[Game]],SEARCH("@",Tracker[[#This Row],[Game]])-2)</f>
        <v>Wizards</v>
      </c>
      <c r="M47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76" s="123">
        <v>0.40500000000000003</v>
      </c>
      <c r="O476" s="147">
        <v>0.35</v>
      </c>
      <c r="P476" s="147">
        <v>0.25</v>
      </c>
      <c r="Q476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-10--5%</v>
      </c>
      <c r="R476" s="155">
        <f>IF(AND(Tracker[[#This Row],[Money %]]&lt;&gt;"",Tracker[[#This Row],[Bet %]]&lt;&gt;""),Tracker[[#This Row],[Money %]]-Tracker[[#This Row],[Bet %]],NA())</f>
        <v>-9.9999999999999978E-2</v>
      </c>
      <c r="S476" s="110"/>
      <c r="T476" s="110"/>
      <c r="V476" s="4"/>
      <c r="W476" s="35"/>
    </row>
    <row r="477" spans="1:23" x14ac:dyDescent="0.25">
      <c r="A477" s="36">
        <f t="shared" si="68"/>
        <v>47</v>
      </c>
      <c r="B477" s="25">
        <v>43894</v>
      </c>
      <c r="C477" s="25" t="str">
        <f t="shared" ref="C477:C494" si="70">"NBA"</f>
        <v>NBA</v>
      </c>
      <c r="D477" s="26" t="s">
        <v>1844</v>
      </c>
      <c r="E477" s="28" t="s">
        <v>1845</v>
      </c>
      <c r="F477" s="74">
        <v>0.91808378274429914</v>
      </c>
      <c r="G477" s="29">
        <v>-110</v>
      </c>
      <c r="H477" s="50" t="s">
        <v>56</v>
      </c>
      <c r="I47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7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477" s="40" t="str">
        <f>MID(Tracker[[#This Row],[Game]],SEARCH("@",Tracker[[#This Row],[Game]])+2,LEN(Tracker[[#This Row],[Game]]))</f>
        <v>Cavaliers</v>
      </c>
      <c r="L477" s="40" t="str">
        <f>LEFT(Tracker[[#This Row],[Game]],SEARCH("@",Tracker[[#This Row],[Game]])-2)</f>
        <v>Celtics</v>
      </c>
      <c r="M47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477" s="123">
        <v>0.55000000000000004</v>
      </c>
      <c r="O477" s="147">
        <v>0.76</v>
      </c>
      <c r="P477" s="147">
        <v>0.82</v>
      </c>
      <c r="Q477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5-10%</v>
      </c>
      <c r="R477" s="155">
        <f>IF(AND(Tracker[[#This Row],[Money %]]&lt;&gt;"",Tracker[[#This Row],[Bet %]]&lt;&gt;""),Tracker[[#This Row],[Money %]]-Tracker[[#This Row],[Bet %]],NA())</f>
        <v>5.9999999999999942E-2</v>
      </c>
      <c r="S477" s="110"/>
      <c r="T477" s="110"/>
      <c r="V477" s="4"/>
      <c r="W477" s="35"/>
    </row>
    <row r="478" spans="1:23" x14ac:dyDescent="0.25">
      <c r="A478" s="36">
        <f t="shared" si="68"/>
        <v>47</v>
      </c>
      <c r="B478" s="25">
        <v>43894</v>
      </c>
      <c r="C478" s="25" t="str">
        <f t="shared" si="70"/>
        <v>NBA</v>
      </c>
      <c r="D478" s="26" t="s">
        <v>1844</v>
      </c>
      <c r="E478" s="28" t="s">
        <v>1462</v>
      </c>
      <c r="F478" s="74">
        <v>0.66180237761646132</v>
      </c>
      <c r="G478" s="29">
        <v>-110</v>
      </c>
      <c r="H478" s="50" t="s">
        <v>57</v>
      </c>
      <c r="I47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7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78" s="40" t="str">
        <f>MID(Tracker[[#This Row],[Game]],SEARCH("@",Tracker[[#This Row],[Game]])+2,LEN(Tracker[[#This Row],[Game]]))</f>
        <v>Cavaliers</v>
      </c>
      <c r="L478" s="40" t="str">
        <f>LEFT(Tracker[[#This Row],[Game]],SEARCH("@",Tracker[[#This Row],[Game]])-2)</f>
        <v>Celtics</v>
      </c>
      <c r="M47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78" s="123">
        <v>0.49549999999999994</v>
      </c>
      <c r="O478" s="147">
        <v>0.56000000000000005</v>
      </c>
      <c r="P478" s="147"/>
      <c r="Q478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478" s="155" t="e">
        <f>IF(AND(Tracker[[#This Row],[Money %]]&lt;&gt;"",Tracker[[#This Row],[Bet %]]&lt;&gt;""),Tracker[[#This Row],[Money %]]-Tracker[[#This Row],[Bet %]],NA())</f>
        <v>#N/A</v>
      </c>
      <c r="S478" s="110"/>
      <c r="T478" s="110"/>
      <c r="V478" s="4"/>
      <c r="W478" s="35"/>
    </row>
    <row r="479" spans="1:23" x14ac:dyDescent="0.25">
      <c r="A479" s="36">
        <f t="shared" si="68"/>
        <v>47</v>
      </c>
      <c r="B479" s="25">
        <v>43894</v>
      </c>
      <c r="C479" s="25" t="str">
        <f t="shared" si="70"/>
        <v>NBA</v>
      </c>
      <c r="D479" s="26" t="s">
        <v>1846</v>
      </c>
      <c r="E479" s="28" t="s">
        <v>1847</v>
      </c>
      <c r="F479" s="74">
        <v>0.54679208581781125</v>
      </c>
      <c r="G479" s="29">
        <v>-110</v>
      </c>
      <c r="H479" s="50" t="s">
        <v>57</v>
      </c>
      <c r="I47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7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479" s="40" t="str">
        <f>MID(Tracker[[#This Row],[Game]],SEARCH("@",Tracker[[#This Row],[Game]])+2,LEN(Tracker[[#This Row],[Game]]))</f>
        <v>Pistons</v>
      </c>
      <c r="L479" s="40" t="str">
        <f>LEFT(Tracker[[#This Row],[Game]],SEARCH("@",Tracker[[#This Row],[Game]])-2)</f>
        <v>Thunder</v>
      </c>
      <c r="M47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479" s="123">
        <v>0.61250000000000004</v>
      </c>
      <c r="O479" s="147">
        <v>0.78</v>
      </c>
      <c r="P479" s="147">
        <v>0.68</v>
      </c>
      <c r="Q479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-10--5%</v>
      </c>
      <c r="R479" s="155">
        <f>IF(AND(Tracker[[#This Row],[Money %]]&lt;&gt;"",Tracker[[#This Row],[Bet %]]&lt;&gt;""),Tracker[[#This Row],[Money %]]-Tracker[[#This Row],[Bet %]],NA())</f>
        <v>-9.9999999999999978E-2</v>
      </c>
      <c r="S479" s="110"/>
      <c r="T479" s="110"/>
      <c r="V479" s="4"/>
      <c r="W479" s="35"/>
    </row>
    <row r="480" spans="1:23" x14ac:dyDescent="0.25">
      <c r="A480" s="36">
        <f t="shared" si="68"/>
        <v>47</v>
      </c>
      <c r="B480" s="25">
        <v>43894</v>
      </c>
      <c r="C480" s="25" t="str">
        <f t="shared" si="70"/>
        <v>NBA</v>
      </c>
      <c r="D480" s="26" t="s">
        <v>1846</v>
      </c>
      <c r="E480" s="28" t="s">
        <v>1035</v>
      </c>
      <c r="F480" s="74">
        <v>0.58229307265623254</v>
      </c>
      <c r="G480" s="29">
        <v>-110</v>
      </c>
      <c r="H480" s="50" t="s">
        <v>57</v>
      </c>
      <c r="I48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8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80" s="40" t="str">
        <f>MID(Tracker[[#This Row],[Game]],SEARCH("@",Tracker[[#This Row],[Game]])+2,LEN(Tracker[[#This Row],[Game]]))</f>
        <v>Pistons</v>
      </c>
      <c r="L480" s="40" t="str">
        <f>LEFT(Tracker[[#This Row],[Game]],SEARCH("@",Tracker[[#This Row],[Game]])-2)</f>
        <v>Thunder</v>
      </c>
      <c r="M48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80" s="123">
        <v>0.45199999999999996</v>
      </c>
      <c r="O480" s="147">
        <v>0.41</v>
      </c>
      <c r="P480" s="147">
        <v>0.72</v>
      </c>
      <c r="Q480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30-35%</v>
      </c>
      <c r="R480" s="155">
        <f>IF(AND(Tracker[[#This Row],[Money %]]&lt;&gt;"",Tracker[[#This Row],[Bet %]]&lt;&gt;""),Tracker[[#This Row],[Money %]]-Tracker[[#This Row],[Bet %]],NA())</f>
        <v>0.31</v>
      </c>
      <c r="S480" s="110"/>
      <c r="T480" s="110"/>
      <c r="V480" s="4"/>
      <c r="W480" s="35"/>
    </row>
    <row r="481" spans="1:23" x14ac:dyDescent="0.25">
      <c r="A481" s="36">
        <f t="shared" si="68"/>
        <v>47</v>
      </c>
      <c r="B481" s="25">
        <v>43894</v>
      </c>
      <c r="C481" s="25" t="str">
        <f t="shared" si="70"/>
        <v>NBA</v>
      </c>
      <c r="D481" s="26" t="s">
        <v>1848</v>
      </c>
      <c r="E481" s="28" t="s">
        <v>1501</v>
      </c>
      <c r="F481" s="74">
        <v>0.68159593313674915</v>
      </c>
      <c r="G481" s="29">
        <v>-110</v>
      </c>
      <c r="H481" s="50" t="s">
        <v>56</v>
      </c>
      <c r="I48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8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481" s="40" t="str">
        <f>MID(Tracker[[#This Row],[Game]],SEARCH("@",Tracker[[#This Row],[Game]])+2,LEN(Tracker[[#This Row],[Game]]))</f>
        <v>Bucks</v>
      </c>
      <c r="L481" s="40" t="str">
        <f>LEFT(Tracker[[#This Row],[Game]],SEARCH("@",Tracker[[#This Row],[Game]])-2)</f>
        <v>Pacers</v>
      </c>
      <c r="M48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481" s="123">
        <v>0.53099999999999992</v>
      </c>
      <c r="O481" s="147">
        <v>0.69</v>
      </c>
      <c r="P481" s="147">
        <v>0.6</v>
      </c>
      <c r="Q481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-10--5%</v>
      </c>
      <c r="R481" s="155">
        <f>IF(AND(Tracker[[#This Row],[Money %]]&lt;&gt;"",Tracker[[#This Row],[Bet %]]&lt;&gt;""),Tracker[[#This Row],[Money %]]-Tracker[[#This Row],[Bet %]],NA())</f>
        <v>-8.9999999999999969E-2</v>
      </c>
      <c r="S481" s="110"/>
      <c r="T481" s="110"/>
      <c r="V481" s="4"/>
      <c r="W481" s="35"/>
    </row>
    <row r="482" spans="1:23" x14ac:dyDescent="0.25">
      <c r="A482" s="36">
        <f t="shared" si="68"/>
        <v>47</v>
      </c>
      <c r="B482" s="25">
        <v>43894</v>
      </c>
      <c r="C482" s="25" t="str">
        <f t="shared" si="70"/>
        <v>NBA</v>
      </c>
      <c r="D482" s="26" t="s">
        <v>1848</v>
      </c>
      <c r="E482" s="28" t="s">
        <v>893</v>
      </c>
      <c r="F482" s="74">
        <v>0.65974692985358951</v>
      </c>
      <c r="G482" s="29">
        <v>-110</v>
      </c>
      <c r="H482" s="50" t="s">
        <v>56</v>
      </c>
      <c r="I48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8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82" s="40" t="str">
        <f>MID(Tracker[[#This Row],[Game]],SEARCH("@",Tracker[[#This Row],[Game]])+2,LEN(Tracker[[#This Row],[Game]]))</f>
        <v>Bucks</v>
      </c>
      <c r="L482" s="40" t="str">
        <f>LEFT(Tracker[[#This Row],[Game]],SEARCH("@",Tracker[[#This Row],[Game]])-2)</f>
        <v>Pacers</v>
      </c>
      <c r="M48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82" s="123">
        <v>0.46700000000000003</v>
      </c>
      <c r="O482" s="147">
        <v>0.32</v>
      </c>
      <c r="P482" s="147">
        <v>0.63</v>
      </c>
      <c r="Q482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30-35%</v>
      </c>
      <c r="R482" s="155">
        <f>IF(AND(Tracker[[#This Row],[Money %]]&lt;&gt;"",Tracker[[#This Row],[Bet %]]&lt;&gt;""),Tracker[[#This Row],[Money %]]-Tracker[[#This Row],[Bet %]],NA())</f>
        <v>0.31</v>
      </c>
      <c r="S482" s="110"/>
      <c r="T482" s="110"/>
      <c r="V482" s="4"/>
      <c r="W482" s="35"/>
    </row>
    <row r="483" spans="1:23" x14ac:dyDescent="0.25">
      <c r="A483" s="36">
        <f t="shared" si="68"/>
        <v>47</v>
      </c>
      <c r="B483" s="25">
        <v>43894</v>
      </c>
      <c r="C483" s="25" t="str">
        <f t="shared" si="70"/>
        <v>NBA</v>
      </c>
      <c r="D483" s="26" t="s">
        <v>1224</v>
      </c>
      <c r="E483" s="28" t="s">
        <v>1849</v>
      </c>
      <c r="F483" s="74">
        <v>0.52493124211720055</v>
      </c>
      <c r="G483" s="29">
        <v>-110</v>
      </c>
      <c r="H483" s="50" t="s">
        <v>57</v>
      </c>
      <c r="I48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8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483" s="40" t="str">
        <f>MID(Tracker[[#This Row],[Game]],SEARCH("@",Tracker[[#This Row],[Game]])+2,LEN(Tracker[[#This Row],[Game]]))</f>
        <v>Heat</v>
      </c>
      <c r="L483" s="40" t="str">
        <f>LEFT(Tracker[[#This Row],[Game]],SEARCH("@",Tracker[[#This Row],[Game]])-2)</f>
        <v>Magic</v>
      </c>
      <c r="M48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483" s="123">
        <v>0.59000000000000008</v>
      </c>
      <c r="O483" s="147">
        <v>0.87</v>
      </c>
      <c r="P483" s="147">
        <v>0.8</v>
      </c>
      <c r="Q483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-10--5%</v>
      </c>
      <c r="R483" s="155">
        <f>IF(AND(Tracker[[#This Row],[Money %]]&lt;&gt;"",Tracker[[#This Row],[Bet %]]&lt;&gt;""),Tracker[[#This Row],[Money %]]-Tracker[[#This Row],[Bet %]],NA())</f>
        <v>-6.9999999999999951E-2</v>
      </c>
      <c r="S483" s="110"/>
      <c r="T483" s="110"/>
      <c r="V483" s="4"/>
      <c r="W483" s="35"/>
    </row>
    <row r="484" spans="1:23" x14ac:dyDescent="0.25">
      <c r="A484" s="36">
        <f t="shared" si="68"/>
        <v>47</v>
      </c>
      <c r="B484" s="25">
        <v>43894</v>
      </c>
      <c r="C484" s="25" t="str">
        <f t="shared" si="70"/>
        <v>NBA</v>
      </c>
      <c r="D484" s="26" t="s">
        <v>1224</v>
      </c>
      <c r="E484" s="28" t="s">
        <v>1597</v>
      </c>
      <c r="F484" s="74">
        <v>0.73711395798867252</v>
      </c>
      <c r="G484" s="29">
        <v>-110</v>
      </c>
      <c r="H484" s="50" t="s">
        <v>57</v>
      </c>
      <c r="I48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8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84" s="40" t="str">
        <f>MID(Tracker[[#This Row],[Game]],SEARCH("@",Tracker[[#This Row],[Game]])+2,LEN(Tracker[[#This Row],[Game]]))</f>
        <v>Heat</v>
      </c>
      <c r="L484" s="40" t="str">
        <f>LEFT(Tracker[[#This Row],[Game]],SEARCH("@",Tracker[[#This Row],[Game]])-2)</f>
        <v>Magic</v>
      </c>
      <c r="M48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84" s="123">
        <v>0.36299999999999999</v>
      </c>
      <c r="O484" s="147">
        <v>0.35</v>
      </c>
      <c r="P484" s="147">
        <v>0.28000000000000003</v>
      </c>
      <c r="Q484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-10--5%</v>
      </c>
      <c r="R484" s="155">
        <f>IF(AND(Tracker[[#This Row],[Money %]]&lt;&gt;"",Tracker[[#This Row],[Bet %]]&lt;&gt;""),Tracker[[#This Row],[Money %]]-Tracker[[#This Row],[Bet %]],NA())</f>
        <v>-6.9999999999999951E-2</v>
      </c>
      <c r="S484" s="110"/>
      <c r="T484" s="110"/>
      <c r="V484" s="4"/>
      <c r="W484" s="35"/>
    </row>
    <row r="485" spans="1:23" x14ac:dyDescent="0.25">
      <c r="A485" s="36">
        <f t="shared" si="68"/>
        <v>47</v>
      </c>
      <c r="B485" s="25">
        <v>43894</v>
      </c>
      <c r="C485" s="25" t="str">
        <f t="shared" si="70"/>
        <v>NBA</v>
      </c>
      <c r="D485" s="26" t="s">
        <v>1850</v>
      </c>
      <c r="E485" s="28" t="s">
        <v>1851</v>
      </c>
      <c r="F485" s="67">
        <v>0.51567146265593578</v>
      </c>
      <c r="G485" s="29">
        <v>-110</v>
      </c>
      <c r="H485" s="50" t="s">
        <v>56</v>
      </c>
      <c r="I48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8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485" s="40" t="str">
        <f>MID(Tracker[[#This Row],[Game]],SEARCH("@",Tracker[[#This Row],[Game]])+2,LEN(Tracker[[#This Row],[Game]]))</f>
        <v>Nets</v>
      </c>
      <c r="L485" s="40" t="str">
        <f>LEFT(Tracker[[#This Row],[Game]],SEARCH("@",Tracker[[#This Row],[Game]])-2)</f>
        <v>Grizzlies</v>
      </c>
      <c r="M48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485" s="123">
        <v>0.47899999999999998</v>
      </c>
      <c r="O485" s="147">
        <v>0.55000000000000004</v>
      </c>
      <c r="P485" s="147">
        <v>0.97</v>
      </c>
      <c r="Q485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40-45%</v>
      </c>
      <c r="R485" s="155">
        <f>IF(AND(Tracker[[#This Row],[Money %]]&lt;&gt;"",Tracker[[#This Row],[Bet %]]&lt;&gt;""),Tracker[[#This Row],[Money %]]-Tracker[[#This Row],[Bet %]],NA())</f>
        <v>0.41999999999999993</v>
      </c>
      <c r="S485" s="110"/>
      <c r="T485" s="110"/>
      <c r="V485" s="4"/>
      <c r="W485" s="35"/>
    </row>
    <row r="486" spans="1:23" x14ac:dyDescent="0.25">
      <c r="A486" s="36">
        <f t="shared" si="68"/>
        <v>47</v>
      </c>
      <c r="B486" s="25">
        <v>43894</v>
      </c>
      <c r="C486" s="25" t="str">
        <f t="shared" si="70"/>
        <v>NBA</v>
      </c>
      <c r="D486" s="26" t="s">
        <v>1850</v>
      </c>
      <c r="E486" s="28" t="s">
        <v>951</v>
      </c>
      <c r="F486" s="67">
        <v>0.58868890914440275</v>
      </c>
      <c r="G486" s="29">
        <v>-110</v>
      </c>
      <c r="H486" s="50" t="s">
        <v>56</v>
      </c>
      <c r="I48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8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86" s="40" t="str">
        <f>MID(Tracker[[#This Row],[Game]],SEARCH("@",Tracker[[#This Row],[Game]])+2,LEN(Tracker[[#This Row],[Game]]))</f>
        <v>Nets</v>
      </c>
      <c r="L486" s="40" t="str">
        <f>LEFT(Tracker[[#This Row],[Game]],SEARCH("@",Tracker[[#This Row],[Game]])-2)</f>
        <v>Grizzlies</v>
      </c>
      <c r="M48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86" s="123">
        <v>0.5</v>
      </c>
      <c r="O486" s="147">
        <v>0.47</v>
      </c>
      <c r="P486" s="147">
        <v>0.88</v>
      </c>
      <c r="Q486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40-45%</v>
      </c>
      <c r="R486" s="155">
        <f>IF(AND(Tracker[[#This Row],[Money %]]&lt;&gt;"",Tracker[[#This Row],[Bet %]]&lt;&gt;""),Tracker[[#This Row],[Money %]]-Tracker[[#This Row],[Bet %]],NA())</f>
        <v>0.41000000000000003</v>
      </c>
      <c r="S486" s="110"/>
      <c r="T486" s="110"/>
      <c r="V486" s="4"/>
      <c r="W486" s="35"/>
    </row>
    <row r="487" spans="1:23" x14ac:dyDescent="0.25">
      <c r="A487" s="36">
        <f t="shared" si="68"/>
        <v>47</v>
      </c>
      <c r="B487" s="25">
        <v>43894</v>
      </c>
      <c r="C487" s="25" t="str">
        <f t="shared" si="70"/>
        <v>NBA</v>
      </c>
      <c r="D487" s="26" t="s">
        <v>1852</v>
      </c>
      <c r="E487" s="28" t="s">
        <v>1176</v>
      </c>
      <c r="F487" s="67">
        <v>0.67240284906057191</v>
      </c>
      <c r="G487" s="29">
        <v>-110</v>
      </c>
      <c r="H487" s="50" t="s">
        <v>847</v>
      </c>
      <c r="I48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</v>
      </c>
      <c r="J48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487" s="40" t="str">
        <f>MID(Tracker[[#This Row],[Game]],SEARCH("@",Tracker[[#This Row],[Game]])+2,LEN(Tracker[[#This Row],[Game]]))</f>
        <v>Knicks</v>
      </c>
      <c r="L487" s="40" t="str">
        <f>LEFT(Tracker[[#This Row],[Game]],SEARCH("@",Tracker[[#This Row],[Game]])-2)</f>
        <v>Jazz</v>
      </c>
      <c r="M48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487" s="123">
        <v>0.49049999999999999</v>
      </c>
      <c r="O487" s="147">
        <v>0.73</v>
      </c>
      <c r="P487" s="147">
        <v>0.89</v>
      </c>
      <c r="Q487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15-20%</v>
      </c>
      <c r="R487" s="155">
        <f>IF(AND(Tracker[[#This Row],[Money %]]&lt;&gt;"",Tracker[[#This Row],[Bet %]]&lt;&gt;""),Tracker[[#This Row],[Money %]]-Tracker[[#This Row],[Bet %]],NA())</f>
        <v>0.16000000000000003</v>
      </c>
      <c r="S487" s="110"/>
      <c r="T487" s="110"/>
      <c r="V487" s="4"/>
      <c r="W487" s="35"/>
    </row>
    <row r="488" spans="1:23" x14ac:dyDescent="0.25">
      <c r="A488" s="36">
        <f t="shared" si="68"/>
        <v>47</v>
      </c>
      <c r="B488" s="25">
        <v>43894</v>
      </c>
      <c r="C488" s="25" t="str">
        <f t="shared" si="70"/>
        <v>NBA</v>
      </c>
      <c r="D488" s="26" t="s">
        <v>1852</v>
      </c>
      <c r="E488" s="28" t="s">
        <v>1020</v>
      </c>
      <c r="F488" s="67">
        <v>0.75232608007811286</v>
      </c>
      <c r="G488" s="29">
        <v>-110</v>
      </c>
      <c r="H488" s="50" t="s">
        <v>56</v>
      </c>
      <c r="I48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8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88" s="40" t="str">
        <f>MID(Tracker[[#This Row],[Game]],SEARCH("@",Tracker[[#This Row],[Game]])+2,LEN(Tracker[[#This Row],[Game]]))</f>
        <v>Knicks</v>
      </c>
      <c r="L488" s="40" t="str">
        <f>LEFT(Tracker[[#This Row],[Game]],SEARCH("@",Tracker[[#This Row],[Game]])-2)</f>
        <v>Jazz</v>
      </c>
      <c r="M48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88" s="123">
        <v>0.54400000000000004</v>
      </c>
      <c r="O488" s="147">
        <v>0.28999999999999998</v>
      </c>
      <c r="P488" s="147">
        <v>0.44</v>
      </c>
      <c r="Q488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15-20%</v>
      </c>
      <c r="R488" s="155">
        <f>IF(AND(Tracker[[#This Row],[Money %]]&lt;&gt;"",Tracker[[#This Row],[Bet %]]&lt;&gt;""),Tracker[[#This Row],[Money %]]-Tracker[[#This Row],[Bet %]],NA())</f>
        <v>0.15000000000000002</v>
      </c>
      <c r="S488" s="110"/>
      <c r="T488" s="110"/>
      <c r="V488" s="4"/>
      <c r="W488" s="35"/>
    </row>
    <row r="489" spans="1:23" x14ac:dyDescent="0.25">
      <c r="A489" s="36">
        <f t="shared" si="68"/>
        <v>47</v>
      </c>
      <c r="B489" s="25">
        <v>43894</v>
      </c>
      <c r="C489" s="25" t="str">
        <f t="shared" si="70"/>
        <v>NBA</v>
      </c>
      <c r="D489" s="26" t="s">
        <v>1853</v>
      </c>
      <c r="E489" s="28" t="s">
        <v>1854</v>
      </c>
      <c r="F489" s="67">
        <v>0.5734300338360514</v>
      </c>
      <c r="G489" s="29">
        <v>-110</v>
      </c>
      <c r="H489" s="50" t="s">
        <v>57</v>
      </c>
      <c r="I48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8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489" s="40" t="str">
        <f>MID(Tracker[[#This Row],[Game]],SEARCH("@",Tracker[[#This Row],[Game]])+2,LEN(Tracker[[#This Row],[Game]]))</f>
        <v>Timberwolves</v>
      </c>
      <c r="L489" s="40" t="str">
        <f>LEFT(Tracker[[#This Row],[Game]],SEARCH("@",Tracker[[#This Row],[Game]])-2)</f>
        <v>Bulls</v>
      </c>
      <c r="M48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489" s="123">
        <v>0.69550000000000001</v>
      </c>
      <c r="O489" s="147">
        <v>0.42</v>
      </c>
      <c r="P489" s="147">
        <v>0.74</v>
      </c>
      <c r="Q489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30-35%</v>
      </c>
      <c r="R489" s="155">
        <f>IF(AND(Tracker[[#This Row],[Money %]]&lt;&gt;"",Tracker[[#This Row],[Bet %]]&lt;&gt;""),Tracker[[#This Row],[Money %]]-Tracker[[#This Row],[Bet %]],NA())</f>
        <v>0.32</v>
      </c>
      <c r="S489" s="110"/>
      <c r="T489" s="110"/>
      <c r="V489" s="4"/>
      <c r="W489" s="35"/>
    </row>
    <row r="490" spans="1:23" x14ac:dyDescent="0.25">
      <c r="A490" s="36">
        <f t="shared" si="68"/>
        <v>47</v>
      </c>
      <c r="B490" s="25">
        <v>43894</v>
      </c>
      <c r="C490" s="25" t="str">
        <f t="shared" si="70"/>
        <v>NBA</v>
      </c>
      <c r="D490" s="26" t="s">
        <v>1853</v>
      </c>
      <c r="E490" s="28" t="s">
        <v>1183</v>
      </c>
      <c r="F490" s="67">
        <v>0.68055505656446713</v>
      </c>
      <c r="G490" s="29">
        <v>-110</v>
      </c>
      <c r="H490" s="50" t="s">
        <v>56</v>
      </c>
      <c r="I49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9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90" s="40" t="str">
        <f>MID(Tracker[[#This Row],[Game]],SEARCH("@",Tracker[[#This Row],[Game]])+2,LEN(Tracker[[#This Row],[Game]]))</f>
        <v>Timberwolves</v>
      </c>
      <c r="L490" s="40" t="str">
        <f>LEFT(Tracker[[#This Row],[Game]],SEARCH("@",Tracker[[#This Row],[Game]])-2)</f>
        <v>Bulls</v>
      </c>
      <c r="M49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90" s="123">
        <v>0.44850000000000001</v>
      </c>
      <c r="O490" s="147">
        <v>0.17</v>
      </c>
      <c r="P490" s="147">
        <v>0.09</v>
      </c>
      <c r="Q490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-10--5%</v>
      </c>
      <c r="R490" s="155">
        <f>IF(AND(Tracker[[#This Row],[Money %]]&lt;&gt;"",Tracker[[#This Row],[Bet %]]&lt;&gt;""),Tracker[[#This Row],[Money %]]-Tracker[[#This Row],[Bet %]],NA())</f>
        <v>-8.0000000000000016E-2</v>
      </c>
      <c r="S490" s="110"/>
      <c r="T490" s="110"/>
      <c r="V490" s="4"/>
      <c r="W490" s="35"/>
    </row>
    <row r="491" spans="1:23" x14ac:dyDescent="0.25">
      <c r="A491" s="36">
        <f t="shared" si="68"/>
        <v>47</v>
      </c>
      <c r="B491" s="25">
        <v>43894</v>
      </c>
      <c r="C491" s="25" t="str">
        <f t="shared" si="70"/>
        <v>NBA</v>
      </c>
      <c r="D491" s="26" t="s">
        <v>1855</v>
      </c>
      <c r="E491" s="28" t="s">
        <v>1856</v>
      </c>
      <c r="F491" s="67">
        <v>0.65518727435408763</v>
      </c>
      <c r="G491" s="29">
        <v>-110</v>
      </c>
      <c r="H491" s="50" t="s">
        <v>57</v>
      </c>
      <c r="I49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9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491" s="40" t="str">
        <f>MID(Tracker[[#This Row],[Game]],SEARCH("@",Tracker[[#This Row],[Game]])+2,LEN(Tracker[[#This Row],[Game]]))</f>
        <v>Mavericks</v>
      </c>
      <c r="L491" s="40" t="str">
        <f>LEFT(Tracker[[#This Row],[Game]],SEARCH("@",Tracker[[#This Row],[Game]])-2)</f>
        <v>Pelicans</v>
      </c>
      <c r="M49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491" s="123">
        <v>0.50749999999999995</v>
      </c>
      <c r="O491" s="147">
        <v>0.7</v>
      </c>
      <c r="P491" s="147">
        <v>0.87</v>
      </c>
      <c r="Q491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15-20%</v>
      </c>
      <c r="R491" s="155">
        <f>IF(AND(Tracker[[#This Row],[Money %]]&lt;&gt;"",Tracker[[#This Row],[Bet %]]&lt;&gt;""),Tracker[[#This Row],[Money %]]-Tracker[[#This Row],[Bet %]],NA())</f>
        <v>0.17000000000000004</v>
      </c>
      <c r="S491" s="110"/>
      <c r="T491" s="110"/>
      <c r="V491" s="4"/>
      <c r="W491" s="35"/>
    </row>
    <row r="492" spans="1:23" x14ac:dyDescent="0.25">
      <c r="A492" s="36">
        <f t="shared" si="68"/>
        <v>47</v>
      </c>
      <c r="B492" s="25">
        <v>43894</v>
      </c>
      <c r="C492" s="25" t="str">
        <f t="shared" si="70"/>
        <v>NBA</v>
      </c>
      <c r="D492" s="26" t="s">
        <v>1855</v>
      </c>
      <c r="E492" s="28" t="s">
        <v>1671</v>
      </c>
      <c r="F492" s="67">
        <v>0.66115899187104077</v>
      </c>
      <c r="G492" s="29">
        <v>-110</v>
      </c>
      <c r="H492" s="50" t="s">
        <v>57</v>
      </c>
      <c r="I49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9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92" s="40" t="str">
        <f>MID(Tracker[[#This Row],[Game]],SEARCH("@",Tracker[[#This Row],[Game]])+2,LEN(Tracker[[#This Row],[Game]]))</f>
        <v>Mavericks</v>
      </c>
      <c r="L492" s="40" t="str">
        <f>LEFT(Tracker[[#This Row],[Game]],SEARCH("@",Tracker[[#This Row],[Game]])-2)</f>
        <v>Pelicans</v>
      </c>
      <c r="M49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92" s="123">
        <v>0.4</v>
      </c>
      <c r="O492" s="147">
        <v>0.33</v>
      </c>
      <c r="P492" s="147">
        <v>0.02</v>
      </c>
      <c r="Q492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-35--30%</v>
      </c>
      <c r="R492" s="155">
        <f>IF(AND(Tracker[[#This Row],[Money %]]&lt;&gt;"",Tracker[[#This Row],[Bet %]]&lt;&gt;""),Tracker[[#This Row],[Money %]]-Tracker[[#This Row],[Bet %]],NA())</f>
        <v>-0.31</v>
      </c>
      <c r="S492" s="110"/>
      <c r="T492" s="110"/>
      <c r="V492" s="4"/>
      <c r="W492" s="35"/>
    </row>
    <row r="493" spans="1:23" x14ac:dyDescent="0.25">
      <c r="A493" s="36">
        <f t="shared" si="68"/>
        <v>47</v>
      </c>
      <c r="B493" s="25">
        <v>43894</v>
      </c>
      <c r="C493" s="25" t="str">
        <f t="shared" si="70"/>
        <v>NBA</v>
      </c>
      <c r="D493" s="26" t="s">
        <v>1857</v>
      </c>
      <c r="E493" s="28" t="s">
        <v>1858</v>
      </c>
      <c r="F493" s="67">
        <v>0.59809759054570877</v>
      </c>
      <c r="G493" s="29">
        <v>-110</v>
      </c>
      <c r="H493" s="50" t="s">
        <v>57</v>
      </c>
      <c r="I49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9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493" s="40" t="str">
        <f>MID(Tracker[[#This Row],[Game]],SEARCH("@",Tracker[[#This Row],[Game]])+2,LEN(Tracker[[#This Row],[Game]]))</f>
        <v>Trail Blazers</v>
      </c>
      <c r="L493" s="40" t="str">
        <f>LEFT(Tracker[[#This Row],[Game]],SEARCH("@",Tracker[[#This Row],[Game]])-2)</f>
        <v>Wizards</v>
      </c>
      <c r="M49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493" s="123">
        <v>0.5</v>
      </c>
      <c r="O493" s="147">
        <v>0.49</v>
      </c>
      <c r="P493" s="147">
        <v>0.51</v>
      </c>
      <c r="Q493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0-5%</v>
      </c>
      <c r="R493" s="155">
        <f>IF(AND(Tracker[[#This Row],[Money %]]&lt;&gt;"",Tracker[[#This Row],[Bet %]]&lt;&gt;""),Tracker[[#This Row],[Money %]]-Tracker[[#This Row],[Bet %]],NA())</f>
        <v>2.0000000000000018E-2</v>
      </c>
      <c r="S493" s="110"/>
      <c r="T493" s="110"/>
      <c r="V493" s="4"/>
      <c r="W493" s="35"/>
    </row>
    <row r="494" spans="1:23" x14ac:dyDescent="0.25">
      <c r="A494" s="36">
        <f t="shared" si="68"/>
        <v>47</v>
      </c>
      <c r="B494" s="25">
        <v>43894</v>
      </c>
      <c r="C494" s="25" t="str">
        <f t="shared" si="70"/>
        <v>NBA</v>
      </c>
      <c r="D494" s="26" t="s">
        <v>1857</v>
      </c>
      <c r="E494" s="28" t="s">
        <v>791</v>
      </c>
      <c r="F494" s="67">
        <v>0.64407764906477205</v>
      </c>
      <c r="G494" s="29">
        <v>-110</v>
      </c>
      <c r="H494" s="50" t="s">
        <v>56</v>
      </c>
      <c r="I49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9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94" s="40" t="str">
        <f>MID(Tracker[[#This Row],[Game]],SEARCH("@",Tracker[[#This Row],[Game]])+2,LEN(Tracker[[#This Row],[Game]]))</f>
        <v>Trail Blazers</v>
      </c>
      <c r="L494" s="40" t="str">
        <f>LEFT(Tracker[[#This Row],[Game]],SEARCH("@",Tracker[[#This Row],[Game]])-2)</f>
        <v>Wizards</v>
      </c>
      <c r="M49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94" s="123">
        <v>0.33950000000000002</v>
      </c>
      <c r="O494" s="147">
        <v>0.4</v>
      </c>
      <c r="P494" s="147">
        <v>0.37</v>
      </c>
      <c r="Q494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-5-0%</v>
      </c>
      <c r="R494" s="155">
        <f>IF(AND(Tracker[[#This Row],[Money %]]&lt;&gt;"",Tracker[[#This Row],[Bet %]]&lt;&gt;""),Tracker[[#This Row],[Money %]]-Tracker[[#This Row],[Bet %]],NA())</f>
        <v>-3.0000000000000027E-2</v>
      </c>
      <c r="S494" s="110"/>
      <c r="T494" s="110"/>
      <c r="V494" s="4"/>
      <c r="W494" s="35"/>
    </row>
    <row r="495" spans="1:23" x14ac:dyDescent="0.25">
      <c r="A495" s="36">
        <f t="shared" si="68"/>
        <v>48</v>
      </c>
      <c r="B495" s="25">
        <v>43895</v>
      </c>
      <c r="C495" s="25" t="str">
        <f t="shared" ref="C495:C502" si="71">"NBA"</f>
        <v>NBA</v>
      </c>
      <c r="D495" s="26" t="s">
        <v>1877</v>
      </c>
      <c r="E495" s="28" t="s">
        <v>1878</v>
      </c>
      <c r="F495" s="67">
        <v>0.55664914080440642</v>
      </c>
      <c r="G495" s="29">
        <v>-110</v>
      </c>
      <c r="H495" s="50" t="s">
        <v>57</v>
      </c>
      <c r="I49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49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495" s="40" t="str">
        <f>MID(Tracker[[#This Row],[Game]],SEARCH("@",Tracker[[#This Row],[Game]])+2,LEN(Tracker[[#This Row],[Game]]))</f>
        <v>Hornets</v>
      </c>
      <c r="L495" s="40" t="str">
        <f>LEFT(Tracker[[#This Row],[Game]],SEARCH("@",Tracker[[#This Row],[Game]])-2)</f>
        <v>Nuggets</v>
      </c>
      <c r="M49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495" s="123">
        <v>0.49450000000000005</v>
      </c>
      <c r="O495" s="147">
        <v>0.66</v>
      </c>
      <c r="P495" s="147">
        <v>0.52</v>
      </c>
      <c r="Q495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-15--10%</v>
      </c>
      <c r="R495" s="155">
        <f>IF(AND(Tracker[[#This Row],[Money %]]&lt;&gt;"",Tracker[[#This Row],[Bet %]]&lt;&gt;""),Tracker[[#This Row],[Money %]]-Tracker[[#This Row],[Bet %]],NA())</f>
        <v>-0.14000000000000001</v>
      </c>
      <c r="S495" s="110"/>
      <c r="T495" s="110"/>
      <c r="V495" s="4"/>
      <c r="W495" s="35"/>
    </row>
    <row r="496" spans="1:23" x14ac:dyDescent="0.25">
      <c r="A496" s="36">
        <f t="shared" si="68"/>
        <v>48</v>
      </c>
      <c r="B496" s="25">
        <v>43895</v>
      </c>
      <c r="C496" s="25" t="str">
        <f t="shared" si="71"/>
        <v>NBA</v>
      </c>
      <c r="D496" s="26" t="s">
        <v>1877</v>
      </c>
      <c r="E496" s="28" t="s">
        <v>1879</v>
      </c>
      <c r="F496" s="67">
        <v>0.54563468361916023</v>
      </c>
      <c r="G496" s="29">
        <v>-110</v>
      </c>
      <c r="H496" s="50" t="s">
        <v>56</v>
      </c>
      <c r="I49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9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496" s="40" t="str">
        <f>MID(Tracker[[#This Row],[Game]],SEARCH("@",Tracker[[#This Row],[Game]])+2,LEN(Tracker[[#This Row],[Game]]))</f>
        <v>Hornets</v>
      </c>
      <c r="L496" s="40" t="str">
        <f>LEFT(Tracker[[#This Row],[Game]],SEARCH("@",Tracker[[#This Row],[Game]])-2)</f>
        <v>Nuggets</v>
      </c>
      <c r="M49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496" s="123">
        <v>0.45599999999999996</v>
      </c>
      <c r="O496" s="147">
        <v>0.79</v>
      </c>
      <c r="P496" s="147">
        <v>0.77</v>
      </c>
      <c r="Q496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-5-0%</v>
      </c>
      <c r="R496" s="155">
        <f>IF(AND(Tracker[[#This Row],[Money %]]&lt;&gt;"",Tracker[[#This Row],[Bet %]]&lt;&gt;""),Tracker[[#This Row],[Money %]]-Tracker[[#This Row],[Bet %]],NA())</f>
        <v>-2.0000000000000018E-2</v>
      </c>
      <c r="S496" s="110"/>
      <c r="T496" s="110"/>
      <c r="V496" s="4"/>
      <c r="W496" s="35"/>
    </row>
    <row r="497" spans="1:23" x14ac:dyDescent="0.25">
      <c r="A497" s="36">
        <f t="shared" si="68"/>
        <v>48</v>
      </c>
      <c r="B497" s="25">
        <v>43895</v>
      </c>
      <c r="C497" s="25" t="str">
        <f t="shared" si="71"/>
        <v>NBA</v>
      </c>
      <c r="D497" s="26" t="s">
        <v>1880</v>
      </c>
      <c r="E497" s="28" t="s">
        <v>1881</v>
      </c>
      <c r="F497" s="67">
        <v>0.5173621014193075</v>
      </c>
      <c r="G497" s="29">
        <v>-110</v>
      </c>
      <c r="H497" s="50" t="s">
        <v>56</v>
      </c>
      <c r="I49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9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497" s="40" t="str">
        <f>MID(Tracker[[#This Row],[Game]],SEARCH("@",Tracker[[#This Row],[Game]])+2,LEN(Tracker[[#This Row],[Game]]))</f>
        <v>Rockets</v>
      </c>
      <c r="L497" s="40" t="str">
        <f>LEFT(Tracker[[#This Row],[Game]],SEARCH("@",Tracker[[#This Row],[Game]])-2)</f>
        <v>Clippers</v>
      </c>
      <c r="M49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497" s="123" t="s">
        <v>1888</v>
      </c>
      <c r="O497" s="147">
        <v>0.67</v>
      </c>
      <c r="P497" s="147">
        <v>0.64</v>
      </c>
      <c r="Q497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-5-0%</v>
      </c>
      <c r="R497" s="155">
        <f>IF(AND(Tracker[[#This Row],[Money %]]&lt;&gt;"",Tracker[[#This Row],[Bet %]]&lt;&gt;""),Tracker[[#This Row],[Money %]]-Tracker[[#This Row],[Bet %]],NA())</f>
        <v>-3.0000000000000027E-2</v>
      </c>
      <c r="S497" s="110"/>
      <c r="T497" s="110"/>
      <c r="V497" s="4"/>
      <c r="W497" s="35"/>
    </row>
    <row r="498" spans="1:23" x14ac:dyDescent="0.25">
      <c r="A498" s="36">
        <f t="shared" si="68"/>
        <v>48</v>
      </c>
      <c r="B498" s="25">
        <v>43895</v>
      </c>
      <c r="C498" s="25" t="str">
        <f t="shared" si="71"/>
        <v>NBA</v>
      </c>
      <c r="D498" s="26" t="s">
        <v>1880</v>
      </c>
      <c r="E498" s="28" t="s">
        <v>1882</v>
      </c>
      <c r="F498" s="67">
        <v>0.52074083106635816</v>
      </c>
      <c r="G498" s="29">
        <v>-110</v>
      </c>
      <c r="H498" s="50" t="s">
        <v>56</v>
      </c>
      <c r="I49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9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498" s="40" t="str">
        <f>MID(Tracker[[#This Row],[Game]],SEARCH("@",Tracker[[#This Row],[Game]])+2,LEN(Tracker[[#This Row],[Game]]))</f>
        <v>Rockets</v>
      </c>
      <c r="L498" s="40" t="str">
        <f>LEFT(Tracker[[#This Row],[Game]],SEARCH("@",Tracker[[#This Row],[Game]])-2)</f>
        <v>Clippers</v>
      </c>
      <c r="M49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498" s="123">
        <v>0.54200000000000004</v>
      </c>
      <c r="O498" s="147">
        <v>0.52</v>
      </c>
      <c r="P498" s="147">
        <v>0.56999999999999995</v>
      </c>
      <c r="Q498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0-5%</v>
      </c>
      <c r="R498" s="155">
        <f>IF(AND(Tracker[[#This Row],[Money %]]&lt;&gt;"",Tracker[[#This Row],[Bet %]]&lt;&gt;""),Tracker[[#This Row],[Money %]]-Tracker[[#This Row],[Bet %]],NA())</f>
        <v>4.9999999999999933E-2</v>
      </c>
      <c r="S498" s="110"/>
      <c r="T498" s="110"/>
      <c r="V498" s="4"/>
      <c r="W498" s="35"/>
    </row>
    <row r="499" spans="1:23" x14ac:dyDescent="0.25">
      <c r="A499" s="36">
        <f t="shared" si="68"/>
        <v>48</v>
      </c>
      <c r="B499" s="25">
        <v>43895</v>
      </c>
      <c r="C499" s="25" t="str">
        <f t="shared" si="71"/>
        <v>NBA</v>
      </c>
      <c r="D499" s="26" t="s">
        <v>1883</v>
      </c>
      <c r="E499" s="28" t="s">
        <v>1884</v>
      </c>
      <c r="F499" s="67">
        <v>0.76736984833378719</v>
      </c>
      <c r="G499" s="29">
        <v>-110</v>
      </c>
      <c r="H499" s="50" t="s">
        <v>56</v>
      </c>
      <c r="I49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49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499" s="40" t="str">
        <f>MID(Tracker[[#This Row],[Game]],SEARCH("@",Tracker[[#This Row],[Game]])+2,LEN(Tracker[[#This Row],[Game]]))</f>
        <v>Kings</v>
      </c>
      <c r="L499" s="40" t="str">
        <f>LEFT(Tracker[[#This Row],[Game]],SEARCH("@",Tracker[[#This Row],[Game]])-2)</f>
        <v>76ers</v>
      </c>
      <c r="M49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499" s="123">
        <v>0.47949999999999998</v>
      </c>
      <c r="O499" s="147">
        <v>0.47</v>
      </c>
      <c r="P499" s="147">
        <v>0.4</v>
      </c>
      <c r="Q499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-10--5%</v>
      </c>
      <c r="R499" s="155">
        <f>IF(AND(Tracker[[#This Row],[Money %]]&lt;&gt;"",Tracker[[#This Row],[Bet %]]&lt;&gt;""),Tracker[[#This Row],[Money %]]-Tracker[[#This Row],[Bet %]],NA())</f>
        <v>-6.9999999999999951E-2</v>
      </c>
      <c r="S499" s="110"/>
      <c r="T499" s="110"/>
      <c r="V499" s="4"/>
      <c r="W499" s="35"/>
    </row>
    <row r="500" spans="1:23" x14ac:dyDescent="0.25">
      <c r="A500" s="36">
        <f t="shared" si="68"/>
        <v>48</v>
      </c>
      <c r="B500" s="25">
        <v>43895</v>
      </c>
      <c r="C500" s="25" t="str">
        <f t="shared" si="71"/>
        <v>NBA</v>
      </c>
      <c r="D500" s="26" t="s">
        <v>1883</v>
      </c>
      <c r="E500" s="28" t="s">
        <v>946</v>
      </c>
      <c r="F500" s="67">
        <v>0.56660595030609084</v>
      </c>
      <c r="G500" s="29">
        <v>-110</v>
      </c>
      <c r="H500" s="50" t="s">
        <v>57</v>
      </c>
      <c r="I50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50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500" s="40" t="str">
        <f>MID(Tracker[[#This Row],[Game]],SEARCH("@",Tracker[[#This Row],[Game]])+2,LEN(Tracker[[#This Row],[Game]]))</f>
        <v>Kings</v>
      </c>
      <c r="L500" s="40" t="str">
        <f>LEFT(Tracker[[#This Row],[Game]],SEARCH("@",Tracker[[#This Row],[Game]])-2)</f>
        <v>76ers</v>
      </c>
      <c r="M50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500" s="123">
        <v>0.52249999999999996</v>
      </c>
      <c r="O500" s="147">
        <v>0.54</v>
      </c>
      <c r="P500" s="147">
        <v>0.7</v>
      </c>
      <c r="Q500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15-20%</v>
      </c>
      <c r="R500" s="155">
        <f>IF(AND(Tracker[[#This Row],[Money %]]&lt;&gt;"",Tracker[[#This Row],[Bet %]]&lt;&gt;""),Tracker[[#This Row],[Money %]]-Tracker[[#This Row],[Bet %]],NA())</f>
        <v>0.15999999999999992</v>
      </c>
      <c r="S500" s="110"/>
      <c r="T500" s="110"/>
      <c r="V500" s="4"/>
      <c r="W500" s="35"/>
    </row>
    <row r="501" spans="1:23" x14ac:dyDescent="0.25">
      <c r="A501" s="36">
        <f t="shared" si="68"/>
        <v>48</v>
      </c>
      <c r="B501" s="25">
        <v>43895</v>
      </c>
      <c r="C501" s="25" t="str">
        <f t="shared" si="71"/>
        <v>NBA</v>
      </c>
      <c r="D501" s="26" t="s">
        <v>1885</v>
      </c>
      <c r="E501" s="28" t="s">
        <v>1886</v>
      </c>
      <c r="F501" s="67">
        <v>0.66847119601466187</v>
      </c>
      <c r="G501" s="29">
        <v>-110</v>
      </c>
      <c r="H501" s="50" t="s">
        <v>57</v>
      </c>
      <c r="I50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50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501" s="40" t="str">
        <f>MID(Tracker[[#This Row],[Game]],SEARCH("@",Tracker[[#This Row],[Game]])+2,LEN(Tracker[[#This Row],[Game]]))</f>
        <v>Warriors</v>
      </c>
      <c r="L501" s="40" t="str">
        <f>LEFT(Tracker[[#This Row],[Game]],SEARCH("@",Tracker[[#This Row],[Game]])-2)</f>
        <v>Raptors</v>
      </c>
      <c r="M50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501" s="123">
        <v>0.56299999999999994</v>
      </c>
      <c r="O501" s="147">
        <v>0.62</v>
      </c>
      <c r="P501" s="147">
        <v>0.76</v>
      </c>
      <c r="Q501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10-15%</v>
      </c>
      <c r="R501" s="155">
        <f>IF(AND(Tracker[[#This Row],[Money %]]&lt;&gt;"",Tracker[[#This Row],[Bet %]]&lt;&gt;""),Tracker[[#This Row],[Money %]]-Tracker[[#This Row],[Bet %]],NA())</f>
        <v>0.14000000000000001</v>
      </c>
      <c r="S501" s="110"/>
      <c r="T501" s="110"/>
      <c r="V501" s="4"/>
      <c r="W501" s="35"/>
    </row>
    <row r="502" spans="1:23" x14ac:dyDescent="0.25">
      <c r="A502" s="36">
        <f t="shared" si="68"/>
        <v>48</v>
      </c>
      <c r="B502" s="25">
        <v>43895</v>
      </c>
      <c r="C502" s="25" t="str">
        <f t="shared" si="71"/>
        <v>NBA</v>
      </c>
      <c r="D502" s="26" t="s">
        <v>1885</v>
      </c>
      <c r="E502" s="28" t="s">
        <v>991</v>
      </c>
      <c r="F502" s="74">
        <v>0.58841641230325059</v>
      </c>
      <c r="G502" s="29">
        <v>-110</v>
      </c>
      <c r="H502" s="50" t="s">
        <v>57</v>
      </c>
      <c r="I50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50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502" s="40" t="str">
        <f>MID(Tracker[[#This Row],[Game]],SEARCH("@",Tracker[[#This Row],[Game]])+2,LEN(Tracker[[#This Row],[Game]]))</f>
        <v>Warriors</v>
      </c>
      <c r="L502" s="40" t="str">
        <f>LEFT(Tracker[[#This Row],[Game]],SEARCH("@",Tracker[[#This Row],[Game]])-2)</f>
        <v>Raptors</v>
      </c>
      <c r="M50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502" s="123">
        <v>0.52249999999999996</v>
      </c>
      <c r="O502" s="147">
        <v>0.2</v>
      </c>
      <c r="P502" s="147">
        <v>0.05</v>
      </c>
      <c r="Q502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-15--10%</v>
      </c>
      <c r="R502" s="155">
        <f>IF(AND(Tracker[[#This Row],[Money %]]&lt;&gt;"",Tracker[[#This Row],[Bet %]]&lt;&gt;""),Tracker[[#This Row],[Money %]]-Tracker[[#This Row],[Bet %]],NA())</f>
        <v>-0.15000000000000002</v>
      </c>
      <c r="S502" s="110"/>
      <c r="T502" s="110"/>
      <c r="V502" s="4"/>
      <c r="W502" s="35"/>
    </row>
    <row r="503" spans="1:23" x14ac:dyDescent="0.25">
      <c r="A503" s="36">
        <f t="shared" si="68"/>
        <v>49</v>
      </c>
      <c r="B503" s="25">
        <v>43896</v>
      </c>
      <c r="C503" s="25" t="str">
        <f t="shared" ref="C503:C522" si="72">"NBA"</f>
        <v>NBA</v>
      </c>
      <c r="D503" s="26" t="s">
        <v>1057</v>
      </c>
      <c r="E503" s="28" t="s">
        <v>1896</v>
      </c>
      <c r="F503" s="74">
        <v>0.54735670548562787</v>
      </c>
      <c r="G503" s="157">
        <v>-110</v>
      </c>
      <c r="H503" s="50" t="s">
        <v>56</v>
      </c>
      <c r="I50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50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503" s="40" t="str">
        <f>MID(Tracker[[#This Row],[Game]],SEARCH("@",Tracker[[#This Row],[Game]])+2,LEN(Tracker[[#This Row],[Game]]))</f>
        <v>Wizards</v>
      </c>
      <c r="L503" s="40" t="str">
        <f>LEFT(Tracker[[#This Row],[Game]],SEARCH("@",Tracker[[#This Row],[Game]])-2)</f>
        <v>Hawks</v>
      </c>
      <c r="M503" s="158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503" s="123">
        <v>0.54900000000000004</v>
      </c>
      <c r="O503" s="147">
        <v>0.62</v>
      </c>
      <c r="P503" s="147">
        <v>0.59</v>
      </c>
      <c r="Q503" s="159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-5-0%</v>
      </c>
      <c r="R503" s="155">
        <f>IF(AND(Tracker[[#This Row],[Money %]]&lt;&gt;"",Tracker[[#This Row],[Bet %]]&lt;&gt;""),Tracker[[#This Row],[Money %]]-Tracker[[#This Row],[Bet %]],NA())</f>
        <v>-3.0000000000000027E-2</v>
      </c>
      <c r="S503" s="110"/>
      <c r="T503" s="110"/>
      <c r="V503" s="4"/>
      <c r="W503" s="35"/>
    </row>
    <row r="504" spans="1:23" x14ac:dyDescent="0.25">
      <c r="A504" s="36">
        <f t="shared" si="68"/>
        <v>49</v>
      </c>
      <c r="B504" s="25">
        <v>43896</v>
      </c>
      <c r="C504" s="25" t="str">
        <f t="shared" si="72"/>
        <v>NBA</v>
      </c>
      <c r="D504" s="26" t="s">
        <v>1057</v>
      </c>
      <c r="E504" s="28" t="s">
        <v>1897</v>
      </c>
      <c r="F504" s="74">
        <v>0.85215305050754098</v>
      </c>
      <c r="G504" s="157">
        <v>-110</v>
      </c>
      <c r="H504" s="50" t="s">
        <v>56</v>
      </c>
      <c r="I50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50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504" s="40" t="str">
        <f>MID(Tracker[[#This Row],[Game]],SEARCH("@",Tracker[[#This Row],[Game]])+2,LEN(Tracker[[#This Row],[Game]]))</f>
        <v>Wizards</v>
      </c>
      <c r="L504" s="40" t="str">
        <f>LEFT(Tracker[[#This Row],[Game]],SEARCH("@",Tracker[[#This Row],[Game]])-2)</f>
        <v>Hawks</v>
      </c>
      <c r="M504" s="158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504" s="123">
        <v>0.435</v>
      </c>
      <c r="O504" s="147">
        <v>0.5</v>
      </c>
      <c r="P504" s="147">
        <v>0.34</v>
      </c>
      <c r="Q504" s="159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-20--15%</v>
      </c>
      <c r="R504" s="155">
        <f>IF(AND(Tracker[[#This Row],[Money %]]&lt;&gt;"",Tracker[[#This Row],[Bet %]]&lt;&gt;""),Tracker[[#This Row],[Money %]]-Tracker[[#This Row],[Bet %]],NA())</f>
        <v>-0.15999999999999998</v>
      </c>
      <c r="S504" s="110"/>
      <c r="T504" s="110"/>
      <c r="V504" s="4"/>
      <c r="W504" s="35"/>
    </row>
    <row r="505" spans="1:23" x14ac:dyDescent="0.25">
      <c r="A505" s="36">
        <f t="shared" si="68"/>
        <v>49</v>
      </c>
      <c r="B505" s="25">
        <v>43896</v>
      </c>
      <c r="C505" s="25" t="str">
        <f t="shared" si="72"/>
        <v>NBA</v>
      </c>
      <c r="D505" s="26" t="s">
        <v>1898</v>
      </c>
      <c r="E505" s="28" t="s">
        <v>1172</v>
      </c>
      <c r="F505" s="74">
        <v>0.58631809290111692</v>
      </c>
      <c r="G505" s="157">
        <v>-110</v>
      </c>
      <c r="H505" s="50" t="s">
        <v>57</v>
      </c>
      <c r="I50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50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505" s="40" t="str">
        <f>MID(Tracker[[#This Row],[Game]],SEARCH("@",Tracker[[#This Row],[Game]])+2,LEN(Tracker[[#This Row],[Game]]))</f>
        <v>Nets</v>
      </c>
      <c r="L505" s="40" t="str">
        <f>LEFT(Tracker[[#This Row],[Game]],SEARCH("@",Tracker[[#This Row],[Game]])-2)</f>
        <v>Spurs</v>
      </c>
      <c r="M505" s="158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505" s="123">
        <v>0.52400000000000002</v>
      </c>
      <c r="O505" s="147">
        <v>0.34</v>
      </c>
      <c r="P505" s="147">
        <v>0.25</v>
      </c>
      <c r="Q505" s="159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-10--5%</v>
      </c>
      <c r="R505" s="155">
        <f>IF(AND(Tracker[[#This Row],[Money %]]&lt;&gt;"",Tracker[[#This Row],[Bet %]]&lt;&gt;""),Tracker[[#This Row],[Money %]]-Tracker[[#This Row],[Bet %]],NA())</f>
        <v>-9.0000000000000024E-2</v>
      </c>
      <c r="S505" s="110"/>
      <c r="T505" s="110"/>
      <c r="V505" s="4"/>
      <c r="W505" s="35"/>
    </row>
    <row r="506" spans="1:23" x14ac:dyDescent="0.25">
      <c r="A506" s="36">
        <f t="shared" si="68"/>
        <v>49</v>
      </c>
      <c r="B506" s="25">
        <v>43896</v>
      </c>
      <c r="C506" s="25" t="str">
        <f t="shared" si="72"/>
        <v>NBA</v>
      </c>
      <c r="D506" s="26" t="s">
        <v>1898</v>
      </c>
      <c r="E506" s="28" t="s">
        <v>987</v>
      </c>
      <c r="F506" s="74">
        <v>0.56772012555314821</v>
      </c>
      <c r="G506" s="157">
        <v>-110</v>
      </c>
      <c r="H506" s="50" t="s">
        <v>57</v>
      </c>
      <c r="I50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50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506" s="40" t="str">
        <f>MID(Tracker[[#This Row],[Game]],SEARCH("@",Tracker[[#This Row],[Game]])+2,LEN(Tracker[[#This Row],[Game]]))</f>
        <v>Nets</v>
      </c>
      <c r="L506" s="40" t="str">
        <f>LEFT(Tracker[[#This Row],[Game]],SEARCH("@",Tracker[[#This Row],[Game]])-2)</f>
        <v>Spurs</v>
      </c>
      <c r="M506" s="158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506" s="123">
        <v>0.44800000000000001</v>
      </c>
      <c r="O506" s="147">
        <v>0.32</v>
      </c>
      <c r="P506" s="147">
        <v>0.39</v>
      </c>
      <c r="Q506" s="159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5-10%</v>
      </c>
      <c r="R506" s="155">
        <f>IF(AND(Tracker[[#This Row],[Money %]]&lt;&gt;"",Tracker[[#This Row],[Bet %]]&lt;&gt;""),Tracker[[#This Row],[Money %]]-Tracker[[#This Row],[Bet %]],NA())</f>
        <v>7.0000000000000007E-2</v>
      </c>
      <c r="S506" s="110"/>
      <c r="T506" s="110"/>
      <c r="V506" s="4"/>
      <c r="W506" s="35"/>
    </row>
    <row r="507" spans="1:23" x14ac:dyDescent="0.25">
      <c r="A507" s="36">
        <f t="shared" si="68"/>
        <v>49</v>
      </c>
      <c r="B507" s="25">
        <v>43896</v>
      </c>
      <c r="C507" s="25" t="str">
        <f t="shared" si="72"/>
        <v>NBA</v>
      </c>
      <c r="D507" s="26" t="s">
        <v>1899</v>
      </c>
      <c r="E507" s="28" t="s">
        <v>1900</v>
      </c>
      <c r="F507" s="74">
        <v>0.52839541324731132</v>
      </c>
      <c r="G507" s="157">
        <v>-110</v>
      </c>
      <c r="H507" s="50" t="s">
        <v>57</v>
      </c>
      <c r="I50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50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507" s="40" t="str">
        <f>MID(Tracker[[#This Row],[Game]],SEARCH("@",Tracker[[#This Row],[Game]])+2,LEN(Tracker[[#This Row],[Game]]))</f>
        <v>Knicks</v>
      </c>
      <c r="L507" s="40" t="str">
        <f>LEFT(Tracker[[#This Row],[Game]],SEARCH("@",Tracker[[#This Row],[Game]])-2)</f>
        <v>Thunder</v>
      </c>
      <c r="M507" s="158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HD</v>
      </c>
      <c r="N507" s="123">
        <v>0.53249999999999997</v>
      </c>
      <c r="O507" s="147">
        <v>0.17</v>
      </c>
      <c r="P507" s="147">
        <v>0.12</v>
      </c>
      <c r="Q507" s="159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-5-0%</v>
      </c>
      <c r="R507" s="155">
        <f>IF(AND(Tracker[[#This Row],[Money %]]&lt;&gt;"",Tracker[[#This Row],[Bet %]]&lt;&gt;""),Tracker[[#This Row],[Money %]]-Tracker[[#This Row],[Bet %]],NA())</f>
        <v>-5.0000000000000017E-2</v>
      </c>
      <c r="S507" s="110"/>
      <c r="T507" s="110"/>
      <c r="V507" s="4"/>
      <c r="W507" s="35"/>
    </row>
    <row r="508" spans="1:23" x14ac:dyDescent="0.25">
      <c r="A508" s="36">
        <f t="shared" si="68"/>
        <v>49</v>
      </c>
      <c r="B508" s="25">
        <v>43896</v>
      </c>
      <c r="C508" s="25" t="str">
        <f t="shared" si="72"/>
        <v>NBA</v>
      </c>
      <c r="D508" s="26" t="s">
        <v>1899</v>
      </c>
      <c r="E508" s="28" t="s">
        <v>888</v>
      </c>
      <c r="F508" s="74">
        <v>0.62140988357223292</v>
      </c>
      <c r="G508" s="157">
        <v>-110</v>
      </c>
      <c r="H508" s="50" t="s">
        <v>57</v>
      </c>
      <c r="I50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50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508" s="40" t="str">
        <f>MID(Tracker[[#This Row],[Game]],SEARCH("@",Tracker[[#This Row],[Game]])+2,LEN(Tracker[[#This Row],[Game]]))</f>
        <v>Knicks</v>
      </c>
      <c r="L508" s="40" t="str">
        <f>LEFT(Tracker[[#This Row],[Game]],SEARCH("@",Tracker[[#This Row],[Game]])-2)</f>
        <v>Thunder</v>
      </c>
      <c r="M508" s="158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508" s="123">
        <v>0.59250000000000003</v>
      </c>
      <c r="O508" s="147">
        <v>0.31</v>
      </c>
      <c r="P508" s="147">
        <v>0.73</v>
      </c>
      <c r="Q508" s="159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40-45%</v>
      </c>
      <c r="R508" s="155">
        <f>IF(AND(Tracker[[#This Row],[Money %]]&lt;&gt;"",Tracker[[#This Row],[Bet %]]&lt;&gt;""),Tracker[[#This Row],[Money %]]-Tracker[[#This Row],[Bet %]],NA())</f>
        <v>0.42</v>
      </c>
      <c r="S508" s="110"/>
      <c r="T508" s="110"/>
      <c r="V508" s="4"/>
      <c r="W508" s="35"/>
    </row>
    <row r="509" spans="1:23" x14ac:dyDescent="0.25">
      <c r="A509" s="36">
        <f t="shared" si="68"/>
        <v>49</v>
      </c>
      <c r="B509" s="25">
        <v>43896</v>
      </c>
      <c r="C509" s="25" t="str">
        <f t="shared" si="72"/>
        <v>NBA</v>
      </c>
      <c r="D509" s="26" t="s">
        <v>1901</v>
      </c>
      <c r="E509" s="28" t="s">
        <v>1902</v>
      </c>
      <c r="F509" s="74">
        <v>0.53535816043794771</v>
      </c>
      <c r="G509" s="157">
        <v>-110</v>
      </c>
      <c r="H509" s="50" t="s">
        <v>57</v>
      </c>
      <c r="I50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50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509" s="40" t="str">
        <f>MID(Tracker[[#This Row],[Game]],SEARCH("@",Tracker[[#This Row],[Game]])+2,LEN(Tracker[[#This Row],[Game]]))</f>
        <v>Celtics</v>
      </c>
      <c r="L509" s="40" t="str">
        <f>LEFT(Tracker[[#This Row],[Game]],SEARCH("@",Tracker[[#This Row],[Game]])-2)</f>
        <v>Jazz</v>
      </c>
      <c r="M509" s="158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509" s="123">
        <v>0.50750000000000006</v>
      </c>
      <c r="O509" s="147">
        <v>0.74</v>
      </c>
      <c r="P509" s="147">
        <v>0.39</v>
      </c>
      <c r="Q509" s="159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-35--30%</v>
      </c>
      <c r="R509" s="155">
        <f>IF(AND(Tracker[[#This Row],[Money %]]&lt;&gt;"",Tracker[[#This Row],[Bet %]]&lt;&gt;""),Tracker[[#This Row],[Money %]]-Tracker[[#This Row],[Bet %]],NA())</f>
        <v>-0.35</v>
      </c>
      <c r="S509" s="110"/>
      <c r="T509" s="110"/>
      <c r="V509" s="4"/>
      <c r="W509" s="35"/>
    </row>
    <row r="510" spans="1:23" x14ac:dyDescent="0.25">
      <c r="A510" s="36">
        <f t="shared" si="68"/>
        <v>49</v>
      </c>
      <c r="B510" s="25">
        <v>43896</v>
      </c>
      <c r="C510" s="25" t="str">
        <f t="shared" si="72"/>
        <v>NBA</v>
      </c>
      <c r="D510" s="26" t="s">
        <v>1901</v>
      </c>
      <c r="E510" s="28" t="s">
        <v>1348</v>
      </c>
      <c r="F510" s="67">
        <v>0.67107649478391262</v>
      </c>
      <c r="G510" s="157">
        <v>-110</v>
      </c>
      <c r="H510" s="50" t="s">
        <v>56</v>
      </c>
      <c r="I51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51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510" s="40" t="str">
        <f>MID(Tracker[[#This Row],[Game]],SEARCH("@",Tracker[[#This Row],[Game]])+2,LEN(Tracker[[#This Row],[Game]]))</f>
        <v>Celtics</v>
      </c>
      <c r="L510" s="40" t="str">
        <f>LEFT(Tracker[[#This Row],[Game]],SEARCH("@",Tracker[[#This Row],[Game]])-2)</f>
        <v>Jazz</v>
      </c>
      <c r="M510" s="158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510" s="123">
        <v>0.49199999999999999</v>
      </c>
      <c r="O510" s="147">
        <v>0.21</v>
      </c>
      <c r="P510" s="147">
        <v>0.23</v>
      </c>
      <c r="Q510" s="159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0-5%</v>
      </c>
      <c r="R510" s="155">
        <f>IF(AND(Tracker[[#This Row],[Money %]]&lt;&gt;"",Tracker[[#This Row],[Bet %]]&lt;&gt;""),Tracker[[#This Row],[Money %]]-Tracker[[#This Row],[Bet %]],NA())</f>
        <v>2.0000000000000018E-2</v>
      </c>
      <c r="S510" s="110"/>
      <c r="T510" s="110"/>
      <c r="V510" s="4"/>
      <c r="W510" s="35"/>
    </row>
    <row r="511" spans="1:23" x14ac:dyDescent="0.25">
      <c r="A511" s="36">
        <f t="shared" si="68"/>
        <v>49</v>
      </c>
      <c r="B511" s="25">
        <v>43896</v>
      </c>
      <c r="C511" s="25" t="str">
        <f t="shared" si="72"/>
        <v>NBA</v>
      </c>
      <c r="D511" s="26" t="s">
        <v>1903</v>
      </c>
      <c r="E511" s="28" t="s">
        <v>1904</v>
      </c>
      <c r="F511" s="67">
        <v>0.55685175938465814</v>
      </c>
      <c r="G511" s="157">
        <v>-110</v>
      </c>
      <c r="H511" s="50" t="s">
        <v>57</v>
      </c>
      <c r="I51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51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511" s="40" t="str">
        <f>MID(Tracker[[#This Row],[Game]],SEARCH("@",Tracker[[#This Row],[Game]])+2,LEN(Tracker[[#This Row],[Game]]))</f>
        <v>Pelicans</v>
      </c>
      <c r="L511" s="40" t="str">
        <f>LEFT(Tracker[[#This Row],[Game]],SEARCH("@",Tracker[[#This Row],[Game]])-2)</f>
        <v>Heat</v>
      </c>
      <c r="M511" s="158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511" s="123">
        <v>0.5</v>
      </c>
      <c r="O511" s="147">
        <v>0.46</v>
      </c>
      <c r="P511" s="147">
        <v>0.5</v>
      </c>
      <c r="Q511" s="159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0-5%</v>
      </c>
      <c r="R511" s="155">
        <f>IF(AND(Tracker[[#This Row],[Money %]]&lt;&gt;"",Tracker[[#This Row],[Bet %]]&lt;&gt;""),Tracker[[#This Row],[Money %]]-Tracker[[#This Row],[Bet %]],NA())</f>
        <v>3.999999999999998E-2</v>
      </c>
      <c r="S511" s="110"/>
      <c r="T511" s="110"/>
      <c r="V511" s="4"/>
      <c r="W511" s="35"/>
    </row>
    <row r="512" spans="1:23" x14ac:dyDescent="0.25">
      <c r="A512" s="36">
        <f t="shared" si="68"/>
        <v>49</v>
      </c>
      <c r="B512" s="25">
        <v>43896</v>
      </c>
      <c r="C512" s="25" t="str">
        <f t="shared" si="72"/>
        <v>NBA</v>
      </c>
      <c r="D512" s="26" t="s">
        <v>1903</v>
      </c>
      <c r="E512" s="28" t="s">
        <v>874</v>
      </c>
      <c r="F512" s="67">
        <v>0.78451173940928332</v>
      </c>
      <c r="G512" s="157">
        <v>-110</v>
      </c>
      <c r="H512" s="50" t="s">
        <v>56</v>
      </c>
      <c r="I51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51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512" s="40" t="str">
        <f>MID(Tracker[[#This Row],[Game]],SEARCH("@",Tracker[[#This Row],[Game]])+2,LEN(Tracker[[#This Row],[Game]]))</f>
        <v>Pelicans</v>
      </c>
      <c r="L512" s="40" t="str">
        <f>LEFT(Tracker[[#This Row],[Game]],SEARCH("@",Tracker[[#This Row],[Game]])-2)</f>
        <v>Heat</v>
      </c>
      <c r="M512" s="158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512" s="123">
        <v>0.42599999999999999</v>
      </c>
      <c r="O512" s="147">
        <v>0.35</v>
      </c>
      <c r="P512" s="147">
        <v>0.38</v>
      </c>
      <c r="Q512" s="159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0-5%</v>
      </c>
      <c r="R512" s="155">
        <f>IF(AND(Tracker[[#This Row],[Money %]]&lt;&gt;"",Tracker[[#This Row],[Bet %]]&lt;&gt;""),Tracker[[#This Row],[Money %]]-Tracker[[#This Row],[Bet %]],NA())</f>
        <v>3.0000000000000027E-2</v>
      </c>
      <c r="S512" s="110"/>
      <c r="T512" s="110"/>
      <c r="V512" s="4"/>
      <c r="W512" s="35"/>
    </row>
    <row r="513" spans="1:23" x14ac:dyDescent="0.25">
      <c r="A513" s="36">
        <f t="shared" si="68"/>
        <v>49</v>
      </c>
      <c r="B513" s="25">
        <v>43896</v>
      </c>
      <c r="C513" s="25" t="str">
        <f t="shared" si="72"/>
        <v>NBA</v>
      </c>
      <c r="D513" s="26" t="s">
        <v>1055</v>
      </c>
      <c r="E513" s="28" t="s">
        <v>1905</v>
      </c>
      <c r="F513" s="67">
        <v>0.54620531357634872</v>
      </c>
      <c r="G513" s="157">
        <v>-110</v>
      </c>
      <c r="H513" s="50" t="s">
        <v>56</v>
      </c>
      <c r="I51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51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513" s="40" t="str">
        <f>MID(Tracker[[#This Row],[Game]],SEARCH("@",Tracker[[#This Row],[Game]])+2,LEN(Tracker[[#This Row],[Game]]))</f>
        <v>Bulls</v>
      </c>
      <c r="L513" s="40" t="str">
        <f>LEFT(Tracker[[#This Row],[Game]],SEARCH("@",Tracker[[#This Row],[Game]])-2)</f>
        <v>Pacers</v>
      </c>
      <c r="M513" s="158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513" s="123">
        <v>0.61250000000000004</v>
      </c>
      <c r="O513" s="147">
        <v>0.83</v>
      </c>
      <c r="P513" s="147">
        <v>0.64</v>
      </c>
      <c r="Q513" s="159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-20--15%</v>
      </c>
      <c r="R513" s="155">
        <f>IF(AND(Tracker[[#This Row],[Money %]]&lt;&gt;"",Tracker[[#This Row],[Bet %]]&lt;&gt;""),Tracker[[#This Row],[Money %]]-Tracker[[#This Row],[Bet %]],NA())</f>
        <v>-0.18999999999999995</v>
      </c>
      <c r="S513" s="110"/>
      <c r="T513" s="110"/>
      <c r="V513" s="4"/>
      <c r="W513" s="35"/>
    </row>
    <row r="514" spans="1:23" x14ac:dyDescent="0.25">
      <c r="A514" s="36">
        <f t="shared" si="68"/>
        <v>49</v>
      </c>
      <c r="B514" s="25">
        <v>43896</v>
      </c>
      <c r="C514" s="25" t="str">
        <f t="shared" si="72"/>
        <v>NBA</v>
      </c>
      <c r="D514" s="26" t="s">
        <v>1055</v>
      </c>
      <c r="E514" s="28" t="s">
        <v>265</v>
      </c>
      <c r="F514" s="67">
        <v>0.51030841353061562</v>
      </c>
      <c r="G514" s="157">
        <v>-110</v>
      </c>
      <c r="H514" s="50" t="s">
        <v>57</v>
      </c>
      <c r="I51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51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514" s="40" t="str">
        <f>MID(Tracker[[#This Row],[Game]],SEARCH("@",Tracker[[#This Row],[Game]])+2,LEN(Tracker[[#This Row],[Game]]))</f>
        <v>Bulls</v>
      </c>
      <c r="L514" s="40" t="str">
        <f>LEFT(Tracker[[#This Row],[Game]],SEARCH("@",Tracker[[#This Row],[Game]])-2)</f>
        <v>Pacers</v>
      </c>
      <c r="M514" s="158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514" s="123">
        <v>0.50800000000000001</v>
      </c>
      <c r="O514" s="147">
        <v>0.69</v>
      </c>
      <c r="P514" s="147">
        <v>0.37</v>
      </c>
      <c r="Q514" s="159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-35--30%</v>
      </c>
      <c r="R514" s="155">
        <f>IF(AND(Tracker[[#This Row],[Money %]]&lt;&gt;"",Tracker[[#This Row],[Bet %]]&lt;&gt;""),Tracker[[#This Row],[Money %]]-Tracker[[#This Row],[Bet %]],NA())</f>
        <v>-0.31999999999999995</v>
      </c>
      <c r="S514" s="110"/>
      <c r="T514" s="110"/>
      <c r="V514" s="4"/>
      <c r="W514" s="35"/>
    </row>
    <row r="515" spans="1:23" x14ac:dyDescent="0.25">
      <c r="A515" s="36">
        <f t="shared" si="68"/>
        <v>49</v>
      </c>
      <c r="B515" s="25">
        <v>43896</v>
      </c>
      <c r="C515" s="25" t="str">
        <f t="shared" si="72"/>
        <v>NBA</v>
      </c>
      <c r="D515" s="26" t="s">
        <v>1906</v>
      </c>
      <c r="E515" s="28" t="s">
        <v>1482</v>
      </c>
      <c r="F515" s="67">
        <v>0.56911013011632727</v>
      </c>
      <c r="G515" s="157">
        <v>-110</v>
      </c>
      <c r="H515" s="50" t="s">
        <v>56</v>
      </c>
      <c r="I51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51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515" s="40" t="str">
        <f>MID(Tracker[[#This Row],[Game]],SEARCH("@",Tracker[[#This Row],[Game]])+2,LEN(Tracker[[#This Row],[Game]]))</f>
        <v>Timberwolves</v>
      </c>
      <c r="L515" s="40" t="str">
        <f>LEFT(Tracker[[#This Row],[Game]],SEARCH("@",Tracker[[#This Row],[Game]])-2)</f>
        <v>Magic</v>
      </c>
      <c r="M515" s="158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515" s="123">
        <v>0.67949999999999999</v>
      </c>
      <c r="O515" s="147">
        <v>0.68</v>
      </c>
      <c r="P515" s="147">
        <v>0.55000000000000004</v>
      </c>
      <c r="Q515" s="159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-15--10%</v>
      </c>
      <c r="R515" s="155">
        <f>IF(AND(Tracker[[#This Row],[Money %]]&lt;&gt;"",Tracker[[#This Row],[Bet %]]&lt;&gt;""),Tracker[[#This Row],[Money %]]-Tracker[[#This Row],[Bet %]],NA())</f>
        <v>-0.13</v>
      </c>
      <c r="S515" s="110"/>
      <c r="T515" s="110"/>
      <c r="V515" s="4"/>
      <c r="W515" s="35"/>
    </row>
    <row r="516" spans="1:23" x14ac:dyDescent="0.25">
      <c r="A516" s="36">
        <f t="shared" si="68"/>
        <v>49</v>
      </c>
      <c r="B516" s="25">
        <v>43896</v>
      </c>
      <c r="C516" s="25" t="str">
        <f t="shared" si="72"/>
        <v>NBA</v>
      </c>
      <c r="D516" s="26" t="s">
        <v>1906</v>
      </c>
      <c r="E516" s="28" t="s">
        <v>1233</v>
      </c>
      <c r="F516" s="67">
        <v>0.74679816625334072</v>
      </c>
      <c r="G516" s="157">
        <v>-110</v>
      </c>
      <c r="H516" s="50" t="s">
        <v>57</v>
      </c>
      <c r="I51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51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516" s="40" t="str">
        <f>MID(Tracker[[#This Row],[Game]],SEARCH("@",Tracker[[#This Row],[Game]])+2,LEN(Tracker[[#This Row],[Game]]))</f>
        <v>Timberwolves</v>
      </c>
      <c r="L516" s="40" t="str">
        <f>LEFT(Tracker[[#This Row],[Game]],SEARCH("@",Tracker[[#This Row],[Game]])-2)</f>
        <v>Magic</v>
      </c>
      <c r="M516" s="158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516" s="123">
        <v>0.4395</v>
      </c>
      <c r="O516" s="147">
        <v>0.42</v>
      </c>
      <c r="P516" s="147">
        <v>0.57999999999999996</v>
      </c>
      <c r="Q516" s="159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15-20%</v>
      </c>
      <c r="R516" s="155">
        <f>IF(AND(Tracker[[#This Row],[Money %]]&lt;&gt;"",Tracker[[#This Row],[Bet %]]&lt;&gt;""),Tracker[[#This Row],[Money %]]-Tracker[[#This Row],[Bet %]],NA())</f>
        <v>0.15999999999999998</v>
      </c>
      <c r="S516" s="110"/>
      <c r="T516" s="110"/>
      <c r="V516" s="4"/>
      <c r="W516" s="35"/>
    </row>
    <row r="517" spans="1:23" x14ac:dyDescent="0.25">
      <c r="A517" s="36">
        <f t="shared" ref="A517:A580" si="73">IF(B517=B516,A516,A516+1)</f>
        <v>49</v>
      </c>
      <c r="B517" s="25">
        <v>43896</v>
      </c>
      <c r="C517" s="25" t="str">
        <f t="shared" si="72"/>
        <v>NBA</v>
      </c>
      <c r="D517" s="26" t="s">
        <v>1467</v>
      </c>
      <c r="E517" s="28" t="s">
        <v>1244</v>
      </c>
      <c r="F517" s="67">
        <v>0.54178903085750751</v>
      </c>
      <c r="G517" s="157">
        <v>-110</v>
      </c>
      <c r="H517" s="50" t="s">
        <v>56</v>
      </c>
      <c r="I51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51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517" s="40" t="str">
        <f>MID(Tracker[[#This Row],[Game]],SEARCH("@",Tracker[[#This Row],[Game]])+2,LEN(Tracker[[#This Row],[Game]]))</f>
        <v>Mavericks</v>
      </c>
      <c r="L517" s="40" t="str">
        <f>LEFT(Tracker[[#This Row],[Game]],SEARCH("@",Tracker[[#This Row],[Game]])-2)</f>
        <v>Grizzlies</v>
      </c>
      <c r="M517" s="158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517" s="123">
        <v>0.47450000000000003</v>
      </c>
      <c r="O517" s="147">
        <v>0.41</v>
      </c>
      <c r="P517" s="147">
        <v>0.3</v>
      </c>
      <c r="Q517" s="159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-15--10%</v>
      </c>
      <c r="R517" s="155">
        <f>IF(AND(Tracker[[#This Row],[Money %]]&lt;&gt;"",Tracker[[#This Row],[Bet %]]&lt;&gt;""),Tracker[[#This Row],[Money %]]-Tracker[[#This Row],[Bet %]],NA())</f>
        <v>-0.10999999999999999</v>
      </c>
      <c r="S517" s="110"/>
      <c r="T517" s="110"/>
      <c r="V517" s="4"/>
      <c r="W517" s="35"/>
    </row>
    <row r="518" spans="1:23" x14ac:dyDescent="0.25">
      <c r="A518" s="36">
        <f t="shared" si="73"/>
        <v>49</v>
      </c>
      <c r="B518" s="25">
        <v>43896</v>
      </c>
      <c r="C518" s="25" t="str">
        <f t="shared" si="72"/>
        <v>NBA</v>
      </c>
      <c r="D518" s="26" t="s">
        <v>1467</v>
      </c>
      <c r="E518" s="28" t="s">
        <v>991</v>
      </c>
      <c r="F518" s="67">
        <v>0.62818386945319271</v>
      </c>
      <c r="G518" s="157">
        <v>-110</v>
      </c>
      <c r="H518" s="50" t="s">
        <v>56</v>
      </c>
      <c r="I51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51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518" s="40" t="str">
        <f>MID(Tracker[[#This Row],[Game]],SEARCH("@",Tracker[[#This Row],[Game]])+2,LEN(Tracker[[#This Row],[Game]]))</f>
        <v>Mavericks</v>
      </c>
      <c r="L518" s="40" t="str">
        <f>LEFT(Tracker[[#This Row],[Game]],SEARCH("@",Tracker[[#This Row],[Game]])-2)</f>
        <v>Grizzlies</v>
      </c>
      <c r="M518" s="158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518" s="123">
        <v>0.4355</v>
      </c>
      <c r="O518" s="147">
        <v>0.37</v>
      </c>
      <c r="P518" s="147">
        <v>0.69</v>
      </c>
      <c r="Q518" s="159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30-35%</v>
      </c>
      <c r="R518" s="155">
        <f>IF(AND(Tracker[[#This Row],[Money %]]&lt;&gt;"",Tracker[[#This Row],[Bet %]]&lt;&gt;""),Tracker[[#This Row],[Money %]]-Tracker[[#This Row],[Bet %]],NA())</f>
        <v>0.31999999999999995</v>
      </c>
      <c r="S518" s="110"/>
      <c r="T518" s="110"/>
      <c r="V518" s="4"/>
      <c r="W518" s="35"/>
    </row>
    <row r="519" spans="1:23" x14ac:dyDescent="0.25">
      <c r="A519" s="36">
        <f t="shared" si="73"/>
        <v>49</v>
      </c>
      <c r="B519" s="25">
        <v>43896</v>
      </c>
      <c r="C519" s="25" t="str">
        <f t="shared" si="72"/>
        <v>NBA</v>
      </c>
      <c r="D519" s="26" t="s">
        <v>914</v>
      </c>
      <c r="E519" s="28" t="s">
        <v>1907</v>
      </c>
      <c r="F519" s="67">
        <v>0.51195999091961597</v>
      </c>
      <c r="G519" s="157">
        <v>-110</v>
      </c>
      <c r="H519" s="50" t="s">
        <v>56</v>
      </c>
      <c r="I51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51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519" s="40" t="str">
        <f>MID(Tracker[[#This Row],[Game]],SEARCH("@",Tracker[[#This Row],[Game]])+2,LEN(Tracker[[#This Row],[Game]]))</f>
        <v>Suns</v>
      </c>
      <c r="L519" s="40" t="str">
        <f>LEFT(Tracker[[#This Row],[Game]],SEARCH("@",Tracker[[#This Row],[Game]])-2)</f>
        <v>Trail Blazers</v>
      </c>
      <c r="M519" s="158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HD</v>
      </c>
      <c r="N519" s="123">
        <v>0.50849999999999995</v>
      </c>
      <c r="O519" s="147">
        <v>0.14000000000000001</v>
      </c>
      <c r="P519" s="147">
        <v>7.0000000000000007E-2</v>
      </c>
      <c r="Q519" s="159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-10--5%</v>
      </c>
      <c r="R519" s="155">
        <f>IF(AND(Tracker[[#This Row],[Money %]]&lt;&gt;"",Tracker[[#This Row],[Bet %]]&lt;&gt;""),Tracker[[#This Row],[Money %]]-Tracker[[#This Row],[Bet %]],NA())</f>
        <v>-7.0000000000000007E-2</v>
      </c>
      <c r="S519" s="110"/>
      <c r="T519" s="110"/>
      <c r="V519" s="4"/>
      <c r="W519" s="35"/>
    </row>
    <row r="520" spans="1:23" x14ac:dyDescent="0.25">
      <c r="A520" s="36">
        <f t="shared" si="73"/>
        <v>49</v>
      </c>
      <c r="B520" s="25">
        <v>43896</v>
      </c>
      <c r="C520" s="25" t="str">
        <f t="shared" si="72"/>
        <v>NBA</v>
      </c>
      <c r="D520" s="26" t="s">
        <v>914</v>
      </c>
      <c r="E520" s="28" t="s">
        <v>794</v>
      </c>
      <c r="F520" s="67">
        <v>0.80285034709691383</v>
      </c>
      <c r="G520" s="157">
        <v>-110</v>
      </c>
      <c r="H520" s="50" t="s">
        <v>57</v>
      </c>
      <c r="I52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52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520" s="40" t="str">
        <f>MID(Tracker[[#This Row],[Game]],SEARCH("@",Tracker[[#This Row],[Game]])+2,LEN(Tracker[[#This Row],[Game]]))</f>
        <v>Suns</v>
      </c>
      <c r="L520" s="40" t="str">
        <f>LEFT(Tracker[[#This Row],[Game]],SEARCH("@",Tracker[[#This Row],[Game]])-2)</f>
        <v>Trail Blazers</v>
      </c>
      <c r="M520" s="158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520" s="123">
        <v>0.47699999999999998</v>
      </c>
      <c r="O520" s="147">
        <v>0.6</v>
      </c>
      <c r="P520" s="147">
        <v>0.9</v>
      </c>
      <c r="Q520" s="159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30-35%</v>
      </c>
      <c r="R520" s="155">
        <f>IF(AND(Tracker[[#This Row],[Money %]]&lt;&gt;"",Tracker[[#This Row],[Bet %]]&lt;&gt;""),Tracker[[#This Row],[Money %]]-Tracker[[#This Row],[Bet %]],NA())</f>
        <v>0.30000000000000004</v>
      </c>
      <c r="S520" s="110"/>
      <c r="T520" s="110"/>
      <c r="V520" s="4"/>
      <c r="W520" s="35"/>
    </row>
    <row r="521" spans="1:23" x14ac:dyDescent="0.25">
      <c r="A521" s="36">
        <f t="shared" si="73"/>
        <v>49</v>
      </c>
      <c r="B521" s="25">
        <v>43896</v>
      </c>
      <c r="C521" s="25" t="str">
        <f t="shared" si="72"/>
        <v>NBA</v>
      </c>
      <c r="D521" s="26" t="s">
        <v>1908</v>
      </c>
      <c r="E521" s="28" t="s">
        <v>1909</v>
      </c>
      <c r="F521" s="67">
        <v>0.63719542115643446</v>
      </c>
      <c r="G521" s="157">
        <v>-110</v>
      </c>
      <c r="H521" s="50" t="s">
        <v>57</v>
      </c>
      <c r="I52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52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521" s="40" t="str">
        <f>MID(Tracker[[#This Row],[Game]],SEARCH("@",Tracker[[#This Row],[Game]])+2,LEN(Tracker[[#This Row],[Game]]))</f>
        <v>Lakers</v>
      </c>
      <c r="L521" s="40" t="str">
        <f>LEFT(Tracker[[#This Row],[Game]],SEARCH("@",Tracker[[#This Row],[Game]])-2)</f>
        <v>Bucks</v>
      </c>
      <c r="M521" s="158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521" s="123">
        <v>0.54800000000000004</v>
      </c>
      <c r="O521" s="147">
        <v>0.4</v>
      </c>
      <c r="P521" s="147">
        <v>0.27</v>
      </c>
      <c r="Q521" s="159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-15--10%</v>
      </c>
      <c r="R521" s="155">
        <f>IF(AND(Tracker[[#This Row],[Money %]]&lt;&gt;"",Tracker[[#This Row],[Bet %]]&lt;&gt;""),Tracker[[#This Row],[Money %]]-Tracker[[#This Row],[Bet %]],NA())</f>
        <v>-0.13</v>
      </c>
      <c r="S521" s="110"/>
      <c r="T521" s="110"/>
      <c r="V521" s="4"/>
      <c r="W521" s="35"/>
    </row>
    <row r="522" spans="1:23" x14ac:dyDescent="0.25">
      <c r="A522" s="36">
        <f t="shared" si="73"/>
        <v>49</v>
      </c>
      <c r="B522" s="25">
        <v>43896</v>
      </c>
      <c r="C522" s="25" t="str">
        <f t="shared" si="72"/>
        <v>NBA</v>
      </c>
      <c r="D522" s="26" t="s">
        <v>1908</v>
      </c>
      <c r="E522" s="28" t="s">
        <v>862</v>
      </c>
      <c r="F522" s="67">
        <v>0.60964569430756521</v>
      </c>
      <c r="G522" s="157">
        <v>-110</v>
      </c>
      <c r="H522" s="50" t="s">
        <v>56</v>
      </c>
      <c r="I52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52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522" s="40" t="str">
        <f>MID(Tracker[[#This Row],[Game]],SEARCH("@",Tracker[[#This Row],[Game]])+2,LEN(Tracker[[#This Row],[Game]]))</f>
        <v>Lakers</v>
      </c>
      <c r="L522" s="40" t="str">
        <f>LEFT(Tracker[[#This Row],[Game]],SEARCH("@",Tracker[[#This Row],[Game]])-2)</f>
        <v>Bucks</v>
      </c>
      <c r="M522" s="158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522" s="123">
        <v>0.55200000000000005</v>
      </c>
      <c r="O522" s="147">
        <v>0.43</v>
      </c>
      <c r="P522" s="147">
        <v>0.37</v>
      </c>
      <c r="Q522" s="159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-10--5%</v>
      </c>
      <c r="R522" s="155">
        <f>IF(AND(Tracker[[#This Row],[Money %]]&lt;&gt;"",Tracker[[#This Row],[Bet %]]&lt;&gt;""),Tracker[[#This Row],[Money %]]-Tracker[[#This Row],[Bet %]],NA())</f>
        <v>-0.06</v>
      </c>
      <c r="S522" s="110"/>
      <c r="T522" s="110"/>
      <c r="V522" s="4"/>
      <c r="W522" s="35"/>
    </row>
    <row r="523" spans="1:23" x14ac:dyDescent="0.25">
      <c r="A523" s="36">
        <f t="shared" si="73"/>
        <v>50</v>
      </c>
      <c r="B523" s="25">
        <v>43899</v>
      </c>
      <c r="C523" s="25" t="str">
        <f t="shared" ref="C523:C528" si="74">"NBA"</f>
        <v>NBA</v>
      </c>
      <c r="D523" s="51" t="s">
        <v>1999</v>
      </c>
      <c r="E523" s="28" t="s">
        <v>2000</v>
      </c>
      <c r="F523" s="67">
        <v>0.66928025808011271</v>
      </c>
      <c r="G523" s="29">
        <v>-110</v>
      </c>
      <c r="H523" s="29" t="s">
        <v>57</v>
      </c>
      <c r="I52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52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523" s="40" t="str">
        <f>MID(Tracker[[#This Row],[Game]],SEARCH("@",Tracker[[#This Row],[Game]])+2,LEN(Tracker[[#This Row],[Game]]))</f>
        <v>Hawks</v>
      </c>
      <c r="L523" s="40" t="str">
        <f>LEFT(Tracker[[#This Row],[Game]],SEARCH("@",Tracker[[#This Row],[Game]])-2)</f>
        <v>Hornets</v>
      </c>
      <c r="M52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523" s="123"/>
      <c r="O523" s="147">
        <v>0.55000000000000004</v>
      </c>
      <c r="P523" s="147">
        <v>0.67</v>
      </c>
      <c r="Q523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10-15%</v>
      </c>
      <c r="R523" s="155">
        <f>IF(AND(Tracker[[#This Row],[Money %]]&lt;&gt;"",Tracker[[#This Row],[Bet %]]&lt;&gt;""),Tracker[[#This Row],[Money %]]-Tracker[[#This Row],[Bet %]],NA())</f>
        <v>0.12</v>
      </c>
      <c r="S523" s="110"/>
      <c r="T523" s="110"/>
      <c r="V523" s="4"/>
      <c r="W523" s="35"/>
    </row>
    <row r="524" spans="1:23" x14ac:dyDescent="0.25">
      <c r="A524" s="36">
        <f t="shared" si="73"/>
        <v>50</v>
      </c>
      <c r="B524" s="25">
        <v>43899</v>
      </c>
      <c r="C524" s="25" t="str">
        <f t="shared" si="74"/>
        <v>NBA</v>
      </c>
      <c r="D524" s="26" t="s">
        <v>1999</v>
      </c>
      <c r="E524" s="28" t="s">
        <v>895</v>
      </c>
      <c r="F524" s="74">
        <v>0.54755235392312407</v>
      </c>
      <c r="G524" s="29">
        <v>-110</v>
      </c>
      <c r="H524" s="29" t="s">
        <v>57</v>
      </c>
      <c r="I52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52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524" s="40" t="str">
        <f>MID(Tracker[[#This Row],[Game]],SEARCH("@",Tracker[[#This Row],[Game]])+2,LEN(Tracker[[#This Row],[Game]]))</f>
        <v>Hawks</v>
      </c>
      <c r="L524" s="40" t="str">
        <f>LEFT(Tracker[[#This Row],[Game]],SEARCH("@",Tracker[[#This Row],[Game]])-2)</f>
        <v>Hornets</v>
      </c>
      <c r="M52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524" s="123"/>
      <c r="O524" s="147">
        <v>0.43</v>
      </c>
      <c r="P524" s="147">
        <v>0.63</v>
      </c>
      <c r="Q524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20-25%</v>
      </c>
      <c r="R524" s="155">
        <f>IF(AND(Tracker[[#This Row],[Money %]]&lt;&gt;"",Tracker[[#This Row],[Bet %]]&lt;&gt;""),Tracker[[#This Row],[Money %]]-Tracker[[#This Row],[Bet %]],NA())</f>
        <v>0.2</v>
      </c>
      <c r="S524" s="110"/>
      <c r="T524" s="110"/>
      <c r="V524" s="4"/>
      <c r="W524" s="35"/>
    </row>
    <row r="525" spans="1:23" x14ac:dyDescent="0.25">
      <c r="A525" s="36">
        <f t="shared" si="73"/>
        <v>50</v>
      </c>
      <c r="B525" s="25">
        <v>43899</v>
      </c>
      <c r="C525" s="25" t="str">
        <f t="shared" si="74"/>
        <v>NBA</v>
      </c>
      <c r="D525" s="26" t="s">
        <v>2001</v>
      </c>
      <c r="E525" s="28" t="s">
        <v>2002</v>
      </c>
      <c r="F525" s="74">
        <v>0.64905528865624484</v>
      </c>
      <c r="G525" s="29">
        <v>-110</v>
      </c>
      <c r="H525" s="29" t="s">
        <v>57</v>
      </c>
      <c r="I52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52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525" s="40" t="str">
        <f>MID(Tracker[[#This Row],[Game]],SEARCH("@",Tracker[[#This Row],[Game]])+2,LEN(Tracker[[#This Row],[Game]]))</f>
        <v>Nuggets</v>
      </c>
      <c r="L525" s="40" t="str">
        <f>LEFT(Tracker[[#This Row],[Game]],SEARCH("@",Tracker[[#This Row],[Game]])-2)</f>
        <v>Bucks</v>
      </c>
      <c r="M52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525" s="123"/>
      <c r="O525" s="147">
        <v>0.37</v>
      </c>
      <c r="P525" s="147">
        <v>0.28000000000000003</v>
      </c>
      <c r="Q525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-10--5%</v>
      </c>
      <c r="R525" s="155">
        <f>IF(AND(Tracker[[#This Row],[Money %]]&lt;&gt;"",Tracker[[#This Row],[Bet %]]&lt;&gt;""),Tracker[[#This Row],[Money %]]-Tracker[[#This Row],[Bet %]],NA())</f>
        <v>-8.9999999999999969E-2</v>
      </c>
      <c r="S525" s="110"/>
      <c r="T525" s="110"/>
      <c r="V525" s="4"/>
      <c r="W525" s="35"/>
    </row>
    <row r="526" spans="1:23" x14ac:dyDescent="0.25">
      <c r="A526" s="36">
        <f t="shared" si="73"/>
        <v>50</v>
      </c>
      <c r="B526" s="25">
        <v>43899</v>
      </c>
      <c r="C526" s="25" t="str">
        <f t="shared" si="74"/>
        <v>NBA</v>
      </c>
      <c r="D526" s="26" t="s">
        <v>2001</v>
      </c>
      <c r="E526" s="28" t="s">
        <v>895</v>
      </c>
      <c r="F526" s="74">
        <v>0.62593039556992203</v>
      </c>
      <c r="G526" s="29">
        <v>-110</v>
      </c>
      <c r="H526" s="29" t="s">
        <v>56</v>
      </c>
      <c r="I52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52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526" s="40" t="str">
        <f>MID(Tracker[[#This Row],[Game]],SEARCH("@",Tracker[[#This Row],[Game]])+2,LEN(Tracker[[#This Row],[Game]]))</f>
        <v>Nuggets</v>
      </c>
      <c r="L526" s="40" t="str">
        <f>LEFT(Tracker[[#This Row],[Game]],SEARCH("@",Tracker[[#This Row],[Game]])-2)</f>
        <v>Bucks</v>
      </c>
      <c r="M52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526" s="123"/>
      <c r="O526" s="147">
        <v>0.35</v>
      </c>
      <c r="P526" s="147">
        <v>0.91</v>
      </c>
      <c r="Q526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55-60%</v>
      </c>
      <c r="R526" s="155">
        <f>IF(AND(Tracker[[#This Row],[Money %]]&lt;&gt;"",Tracker[[#This Row],[Bet %]]&lt;&gt;""),Tracker[[#This Row],[Money %]]-Tracker[[#This Row],[Bet %]],NA())</f>
        <v>0.56000000000000005</v>
      </c>
      <c r="S526" s="110"/>
      <c r="T526" s="110"/>
      <c r="V526" s="4"/>
      <c r="W526" s="35"/>
    </row>
    <row r="527" spans="1:23" x14ac:dyDescent="0.25">
      <c r="A527" s="36">
        <f t="shared" si="73"/>
        <v>50</v>
      </c>
      <c r="B527" s="25">
        <v>43899</v>
      </c>
      <c r="C527" s="25" t="str">
        <f t="shared" si="74"/>
        <v>NBA</v>
      </c>
      <c r="D527" s="26" t="s">
        <v>2003</v>
      </c>
      <c r="E527" s="28" t="s">
        <v>2004</v>
      </c>
      <c r="F527" s="74">
        <v>0.62318720161221497</v>
      </c>
      <c r="G527" s="29">
        <v>-110</v>
      </c>
      <c r="H527" s="29" t="s">
        <v>56</v>
      </c>
      <c r="I52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52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527" s="40" t="str">
        <f>MID(Tracker[[#This Row],[Game]],SEARCH("@",Tracker[[#This Row],[Game]])+2,LEN(Tracker[[#This Row],[Game]]))</f>
        <v>Jazz</v>
      </c>
      <c r="L527" s="40" t="str">
        <f>LEFT(Tracker[[#This Row],[Game]],SEARCH("@",Tracker[[#This Row],[Game]])-2)</f>
        <v>Raptors</v>
      </c>
      <c r="M52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527" s="123"/>
      <c r="O527" s="147">
        <v>0.51</v>
      </c>
      <c r="P527" s="147">
        <v>0.18</v>
      </c>
      <c r="Q527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-35--30%</v>
      </c>
      <c r="R527" s="155">
        <f>IF(AND(Tracker[[#This Row],[Money %]]&lt;&gt;"",Tracker[[#This Row],[Bet %]]&lt;&gt;""),Tracker[[#This Row],[Money %]]-Tracker[[#This Row],[Bet %]],NA())</f>
        <v>-0.33</v>
      </c>
      <c r="S527" s="110"/>
      <c r="T527" s="110"/>
      <c r="V527" s="4"/>
      <c r="W527" s="35"/>
    </row>
    <row r="528" spans="1:23" x14ac:dyDescent="0.25">
      <c r="A528" s="36">
        <f t="shared" si="73"/>
        <v>50</v>
      </c>
      <c r="B528" s="25">
        <v>43899</v>
      </c>
      <c r="C528" s="25" t="str">
        <f t="shared" si="74"/>
        <v>NBA</v>
      </c>
      <c r="D528" s="26" t="s">
        <v>2003</v>
      </c>
      <c r="E528" s="28" t="s">
        <v>980</v>
      </c>
      <c r="F528" s="74">
        <v>0.62453245785131306</v>
      </c>
      <c r="G528" s="29">
        <v>-110</v>
      </c>
      <c r="H528" s="29" t="s">
        <v>56</v>
      </c>
      <c r="I52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52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528" s="40" t="str">
        <f>MID(Tracker[[#This Row],[Game]],SEARCH("@",Tracker[[#This Row],[Game]])+2,LEN(Tracker[[#This Row],[Game]]))</f>
        <v>Jazz</v>
      </c>
      <c r="L528" s="40" t="str">
        <f>LEFT(Tracker[[#This Row],[Game]],SEARCH("@",Tracker[[#This Row],[Game]])-2)</f>
        <v>Raptors</v>
      </c>
      <c r="M52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528" s="123"/>
      <c r="O528" s="147">
        <v>0.47</v>
      </c>
      <c r="P528" s="147">
        <v>0.83</v>
      </c>
      <c r="Q528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35-40%</v>
      </c>
      <c r="R528" s="155">
        <f>IF(AND(Tracker[[#This Row],[Money %]]&lt;&gt;"",Tracker[[#This Row],[Bet %]]&lt;&gt;""),Tracker[[#This Row],[Money %]]-Tracker[[#This Row],[Bet %]],NA())</f>
        <v>0.36</v>
      </c>
      <c r="S528" s="110"/>
      <c r="T528" s="110"/>
      <c r="V528" s="4"/>
      <c r="W528" s="35"/>
    </row>
    <row r="529" spans="1:23" x14ac:dyDescent="0.25">
      <c r="A529" s="36">
        <f t="shared" si="73"/>
        <v>51</v>
      </c>
      <c r="B529" s="25">
        <v>43900</v>
      </c>
      <c r="C529" s="25" t="str">
        <f t="shared" ref="C529:C546" si="75">"NBA"</f>
        <v>NBA</v>
      </c>
      <c r="D529" s="26" t="s">
        <v>863</v>
      </c>
      <c r="E529" s="28" t="s">
        <v>2052</v>
      </c>
      <c r="F529" s="74">
        <v>0.56377223826978939</v>
      </c>
      <c r="G529" s="29">
        <v>-110</v>
      </c>
      <c r="H529" s="50" t="s">
        <v>847</v>
      </c>
      <c r="I52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</v>
      </c>
      <c r="J52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529" s="40" t="str">
        <f>MID(Tracker[[#This Row],[Game]],SEARCH("@",Tracker[[#This Row],[Game]])+2,LEN(Tracker[[#This Row],[Game]]))</f>
        <v>Pacers</v>
      </c>
      <c r="L529" s="40" t="str">
        <f>LEFT(Tracker[[#This Row],[Game]],SEARCH("@",Tracker[[#This Row],[Game]])-2)</f>
        <v>Celtics</v>
      </c>
      <c r="M52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529" s="123">
        <v>0.64600000000000002</v>
      </c>
      <c r="O529" s="147">
        <v>0.75</v>
      </c>
      <c r="P529" s="147">
        <v>0.86</v>
      </c>
      <c r="Q529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10-15%</v>
      </c>
      <c r="R529" s="155">
        <f>IF(AND(Tracker[[#This Row],[Money %]]&lt;&gt;"",Tracker[[#This Row],[Bet %]]&lt;&gt;""),Tracker[[#This Row],[Money %]]-Tracker[[#This Row],[Bet %]],NA())</f>
        <v>0.10999999999999999</v>
      </c>
      <c r="S529" s="110"/>
      <c r="T529" s="110"/>
      <c r="V529" s="4"/>
      <c r="W529" s="35"/>
    </row>
    <row r="530" spans="1:23" x14ac:dyDescent="0.25">
      <c r="A530" s="36">
        <f t="shared" si="73"/>
        <v>51</v>
      </c>
      <c r="B530" s="25">
        <v>43900</v>
      </c>
      <c r="C530" s="25" t="str">
        <f t="shared" si="75"/>
        <v>NBA</v>
      </c>
      <c r="D530" s="26" t="s">
        <v>863</v>
      </c>
      <c r="E530" s="28" t="s">
        <v>1204</v>
      </c>
      <c r="F530" s="74">
        <v>0.60024396440648164</v>
      </c>
      <c r="G530" s="29">
        <v>-110</v>
      </c>
      <c r="H530" s="50" t="s">
        <v>56</v>
      </c>
      <c r="I53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53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530" s="40" t="str">
        <f>MID(Tracker[[#This Row],[Game]],SEARCH("@",Tracker[[#This Row],[Game]])+2,LEN(Tracker[[#This Row],[Game]]))</f>
        <v>Pacers</v>
      </c>
      <c r="L530" s="40" t="str">
        <f>LEFT(Tracker[[#This Row],[Game]],SEARCH("@",Tracker[[#This Row],[Game]])-2)</f>
        <v>Celtics</v>
      </c>
      <c r="M53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530" s="123">
        <v>0.50849999999999995</v>
      </c>
      <c r="O530" s="147">
        <v>0.81</v>
      </c>
      <c r="P530" s="147">
        <v>0.75</v>
      </c>
      <c r="Q530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-10--5%</v>
      </c>
      <c r="R530" s="155">
        <f>IF(AND(Tracker[[#This Row],[Money %]]&lt;&gt;"",Tracker[[#This Row],[Bet %]]&lt;&gt;""),Tracker[[#This Row],[Money %]]-Tracker[[#This Row],[Bet %]],NA())</f>
        <v>-6.0000000000000053E-2</v>
      </c>
      <c r="S530" s="110"/>
      <c r="T530" s="110"/>
      <c r="V530" s="4"/>
      <c r="W530" s="35"/>
    </row>
    <row r="531" spans="1:23" x14ac:dyDescent="0.25">
      <c r="A531" s="36">
        <f t="shared" si="73"/>
        <v>51</v>
      </c>
      <c r="B531" s="25">
        <v>43900</v>
      </c>
      <c r="C531" s="25" t="str">
        <f t="shared" si="75"/>
        <v>NBA</v>
      </c>
      <c r="D531" s="26" t="s">
        <v>2053</v>
      </c>
      <c r="E531" s="28" t="s">
        <v>2054</v>
      </c>
      <c r="F531" s="74">
        <v>0.54014446788615311</v>
      </c>
      <c r="G531" s="29">
        <v>-110</v>
      </c>
      <c r="H531" s="50" t="s">
        <v>57</v>
      </c>
      <c r="I53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53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531" s="40" t="str">
        <f>MID(Tracker[[#This Row],[Game]],SEARCH("@",Tracker[[#This Row],[Game]])+2,LEN(Tracker[[#This Row],[Game]]))</f>
        <v>Wizards</v>
      </c>
      <c r="L531" s="40" t="str">
        <f>LEFT(Tracker[[#This Row],[Game]],SEARCH("@",Tracker[[#This Row],[Game]])-2)</f>
        <v>Knicks</v>
      </c>
      <c r="M53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531" s="123">
        <v>0.46199999999999997</v>
      </c>
      <c r="O531" s="147">
        <v>0.15</v>
      </c>
      <c r="P531" s="147">
        <v>7.0000000000000007E-2</v>
      </c>
      <c r="Q531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-10--5%</v>
      </c>
      <c r="R531" s="155">
        <f>IF(AND(Tracker[[#This Row],[Money %]]&lt;&gt;"",Tracker[[#This Row],[Bet %]]&lt;&gt;""),Tracker[[#This Row],[Money %]]-Tracker[[#This Row],[Bet %]],NA())</f>
        <v>-7.9999999999999988E-2</v>
      </c>
      <c r="S531" s="110"/>
      <c r="T531" s="110"/>
      <c r="V531" s="4"/>
      <c r="W531" s="35"/>
    </row>
    <row r="532" spans="1:23" x14ac:dyDescent="0.25">
      <c r="A532" s="36">
        <f t="shared" si="73"/>
        <v>51</v>
      </c>
      <c r="B532" s="25">
        <v>43900</v>
      </c>
      <c r="C532" s="25" t="str">
        <f t="shared" si="75"/>
        <v>NBA</v>
      </c>
      <c r="D532" s="26" t="s">
        <v>2053</v>
      </c>
      <c r="E532" s="28" t="s">
        <v>1202</v>
      </c>
      <c r="F532" s="74">
        <v>0.57523195962895335</v>
      </c>
      <c r="G532" s="29">
        <v>-110</v>
      </c>
      <c r="H532" s="50" t="s">
        <v>56</v>
      </c>
      <c r="I53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53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532" s="40" t="str">
        <f>MID(Tracker[[#This Row],[Game]],SEARCH("@",Tracker[[#This Row],[Game]])+2,LEN(Tracker[[#This Row],[Game]]))</f>
        <v>Wizards</v>
      </c>
      <c r="L532" s="40" t="str">
        <f>LEFT(Tracker[[#This Row],[Game]],SEARCH("@",Tracker[[#This Row],[Game]])-2)</f>
        <v>Knicks</v>
      </c>
      <c r="M53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532" s="123">
        <v>0.53100000000000003</v>
      </c>
      <c r="O532" s="147">
        <v>0.49</v>
      </c>
      <c r="P532" s="147">
        <v>0.88</v>
      </c>
      <c r="Q532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35-40%</v>
      </c>
      <c r="R532" s="155">
        <f>IF(AND(Tracker[[#This Row],[Money %]]&lt;&gt;"",Tracker[[#This Row],[Bet %]]&lt;&gt;""),Tracker[[#This Row],[Money %]]-Tracker[[#This Row],[Bet %]],NA())</f>
        <v>0.39</v>
      </c>
      <c r="S532" s="110"/>
      <c r="T532" s="110"/>
      <c r="V532" s="4"/>
      <c r="W532" s="35"/>
    </row>
    <row r="533" spans="1:23" x14ac:dyDescent="0.25">
      <c r="A533" s="36">
        <f t="shared" si="73"/>
        <v>51</v>
      </c>
      <c r="B533" s="25">
        <v>43900</v>
      </c>
      <c r="C533" s="25" t="str">
        <f t="shared" si="75"/>
        <v>NBA</v>
      </c>
      <c r="D533" s="26" t="s">
        <v>2055</v>
      </c>
      <c r="E533" s="28" t="s">
        <v>2056</v>
      </c>
      <c r="F533" s="74">
        <v>0.55412811903326498</v>
      </c>
      <c r="G533" s="29">
        <v>-110</v>
      </c>
      <c r="H533" s="50" t="s">
        <v>56</v>
      </c>
      <c r="I53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53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533" s="40" t="str">
        <f>MID(Tracker[[#This Row],[Game]],SEARCH("@",Tracker[[#This Row],[Game]])+2,LEN(Tracker[[#This Row],[Game]]))</f>
        <v>Bulls</v>
      </c>
      <c r="L533" s="40" t="str">
        <f>LEFT(Tracker[[#This Row],[Game]],SEARCH("@",Tracker[[#This Row],[Game]])-2)</f>
        <v>Cavaliers</v>
      </c>
      <c r="M53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533" s="123">
        <v>0.49149999999999999</v>
      </c>
      <c r="O533" s="147">
        <v>0.53</v>
      </c>
      <c r="P533" s="147">
        <v>0.51</v>
      </c>
      <c r="Q533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-5-0%</v>
      </c>
      <c r="R533" s="155">
        <f>IF(AND(Tracker[[#This Row],[Money %]]&lt;&gt;"",Tracker[[#This Row],[Bet %]]&lt;&gt;""),Tracker[[#This Row],[Money %]]-Tracker[[#This Row],[Bet %]],NA())</f>
        <v>-2.0000000000000018E-2</v>
      </c>
      <c r="S533" s="110"/>
      <c r="T533" s="110"/>
      <c r="V533" s="4"/>
      <c r="W533" s="35"/>
    </row>
    <row r="534" spans="1:23" x14ac:dyDescent="0.25">
      <c r="A534" s="36">
        <f t="shared" si="73"/>
        <v>51</v>
      </c>
      <c r="B534" s="25">
        <v>43900</v>
      </c>
      <c r="C534" s="25" t="str">
        <f t="shared" si="75"/>
        <v>NBA</v>
      </c>
      <c r="D534" s="26" t="s">
        <v>2055</v>
      </c>
      <c r="E534" s="28" t="s">
        <v>1068</v>
      </c>
      <c r="F534" s="74">
        <v>0.61814660252571474</v>
      </c>
      <c r="G534" s="29">
        <v>-110</v>
      </c>
      <c r="H534" s="50" t="s">
        <v>57</v>
      </c>
      <c r="I53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53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534" s="40" t="str">
        <f>MID(Tracker[[#This Row],[Game]],SEARCH("@",Tracker[[#This Row],[Game]])+2,LEN(Tracker[[#This Row],[Game]]))</f>
        <v>Bulls</v>
      </c>
      <c r="L534" s="40" t="str">
        <f>LEFT(Tracker[[#This Row],[Game]],SEARCH("@",Tracker[[#This Row],[Game]])-2)</f>
        <v>Cavaliers</v>
      </c>
      <c r="M53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534" s="123">
        <v>0.50849999999999995</v>
      </c>
      <c r="O534" s="147">
        <v>0.6</v>
      </c>
      <c r="P534" s="147">
        <v>7.0000000000000007E-2</v>
      </c>
      <c r="Q534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-55--50%</v>
      </c>
      <c r="R534" s="155">
        <f>IF(AND(Tracker[[#This Row],[Money %]]&lt;&gt;"",Tracker[[#This Row],[Bet %]]&lt;&gt;""),Tracker[[#This Row],[Money %]]-Tracker[[#This Row],[Bet %]],NA())</f>
        <v>-0.53</v>
      </c>
      <c r="S534" s="110"/>
      <c r="T534" s="110"/>
      <c r="V534" s="4"/>
      <c r="W534" s="35"/>
    </row>
    <row r="535" spans="1:23" x14ac:dyDescent="0.25">
      <c r="A535" s="36">
        <f t="shared" si="73"/>
        <v>51</v>
      </c>
      <c r="B535" s="25">
        <v>43900</v>
      </c>
      <c r="C535" s="25" t="str">
        <f t="shared" si="75"/>
        <v>NBA</v>
      </c>
      <c r="D535" s="26" t="s">
        <v>2057</v>
      </c>
      <c r="E535" s="28" t="s">
        <v>2058</v>
      </c>
      <c r="F535" s="74">
        <v>0.53822089747177393</v>
      </c>
      <c r="G535" s="29">
        <v>-110</v>
      </c>
      <c r="H535" s="50" t="s">
        <v>56</v>
      </c>
      <c r="I53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53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535" s="40" t="str">
        <f>MID(Tracker[[#This Row],[Game]],SEARCH("@",Tracker[[#This Row],[Game]])+2,LEN(Tracker[[#This Row],[Game]]))</f>
        <v>Rockets</v>
      </c>
      <c r="L535" s="40" t="str">
        <f>LEFT(Tracker[[#This Row],[Game]],SEARCH("@",Tracker[[#This Row],[Game]])-2)</f>
        <v>Timberwolves</v>
      </c>
      <c r="M53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535" s="123">
        <v>0.50800000000000001</v>
      </c>
      <c r="O535" s="147">
        <v>0.62</v>
      </c>
      <c r="P535" s="147">
        <v>0.4</v>
      </c>
      <c r="Q535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-25--20%</v>
      </c>
      <c r="R535" s="155">
        <f>IF(AND(Tracker[[#This Row],[Money %]]&lt;&gt;"",Tracker[[#This Row],[Bet %]]&lt;&gt;""),Tracker[[#This Row],[Money %]]-Tracker[[#This Row],[Bet %]],NA())</f>
        <v>-0.21999999999999997</v>
      </c>
      <c r="S535" s="110"/>
      <c r="T535" s="110"/>
      <c r="V535" s="4"/>
      <c r="W535" s="35"/>
    </row>
    <row r="536" spans="1:23" x14ac:dyDescent="0.25">
      <c r="A536" s="36">
        <f t="shared" si="73"/>
        <v>51</v>
      </c>
      <c r="B536" s="25">
        <v>43900</v>
      </c>
      <c r="C536" s="25" t="str">
        <f t="shared" si="75"/>
        <v>NBA</v>
      </c>
      <c r="D536" s="26" t="s">
        <v>2057</v>
      </c>
      <c r="E536" s="28" t="s">
        <v>2059</v>
      </c>
      <c r="F536" s="74">
        <v>0.56491564473891809</v>
      </c>
      <c r="G536" s="29">
        <v>-110</v>
      </c>
      <c r="H536" s="50" t="s">
        <v>56</v>
      </c>
      <c r="I53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53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536" s="40" t="str">
        <f>MID(Tracker[[#This Row],[Game]],SEARCH("@",Tracker[[#This Row],[Game]])+2,LEN(Tracker[[#This Row],[Game]]))</f>
        <v>Rockets</v>
      </c>
      <c r="L536" s="40" t="str">
        <f>LEFT(Tracker[[#This Row],[Game]],SEARCH("@",Tracker[[#This Row],[Game]])-2)</f>
        <v>Timberwolves</v>
      </c>
      <c r="M53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536" s="123">
        <v>0.45300000000000001</v>
      </c>
      <c r="O536" s="147">
        <v>0.68</v>
      </c>
      <c r="P536" s="147">
        <v>0.48</v>
      </c>
      <c r="Q536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-20--15%</v>
      </c>
      <c r="R536" s="155">
        <f>IF(AND(Tracker[[#This Row],[Money %]]&lt;&gt;"",Tracker[[#This Row],[Bet %]]&lt;&gt;""),Tracker[[#This Row],[Money %]]-Tracker[[#This Row],[Bet %]],NA())</f>
        <v>-0.20000000000000007</v>
      </c>
      <c r="S536" s="110"/>
      <c r="T536" s="110"/>
      <c r="V536" s="4"/>
      <c r="W536" s="35"/>
    </row>
    <row r="537" spans="1:23" x14ac:dyDescent="0.25">
      <c r="A537" s="36">
        <f t="shared" si="73"/>
        <v>51</v>
      </c>
      <c r="B537" s="25">
        <v>43900</v>
      </c>
      <c r="C537" s="25" t="str">
        <f t="shared" si="75"/>
        <v>NBA</v>
      </c>
      <c r="D537" s="26" t="s">
        <v>1713</v>
      </c>
      <c r="E537" s="28" t="s">
        <v>2060</v>
      </c>
      <c r="F537" s="74">
        <v>0.6522004089267075</v>
      </c>
      <c r="G537" s="29">
        <v>-110</v>
      </c>
      <c r="H537" s="50" t="s">
        <v>57</v>
      </c>
      <c r="I53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53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537" s="40" t="str">
        <f>MID(Tracker[[#This Row],[Game]],SEARCH("@",Tracker[[#This Row],[Game]])+2,LEN(Tracker[[#This Row],[Game]]))</f>
        <v>Spurs</v>
      </c>
      <c r="L537" s="40" t="str">
        <f>LEFT(Tracker[[#This Row],[Game]],SEARCH("@",Tracker[[#This Row],[Game]])-2)</f>
        <v>Mavericks</v>
      </c>
      <c r="M53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537" s="123">
        <v>0.60299999999999998</v>
      </c>
      <c r="O537" s="147">
        <v>0.85</v>
      </c>
      <c r="P537" s="147">
        <v>0.87</v>
      </c>
      <c r="Q537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0-5%</v>
      </c>
      <c r="R537" s="155">
        <f>IF(AND(Tracker[[#This Row],[Money %]]&lt;&gt;"",Tracker[[#This Row],[Bet %]]&lt;&gt;""),Tracker[[#This Row],[Money %]]-Tracker[[#This Row],[Bet %]],NA())</f>
        <v>2.0000000000000018E-2</v>
      </c>
      <c r="S537" s="110"/>
      <c r="T537" s="110"/>
      <c r="V537" s="4"/>
      <c r="W537" s="35"/>
    </row>
    <row r="538" spans="1:23" x14ac:dyDescent="0.25">
      <c r="A538" s="36">
        <f t="shared" si="73"/>
        <v>51</v>
      </c>
      <c r="B538" s="25">
        <v>43900</v>
      </c>
      <c r="C538" s="25" t="str">
        <f t="shared" si="75"/>
        <v>NBA</v>
      </c>
      <c r="D538" s="26" t="s">
        <v>1713</v>
      </c>
      <c r="E538" s="28" t="s">
        <v>829</v>
      </c>
      <c r="F538" s="74">
        <v>0.54064249987915636</v>
      </c>
      <c r="G538" s="29">
        <v>-110</v>
      </c>
      <c r="H538" s="50" t="s">
        <v>56</v>
      </c>
      <c r="I53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53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538" s="40" t="str">
        <f>MID(Tracker[[#This Row],[Game]],SEARCH("@",Tracker[[#This Row],[Game]])+2,LEN(Tracker[[#This Row],[Game]]))</f>
        <v>Spurs</v>
      </c>
      <c r="L538" s="40" t="str">
        <f>LEFT(Tracker[[#This Row],[Game]],SEARCH("@",Tracker[[#This Row],[Game]])-2)</f>
        <v>Mavericks</v>
      </c>
      <c r="M53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538" s="123">
        <v>0.5645</v>
      </c>
      <c r="O538" s="147">
        <v>0.47</v>
      </c>
      <c r="P538" s="147">
        <v>0.28999999999999998</v>
      </c>
      <c r="Q538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-20--15%</v>
      </c>
      <c r="R538" s="155">
        <f>IF(AND(Tracker[[#This Row],[Money %]]&lt;&gt;"",Tracker[[#This Row],[Bet %]]&lt;&gt;""),Tracker[[#This Row],[Money %]]-Tracker[[#This Row],[Bet %]],NA())</f>
        <v>-0.18</v>
      </c>
      <c r="S538" s="110"/>
      <c r="T538" s="110"/>
      <c r="V538" s="4"/>
      <c r="W538" s="35"/>
    </row>
    <row r="539" spans="1:23" x14ac:dyDescent="0.25">
      <c r="A539" s="36">
        <f t="shared" si="73"/>
        <v>51</v>
      </c>
      <c r="B539" s="25">
        <v>43900</v>
      </c>
      <c r="C539" s="25" t="str">
        <f t="shared" si="75"/>
        <v>NBA</v>
      </c>
      <c r="D539" s="26" t="s">
        <v>2061</v>
      </c>
      <c r="E539" s="28" t="s">
        <v>1067</v>
      </c>
      <c r="F539" s="74">
        <v>0.57688426172691598</v>
      </c>
      <c r="G539" s="29">
        <v>-110</v>
      </c>
      <c r="H539" s="50" t="s">
        <v>56</v>
      </c>
      <c r="I53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53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539" s="40" t="str">
        <f>MID(Tracker[[#This Row],[Game]],SEARCH("@",Tracker[[#This Row],[Game]])+2,LEN(Tracker[[#This Row],[Game]]))</f>
        <v>Grizzlies</v>
      </c>
      <c r="L539" s="40" t="str">
        <f>LEFT(Tracker[[#This Row],[Game]],SEARCH("@",Tracker[[#This Row],[Game]])-2)</f>
        <v>Magic</v>
      </c>
      <c r="M53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539" s="123">
        <v>0.44899999999999995</v>
      </c>
      <c r="O539" s="147">
        <v>0.17</v>
      </c>
      <c r="P539" s="147">
        <v>0.05</v>
      </c>
      <c r="Q539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-15--10%</v>
      </c>
      <c r="R539" s="155">
        <f>IF(AND(Tracker[[#This Row],[Money %]]&lt;&gt;"",Tracker[[#This Row],[Bet %]]&lt;&gt;""),Tracker[[#This Row],[Money %]]-Tracker[[#This Row],[Bet %]],NA())</f>
        <v>-0.12000000000000001</v>
      </c>
      <c r="S539" s="110"/>
      <c r="T539" s="110"/>
      <c r="V539" s="4"/>
      <c r="W539" s="35"/>
    </row>
    <row r="540" spans="1:23" x14ac:dyDescent="0.25">
      <c r="A540" s="36">
        <f t="shared" si="73"/>
        <v>51</v>
      </c>
      <c r="B540" s="25">
        <v>43900</v>
      </c>
      <c r="C540" s="25" t="str">
        <f t="shared" si="75"/>
        <v>NBA</v>
      </c>
      <c r="D540" s="26" t="s">
        <v>2061</v>
      </c>
      <c r="E540" s="28" t="s">
        <v>1253</v>
      </c>
      <c r="F540" s="74">
        <v>0.62928657959542267</v>
      </c>
      <c r="G540" s="29">
        <v>-110</v>
      </c>
      <c r="H540" s="50" t="s">
        <v>56</v>
      </c>
      <c r="I54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54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540" s="40" t="str">
        <f>MID(Tracker[[#This Row],[Game]],SEARCH("@",Tracker[[#This Row],[Game]])+2,LEN(Tracker[[#This Row],[Game]]))</f>
        <v>Grizzlies</v>
      </c>
      <c r="L540" s="40" t="str">
        <f>LEFT(Tracker[[#This Row],[Game]],SEARCH("@",Tracker[[#This Row],[Game]])-2)</f>
        <v>Magic</v>
      </c>
      <c r="M54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540" s="123">
        <v>0.55549999999999999</v>
      </c>
      <c r="O540" s="147">
        <v>0.42</v>
      </c>
      <c r="P540" s="147">
        <v>0.19</v>
      </c>
      <c r="Q540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-25--20%</v>
      </c>
      <c r="R540" s="155">
        <f>IF(AND(Tracker[[#This Row],[Money %]]&lt;&gt;"",Tracker[[#This Row],[Bet %]]&lt;&gt;""),Tracker[[#This Row],[Money %]]-Tracker[[#This Row],[Bet %]],NA())</f>
        <v>-0.22999999999999998</v>
      </c>
      <c r="S540" s="110"/>
      <c r="T540" s="110"/>
      <c r="V540" s="4"/>
      <c r="W540" s="35"/>
    </row>
    <row r="541" spans="1:23" x14ac:dyDescent="0.25">
      <c r="A541" s="36">
        <f t="shared" si="73"/>
        <v>51</v>
      </c>
      <c r="B541" s="25">
        <v>43900</v>
      </c>
      <c r="C541" s="25" t="str">
        <f t="shared" si="75"/>
        <v>NBA</v>
      </c>
      <c r="D541" s="51" t="s">
        <v>2062</v>
      </c>
      <c r="E541" s="28" t="s">
        <v>2063</v>
      </c>
      <c r="F541" s="74">
        <v>0.59271527860948747</v>
      </c>
      <c r="G541" s="29">
        <v>-110</v>
      </c>
      <c r="H541" s="50" t="s">
        <v>57</v>
      </c>
      <c r="I54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54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541" s="40" t="str">
        <f>MID(Tracker[[#This Row],[Game]],SEARCH("@",Tracker[[#This Row],[Game]])+2,LEN(Tracker[[#This Row],[Game]]))</f>
        <v>Trail Blazers</v>
      </c>
      <c r="L541" s="40" t="str">
        <f>LEFT(Tracker[[#This Row],[Game]],SEARCH("@",Tracker[[#This Row],[Game]])-2)</f>
        <v>Suns</v>
      </c>
      <c r="M54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541" s="123">
        <v>0.51049999999999995</v>
      </c>
      <c r="O541" s="147">
        <v>0.36</v>
      </c>
      <c r="P541" s="147">
        <v>0.27</v>
      </c>
      <c r="Q541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-10--5%</v>
      </c>
      <c r="R541" s="155">
        <f>IF(AND(Tracker[[#This Row],[Money %]]&lt;&gt;"",Tracker[[#This Row],[Bet %]]&lt;&gt;""),Tracker[[#This Row],[Money %]]-Tracker[[#This Row],[Bet %]],NA())</f>
        <v>-8.9999999999999969E-2</v>
      </c>
      <c r="S541" s="110"/>
      <c r="T541" s="110"/>
      <c r="V541" s="4"/>
      <c r="W541" s="35"/>
    </row>
    <row r="542" spans="1:23" x14ac:dyDescent="0.25">
      <c r="A542" s="36">
        <f t="shared" si="73"/>
        <v>51</v>
      </c>
      <c r="B542" s="25">
        <v>43900</v>
      </c>
      <c r="C542" s="25" t="str">
        <f t="shared" si="75"/>
        <v>NBA</v>
      </c>
      <c r="D542" s="26" t="s">
        <v>2062</v>
      </c>
      <c r="E542" s="28" t="s">
        <v>1233</v>
      </c>
      <c r="F542" s="67">
        <v>0.51711570246917504</v>
      </c>
      <c r="G542" s="29">
        <v>-110</v>
      </c>
      <c r="H542" s="50" t="s">
        <v>56</v>
      </c>
      <c r="I54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54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542" s="40" t="str">
        <f>MID(Tracker[[#This Row],[Game]],SEARCH("@",Tracker[[#This Row],[Game]])+2,LEN(Tracker[[#This Row],[Game]]))</f>
        <v>Trail Blazers</v>
      </c>
      <c r="L542" s="40" t="str">
        <f>LEFT(Tracker[[#This Row],[Game]],SEARCH("@",Tracker[[#This Row],[Game]])-2)</f>
        <v>Suns</v>
      </c>
      <c r="M54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542" s="123">
        <v>0.48649999999999999</v>
      </c>
      <c r="O542" s="147">
        <v>0.52</v>
      </c>
      <c r="P542" s="147"/>
      <c r="Q542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n/a</v>
      </c>
      <c r="R542" s="155" t="e">
        <f>IF(AND(Tracker[[#This Row],[Money %]]&lt;&gt;"",Tracker[[#This Row],[Bet %]]&lt;&gt;""),Tracker[[#This Row],[Money %]]-Tracker[[#This Row],[Bet %]],NA())</f>
        <v>#N/A</v>
      </c>
      <c r="S542" s="110"/>
      <c r="T542" s="110"/>
      <c r="V542" s="4"/>
      <c r="W542" s="35"/>
    </row>
    <row r="543" spans="1:23" x14ac:dyDescent="0.25">
      <c r="A543" s="36">
        <f t="shared" si="73"/>
        <v>51</v>
      </c>
      <c r="B543" s="25">
        <v>43900</v>
      </c>
      <c r="C543" s="25" t="str">
        <f t="shared" si="75"/>
        <v>NBA</v>
      </c>
      <c r="D543" s="26" t="s">
        <v>2064</v>
      </c>
      <c r="E543" s="28" t="s">
        <v>2065</v>
      </c>
      <c r="F543" s="67">
        <v>0.57460530517978037</v>
      </c>
      <c r="G543" s="29">
        <v>-110</v>
      </c>
      <c r="H543" s="50" t="s">
        <v>56</v>
      </c>
      <c r="I54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54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543" s="40" t="str">
        <f>MID(Tracker[[#This Row],[Game]],SEARCH("@",Tracker[[#This Row],[Game]])+2,LEN(Tracker[[#This Row],[Game]]))</f>
        <v>Warriors</v>
      </c>
      <c r="L543" s="40" t="str">
        <f>LEFT(Tracker[[#This Row],[Game]],SEARCH("@",Tracker[[#This Row],[Game]])-2)</f>
        <v>Clippers</v>
      </c>
      <c r="M54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543" s="123">
        <v>0.60149999999999992</v>
      </c>
      <c r="O543" s="147">
        <v>0.53</v>
      </c>
      <c r="P543" s="147">
        <v>0.48</v>
      </c>
      <c r="Q543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-5-0%</v>
      </c>
      <c r="R543" s="155">
        <f>IF(AND(Tracker[[#This Row],[Money %]]&lt;&gt;"",Tracker[[#This Row],[Bet %]]&lt;&gt;""),Tracker[[#This Row],[Money %]]-Tracker[[#This Row],[Bet %]],NA())</f>
        <v>-5.0000000000000044E-2</v>
      </c>
      <c r="S543" s="110"/>
      <c r="T543" s="110"/>
      <c r="V543" s="4"/>
      <c r="W543" s="35"/>
    </row>
    <row r="544" spans="1:23" x14ac:dyDescent="0.25">
      <c r="A544" s="36">
        <f t="shared" si="73"/>
        <v>51</v>
      </c>
      <c r="B544" s="25">
        <v>43900</v>
      </c>
      <c r="C544" s="25" t="str">
        <f t="shared" si="75"/>
        <v>NBA</v>
      </c>
      <c r="D544" s="26" t="s">
        <v>2064</v>
      </c>
      <c r="E544" s="28" t="s">
        <v>931</v>
      </c>
      <c r="F544" s="67">
        <v>0.56803614506308253</v>
      </c>
      <c r="G544" s="29">
        <v>-110</v>
      </c>
      <c r="H544" s="50" t="s">
        <v>56</v>
      </c>
      <c r="I54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54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544" s="40" t="str">
        <f>MID(Tracker[[#This Row],[Game]],SEARCH("@",Tracker[[#This Row],[Game]])+2,LEN(Tracker[[#This Row],[Game]]))</f>
        <v>Warriors</v>
      </c>
      <c r="L544" s="40" t="str">
        <f>LEFT(Tracker[[#This Row],[Game]],SEARCH("@",Tracker[[#This Row],[Game]])-2)</f>
        <v>Clippers</v>
      </c>
      <c r="M54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544" s="123">
        <v>0.45450000000000002</v>
      </c>
      <c r="O544" s="147">
        <v>0.5</v>
      </c>
      <c r="P544" s="147">
        <v>0.48</v>
      </c>
      <c r="Q544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-5-0%</v>
      </c>
      <c r="R544" s="155">
        <f>IF(AND(Tracker[[#This Row],[Money %]]&lt;&gt;"",Tracker[[#This Row],[Bet %]]&lt;&gt;""),Tracker[[#This Row],[Money %]]-Tracker[[#This Row],[Bet %]],NA())</f>
        <v>-2.0000000000000018E-2</v>
      </c>
      <c r="S544" s="110"/>
      <c r="T544" s="110"/>
      <c r="V544" s="4"/>
      <c r="W544" s="35"/>
    </row>
    <row r="545" spans="1:23" x14ac:dyDescent="0.25">
      <c r="A545" s="36">
        <f t="shared" si="73"/>
        <v>51</v>
      </c>
      <c r="B545" s="25">
        <v>43900</v>
      </c>
      <c r="C545" s="25" t="str">
        <f t="shared" si="75"/>
        <v>NBA</v>
      </c>
      <c r="D545" s="26" t="s">
        <v>2066</v>
      </c>
      <c r="E545" s="28" t="s">
        <v>993</v>
      </c>
      <c r="F545" s="67">
        <v>0.51747344258802919</v>
      </c>
      <c r="G545" s="29">
        <v>-110</v>
      </c>
      <c r="H545" s="50" t="s">
        <v>57</v>
      </c>
      <c r="I54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54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545" s="40" t="str">
        <f>MID(Tracker[[#This Row],[Game]],SEARCH("@",Tracker[[#This Row],[Game]])+2,LEN(Tracker[[#This Row],[Game]]))</f>
        <v>Lakers</v>
      </c>
      <c r="L545" s="40" t="str">
        <f>LEFT(Tracker[[#This Row],[Game]],SEARCH("@",Tracker[[#This Row],[Game]])-2)</f>
        <v>Nets</v>
      </c>
      <c r="M54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HF</v>
      </c>
      <c r="N545" s="123">
        <v>0.5585</v>
      </c>
      <c r="O545" s="147">
        <v>0.42</v>
      </c>
      <c r="P545" s="147">
        <v>0.09</v>
      </c>
      <c r="Q545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-35--30%</v>
      </c>
      <c r="R545" s="155">
        <f>IF(AND(Tracker[[#This Row],[Money %]]&lt;&gt;"",Tracker[[#This Row],[Bet %]]&lt;&gt;""),Tracker[[#This Row],[Money %]]-Tracker[[#This Row],[Bet %]],NA())</f>
        <v>-0.32999999999999996</v>
      </c>
      <c r="S545" s="110"/>
      <c r="T545" s="110"/>
      <c r="V545" s="4"/>
      <c r="W545" s="35"/>
    </row>
    <row r="546" spans="1:23" x14ac:dyDescent="0.25">
      <c r="A546" s="36">
        <f t="shared" si="73"/>
        <v>51</v>
      </c>
      <c r="B546" s="25">
        <v>43900</v>
      </c>
      <c r="C546" s="25" t="str">
        <f t="shared" si="75"/>
        <v>NBA</v>
      </c>
      <c r="D546" s="26" t="s">
        <v>2066</v>
      </c>
      <c r="E546" s="28" t="s">
        <v>1790</v>
      </c>
      <c r="F546" s="67">
        <v>0.61181835787320704</v>
      </c>
      <c r="G546" s="29">
        <v>-110</v>
      </c>
      <c r="H546" s="50" t="s">
        <v>57</v>
      </c>
      <c r="I54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54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546" s="40" t="str">
        <f>MID(Tracker[[#This Row],[Game]],SEARCH("@",Tracker[[#This Row],[Game]])+2,LEN(Tracker[[#This Row],[Game]]))</f>
        <v>Lakers</v>
      </c>
      <c r="L546" s="40" t="str">
        <f>LEFT(Tracker[[#This Row],[Game]],SEARCH("@",Tracker[[#This Row],[Game]])-2)</f>
        <v>Nets</v>
      </c>
      <c r="M54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546" s="123">
        <v>0.45950000000000002</v>
      </c>
      <c r="O546" s="147">
        <v>0.7</v>
      </c>
      <c r="P546" s="147">
        <v>0.86</v>
      </c>
      <c r="Q546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15-20%</v>
      </c>
      <c r="R546" s="155">
        <f>IF(AND(Tracker[[#This Row],[Money %]]&lt;&gt;"",Tracker[[#This Row],[Bet %]]&lt;&gt;""),Tracker[[#This Row],[Money %]]-Tracker[[#This Row],[Bet %]],NA())</f>
        <v>0.16000000000000003</v>
      </c>
      <c r="S546" s="110"/>
      <c r="T546" s="110"/>
      <c r="V546" s="4"/>
      <c r="W546" s="35"/>
    </row>
    <row r="547" spans="1:23" x14ac:dyDescent="0.25">
      <c r="A547" s="36">
        <f t="shared" si="73"/>
        <v>52</v>
      </c>
      <c r="B547" s="25">
        <v>43901</v>
      </c>
      <c r="C547" s="25" t="str">
        <f t="shared" ref="C547:C558" si="76">"NBA"</f>
        <v>NBA</v>
      </c>
      <c r="D547" s="26" t="s">
        <v>2105</v>
      </c>
      <c r="E547" s="28" t="s">
        <v>779</v>
      </c>
      <c r="F547" s="67">
        <v>0.57019539980692935</v>
      </c>
      <c r="G547" s="29">
        <v>-110</v>
      </c>
      <c r="H547" s="50" t="s">
        <v>847</v>
      </c>
      <c r="I54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</v>
      </c>
      <c r="J54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547" s="40" t="str">
        <f>MID(Tracker[[#This Row],[Game]],SEARCH("@",Tracker[[#This Row],[Game]])+2,LEN(Tracker[[#This Row],[Game]]))</f>
        <v>Thunder</v>
      </c>
      <c r="L547" s="40" t="str">
        <f>LEFT(Tracker[[#This Row],[Game]],SEARCH("@",Tracker[[#This Row],[Game]])-2)</f>
        <v>Jazz</v>
      </c>
      <c r="M54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547" s="123">
        <v>0.54149999999999998</v>
      </c>
      <c r="O547" s="147">
        <v>0.41</v>
      </c>
      <c r="P547" s="147">
        <v>0.45</v>
      </c>
      <c r="Q547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0-5%</v>
      </c>
      <c r="R547" s="155">
        <f>IF(AND(Tracker[[#This Row],[Money %]]&lt;&gt;"",Tracker[[#This Row],[Bet %]]&lt;&gt;""),Tracker[[#This Row],[Money %]]-Tracker[[#This Row],[Bet %]],NA())</f>
        <v>4.0000000000000036E-2</v>
      </c>
      <c r="S547" s="110"/>
      <c r="T547" s="110"/>
      <c r="V547" s="4"/>
      <c r="W547" s="35"/>
    </row>
    <row r="548" spans="1:23" x14ac:dyDescent="0.25">
      <c r="A548" s="36">
        <f t="shared" si="73"/>
        <v>52</v>
      </c>
      <c r="B548" s="25">
        <v>43901</v>
      </c>
      <c r="C548" s="25" t="str">
        <f t="shared" si="76"/>
        <v>NBA</v>
      </c>
      <c r="D548" s="26" t="s">
        <v>2105</v>
      </c>
      <c r="E548" s="28" t="s">
        <v>1068</v>
      </c>
      <c r="F548" s="67">
        <v>0.54970021066907959</v>
      </c>
      <c r="G548" s="29">
        <v>-110</v>
      </c>
      <c r="H548" s="50" t="s">
        <v>847</v>
      </c>
      <c r="I54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</v>
      </c>
      <c r="J54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548" s="40" t="str">
        <f>MID(Tracker[[#This Row],[Game]],SEARCH("@",Tracker[[#This Row],[Game]])+2,LEN(Tracker[[#This Row],[Game]]))</f>
        <v>Thunder</v>
      </c>
      <c r="L548" s="40" t="str">
        <f>LEFT(Tracker[[#This Row],[Game]],SEARCH("@",Tracker[[#This Row],[Game]])-2)</f>
        <v>Jazz</v>
      </c>
      <c r="M54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548" s="123">
        <v>0.50750000000000006</v>
      </c>
      <c r="O548" s="147">
        <v>0.49</v>
      </c>
      <c r="P548" s="147">
        <v>7.0000000000000007E-2</v>
      </c>
      <c r="Q548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-45--40%</v>
      </c>
      <c r="R548" s="155">
        <f>IF(AND(Tracker[[#This Row],[Money %]]&lt;&gt;"",Tracker[[#This Row],[Bet %]]&lt;&gt;""),Tracker[[#This Row],[Money %]]-Tracker[[#This Row],[Bet %]],NA())</f>
        <v>-0.42</v>
      </c>
      <c r="S548" s="110"/>
      <c r="T548" s="110"/>
      <c r="V548" s="4"/>
      <c r="W548" s="35"/>
    </row>
    <row r="549" spans="1:23" x14ac:dyDescent="0.25">
      <c r="A549" s="36">
        <f t="shared" si="73"/>
        <v>52</v>
      </c>
      <c r="B549" s="25">
        <v>43901</v>
      </c>
      <c r="C549" s="25" t="str">
        <f t="shared" si="76"/>
        <v>NBA</v>
      </c>
      <c r="D549" s="26" t="s">
        <v>1042</v>
      </c>
      <c r="E549" s="28" t="s">
        <v>2106</v>
      </c>
      <c r="F549" s="67">
        <v>0.63761245849544168</v>
      </c>
      <c r="G549" s="29">
        <v>-110</v>
      </c>
      <c r="H549" s="50" t="s">
        <v>56</v>
      </c>
      <c r="I549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549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549" s="40" t="str">
        <f>MID(Tracker[[#This Row],[Game]],SEARCH("@",Tracker[[#This Row],[Game]])+2,LEN(Tracker[[#This Row],[Game]]))</f>
        <v>Mavericks</v>
      </c>
      <c r="L549" s="40" t="str">
        <f>LEFT(Tracker[[#This Row],[Game]],SEARCH("@",Tracker[[#This Row],[Game]])-2)</f>
        <v>Nuggets</v>
      </c>
      <c r="M549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HD</v>
      </c>
      <c r="N549" s="123">
        <v>0.29400000000000004</v>
      </c>
      <c r="O549" s="147">
        <v>0.39</v>
      </c>
      <c r="P549" s="147">
        <v>0.25</v>
      </c>
      <c r="Q549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-15--10%</v>
      </c>
      <c r="R549" s="155">
        <f>IF(AND(Tracker[[#This Row],[Money %]]&lt;&gt;"",Tracker[[#This Row],[Bet %]]&lt;&gt;""),Tracker[[#This Row],[Money %]]-Tracker[[#This Row],[Bet %]],NA())</f>
        <v>-0.14000000000000001</v>
      </c>
      <c r="S549" s="110"/>
      <c r="T549" s="110"/>
      <c r="V549" s="4"/>
      <c r="W549" s="35"/>
    </row>
    <row r="550" spans="1:23" x14ac:dyDescent="0.25">
      <c r="A550" s="36">
        <f t="shared" si="73"/>
        <v>52</v>
      </c>
      <c r="B550" s="25">
        <v>43901</v>
      </c>
      <c r="C550" s="25" t="str">
        <f t="shared" si="76"/>
        <v>NBA</v>
      </c>
      <c r="D550" s="51" t="s">
        <v>1042</v>
      </c>
      <c r="E550" s="28" t="s">
        <v>834</v>
      </c>
      <c r="F550" s="67">
        <v>0.55849305993353604</v>
      </c>
      <c r="G550" s="29">
        <v>-110</v>
      </c>
      <c r="H550" s="50" t="s">
        <v>57</v>
      </c>
      <c r="I550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550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550" s="40" t="str">
        <f>MID(Tracker[[#This Row],[Game]],SEARCH("@",Tracker[[#This Row],[Game]])+2,LEN(Tracker[[#This Row],[Game]]))</f>
        <v>Mavericks</v>
      </c>
      <c r="L550" s="40" t="str">
        <f>LEFT(Tracker[[#This Row],[Game]],SEARCH("@",Tracker[[#This Row],[Game]])-2)</f>
        <v>Nuggets</v>
      </c>
      <c r="M550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550" s="123">
        <v>0.56000000000000005</v>
      </c>
      <c r="O550" s="147">
        <v>0.89</v>
      </c>
      <c r="P550" s="147">
        <v>0.56999999999999995</v>
      </c>
      <c r="Q550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-35--30%</v>
      </c>
      <c r="R550" s="155">
        <f>IF(AND(Tracker[[#This Row],[Money %]]&lt;&gt;"",Tracker[[#This Row],[Bet %]]&lt;&gt;""),Tracker[[#This Row],[Money %]]-Tracker[[#This Row],[Bet %]],NA())</f>
        <v>-0.32000000000000006</v>
      </c>
      <c r="S550" s="110"/>
      <c r="T550" s="110"/>
      <c r="V550" s="4"/>
      <c r="W550" s="35"/>
    </row>
    <row r="551" spans="1:23" x14ac:dyDescent="0.25">
      <c r="A551" s="36">
        <f t="shared" si="73"/>
        <v>52</v>
      </c>
      <c r="B551" s="25">
        <v>43901</v>
      </c>
      <c r="C551" s="25" t="str">
        <f t="shared" si="76"/>
        <v>NBA</v>
      </c>
      <c r="D551" s="26" t="s">
        <v>2107</v>
      </c>
      <c r="E551" s="28" t="s">
        <v>2108</v>
      </c>
      <c r="F551" s="67">
        <v>0.50971258968345345</v>
      </c>
      <c r="G551" s="29">
        <v>-110</v>
      </c>
      <c r="H551" s="50" t="s">
        <v>847</v>
      </c>
      <c r="I551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</v>
      </c>
      <c r="J551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F</v>
      </c>
      <c r="K551" s="40" t="str">
        <f>MID(Tracker[[#This Row],[Game]],SEARCH("@",Tracker[[#This Row],[Game]])+2,LEN(Tracker[[#This Row],[Game]]))</f>
        <v>Kings</v>
      </c>
      <c r="L551" s="40" t="str">
        <f>LEFT(Tracker[[#This Row],[Game]],SEARCH("@",Tracker[[#This Row],[Game]])-2)</f>
        <v>Pelicans</v>
      </c>
      <c r="M551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RF</v>
      </c>
      <c r="N551" s="123">
        <v>0.67100000000000004</v>
      </c>
      <c r="O551" s="147">
        <v>0.83</v>
      </c>
      <c r="P551" s="147">
        <v>0.89</v>
      </c>
      <c r="Q551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5-10%</v>
      </c>
      <c r="R551" s="155">
        <f>IF(AND(Tracker[[#This Row],[Money %]]&lt;&gt;"",Tracker[[#This Row],[Bet %]]&lt;&gt;""),Tracker[[#This Row],[Money %]]-Tracker[[#This Row],[Bet %]],NA())</f>
        <v>6.0000000000000053E-2</v>
      </c>
      <c r="S551" s="110"/>
      <c r="T551" s="110"/>
      <c r="V551" s="4"/>
      <c r="W551" s="35"/>
    </row>
    <row r="552" spans="1:23" x14ac:dyDescent="0.25">
      <c r="A552" s="36">
        <f t="shared" si="73"/>
        <v>52</v>
      </c>
      <c r="B552" s="25">
        <v>43901</v>
      </c>
      <c r="C552" s="25" t="str">
        <f t="shared" si="76"/>
        <v>NBA</v>
      </c>
      <c r="D552" s="26" t="s">
        <v>2107</v>
      </c>
      <c r="E552" s="28" t="s">
        <v>874</v>
      </c>
      <c r="F552" s="67">
        <v>0.56577307526011533</v>
      </c>
      <c r="G552" s="29">
        <v>-110</v>
      </c>
      <c r="H552" s="50" t="s">
        <v>847</v>
      </c>
      <c r="I552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</v>
      </c>
      <c r="J552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552" s="40" t="str">
        <f>MID(Tracker[[#This Row],[Game]],SEARCH("@",Tracker[[#This Row],[Game]])+2,LEN(Tracker[[#This Row],[Game]]))</f>
        <v>Kings</v>
      </c>
      <c r="L552" s="40" t="str">
        <f>LEFT(Tracker[[#This Row],[Game]],SEARCH("@",Tracker[[#This Row],[Game]])-2)</f>
        <v>Pelicans</v>
      </c>
      <c r="M552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552" s="123">
        <v>0.44500000000000001</v>
      </c>
      <c r="O552" s="147">
        <v>0.43</v>
      </c>
      <c r="P552" s="147">
        <v>0.68</v>
      </c>
      <c r="Q552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25-30%</v>
      </c>
      <c r="R552" s="155">
        <f>IF(AND(Tracker[[#This Row],[Money %]]&lt;&gt;"",Tracker[[#This Row],[Bet %]]&lt;&gt;""),Tracker[[#This Row],[Money %]]-Tracker[[#This Row],[Bet %]],NA())</f>
        <v>0.25000000000000006</v>
      </c>
      <c r="S552" s="110"/>
      <c r="T552" s="110"/>
      <c r="V552" s="4"/>
      <c r="W552" s="35"/>
    </row>
    <row r="553" spans="1:23" x14ac:dyDescent="0.25">
      <c r="A553" s="36">
        <f t="shared" si="73"/>
        <v>52</v>
      </c>
      <c r="B553" s="25">
        <v>43901</v>
      </c>
      <c r="C553" s="25" t="str">
        <f t="shared" si="76"/>
        <v>NBA</v>
      </c>
      <c r="D553" s="26" t="s">
        <v>2109</v>
      </c>
      <c r="E553" s="28" t="s">
        <v>2110</v>
      </c>
      <c r="F553" s="67">
        <v>0.61203463177364303</v>
      </c>
      <c r="G553" s="29">
        <v>-110</v>
      </c>
      <c r="H553" s="50" t="s">
        <v>57</v>
      </c>
      <c r="I553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553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553" s="40" t="str">
        <f>MID(Tracker[[#This Row],[Game]],SEARCH("@",Tracker[[#This Row],[Game]])+2,LEN(Tracker[[#This Row],[Game]]))</f>
        <v>76ers</v>
      </c>
      <c r="L553" s="40" t="str">
        <f>LEFT(Tracker[[#This Row],[Game]],SEARCH("@",Tracker[[#This Row],[Game]])-2)</f>
        <v>Pistons</v>
      </c>
      <c r="M553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553" s="123">
        <v>0.4</v>
      </c>
      <c r="O553" s="147">
        <v>0.37</v>
      </c>
      <c r="P553" s="147">
        <v>0.5</v>
      </c>
      <c r="Q553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10-15%</v>
      </c>
      <c r="R553" s="155">
        <f>IF(AND(Tracker[[#This Row],[Money %]]&lt;&gt;"",Tracker[[#This Row],[Bet %]]&lt;&gt;""),Tracker[[#This Row],[Money %]]-Tracker[[#This Row],[Bet %]],NA())</f>
        <v>0.13</v>
      </c>
      <c r="S553" s="110"/>
      <c r="T553" s="110"/>
      <c r="V553" s="4"/>
      <c r="W553" s="35"/>
    </row>
    <row r="554" spans="1:23" x14ac:dyDescent="0.25">
      <c r="A554" s="36">
        <f t="shared" si="73"/>
        <v>52</v>
      </c>
      <c r="B554" s="25">
        <v>43901</v>
      </c>
      <c r="C554" s="25" t="str">
        <f t="shared" si="76"/>
        <v>NBA</v>
      </c>
      <c r="D554" s="26" t="s">
        <v>2109</v>
      </c>
      <c r="E554" s="28" t="s">
        <v>2114</v>
      </c>
      <c r="F554" s="67">
        <v>0.5265805403438959</v>
      </c>
      <c r="G554" s="29">
        <v>-110</v>
      </c>
      <c r="H554" s="50" t="s">
        <v>57</v>
      </c>
      <c r="I554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554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554" s="40" t="str">
        <f>MID(Tracker[[#This Row],[Game]],SEARCH("@",Tracker[[#This Row],[Game]])+2,LEN(Tracker[[#This Row],[Game]]))</f>
        <v>76ers</v>
      </c>
      <c r="L554" s="40" t="str">
        <f>LEFT(Tracker[[#This Row],[Game]],SEARCH("@",Tracker[[#This Row],[Game]])-2)</f>
        <v>Pistons</v>
      </c>
      <c r="M554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554" s="123">
        <v>0.46499999999999997</v>
      </c>
      <c r="O554" s="147">
        <v>0.43</v>
      </c>
      <c r="P554" s="147">
        <v>0.92</v>
      </c>
      <c r="Q554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45-50%</v>
      </c>
      <c r="R554" s="155">
        <f>IF(AND(Tracker[[#This Row],[Money %]]&lt;&gt;"",Tracker[[#This Row],[Bet %]]&lt;&gt;""),Tracker[[#This Row],[Money %]]-Tracker[[#This Row],[Bet %]],NA())</f>
        <v>0.49000000000000005</v>
      </c>
      <c r="S554" s="110"/>
      <c r="T554" s="110"/>
      <c r="V554" s="4"/>
      <c r="W554" s="35"/>
    </row>
    <row r="555" spans="1:23" x14ac:dyDescent="0.25">
      <c r="A555" s="36">
        <f t="shared" si="73"/>
        <v>52</v>
      </c>
      <c r="B555" s="25">
        <v>43901</v>
      </c>
      <c r="C555" s="25" t="str">
        <f t="shared" si="76"/>
        <v>NBA</v>
      </c>
      <c r="D555" s="26" t="s">
        <v>2111</v>
      </c>
      <c r="E555" s="28" t="s">
        <v>2054</v>
      </c>
      <c r="F555" s="67">
        <v>0.67646047098535078</v>
      </c>
      <c r="G555" s="29">
        <v>-110</v>
      </c>
      <c r="H555" s="50" t="s">
        <v>56</v>
      </c>
      <c r="I555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555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555" s="40" t="str">
        <f>MID(Tracker[[#This Row],[Game]],SEARCH("@",Tracker[[#This Row],[Game]])+2,LEN(Tracker[[#This Row],[Game]]))</f>
        <v>Hawks</v>
      </c>
      <c r="L555" s="40" t="str">
        <f>LEFT(Tracker[[#This Row],[Game]],SEARCH("@",Tracker[[#This Row],[Game]])-2)</f>
        <v>Knicks</v>
      </c>
      <c r="M555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555" s="123">
        <v>0.39749999999999996</v>
      </c>
      <c r="O555" s="147">
        <v>0.28000000000000003</v>
      </c>
      <c r="P555" s="147">
        <v>0.1</v>
      </c>
      <c r="Q555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-20--15%</v>
      </c>
      <c r="R555" s="155">
        <f>IF(AND(Tracker[[#This Row],[Money %]]&lt;&gt;"",Tracker[[#This Row],[Bet %]]&lt;&gt;""),Tracker[[#This Row],[Money %]]-Tracker[[#This Row],[Bet %]],NA())</f>
        <v>-0.18000000000000002</v>
      </c>
      <c r="S555" s="110"/>
      <c r="T555" s="110"/>
      <c r="V555" s="4"/>
      <c r="W555" s="35"/>
    </row>
    <row r="556" spans="1:23" x14ac:dyDescent="0.25">
      <c r="A556" s="36">
        <f t="shared" si="73"/>
        <v>52</v>
      </c>
      <c r="B556" s="25">
        <v>43901</v>
      </c>
      <c r="C556" s="25" t="str">
        <f t="shared" si="76"/>
        <v>NBA</v>
      </c>
      <c r="D556" s="26" t="s">
        <v>2111</v>
      </c>
      <c r="E556" s="28" t="s">
        <v>874</v>
      </c>
      <c r="F556" s="67">
        <v>0.59198891564968104</v>
      </c>
      <c r="G556" s="29">
        <v>-110</v>
      </c>
      <c r="H556" s="50" t="s">
        <v>57</v>
      </c>
      <c r="I556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556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U</v>
      </c>
      <c r="K556" s="40" t="str">
        <f>MID(Tracker[[#This Row],[Game]],SEARCH("@",Tracker[[#This Row],[Game]])+2,LEN(Tracker[[#This Row],[Game]]))</f>
        <v>Hawks</v>
      </c>
      <c r="L556" s="40" t="str">
        <f>LEFT(Tracker[[#This Row],[Game]],SEARCH("@",Tracker[[#This Row],[Game]])-2)</f>
        <v>Knicks</v>
      </c>
      <c r="M556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U</v>
      </c>
      <c r="N556" s="123">
        <v>0.41600000000000004</v>
      </c>
      <c r="O556" s="147">
        <v>0.21</v>
      </c>
      <c r="P556" s="147">
        <v>0.21</v>
      </c>
      <c r="Q556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0-5%</v>
      </c>
      <c r="R556" s="155">
        <f>IF(AND(Tracker[[#This Row],[Money %]]&lt;&gt;"",Tracker[[#This Row],[Bet %]]&lt;&gt;""),Tracker[[#This Row],[Money %]]-Tracker[[#This Row],[Bet %]],NA())</f>
        <v>0</v>
      </c>
      <c r="S556" s="110"/>
      <c r="T556" s="110"/>
      <c r="V556" s="4"/>
      <c r="W556" s="35"/>
    </row>
    <row r="557" spans="1:23" x14ac:dyDescent="0.25">
      <c r="A557" s="36">
        <f t="shared" si="73"/>
        <v>52</v>
      </c>
      <c r="B557" s="25">
        <v>43901</v>
      </c>
      <c r="C557" s="25" t="str">
        <f t="shared" si="76"/>
        <v>NBA</v>
      </c>
      <c r="D557" s="26" t="s">
        <v>2112</v>
      </c>
      <c r="E557" s="28" t="s">
        <v>2113</v>
      </c>
      <c r="F557" s="67">
        <v>0.52744877589056682</v>
      </c>
      <c r="G557" s="29">
        <v>-110</v>
      </c>
      <c r="H557" s="50" t="s">
        <v>56</v>
      </c>
      <c r="I557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0.90909090909090906</v>
      </c>
      <c r="J557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D</v>
      </c>
      <c r="K557" s="40" t="str">
        <f>MID(Tracker[[#This Row],[Game]],SEARCH("@",Tracker[[#This Row],[Game]])+2,LEN(Tracker[[#This Row],[Game]]))</f>
        <v>Heat</v>
      </c>
      <c r="L557" s="40" t="str">
        <f>LEFT(Tracker[[#This Row],[Game]],SEARCH("@",Tracker[[#This Row],[Game]])-2)</f>
        <v>Hornets</v>
      </c>
      <c r="M557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RD</v>
      </c>
      <c r="N557" s="123">
        <v>0.43099999999999999</v>
      </c>
      <c r="O557" s="147">
        <v>0.44</v>
      </c>
      <c r="P557" s="147">
        <v>0.25</v>
      </c>
      <c r="Q557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-20--15%</v>
      </c>
      <c r="R557" s="155">
        <f>IF(AND(Tracker[[#This Row],[Money %]]&lt;&gt;"",Tracker[[#This Row],[Bet %]]&lt;&gt;""),Tracker[[#This Row],[Money %]]-Tracker[[#This Row],[Bet %]],NA())</f>
        <v>-0.19</v>
      </c>
      <c r="S557" s="110"/>
      <c r="T557" s="110"/>
      <c r="V557" s="4"/>
      <c r="W557" s="35"/>
    </row>
    <row r="558" spans="1:23" x14ac:dyDescent="0.25">
      <c r="A558" s="36">
        <f t="shared" si="73"/>
        <v>52</v>
      </c>
      <c r="B558" s="25">
        <v>43901</v>
      </c>
      <c r="C558" s="25" t="str">
        <f t="shared" si="76"/>
        <v>NBA</v>
      </c>
      <c r="D558" s="26" t="s">
        <v>2112</v>
      </c>
      <c r="E558" s="28" t="s">
        <v>1636</v>
      </c>
      <c r="F558" s="67">
        <v>0.59704933415369199</v>
      </c>
      <c r="G558" s="29">
        <v>-110</v>
      </c>
      <c r="H558" s="50" t="s">
        <v>57</v>
      </c>
      <c r="I558" s="29">
        <f>IF(Tracker[[#This Row],[Result]]="L",-1,IF(Tracker[[#This Row],[Result]]="Push",0,IF(Tracker[[#This Row],[Result]]="No Action",0,IF(Tracker[[#This Row],[Result]]="W",IF(Tracker[[#This Row],[Odds]]&gt;0,Tracker[[#This Row],[Odds]]/100,(1/Tracker[[#This Row],[Odds]]*-100)),""))))</f>
        <v>-1</v>
      </c>
      <c r="J558" s="40" t="str">
        <f>IF(ISNUMBER(SEARCH(CHAR(10),Tracker[[#This Row],[Bet]])),"P",IF(ISNUMBER(FIND("Under",Tracker[[#This Row],[Bet]])),"U",IF(ISNUMBER(SEARCH("Over",Tracker[[#This Row],[Bet]])),"O",IF(ISNUMBER(SEARCH("+",Tracker[[#This Row],[Bet]])),"D",IF(ISNUMBER(SEARCH("-",Tracker[[#This Row],[Bet]])),"F",IF(ISNUMBER(SEARCH("Moneyline",Tracker[[#This Row],[Bet]])),IF(Tracker[[#This Row],[Odds]]&lt;0,"MF","MD"),""))))))</f>
        <v>O</v>
      </c>
      <c r="K558" s="40" t="str">
        <f>MID(Tracker[[#This Row],[Game]],SEARCH("@",Tracker[[#This Row],[Game]])+2,LEN(Tracker[[#This Row],[Game]]))</f>
        <v>Heat</v>
      </c>
      <c r="L558" s="40" t="str">
        <f>LEFT(Tracker[[#This Row],[Game]],SEARCH("@",Tracker[[#This Row],[Game]])-2)</f>
        <v>Hornets</v>
      </c>
      <c r="M558" s="109" t="str">
        <f>IF(ISNUMBER(SEARCH(CHAR(10),Tracker[[#This Row],[Bet]])),"P",IF(ISNUMBER(FIND("Under",Tracker[[#This Row],[Bet]])),"U",IF(ISNUMBER(SEARCH("Over",Tracker[[#This Row],[Bet]])),"O",IF(ISNUMBER(SEARCH("+",Tracker[[#This Row],[Bet]])),IF(ISNUMBER(SEARCH(Tracker[[#This Row],[Away]],Tracker[[#This Row],[Bet]])),"RD","HD"),IF(ISNUMBER(SEARCH("-",Tracker[[#This Row],[Bet]])),IF(ISNUMBER(SEARCH(Tracker[[#This Row],[Away]],Tracker[[#This Row],[Bet]])),"RF","HF"),IF(ISNUMBER(SEARCH("Moneyline",Tracker[[#This Row],[Bet]])),IF(Tracker[[#This Row],[Odds]]&lt;0,"MF","MD"),""))))))</f>
        <v>O</v>
      </c>
      <c r="N558" s="123">
        <v>0.59600000000000009</v>
      </c>
      <c r="O558" s="147">
        <v>0.64</v>
      </c>
      <c r="P558" s="147">
        <v>0.73</v>
      </c>
      <c r="Q558" s="144" t="str">
        <f>IFERROR(IF(Tracker[[#This Row],[Money Discrepency]]&gt;0,ROUNDDOWN(Tracker[[#This Row],[Money Discrepency]]*20,0)*5&amp;"-"&amp;ROUNDDOWN(Tracker[[#This Row],[Money Discrepency]]*20,0)*5+5&amp;"%",ROUNDUP(Tracker[[#This Row],[Money Discrepency]]*20,0)*5&amp;"-"&amp;ROUNDUP(Tracker[[#This Row],[Money Discrepency]]*20,0)*5+5&amp;"%"),"n/a")</f>
        <v>5-10%</v>
      </c>
      <c r="R558" s="155">
        <f>IF(AND(Tracker[[#This Row],[Money %]]&lt;&gt;"",Tracker[[#This Row],[Bet %]]&lt;&gt;""),Tracker[[#This Row],[Money %]]-Tracker[[#This Row],[Bet %]],NA())</f>
        <v>8.9999999999999969E-2</v>
      </c>
      <c r="S558" s="110"/>
      <c r="T558" s="110"/>
      <c r="V558" s="4"/>
      <c r="W558" s="35"/>
    </row>
    <row r="559" spans="1:23" x14ac:dyDescent="0.25">
      <c r="A559" s="36">
        <f t="shared" si="73"/>
        <v>53</v>
      </c>
      <c r="B559" s="25"/>
      <c r="C559" s="26"/>
      <c r="D559" s="27"/>
      <c r="E559" s="28"/>
      <c r="F559" s="29"/>
      <c r="G559" s="30"/>
      <c r="H559" s="49"/>
      <c r="I559" s="40"/>
      <c r="J559" s="48"/>
      <c r="K559" s="48"/>
      <c r="L559" s="48"/>
      <c r="M559" s="110"/>
      <c r="N559" s="110"/>
      <c r="O559" s="110"/>
      <c r="P559" s="110"/>
      <c r="Q559" s="110"/>
      <c r="R559" s="110"/>
      <c r="S559" s="110"/>
      <c r="T559" s="110"/>
      <c r="V559" s="4"/>
      <c r="W559" s="35"/>
    </row>
    <row r="560" spans="1:23" x14ac:dyDescent="0.25">
      <c r="A560" s="36">
        <f t="shared" si="73"/>
        <v>53</v>
      </c>
      <c r="B560" s="25"/>
      <c r="C560" s="51"/>
      <c r="D560" s="52"/>
      <c r="E560" s="28"/>
      <c r="F560" s="29"/>
      <c r="G560" s="30"/>
      <c r="H560" s="49"/>
      <c r="I560" s="40"/>
      <c r="J560" s="48"/>
      <c r="K560" s="48"/>
      <c r="L560" s="48"/>
      <c r="M560" s="110"/>
      <c r="N560" s="110"/>
      <c r="O560" s="110"/>
      <c r="P560" s="110"/>
      <c r="Q560" s="110"/>
      <c r="R560" s="110"/>
      <c r="S560" s="110"/>
      <c r="T560" s="110"/>
      <c r="V560" s="4"/>
      <c r="W560" s="35"/>
    </row>
    <row r="561" spans="1:23" x14ac:dyDescent="0.25">
      <c r="A561" s="36">
        <f t="shared" si="73"/>
        <v>53</v>
      </c>
      <c r="B561" s="25"/>
      <c r="C561" s="26"/>
      <c r="D561" s="27"/>
      <c r="E561" s="28"/>
      <c r="F561" s="29"/>
      <c r="G561" s="30"/>
      <c r="H561" s="49"/>
      <c r="I561" s="40"/>
      <c r="J561" s="48"/>
      <c r="K561" s="48"/>
      <c r="L561" s="48"/>
      <c r="M561" s="110"/>
      <c r="N561" s="110"/>
      <c r="O561" s="110"/>
      <c r="P561" s="110"/>
      <c r="Q561" s="110"/>
      <c r="R561" s="110"/>
      <c r="S561" s="110"/>
      <c r="T561" s="110"/>
      <c r="V561" s="4"/>
      <c r="W561" s="35"/>
    </row>
    <row r="562" spans="1:23" x14ac:dyDescent="0.25">
      <c r="A562" s="36">
        <f t="shared" si="73"/>
        <v>53</v>
      </c>
      <c r="B562" s="25"/>
      <c r="C562" s="26"/>
      <c r="D562" s="27"/>
      <c r="E562" s="28"/>
      <c r="F562" s="29"/>
      <c r="G562" s="30"/>
      <c r="H562" s="49"/>
      <c r="I562" s="40"/>
      <c r="J562" s="48"/>
      <c r="K562" s="48"/>
      <c r="L562" s="48"/>
      <c r="M562" s="110"/>
      <c r="N562" s="110"/>
      <c r="O562" s="110"/>
      <c r="P562" s="110"/>
      <c r="Q562" s="110"/>
      <c r="R562" s="110"/>
      <c r="S562" s="110"/>
      <c r="T562" s="110"/>
      <c r="V562" s="4"/>
      <c r="W562" s="35"/>
    </row>
    <row r="563" spans="1:23" x14ac:dyDescent="0.25">
      <c r="A563" s="36">
        <f t="shared" si="73"/>
        <v>53</v>
      </c>
      <c r="B563" s="25"/>
      <c r="C563" s="26"/>
      <c r="D563" s="27"/>
      <c r="E563" s="28"/>
      <c r="F563" s="29"/>
      <c r="G563" s="30"/>
      <c r="H563" s="49"/>
      <c r="I563" s="40"/>
      <c r="J563" s="48"/>
      <c r="K563" s="48"/>
      <c r="L563" s="48"/>
      <c r="M563" s="110"/>
      <c r="N563" s="110"/>
      <c r="O563" s="110"/>
      <c r="P563" s="110"/>
      <c r="Q563" s="110"/>
      <c r="R563" s="110"/>
      <c r="S563" s="110"/>
      <c r="T563" s="110"/>
      <c r="V563" s="4"/>
      <c r="W563" s="35"/>
    </row>
    <row r="564" spans="1:23" x14ac:dyDescent="0.25">
      <c r="A564" s="36">
        <f t="shared" si="73"/>
        <v>53</v>
      </c>
      <c r="B564" s="25"/>
      <c r="C564" s="26"/>
      <c r="D564" s="27"/>
      <c r="E564" s="28"/>
      <c r="F564" s="29"/>
      <c r="G564" s="30"/>
      <c r="H564" s="49"/>
      <c r="I564" s="40"/>
      <c r="J564" s="48"/>
      <c r="K564" s="48"/>
      <c r="L564" s="48"/>
      <c r="M564" s="110"/>
      <c r="N564" s="110"/>
      <c r="O564" s="110"/>
      <c r="P564" s="110"/>
      <c r="Q564" s="110"/>
      <c r="R564" s="110"/>
      <c r="S564" s="110"/>
      <c r="T564" s="110"/>
      <c r="V564" s="4"/>
      <c r="W564" s="35"/>
    </row>
    <row r="565" spans="1:23" x14ac:dyDescent="0.25">
      <c r="A565" s="36">
        <f t="shared" si="73"/>
        <v>53</v>
      </c>
      <c r="B565" s="25"/>
      <c r="C565" s="26"/>
      <c r="D565" s="27"/>
      <c r="E565" s="28"/>
      <c r="F565" s="29"/>
      <c r="G565" s="30"/>
      <c r="H565" s="49"/>
      <c r="I565" s="40"/>
      <c r="J565" s="48"/>
      <c r="K565" s="48"/>
      <c r="L565" s="48"/>
      <c r="M565" s="110"/>
      <c r="N565" s="110"/>
      <c r="O565" s="110"/>
      <c r="P565" s="110"/>
      <c r="Q565" s="110"/>
      <c r="R565" s="110"/>
      <c r="S565" s="110"/>
      <c r="T565" s="110"/>
      <c r="V565" s="4"/>
      <c r="W565" s="35"/>
    </row>
    <row r="566" spans="1:23" x14ac:dyDescent="0.25">
      <c r="A566" s="36">
        <f t="shared" si="73"/>
        <v>53</v>
      </c>
      <c r="B566" s="25"/>
      <c r="C566" s="26"/>
      <c r="D566" s="27"/>
      <c r="E566" s="28"/>
      <c r="F566" s="29"/>
      <c r="G566" s="30"/>
      <c r="H566" s="49"/>
      <c r="I566" s="40"/>
      <c r="J566" s="48"/>
      <c r="K566" s="48"/>
      <c r="L566" s="48"/>
      <c r="M566" s="110"/>
      <c r="N566" s="110"/>
      <c r="O566" s="110"/>
      <c r="P566" s="110"/>
      <c r="Q566" s="110"/>
      <c r="R566" s="110"/>
      <c r="S566" s="110"/>
      <c r="T566" s="110"/>
      <c r="V566" s="4"/>
      <c r="W566" s="35"/>
    </row>
    <row r="567" spans="1:23" x14ac:dyDescent="0.25">
      <c r="A567" s="36">
        <f t="shared" si="73"/>
        <v>53</v>
      </c>
      <c r="B567" s="25"/>
      <c r="C567" s="26"/>
      <c r="D567" s="27"/>
      <c r="E567" s="28"/>
      <c r="F567" s="29"/>
      <c r="G567" s="30"/>
      <c r="H567" s="49"/>
      <c r="I567" s="40"/>
      <c r="J567" s="48"/>
      <c r="K567" s="48"/>
      <c r="L567" s="48"/>
      <c r="M567" s="110"/>
      <c r="N567" s="110"/>
      <c r="O567" s="110"/>
      <c r="P567" s="110"/>
      <c r="Q567" s="110"/>
      <c r="R567" s="110"/>
      <c r="S567" s="110"/>
      <c r="T567" s="110"/>
      <c r="V567" s="4"/>
      <c r="W567" s="35"/>
    </row>
    <row r="568" spans="1:23" x14ac:dyDescent="0.25">
      <c r="A568" s="36">
        <f t="shared" si="73"/>
        <v>53</v>
      </c>
      <c r="B568" s="25"/>
      <c r="C568" s="26"/>
      <c r="D568" s="27"/>
      <c r="E568" s="28"/>
      <c r="F568" s="29"/>
      <c r="G568" s="30"/>
      <c r="H568" s="49"/>
      <c r="I568" s="40"/>
      <c r="J568" s="48"/>
      <c r="K568" s="48"/>
      <c r="L568" s="48"/>
      <c r="M568" s="110"/>
      <c r="N568" s="110"/>
      <c r="O568" s="110"/>
      <c r="P568" s="110"/>
      <c r="Q568" s="110"/>
      <c r="R568" s="110"/>
      <c r="S568" s="110"/>
      <c r="T568" s="110"/>
      <c r="V568" s="4"/>
      <c r="W568" s="35"/>
    </row>
    <row r="569" spans="1:23" x14ac:dyDescent="0.25">
      <c r="A569" s="36">
        <f t="shared" si="73"/>
        <v>53</v>
      </c>
      <c r="B569" s="25"/>
      <c r="C569" s="26"/>
      <c r="D569" s="27"/>
      <c r="E569" s="28"/>
      <c r="F569" s="29"/>
      <c r="G569" s="30"/>
      <c r="H569" s="49"/>
      <c r="I569" s="40"/>
      <c r="J569" s="48"/>
      <c r="K569" s="48"/>
      <c r="L569" s="48"/>
      <c r="M569" s="110"/>
      <c r="N569" s="110"/>
      <c r="O569" s="110"/>
      <c r="P569" s="110"/>
      <c r="Q569" s="110"/>
      <c r="R569" s="110"/>
      <c r="S569" s="110"/>
      <c r="T569" s="110"/>
      <c r="V569" s="4"/>
      <c r="W569" s="35"/>
    </row>
    <row r="570" spans="1:23" x14ac:dyDescent="0.25">
      <c r="A570" s="36">
        <f t="shared" si="73"/>
        <v>53</v>
      </c>
      <c r="B570" s="25"/>
      <c r="C570" s="26"/>
      <c r="D570" s="27"/>
      <c r="E570" s="28"/>
      <c r="F570" s="29"/>
      <c r="G570" s="30"/>
      <c r="H570" s="49"/>
      <c r="I570" s="40"/>
      <c r="J570" s="48"/>
      <c r="K570" s="48"/>
      <c r="L570" s="48"/>
      <c r="M570" s="110"/>
      <c r="N570" s="110"/>
      <c r="O570" s="110"/>
      <c r="P570" s="110"/>
      <c r="Q570" s="110"/>
      <c r="R570" s="110"/>
      <c r="S570" s="110"/>
      <c r="T570" s="110"/>
      <c r="V570" s="4"/>
      <c r="W570" s="35"/>
    </row>
    <row r="571" spans="1:23" x14ac:dyDescent="0.25">
      <c r="A571" s="36">
        <f t="shared" si="73"/>
        <v>53</v>
      </c>
      <c r="B571" s="25"/>
      <c r="C571" s="26"/>
      <c r="D571" s="27"/>
      <c r="E571" s="28"/>
      <c r="F571" s="29"/>
      <c r="G571" s="30"/>
      <c r="H571" s="49"/>
      <c r="I571" s="40"/>
      <c r="J571" s="48"/>
      <c r="K571" s="48"/>
      <c r="L571" s="48"/>
      <c r="M571" s="110"/>
      <c r="N571" s="110"/>
      <c r="O571" s="110"/>
      <c r="P571" s="110"/>
      <c r="Q571" s="110"/>
      <c r="R571" s="110"/>
      <c r="S571" s="110"/>
      <c r="T571" s="110"/>
      <c r="V571" s="4"/>
      <c r="W571" s="35"/>
    </row>
    <row r="572" spans="1:23" x14ac:dyDescent="0.25">
      <c r="A572" s="36">
        <f t="shared" si="73"/>
        <v>53</v>
      </c>
      <c r="B572" s="25"/>
      <c r="C572" s="26"/>
      <c r="D572" s="27"/>
      <c r="E572" s="28"/>
      <c r="F572" s="29"/>
      <c r="G572" s="30"/>
      <c r="H572" s="49"/>
      <c r="I572" s="40"/>
      <c r="J572" s="48"/>
      <c r="K572" s="48"/>
      <c r="L572" s="48"/>
      <c r="M572" s="110"/>
      <c r="N572" s="110"/>
      <c r="O572" s="110"/>
      <c r="P572" s="110"/>
      <c r="Q572" s="110"/>
      <c r="R572" s="110"/>
      <c r="S572" s="110"/>
      <c r="T572" s="110"/>
      <c r="V572" s="4"/>
      <c r="W572" s="35"/>
    </row>
    <row r="573" spans="1:23" x14ac:dyDescent="0.25">
      <c r="A573" s="36">
        <f t="shared" si="73"/>
        <v>53</v>
      </c>
      <c r="B573" s="25"/>
      <c r="C573" s="26"/>
      <c r="D573" s="27"/>
      <c r="E573" s="28"/>
      <c r="F573" s="29"/>
      <c r="G573" s="30"/>
      <c r="H573" s="49"/>
      <c r="I573" s="40"/>
      <c r="J573" s="48"/>
      <c r="K573" s="48"/>
      <c r="L573" s="48"/>
      <c r="M573" s="110"/>
      <c r="N573" s="110"/>
      <c r="O573" s="110"/>
      <c r="P573" s="110"/>
      <c r="Q573" s="110"/>
      <c r="R573" s="110"/>
      <c r="S573" s="110"/>
      <c r="T573" s="110"/>
      <c r="V573" s="4"/>
      <c r="W573" s="35"/>
    </row>
    <row r="574" spans="1:23" x14ac:dyDescent="0.25">
      <c r="A574" s="36">
        <f t="shared" si="73"/>
        <v>53</v>
      </c>
      <c r="B574" s="25"/>
      <c r="C574" s="26"/>
      <c r="D574" s="27"/>
      <c r="E574" s="28"/>
      <c r="F574" s="29"/>
      <c r="G574" s="30"/>
      <c r="H574" s="49"/>
      <c r="I574" s="40"/>
      <c r="J574" s="48"/>
      <c r="K574" s="48"/>
      <c r="L574" s="48"/>
      <c r="M574" s="110"/>
      <c r="N574" s="110"/>
      <c r="O574" s="110"/>
      <c r="P574" s="110"/>
      <c r="Q574" s="110"/>
      <c r="R574" s="110"/>
      <c r="S574" s="110"/>
      <c r="T574" s="110"/>
      <c r="V574" s="4"/>
      <c r="W574" s="35"/>
    </row>
    <row r="575" spans="1:23" x14ac:dyDescent="0.25">
      <c r="A575" s="36">
        <f t="shared" si="73"/>
        <v>53</v>
      </c>
      <c r="B575" s="25"/>
      <c r="C575" s="26"/>
      <c r="D575" s="27"/>
      <c r="E575" s="28"/>
      <c r="F575" s="29"/>
      <c r="G575" s="30"/>
      <c r="H575" s="49"/>
      <c r="I575" s="40"/>
      <c r="J575" s="48"/>
      <c r="K575" s="48"/>
      <c r="L575" s="48"/>
      <c r="M575" s="110"/>
      <c r="N575" s="110"/>
      <c r="O575" s="110"/>
      <c r="P575" s="110"/>
      <c r="Q575" s="110"/>
      <c r="R575" s="110"/>
      <c r="S575" s="110"/>
      <c r="T575" s="110"/>
      <c r="V575" s="4"/>
      <c r="W575" s="35"/>
    </row>
    <row r="576" spans="1:23" x14ac:dyDescent="0.25">
      <c r="A576" s="36">
        <f t="shared" si="73"/>
        <v>53</v>
      </c>
      <c r="B576" s="25"/>
      <c r="C576" s="26"/>
      <c r="D576" s="27"/>
      <c r="E576" s="28"/>
      <c r="F576" s="29"/>
      <c r="G576" s="30"/>
      <c r="H576" s="49"/>
      <c r="I576" s="40"/>
      <c r="J576" s="48"/>
      <c r="K576" s="48"/>
      <c r="L576" s="48"/>
      <c r="M576" s="110"/>
      <c r="N576" s="110"/>
      <c r="O576" s="110"/>
      <c r="P576" s="110"/>
      <c r="Q576" s="110"/>
      <c r="R576" s="110"/>
      <c r="S576" s="110"/>
      <c r="T576" s="110"/>
      <c r="V576" s="4"/>
      <c r="W576" s="35"/>
    </row>
    <row r="577" spans="1:23" x14ac:dyDescent="0.25">
      <c r="A577" s="36">
        <f t="shared" si="73"/>
        <v>53</v>
      </c>
      <c r="B577" s="25"/>
      <c r="C577" s="26"/>
      <c r="D577" s="27"/>
      <c r="E577" s="28"/>
      <c r="F577" s="29"/>
      <c r="G577" s="30"/>
      <c r="H577" s="49"/>
      <c r="I577" s="40"/>
      <c r="J577" s="48"/>
      <c r="K577" s="48"/>
      <c r="L577" s="48"/>
      <c r="M577" s="110"/>
      <c r="N577" s="110"/>
      <c r="O577" s="110"/>
      <c r="P577" s="110"/>
      <c r="Q577" s="110"/>
      <c r="R577" s="110"/>
      <c r="S577" s="110"/>
      <c r="T577" s="110"/>
      <c r="V577" s="4"/>
      <c r="W577" s="35"/>
    </row>
    <row r="578" spans="1:23" x14ac:dyDescent="0.25">
      <c r="A578" s="36">
        <f t="shared" si="73"/>
        <v>53</v>
      </c>
      <c r="B578" s="25"/>
      <c r="C578" s="26"/>
      <c r="D578" s="27"/>
      <c r="E578" s="28"/>
      <c r="F578" s="29"/>
      <c r="G578" s="30"/>
      <c r="H578" s="49"/>
      <c r="I578" s="40"/>
      <c r="J578" s="48"/>
      <c r="K578" s="48"/>
      <c r="L578" s="48"/>
      <c r="M578" s="110"/>
      <c r="N578" s="110"/>
      <c r="O578" s="110"/>
      <c r="P578" s="110"/>
      <c r="Q578" s="110"/>
      <c r="R578" s="110"/>
      <c r="S578" s="110"/>
      <c r="T578" s="110"/>
      <c r="V578" s="4"/>
      <c r="W578" s="35"/>
    </row>
    <row r="579" spans="1:23" x14ac:dyDescent="0.25">
      <c r="A579" s="36">
        <f t="shared" si="73"/>
        <v>53</v>
      </c>
      <c r="B579" s="25"/>
      <c r="C579" s="26"/>
      <c r="D579" s="27"/>
      <c r="E579" s="28"/>
      <c r="F579" s="29"/>
      <c r="G579" s="30"/>
      <c r="H579" s="49"/>
      <c r="I579" s="40"/>
      <c r="J579" s="48"/>
      <c r="K579" s="48"/>
      <c r="L579" s="48"/>
      <c r="M579" s="110"/>
      <c r="N579" s="110"/>
      <c r="O579" s="110"/>
      <c r="P579" s="110"/>
      <c r="Q579" s="110"/>
      <c r="R579" s="110"/>
      <c r="S579" s="110"/>
      <c r="T579" s="110"/>
      <c r="V579" s="4"/>
      <c r="W579" s="35"/>
    </row>
    <row r="580" spans="1:23" x14ac:dyDescent="0.25">
      <c r="A580" s="36">
        <f t="shared" si="73"/>
        <v>53</v>
      </c>
      <c r="B580" s="25"/>
      <c r="C580" s="26"/>
      <c r="D580" s="27"/>
      <c r="E580" s="28"/>
      <c r="F580" s="29"/>
      <c r="G580" s="30"/>
      <c r="H580" s="49"/>
      <c r="I580" s="40"/>
      <c r="J580" s="48"/>
      <c r="K580" s="48"/>
      <c r="L580" s="48"/>
      <c r="M580" s="110"/>
      <c r="N580" s="110"/>
      <c r="O580" s="110"/>
      <c r="P580" s="110"/>
      <c r="Q580" s="110"/>
      <c r="R580" s="110"/>
      <c r="S580" s="110"/>
      <c r="T580" s="110"/>
      <c r="V580" s="4"/>
      <c r="W580" s="35"/>
    </row>
    <row r="581" spans="1:23" x14ac:dyDescent="0.25">
      <c r="A581" s="36">
        <f t="shared" ref="A581:A644" si="77">IF(B581=B580,A580,A580+1)</f>
        <v>53</v>
      </c>
      <c r="B581" s="25"/>
      <c r="C581" s="26"/>
      <c r="D581" s="27"/>
      <c r="E581" s="28"/>
      <c r="F581" s="29"/>
      <c r="G581" s="30"/>
      <c r="H581" s="49"/>
      <c r="I581" s="40"/>
      <c r="J581" s="48"/>
      <c r="K581" s="48"/>
      <c r="L581" s="48"/>
      <c r="M581" s="110"/>
      <c r="N581" s="110"/>
      <c r="O581" s="110"/>
      <c r="P581" s="110"/>
      <c r="Q581" s="110"/>
      <c r="R581" s="110"/>
      <c r="S581" s="110"/>
      <c r="T581" s="110"/>
      <c r="V581" s="4"/>
      <c r="W581" s="35"/>
    </row>
    <row r="582" spans="1:23" x14ac:dyDescent="0.25">
      <c r="A582" s="36">
        <f t="shared" si="77"/>
        <v>53</v>
      </c>
      <c r="B582" s="25"/>
      <c r="C582" s="26"/>
      <c r="D582" s="27"/>
      <c r="E582" s="28"/>
      <c r="F582" s="29"/>
      <c r="G582" s="30"/>
      <c r="H582" s="49"/>
      <c r="I582" s="40"/>
      <c r="J582" s="48"/>
      <c r="K582" s="48"/>
      <c r="L582" s="48"/>
      <c r="M582" s="110"/>
      <c r="N582" s="110"/>
      <c r="O582" s="110"/>
      <c r="P582" s="110"/>
      <c r="Q582" s="110"/>
      <c r="R582" s="110"/>
      <c r="S582" s="110"/>
      <c r="T582" s="110"/>
      <c r="V582" s="4"/>
      <c r="W582" s="35"/>
    </row>
    <row r="583" spans="1:23" x14ac:dyDescent="0.25">
      <c r="A583" s="36">
        <f t="shared" si="77"/>
        <v>53</v>
      </c>
      <c r="B583" s="25"/>
      <c r="C583" s="26"/>
      <c r="D583" s="27"/>
      <c r="E583" s="28"/>
      <c r="F583" s="29"/>
      <c r="G583" s="30"/>
      <c r="H583" s="49"/>
      <c r="I583" s="40"/>
      <c r="J583" s="48"/>
      <c r="K583" s="48"/>
      <c r="L583" s="48"/>
      <c r="M583" s="110"/>
      <c r="N583" s="110"/>
      <c r="O583" s="110"/>
      <c r="P583" s="110"/>
      <c r="Q583" s="110"/>
      <c r="R583" s="110"/>
      <c r="S583" s="110"/>
      <c r="T583" s="110"/>
      <c r="V583" s="4"/>
      <c r="W583" s="35"/>
    </row>
    <row r="584" spans="1:23" x14ac:dyDescent="0.25">
      <c r="A584" s="36">
        <f t="shared" si="77"/>
        <v>53</v>
      </c>
      <c r="B584" s="25"/>
      <c r="C584" s="26"/>
      <c r="D584" s="27"/>
      <c r="E584" s="28"/>
      <c r="F584" s="47"/>
      <c r="G584" s="30"/>
      <c r="H584" s="49"/>
      <c r="I584" s="40"/>
      <c r="J584" s="48"/>
      <c r="K584" s="48"/>
      <c r="L584" s="48"/>
      <c r="M584" s="110"/>
      <c r="N584" s="110"/>
      <c r="O584" s="110"/>
      <c r="P584" s="110"/>
      <c r="Q584" s="110"/>
      <c r="R584" s="110"/>
      <c r="S584" s="110"/>
      <c r="T584" s="110"/>
      <c r="V584" s="4"/>
      <c r="W584" s="35"/>
    </row>
    <row r="585" spans="1:23" x14ac:dyDescent="0.25">
      <c r="A585" s="36">
        <f t="shared" si="77"/>
        <v>53</v>
      </c>
      <c r="B585" s="25"/>
      <c r="C585" s="26"/>
      <c r="D585" s="27"/>
      <c r="E585" s="28"/>
      <c r="F585" s="47"/>
      <c r="G585" s="30"/>
      <c r="H585" s="49"/>
      <c r="I585" s="40"/>
      <c r="J585" s="48"/>
      <c r="K585" s="48"/>
      <c r="L585" s="48"/>
      <c r="M585" s="110"/>
      <c r="N585" s="110"/>
      <c r="O585" s="110"/>
      <c r="P585" s="110"/>
      <c r="Q585" s="110"/>
      <c r="R585" s="110"/>
      <c r="S585" s="110"/>
      <c r="T585" s="110"/>
      <c r="V585" s="4"/>
      <c r="W585" s="35"/>
    </row>
    <row r="586" spans="1:23" x14ac:dyDescent="0.25">
      <c r="A586" s="36">
        <f t="shared" si="77"/>
        <v>53</v>
      </c>
      <c r="B586" s="25"/>
      <c r="C586" s="26"/>
      <c r="D586" s="27"/>
      <c r="E586" s="28"/>
      <c r="F586" s="47"/>
      <c r="G586" s="30"/>
      <c r="H586" s="49"/>
      <c r="I586" s="40"/>
      <c r="J586" s="48"/>
      <c r="K586" s="48"/>
      <c r="L586" s="48"/>
      <c r="M586" s="110"/>
      <c r="N586" s="110"/>
      <c r="O586" s="110"/>
      <c r="P586" s="110"/>
      <c r="Q586" s="110"/>
      <c r="R586" s="110"/>
      <c r="S586" s="110"/>
      <c r="T586" s="110"/>
      <c r="V586" s="4"/>
      <c r="W586" s="35"/>
    </row>
    <row r="587" spans="1:23" x14ac:dyDescent="0.25">
      <c r="A587" s="36">
        <f t="shared" si="77"/>
        <v>53</v>
      </c>
      <c r="B587" s="25"/>
      <c r="C587" s="26"/>
      <c r="D587" s="27"/>
      <c r="E587" s="28"/>
      <c r="F587" s="47"/>
      <c r="G587" s="30"/>
      <c r="H587" s="49"/>
      <c r="I587" s="40"/>
      <c r="J587" s="48"/>
      <c r="K587" s="48"/>
      <c r="L587" s="48"/>
      <c r="M587" s="110"/>
      <c r="N587" s="110"/>
      <c r="O587" s="110"/>
      <c r="P587" s="110"/>
      <c r="Q587" s="110"/>
      <c r="R587" s="110"/>
      <c r="S587" s="110"/>
      <c r="T587" s="110"/>
      <c r="V587" s="4"/>
      <c r="W587" s="35"/>
    </row>
    <row r="588" spans="1:23" x14ac:dyDescent="0.25">
      <c r="A588" s="36">
        <f t="shared" si="77"/>
        <v>53</v>
      </c>
      <c r="B588" s="25"/>
      <c r="C588" s="26"/>
      <c r="D588" s="27"/>
      <c r="E588" s="28"/>
      <c r="F588" s="47"/>
      <c r="G588" s="30"/>
      <c r="H588" s="49"/>
      <c r="I588" s="40"/>
      <c r="J588" s="48"/>
      <c r="K588" s="48"/>
      <c r="L588" s="48"/>
      <c r="M588" s="110"/>
      <c r="N588" s="110"/>
      <c r="O588" s="110"/>
      <c r="P588" s="110"/>
      <c r="Q588" s="110"/>
      <c r="R588" s="110"/>
      <c r="S588" s="110"/>
      <c r="T588" s="110"/>
      <c r="V588" s="4"/>
      <c r="W588" s="35"/>
    </row>
    <row r="589" spans="1:23" x14ac:dyDescent="0.25">
      <c r="A589" s="36">
        <f t="shared" si="77"/>
        <v>53</v>
      </c>
      <c r="B589" s="25"/>
      <c r="C589" s="26"/>
      <c r="D589" s="27"/>
      <c r="E589" s="28"/>
      <c r="F589" s="47"/>
      <c r="G589" s="30"/>
      <c r="H589" s="49"/>
      <c r="I589" s="40"/>
      <c r="J589" s="48"/>
      <c r="K589" s="48"/>
      <c r="L589" s="48"/>
      <c r="M589" s="110"/>
      <c r="N589" s="110"/>
      <c r="O589" s="110"/>
      <c r="P589" s="110"/>
      <c r="Q589" s="110"/>
      <c r="R589" s="110"/>
      <c r="S589" s="110"/>
      <c r="T589" s="110"/>
      <c r="V589" s="4"/>
      <c r="W589" s="35"/>
    </row>
    <row r="590" spans="1:23" x14ac:dyDescent="0.25">
      <c r="A590" s="36">
        <f t="shared" si="77"/>
        <v>53</v>
      </c>
      <c r="B590" s="25"/>
      <c r="C590" s="26"/>
      <c r="D590" s="27"/>
      <c r="E590" s="28"/>
      <c r="F590" s="47"/>
      <c r="G590" s="30"/>
      <c r="H590" s="49"/>
      <c r="I590" s="40"/>
      <c r="J590" s="48"/>
      <c r="K590" s="48"/>
      <c r="L590" s="48"/>
      <c r="M590" s="110"/>
      <c r="N590" s="110"/>
      <c r="O590" s="110"/>
      <c r="P590" s="110"/>
      <c r="Q590" s="110"/>
      <c r="R590" s="110"/>
      <c r="S590" s="110"/>
      <c r="T590" s="110"/>
      <c r="V590" s="4"/>
      <c r="W590" s="35"/>
    </row>
    <row r="591" spans="1:23" x14ac:dyDescent="0.25">
      <c r="A591" s="36">
        <f t="shared" si="77"/>
        <v>53</v>
      </c>
      <c r="B591" s="25"/>
      <c r="C591" s="26"/>
      <c r="D591" s="27"/>
      <c r="E591" s="28"/>
      <c r="F591" s="47"/>
      <c r="G591" s="30"/>
      <c r="H591" s="49"/>
      <c r="I591" s="40"/>
      <c r="J591" s="48"/>
      <c r="K591" s="48"/>
      <c r="L591" s="48"/>
      <c r="M591" s="110"/>
      <c r="N591" s="110"/>
      <c r="O591" s="110"/>
      <c r="P591" s="110"/>
      <c r="Q591" s="110"/>
      <c r="R591" s="110"/>
      <c r="S591" s="110"/>
      <c r="T591" s="110"/>
      <c r="V591" s="4"/>
      <c r="W591" s="35"/>
    </row>
    <row r="592" spans="1:23" x14ac:dyDescent="0.25">
      <c r="A592" s="36">
        <f t="shared" si="77"/>
        <v>53</v>
      </c>
      <c r="B592" s="25"/>
      <c r="C592" s="26"/>
      <c r="D592" s="27"/>
      <c r="E592" s="28"/>
      <c r="F592" s="47"/>
      <c r="G592" s="30"/>
      <c r="H592" s="49"/>
      <c r="I592" s="40"/>
      <c r="J592" s="48"/>
      <c r="K592" s="48"/>
      <c r="L592" s="48"/>
      <c r="M592" s="110"/>
      <c r="N592" s="110"/>
      <c r="O592" s="110"/>
      <c r="P592" s="110"/>
      <c r="Q592" s="110"/>
      <c r="R592" s="110"/>
      <c r="S592" s="110"/>
      <c r="T592" s="110"/>
      <c r="V592" s="4"/>
      <c r="W592" s="35"/>
    </row>
    <row r="593" spans="1:23" x14ac:dyDescent="0.25">
      <c r="A593" s="36">
        <f t="shared" si="77"/>
        <v>53</v>
      </c>
      <c r="B593" s="25"/>
      <c r="C593" s="26"/>
      <c r="D593" s="27"/>
      <c r="E593" s="28"/>
      <c r="F593" s="47"/>
      <c r="G593" s="30"/>
      <c r="H593" s="49"/>
      <c r="I593" s="40"/>
      <c r="J593" s="48"/>
      <c r="K593" s="48"/>
      <c r="L593" s="48"/>
      <c r="M593" s="110"/>
      <c r="N593" s="110"/>
      <c r="O593" s="110"/>
      <c r="P593" s="110"/>
      <c r="Q593" s="110"/>
      <c r="R593" s="110"/>
      <c r="S593" s="110"/>
      <c r="T593" s="110"/>
      <c r="V593" s="4"/>
      <c r="W593" s="35"/>
    </row>
    <row r="594" spans="1:23" x14ac:dyDescent="0.25">
      <c r="A594" s="36">
        <f t="shared" si="77"/>
        <v>53</v>
      </c>
      <c r="B594" s="25"/>
      <c r="C594" s="26"/>
      <c r="D594" s="27"/>
      <c r="E594" s="28"/>
      <c r="F594" s="47"/>
      <c r="G594" s="30"/>
      <c r="H594" s="49"/>
      <c r="I594" s="40"/>
      <c r="J594" s="48"/>
      <c r="K594" s="48"/>
      <c r="L594" s="48"/>
      <c r="M594" s="110"/>
      <c r="N594" s="110"/>
      <c r="O594" s="110"/>
      <c r="P594" s="110"/>
      <c r="Q594" s="110"/>
      <c r="R594" s="110"/>
      <c r="S594" s="110"/>
      <c r="T594" s="110"/>
      <c r="V594" s="4"/>
      <c r="W594" s="35"/>
    </row>
    <row r="595" spans="1:23" x14ac:dyDescent="0.25">
      <c r="A595" s="36">
        <f t="shared" si="77"/>
        <v>53</v>
      </c>
      <c r="B595" s="25"/>
      <c r="C595" s="26"/>
      <c r="D595" s="27"/>
      <c r="E595" s="28"/>
      <c r="F595" s="47"/>
      <c r="G595" s="30"/>
      <c r="H595" s="49"/>
      <c r="I595" s="40"/>
      <c r="J595" s="48"/>
      <c r="K595" s="48"/>
      <c r="L595" s="48"/>
      <c r="M595" s="110"/>
      <c r="N595" s="110"/>
      <c r="O595" s="110"/>
      <c r="P595" s="110"/>
      <c r="Q595" s="110"/>
      <c r="R595" s="110"/>
      <c r="S595" s="110"/>
      <c r="T595" s="110"/>
      <c r="V595" s="4"/>
      <c r="W595" s="35"/>
    </row>
    <row r="596" spans="1:23" x14ac:dyDescent="0.25">
      <c r="A596" s="36">
        <f t="shared" si="77"/>
        <v>53</v>
      </c>
      <c r="B596" s="25"/>
      <c r="C596" s="26"/>
      <c r="D596" s="27"/>
      <c r="E596" s="28"/>
      <c r="F596" s="47"/>
      <c r="G596" s="30"/>
      <c r="H596" s="49"/>
      <c r="I596" s="40"/>
      <c r="J596" s="48"/>
      <c r="K596" s="48"/>
      <c r="L596" s="48"/>
      <c r="M596" s="110"/>
      <c r="N596" s="110"/>
      <c r="O596" s="110"/>
      <c r="P596" s="110"/>
      <c r="Q596" s="110"/>
      <c r="R596" s="110"/>
      <c r="S596" s="110"/>
      <c r="T596" s="110"/>
      <c r="V596" s="4"/>
      <c r="W596" s="35"/>
    </row>
    <row r="597" spans="1:23" x14ac:dyDescent="0.25">
      <c r="A597" s="36">
        <f t="shared" si="77"/>
        <v>53</v>
      </c>
      <c r="B597" s="25"/>
      <c r="C597" s="26"/>
      <c r="D597" s="27"/>
      <c r="E597" s="28"/>
      <c r="F597" s="47"/>
      <c r="G597" s="30"/>
      <c r="H597" s="49"/>
      <c r="I597" s="40"/>
      <c r="J597" s="48"/>
      <c r="K597" s="48"/>
      <c r="L597" s="48"/>
      <c r="M597" s="110"/>
      <c r="N597" s="110"/>
      <c r="O597" s="110"/>
      <c r="P597" s="110"/>
      <c r="Q597" s="110"/>
      <c r="R597" s="110"/>
      <c r="S597" s="110"/>
      <c r="T597" s="110"/>
      <c r="V597" s="4"/>
      <c r="W597" s="35"/>
    </row>
    <row r="598" spans="1:23" x14ac:dyDescent="0.25">
      <c r="A598" s="36">
        <f t="shared" si="77"/>
        <v>53</v>
      </c>
      <c r="B598" s="25"/>
      <c r="C598" s="26"/>
      <c r="D598" s="27"/>
      <c r="E598" s="28"/>
      <c r="F598" s="29"/>
      <c r="G598" s="30"/>
      <c r="H598" s="49"/>
      <c r="I598" s="40"/>
      <c r="J598" s="48"/>
      <c r="K598" s="48"/>
      <c r="L598" s="48"/>
      <c r="M598" s="110"/>
      <c r="N598" s="110"/>
      <c r="O598" s="110"/>
      <c r="P598" s="110"/>
      <c r="Q598" s="110"/>
      <c r="R598" s="110"/>
      <c r="S598" s="110"/>
      <c r="T598" s="110"/>
      <c r="V598" s="4"/>
      <c r="W598" s="35"/>
    </row>
    <row r="599" spans="1:23" x14ac:dyDescent="0.25">
      <c r="A599" s="36">
        <f t="shared" si="77"/>
        <v>53</v>
      </c>
      <c r="B599" s="25"/>
      <c r="C599" s="26"/>
      <c r="D599" s="27"/>
      <c r="E599" s="28"/>
      <c r="F599" s="29"/>
      <c r="G599" s="30"/>
      <c r="H599" s="49"/>
      <c r="I599" s="40"/>
      <c r="J599" s="48"/>
      <c r="K599" s="48"/>
      <c r="L599" s="48"/>
      <c r="M599" s="110"/>
      <c r="N599" s="110"/>
      <c r="O599" s="110"/>
      <c r="P599" s="110"/>
      <c r="Q599" s="110"/>
      <c r="R599" s="110"/>
      <c r="S599" s="110"/>
      <c r="T599" s="110"/>
      <c r="V599" s="4"/>
      <c r="W599" s="35"/>
    </row>
    <row r="600" spans="1:23" x14ac:dyDescent="0.25">
      <c r="A600" s="36">
        <f t="shared" si="77"/>
        <v>53</v>
      </c>
      <c r="B600" s="25"/>
      <c r="C600" s="26"/>
      <c r="D600" s="27"/>
      <c r="E600" s="28"/>
      <c r="F600" s="29"/>
      <c r="G600" s="30"/>
      <c r="H600" s="49"/>
      <c r="I600" s="40"/>
      <c r="J600" s="48"/>
      <c r="K600" s="48"/>
      <c r="L600" s="48"/>
      <c r="M600" s="110"/>
      <c r="N600" s="110"/>
      <c r="O600" s="110"/>
      <c r="P600" s="110"/>
      <c r="Q600" s="110"/>
      <c r="R600" s="110"/>
      <c r="S600" s="110"/>
      <c r="T600" s="110"/>
      <c r="V600" s="4"/>
      <c r="W600" s="35"/>
    </row>
    <row r="601" spans="1:23" x14ac:dyDescent="0.25">
      <c r="A601" s="36">
        <f t="shared" si="77"/>
        <v>53</v>
      </c>
      <c r="B601" s="25"/>
      <c r="C601" s="26"/>
      <c r="D601" s="27"/>
      <c r="E601" s="28"/>
      <c r="F601" s="29"/>
      <c r="G601" s="30"/>
      <c r="H601" s="49"/>
      <c r="I601" s="40"/>
      <c r="J601" s="48"/>
      <c r="K601" s="48"/>
      <c r="L601" s="48"/>
      <c r="M601" s="110"/>
      <c r="N601" s="110"/>
      <c r="O601" s="110"/>
      <c r="P601" s="110"/>
      <c r="Q601" s="110"/>
      <c r="R601" s="110"/>
      <c r="S601" s="110"/>
      <c r="T601" s="110"/>
      <c r="V601" s="4"/>
      <c r="W601" s="35"/>
    </row>
    <row r="602" spans="1:23" x14ac:dyDescent="0.25">
      <c r="A602" s="36">
        <f t="shared" si="77"/>
        <v>53</v>
      </c>
      <c r="B602" s="25"/>
      <c r="C602" s="26"/>
      <c r="D602" s="27"/>
      <c r="E602" s="28"/>
      <c r="F602" s="29"/>
      <c r="G602" s="30"/>
      <c r="H602" s="49"/>
      <c r="I602" s="40"/>
      <c r="J602" s="48"/>
      <c r="K602" s="48"/>
      <c r="L602" s="48"/>
      <c r="M602" s="110"/>
      <c r="N602" s="110"/>
      <c r="O602" s="110"/>
      <c r="P602" s="110"/>
      <c r="Q602" s="110"/>
      <c r="R602" s="110"/>
      <c r="S602" s="110"/>
      <c r="T602" s="110"/>
      <c r="V602" s="4"/>
      <c r="W602" s="35"/>
    </row>
    <row r="603" spans="1:23" x14ac:dyDescent="0.25">
      <c r="A603" s="36">
        <f t="shared" si="77"/>
        <v>53</v>
      </c>
      <c r="B603" s="25"/>
      <c r="C603" s="26"/>
      <c r="D603" s="27"/>
      <c r="E603" s="28"/>
      <c r="F603" s="29"/>
      <c r="G603" s="30"/>
      <c r="H603" s="49"/>
      <c r="I603" s="40"/>
      <c r="J603" s="48"/>
      <c r="K603" s="48"/>
      <c r="L603" s="48"/>
      <c r="M603" s="110"/>
      <c r="N603" s="110"/>
      <c r="O603" s="110"/>
      <c r="P603" s="110"/>
      <c r="Q603" s="110"/>
      <c r="R603" s="110"/>
      <c r="S603" s="110"/>
      <c r="T603" s="110"/>
      <c r="V603" s="4"/>
      <c r="W603" s="35"/>
    </row>
    <row r="604" spans="1:23" x14ac:dyDescent="0.25">
      <c r="A604" s="36">
        <f t="shared" si="77"/>
        <v>53</v>
      </c>
      <c r="B604" s="25"/>
      <c r="C604" s="26"/>
      <c r="D604" s="27"/>
      <c r="E604" s="28"/>
      <c r="F604" s="29"/>
      <c r="G604" s="30"/>
      <c r="H604" s="49"/>
      <c r="I604" s="40"/>
      <c r="J604" s="48"/>
      <c r="K604" s="48"/>
      <c r="L604" s="48"/>
      <c r="M604" s="110"/>
      <c r="N604" s="110"/>
      <c r="O604" s="110"/>
      <c r="P604" s="110"/>
      <c r="Q604" s="110"/>
      <c r="R604" s="110"/>
      <c r="S604" s="110"/>
      <c r="T604" s="110"/>
      <c r="V604" s="4"/>
      <c r="W604" s="35"/>
    </row>
    <row r="605" spans="1:23" x14ac:dyDescent="0.25">
      <c r="A605" s="36">
        <f t="shared" si="77"/>
        <v>53</v>
      </c>
      <c r="B605" s="25"/>
      <c r="C605" s="26"/>
      <c r="D605" s="27"/>
      <c r="E605" s="28"/>
      <c r="F605" s="29"/>
      <c r="G605" s="30"/>
      <c r="H605" s="49"/>
      <c r="I605" s="40"/>
      <c r="J605" s="48"/>
      <c r="K605" s="48"/>
      <c r="L605" s="48"/>
      <c r="M605" s="110"/>
      <c r="N605" s="110"/>
      <c r="O605" s="110"/>
      <c r="P605" s="110"/>
      <c r="Q605" s="110"/>
      <c r="R605" s="110"/>
      <c r="S605" s="110"/>
      <c r="T605" s="110"/>
      <c r="V605" s="4"/>
      <c r="W605" s="35"/>
    </row>
    <row r="606" spans="1:23" x14ac:dyDescent="0.25">
      <c r="A606" s="36">
        <f t="shared" si="77"/>
        <v>53</v>
      </c>
      <c r="B606" s="25"/>
      <c r="C606" s="26"/>
      <c r="D606" s="27"/>
      <c r="E606" s="28"/>
      <c r="F606" s="29"/>
      <c r="G606" s="30"/>
      <c r="H606" s="49"/>
      <c r="I606" s="40"/>
      <c r="J606" s="48"/>
      <c r="K606" s="48"/>
      <c r="L606" s="48"/>
      <c r="M606" s="110"/>
      <c r="N606" s="110"/>
      <c r="O606" s="110"/>
      <c r="P606" s="110"/>
      <c r="Q606" s="110"/>
      <c r="R606" s="110"/>
      <c r="S606" s="110"/>
      <c r="T606" s="110"/>
      <c r="V606" s="4"/>
      <c r="W606" s="35"/>
    </row>
    <row r="607" spans="1:23" x14ac:dyDescent="0.25">
      <c r="A607" s="36">
        <f t="shared" si="77"/>
        <v>53</v>
      </c>
      <c r="B607" s="25"/>
      <c r="C607" s="26"/>
      <c r="D607" s="27"/>
      <c r="E607" s="28"/>
      <c r="F607" s="29"/>
      <c r="G607" s="30"/>
      <c r="H607" s="49"/>
      <c r="I607" s="40"/>
      <c r="J607" s="48"/>
      <c r="K607" s="48"/>
      <c r="L607" s="48"/>
      <c r="M607" s="110"/>
      <c r="N607" s="110"/>
      <c r="O607" s="110"/>
      <c r="P607" s="110"/>
      <c r="Q607" s="110"/>
      <c r="R607" s="110"/>
      <c r="S607" s="110"/>
      <c r="T607" s="110"/>
      <c r="V607" s="4"/>
      <c r="W607" s="35"/>
    </row>
    <row r="608" spans="1:23" x14ac:dyDescent="0.25">
      <c r="A608" s="36">
        <f t="shared" si="77"/>
        <v>53</v>
      </c>
      <c r="B608" s="25"/>
      <c r="C608" s="26"/>
      <c r="D608" s="27"/>
      <c r="E608" s="28"/>
      <c r="F608" s="29"/>
      <c r="G608" s="30"/>
      <c r="H608" s="49"/>
      <c r="I608" s="40"/>
      <c r="J608" s="48"/>
      <c r="K608" s="48"/>
      <c r="L608" s="48"/>
      <c r="M608" s="110"/>
      <c r="N608" s="110"/>
      <c r="O608" s="110"/>
      <c r="P608" s="110"/>
      <c r="Q608" s="110"/>
      <c r="R608" s="110"/>
      <c r="S608" s="110"/>
      <c r="T608" s="110"/>
      <c r="V608" s="4"/>
      <c r="W608" s="35"/>
    </row>
    <row r="609" spans="1:23" x14ac:dyDescent="0.25">
      <c r="A609" s="36">
        <f t="shared" si="77"/>
        <v>53</v>
      </c>
      <c r="B609" s="25"/>
      <c r="C609" s="26"/>
      <c r="D609" s="27"/>
      <c r="E609" s="28"/>
      <c r="F609" s="29"/>
      <c r="G609" s="30"/>
      <c r="H609" s="49"/>
      <c r="I609" s="40"/>
      <c r="J609" s="48"/>
      <c r="K609" s="48"/>
      <c r="L609" s="48"/>
      <c r="M609" s="110"/>
      <c r="N609" s="110"/>
      <c r="O609" s="110"/>
      <c r="P609" s="110"/>
      <c r="Q609" s="110"/>
      <c r="R609" s="110"/>
      <c r="S609" s="110"/>
      <c r="T609" s="110"/>
      <c r="V609" s="4"/>
      <c r="W609" s="35"/>
    </row>
    <row r="610" spans="1:23" x14ac:dyDescent="0.25">
      <c r="A610" s="36">
        <f t="shared" si="77"/>
        <v>53</v>
      </c>
      <c r="B610" s="25"/>
      <c r="C610" s="26"/>
      <c r="D610" s="27"/>
      <c r="E610" s="28"/>
      <c r="F610" s="29"/>
      <c r="G610" s="30"/>
      <c r="H610" s="49"/>
      <c r="I610" s="40"/>
      <c r="J610" s="48"/>
      <c r="K610" s="48"/>
      <c r="L610" s="48"/>
      <c r="M610" s="110"/>
      <c r="N610" s="110"/>
      <c r="O610" s="110"/>
      <c r="P610" s="110"/>
      <c r="Q610" s="110"/>
      <c r="R610" s="110"/>
      <c r="S610" s="110"/>
      <c r="T610" s="110"/>
      <c r="V610" s="4"/>
      <c r="W610" s="35"/>
    </row>
    <row r="611" spans="1:23" x14ac:dyDescent="0.25">
      <c r="A611" s="36">
        <f t="shared" si="77"/>
        <v>53</v>
      </c>
      <c r="B611" s="25"/>
      <c r="C611" s="26"/>
      <c r="D611" s="27"/>
      <c r="E611" s="28"/>
      <c r="F611" s="29"/>
      <c r="G611" s="30"/>
      <c r="H611" s="49"/>
      <c r="I611" s="40"/>
      <c r="J611" s="48"/>
      <c r="K611" s="48"/>
      <c r="L611" s="48"/>
      <c r="M611" s="110"/>
      <c r="N611" s="110"/>
      <c r="O611" s="110"/>
      <c r="P611" s="110"/>
      <c r="Q611" s="110"/>
      <c r="R611" s="110"/>
      <c r="S611" s="110"/>
      <c r="T611" s="110"/>
      <c r="V611" s="4"/>
      <c r="W611" s="35"/>
    </row>
    <row r="612" spans="1:23" x14ac:dyDescent="0.25">
      <c r="A612" s="36">
        <f t="shared" si="77"/>
        <v>53</v>
      </c>
      <c r="B612" s="25"/>
      <c r="C612" s="26"/>
      <c r="D612" s="27"/>
      <c r="E612" s="28"/>
      <c r="F612" s="29"/>
      <c r="G612" s="30"/>
      <c r="H612" s="49"/>
      <c r="I612" s="40"/>
      <c r="J612" s="48"/>
      <c r="K612" s="48"/>
      <c r="L612" s="48"/>
      <c r="M612" s="110"/>
      <c r="N612" s="110"/>
      <c r="O612" s="110"/>
      <c r="P612" s="110"/>
      <c r="Q612" s="110"/>
      <c r="R612" s="110"/>
      <c r="S612" s="110"/>
      <c r="T612" s="110"/>
      <c r="V612" s="4"/>
      <c r="W612" s="35"/>
    </row>
    <row r="613" spans="1:23" x14ac:dyDescent="0.25">
      <c r="A613" s="36">
        <f t="shared" si="77"/>
        <v>53</v>
      </c>
      <c r="B613" s="25"/>
      <c r="C613" s="26"/>
      <c r="D613" s="27"/>
      <c r="E613" s="28"/>
      <c r="F613" s="29"/>
      <c r="G613" s="30"/>
      <c r="H613" s="49"/>
      <c r="I613" s="40"/>
      <c r="J613" s="48"/>
      <c r="K613" s="48"/>
      <c r="L613" s="48"/>
      <c r="M613" s="110"/>
      <c r="N613" s="110"/>
      <c r="O613" s="110"/>
      <c r="P613" s="110"/>
      <c r="Q613" s="110"/>
      <c r="R613" s="110"/>
      <c r="S613" s="110"/>
      <c r="T613" s="110"/>
      <c r="V613" s="4"/>
      <c r="W613" s="35"/>
    </row>
    <row r="614" spans="1:23" x14ac:dyDescent="0.25">
      <c r="A614" s="36">
        <f t="shared" si="77"/>
        <v>53</v>
      </c>
      <c r="B614" s="25"/>
      <c r="C614" s="26"/>
      <c r="D614" s="27"/>
      <c r="E614" s="28"/>
      <c r="F614" s="29"/>
      <c r="G614" s="30"/>
      <c r="H614" s="49"/>
      <c r="I614" s="40"/>
      <c r="J614" s="48"/>
      <c r="K614" s="48"/>
      <c r="L614" s="48"/>
      <c r="M614" s="110"/>
      <c r="N614" s="110"/>
      <c r="O614" s="110"/>
      <c r="P614" s="110"/>
      <c r="Q614" s="110"/>
      <c r="R614" s="110"/>
      <c r="S614" s="110"/>
      <c r="T614" s="110"/>
      <c r="V614" s="4"/>
      <c r="W614" s="35"/>
    </row>
    <row r="615" spans="1:23" x14ac:dyDescent="0.25">
      <c r="A615" s="36">
        <f t="shared" si="77"/>
        <v>53</v>
      </c>
      <c r="B615" s="25"/>
      <c r="C615" s="26"/>
      <c r="D615" s="27"/>
      <c r="E615" s="28"/>
      <c r="F615" s="29"/>
      <c r="G615" s="30"/>
      <c r="H615" s="49"/>
      <c r="I615" s="40"/>
      <c r="J615" s="48"/>
      <c r="K615" s="48"/>
      <c r="L615" s="48"/>
      <c r="M615" s="110"/>
      <c r="N615" s="110"/>
      <c r="O615" s="110"/>
      <c r="P615" s="110"/>
      <c r="Q615" s="110"/>
      <c r="R615" s="110"/>
      <c r="S615" s="110"/>
      <c r="T615" s="110"/>
      <c r="V615" s="4"/>
      <c r="W615" s="35"/>
    </row>
    <row r="616" spans="1:23" x14ac:dyDescent="0.25">
      <c r="A616" s="36">
        <f t="shared" si="77"/>
        <v>53</v>
      </c>
      <c r="B616" s="25"/>
      <c r="C616" s="26"/>
      <c r="D616" s="27"/>
      <c r="E616" s="28"/>
      <c r="F616" s="29"/>
      <c r="G616" s="30"/>
      <c r="H616" s="49"/>
      <c r="I616" s="40"/>
      <c r="J616" s="48"/>
      <c r="K616" s="48"/>
      <c r="L616" s="48"/>
      <c r="M616" s="110"/>
      <c r="N616" s="110"/>
      <c r="O616" s="110"/>
      <c r="P616" s="110"/>
      <c r="Q616" s="110"/>
      <c r="R616" s="110"/>
      <c r="S616" s="110"/>
      <c r="T616" s="110"/>
      <c r="V616" s="4"/>
      <c r="W616" s="35"/>
    </row>
    <row r="617" spans="1:23" x14ac:dyDescent="0.25">
      <c r="A617" s="36">
        <f t="shared" si="77"/>
        <v>53</v>
      </c>
      <c r="B617" s="25"/>
      <c r="C617" s="26"/>
      <c r="D617" s="27"/>
      <c r="E617" s="28"/>
      <c r="F617" s="29"/>
      <c r="G617" s="30"/>
      <c r="H617" s="49"/>
      <c r="I617" s="40"/>
      <c r="J617" s="48"/>
      <c r="K617" s="48"/>
      <c r="L617" s="48"/>
      <c r="M617" s="110"/>
      <c r="N617" s="110"/>
      <c r="O617" s="110"/>
      <c r="P617" s="110"/>
      <c r="Q617" s="110"/>
      <c r="R617" s="110"/>
      <c r="S617" s="110"/>
      <c r="T617" s="110"/>
      <c r="V617" s="4"/>
      <c r="W617" s="35"/>
    </row>
    <row r="618" spans="1:23" x14ac:dyDescent="0.25">
      <c r="A618" s="36">
        <f t="shared" si="77"/>
        <v>53</v>
      </c>
      <c r="B618" s="25"/>
      <c r="C618" s="26"/>
      <c r="D618" s="27"/>
      <c r="E618" s="28"/>
      <c r="F618" s="29"/>
      <c r="G618" s="30"/>
      <c r="H618" s="49"/>
      <c r="I618" s="40"/>
      <c r="J618" s="48"/>
      <c r="K618" s="48"/>
      <c r="L618" s="48"/>
      <c r="M618" s="110"/>
      <c r="N618" s="110"/>
      <c r="O618" s="110"/>
      <c r="P618" s="110"/>
      <c r="Q618" s="110"/>
      <c r="R618" s="110"/>
      <c r="S618" s="110"/>
      <c r="T618" s="110"/>
      <c r="V618" s="4"/>
      <c r="W618" s="35"/>
    </row>
    <row r="619" spans="1:23" x14ac:dyDescent="0.25">
      <c r="A619" s="36">
        <f t="shared" si="77"/>
        <v>53</v>
      </c>
      <c r="B619" s="25"/>
      <c r="C619" s="26"/>
      <c r="D619" s="27"/>
      <c r="E619" s="28"/>
      <c r="F619" s="29"/>
      <c r="G619" s="30"/>
      <c r="H619" s="49"/>
      <c r="I619" s="40"/>
      <c r="J619" s="48"/>
      <c r="K619" s="48"/>
      <c r="L619" s="48"/>
      <c r="M619" s="110"/>
      <c r="N619" s="110"/>
      <c r="O619" s="110"/>
      <c r="P619" s="110"/>
      <c r="Q619" s="110"/>
      <c r="R619" s="110"/>
      <c r="S619" s="110"/>
      <c r="T619" s="110"/>
      <c r="V619" s="4"/>
      <c r="W619" s="35"/>
    </row>
    <row r="620" spans="1:23" x14ac:dyDescent="0.25">
      <c r="A620" s="36">
        <f t="shared" si="77"/>
        <v>53</v>
      </c>
      <c r="B620" s="25"/>
      <c r="C620" s="26"/>
      <c r="D620" s="27"/>
      <c r="E620" s="28"/>
      <c r="F620" s="29"/>
      <c r="G620" s="30"/>
      <c r="H620" s="49"/>
      <c r="I620" s="40"/>
      <c r="J620" s="48"/>
      <c r="K620" s="48"/>
      <c r="L620" s="48"/>
      <c r="M620" s="110"/>
      <c r="N620" s="110"/>
      <c r="O620" s="110"/>
      <c r="P620" s="110"/>
      <c r="Q620" s="110"/>
      <c r="R620" s="110"/>
      <c r="S620" s="110"/>
      <c r="T620" s="110"/>
      <c r="V620" s="4"/>
      <c r="W620" s="35"/>
    </row>
    <row r="621" spans="1:23" x14ac:dyDescent="0.25">
      <c r="A621" s="36">
        <f t="shared" si="77"/>
        <v>53</v>
      </c>
      <c r="B621" s="25"/>
      <c r="C621" s="26"/>
      <c r="D621" s="27"/>
      <c r="E621" s="28"/>
      <c r="F621" s="29"/>
      <c r="G621" s="30"/>
      <c r="H621" s="49"/>
      <c r="I621" s="40"/>
      <c r="J621" s="48"/>
      <c r="K621" s="48"/>
      <c r="L621" s="48"/>
      <c r="M621" s="110"/>
      <c r="N621" s="110"/>
      <c r="O621" s="110"/>
      <c r="P621" s="110"/>
      <c r="Q621" s="110"/>
      <c r="R621" s="110"/>
      <c r="S621" s="110"/>
      <c r="T621" s="110"/>
      <c r="V621" s="4"/>
      <c r="W621" s="35"/>
    </row>
    <row r="622" spans="1:23" x14ac:dyDescent="0.25">
      <c r="A622" s="36">
        <f t="shared" si="77"/>
        <v>53</v>
      </c>
      <c r="B622" s="25"/>
      <c r="C622" s="26"/>
      <c r="D622" s="27"/>
      <c r="E622" s="28"/>
      <c r="F622" s="29"/>
      <c r="G622" s="30"/>
      <c r="H622" s="49"/>
      <c r="I622" s="40"/>
      <c r="J622" s="48"/>
      <c r="K622" s="48"/>
      <c r="L622" s="48"/>
      <c r="M622" s="110"/>
      <c r="N622" s="110"/>
      <c r="O622" s="110"/>
      <c r="P622" s="110"/>
      <c r="Q622" s="110"/>
      <c r="R622" s="110"/>
      <c r="S622" s="110"/>
      <c r="T622" s="110"/>
      <c r="V622" s="4"/>
      <c r="W622" s="35"/>
    </row>
    <row r="623" spans="1:23" x14ac:dyDescent="0.25">
      <c r="A623" s="36">
        <f t="shared" si="77"/>
        <v>53</v>
      </c>
      <c r="B623" s="25"/>
      <c r="C623" s="26"/>
      <c r="D623" s="27"/>
      <c r="E623" s="28"/>
      <c r="F623" s="29"/>
      <c r="G623" s="30"/>
      <c r="H623" s="49"/>
      <c r="I623" s="40"/>
      <c r="J623" s="48"/>
      <c r="K623" s="48"/>
      <c r="L623" s="48"/>
      <c r="M623" s="110"/>
      <c r="N623" s="110"/>
      <c r="O623" s="110"/>
      <c r="P623" s="110"/>
      <c r="Q623" s="110"/>
      <c r="R623" s="110"/>
      <c r="S623" s="110"/>
      <c r="T623" s="110"/>
      <c r="V623" s="4"/>
      <c r="W623" s="35"/>
    </row>
    <row r="624" spans="1:23" x14ac:dyDescent="0.25">
      <c r="A624" s="36">
        <f t="shared" si="77"/>
        <v>53</v>
      </c>
      <c r="B624" s="25"/>
      <c r="C624" s="26"/>
      <c r="D624" s="27"/>
      <c r="E624" s="28"/>
      <c r="F624" s="29"/>
      <c r="G624" s="30"/>
      <c r="H624" s="49"/>
      <c r="I624" s="40"/>
      <c r="J624" s="48"/>
      <c r="K624" s="48"/>
      <c r="L624" s="48"/>
      <c r="M624" s="110"/>
      <c r="N624" s="110"/>
      <c r="O624" s="110"/>
      <c r="P624" s="110"/>
      <c r="Q624" s="110"/>
      <c r="R624" s="110"/>
      <c r="S624" s="110"/>
      <c r="T624" s="110"/>
      <c r="V624" s="4"/>
      <c r="W624" s="35"/>
    </row>
    <row r="625" spans="1:23" x14ac:dyDescent="0.25">
      <c r="A625" s="36">
        <f t="shared" si="77"/>
        <v>53</v>
      </c>
      <c r="B625" s="25"/>
      <c r="C625" s="53"/>
      <c r="D625" s="54"/>
      <c r="E625" s="28"/>
      <c r="F625" s="47"/>
      <c r="G625" s="30"/>
      <c r="H625" s="49"/>
      <c r="I625" s="40"/>
      <c r="J625" s="48"/>
      <c r="K625" s="48"/>
      <c r="L625" s="48"/>
      <c r="M625" s="110"/>
      <c r="N625" s="110"/>
      <c r="O625" s="110"/>
      <c r="P625" s="110"/>
      <c r="Q625" s="110"/>
      <c r="R625" s="110"/>
      <c r="S625" s="110"/>
      <c r="T625" s="110"/>
      <c r="V625" s="4"/>
      <c r="W625" s="35"/>
    </row>
    <row r="626" spans="1:23" x14ac:dyDescent="0.25">
      <c r="A626" s="36">
        <f t="shared" si="77"/>
        <v>53</v>
      </c>
      <c r="B626" s="25"/>
      <c r="C626" s="26"/>
      <c r="D626" s="27"/>
      <c r="E626" s="28"/>
      <c r="F626" s="47"/>
      <c r="G626" s="30"/>
      <c r="H626" s="49"/>
      <c r="I626" s="40"/>
      <c r="J626" s="48"/>
      <c r="K626" s="48"/>
      <c r="L626" s="48"/>
      <c r="M626" s="110"/>
      <c r="N626" s="110"/>
      <c r="O626" s="110"/>
      <c r="P626" s="110"/>
      <c r="Q626" s="110"/>
      <c r="R626" s="110"/>
      <c r="S626" s="110"/>
      <c r="T626" s="110"/>
      <c r="V626" s="4"/>
      <c r="W626" s="35"/>
    </row>
    <row r="627" spans="1:23" x14ac:dyDescent="0.25">
      <c r="A627" s="36">
        <f t="shared" si="77"/>
        <v>53</v>
      </c>
      <c r="B627" s="25"/>
      <c r="C627" s="26"/>
      <c r="D627" s="27"/>
      <c r="E627" s="28"/>
      <c r="F627" s="47"/>
      <c r="G627" s="30"/>
      <c r="H627" s="49"/>
      <c r="I627" s="40"/>
      <c r="J627" s="48"/>
      <c r="K627" s="48"/>
      <c r="L627" s="48"/>
      <c r="M627" s="110"/>
      <c r="N627" s="110"/>
      <c r="O627" s="110"/>
      <c r="P627" s="110"/>
      <c r="Q627" s="110"/>
      <c r="R627" s="110"/>
      <c r="S627" s="110"/>
      <c r="T627" s="110"/>
      <c r="V627" s="4"/>
      <c r="W627" s="35"/>
    </row>
    <row r="628" spans="1:23" x14ac:dyDescent="0.25">
      <c r="A628" s="36">
        <f t="shared" si="77"/>
        <v>53</v>
      </c>
      <c r="B628" s="25"/>
      <c r="C628" s="26"/>
      <c r="D628" s="27"/>
      <c r="E628" s="28"/>
      <c r="F628" s="47"/>
      <c r="G628" s="30"/>
      <c r="H628" s="49"/>
      <c r="I628" s="40"/>
      <c r="J628" s="48"/>
      <c r="K628" s="48"/>
      <c r="L628" s="48"/>
      <c r="M628" s="110"/>
      <c r="N628" s="110"/>
      <c r="O628" s="110"/>
      <c r="P628" s="110"/>
      <c r="Q628" s="110"/>
      <c r="R628" s="110"/>
      <c r="S628" s="110"/>
      <c r="T628" s="110"/>
      <c r="V628" s="4"/>
      <c r="W628" s="35"/>
    </row>
    <row r="629" spans="1:23" x14ac:dyDescent="0.25">
      <c r="A629" s="36">
        <f t="shared" si="77"/>
        <v>53</v>
      </c>
      <c r="B629" s="25"/>
      <c r="C629" s="26"/>
      <c r="D629" s="27"/>
      <c r="E629" s="28"/>
      <c r="F629" s="47"/>
      <c r="G629" s="30"/>
      <c r="H629" s="49"/>
      <c r="I629" s="40"/>
      <c r="J629" s="48"/>
      <c r="K629" s="48"/>
      <c r="L629" s="48"/>
      <c r="M629" s="110"/>
      <c r="N629" s="110"/>
      <c r="O629" s="110"/>
      <c r="P629" s="110"/>
      <c r="Q629" s="110"/>
      <c r="R629" s="110"/>
      <c r="S629" s="110"/>
      <c r="T629" s="110"/>
      <c r="V629" s="4"/>
      <c r="W629" s="35"/>
    </row>
    <row r="630" spans="1:23" x14ac:dyDescent="0.25">
      <c r="A630" s="36">
        <f t="shared" si="77"/>
        <v>53</v>
      </c>
      <c r="B630" s="25"/>
      <c r="C630" s="26"/>
      <c r="D630" s="27"/>
      <c r="E630" s="28"/>
      <c r="F630" s="47"/>
      <c r="G630" s="30"/>
      <c r="H630" s="49"/>
      <c r="I630" s="40"/>
      <c r="J630" s="48"/>
      <c r="K630" s="48"/>
      <c r="L630" s="48"/>
      <c r="M630" s="110"/>
      <c r="N630" s="110"/>
      <c r="O630" s="110"/>
      <c r="P630" s="110"/>
      <c r="Q630" s="110"/>
      <c r="R630" s="110"/>
      <c r="S630" s="110"/>
      <c r="T630" s="110"/>
      <c r="V630" s="4"/>
      <c r="W630" s="35"/>
    </row>
    <row r="631" spans="1:23" x14ac:dyDescent="0.25">
      <c r="A631" s="36">
        <f t="shared" si="77"/>
        <v>53</v>
      </c>
      <c r="B631" s="25"/>
      <c r="C631" s="26"/>
      <c r="D631" s="27"/>
      <c r="E631" s="28"/>
      <c r="F631" s="47"/>
      <c r="G631" s="30"/>
      <c r="H631" s="49"/>
      <c r="I631" s="40"/>
      <c r="J631" s="48"/>
      <c r="K631" s="48"/>
      <c r="L631" s="48"/>
      <c r="M631" s="110"/>
      <c r="N631" s="110"/>
      <c r="O631" s="110"/>
      <c r="P631" s="110"/>
      <c r="Q631" s="110"/>
      <c r="R631" s="110"/>
      <c r="S631" s="110"/>
      <c r="T631" s="110"/>
      <c r="V631" s="4"/>
      <c r="W631" s="35"/>
    </row>
    <row r="632" spans="1:23" x14ac:dyDescent="0.25">
      <c r="A632" s="36">
        <f t="shared" si="77"/>
        <v>53</v>
      </c>
      <c r="B632" s="25"/>
      <c r="C632" s="26"/>
      <c r="D632" s="27"/>
      <c r="E632" s="28"/>
      <c r="F632" s="47"/>
      <c r="G632" s="30"/>
      <c r="H632" s="49"/>
      <c r="I632" s="40"/>
      <c r="J632" s="48"/>
      <c r="K632" s="48"/>
      <c r="L632" s="48"/>
      <c r="M632" s="110"/>
      <c r="N632" s="110"/>
      <c r="O632" s="110"/>
      <c r="P632" s="110"/>
      <c r="Q632" s="110"/>
      <c r="R632" s="110"/>
      <c r="S632" s="110"/>
      <c r="T632" s="110"/>
      <c r="V632" s="4"/>
      <c r="W632" s="35"/>
    </row>
    <row r="633" spans="1:23" x14ac:dyDescent="0.25">
      <c r="A633" s="36">
        <f t="shared" si="77"/>
        <v>53</v>
      </c>
      <c r="B633" s="25"/>
      <c r="C633" s="51"/>
      <c r="D633" s="52"/>
      <c r="E633" s="28"/>
      <c r="F633" s="47"/>
      <c r="G633" s="30"/>
      <c r="H633" s="49"/>
      <c r="I633" s="40"/>
      <c r="J633" s="48"/>
      <c r="K633" s="48"/>
      <c r="L633" s="48"/>
      <c r="M633" s="110"/>
      <c r="N633" s="110"/>
      <c r="O633" s="110"/>
      <c r="P633" s="110"/>
      <c r="Q633" s="110"/>
      <c r="R633" s="110"/>
      <c r="S633" s="110"/>
      <c r="T633" s="110"/>
      <c r="V633" s="4"/>
      <c r="W633" s="35"/>
    </row>
    <row r="634" spans="1:23" x14ac:dyDescent="0.25">
      <c r="A634" s="36">
        <f t="shared" si="77"/>
        <v>53</v>
      </c>
      <c r="B634" s="25"/>
      <c r="C634" s="26"/>
      <c r="D634" s="27"/>
      <c r="E634" s="28"/>
      <c r="F634" s="47"/>
      <c r="G634" s="30"/>
      <c r="H634" s="49"/>
      <c r="I634" s="40"/>
      <c r="J634" s="48"/>
      <c r="K634" s="48"/>
      <c r="L634" s="48"/>
      <c r="M634" s="110"/>
      <c r="N634" s="110"/>
      <c r="O634" s="110"/>
      <c r="P634" s="110"/>
      <c r="Q634" s="110"/>
      <c r="R634" s="110"/>
      <c r="S634" s="110"/>
      <c r="T634" s="110"/>
      <c r="V634" s="4"/>
      <c r="W634" s="35"/>
    </row>
    <row r="635" spans="1:23" x14ac:dyDescent="0.25">
      <c r="A635" s="36">
        <f t="shared" si="77"/>
        <v>53</v>
      </c>
      <c r="B635" s="25"/>
      <c r="C635" s="26"/>
      <c r="D635" s="27"/>
      <c r="E635" s="28"/>
      <c r="F635" s="47"/>
      <c r="G635" s="30"/>
      <c r="H635" s="49"/>
      <c r="I635" s="40"/>
      <c r="J635" s="48"/>
      <c r="K635" s="48"/>
      <c r="L635" s="48"/>
      <c r="M635" s="110"/>
      <c r="N635" s="110"/>
      <c r="O635" s="110"/>
      <c r="P635" s="110"/>
      <c r="Q635" s="110"/>
      <c r="R635" s="110"/>
      <c r="S635" s="110"/>
      <c r="T635" s="110"/>
      <c r="V635" s="4"/>
      <c r="W635" s="35"/>
    </row>
    <row r="636" spans="1:23" x14ac:dyDescent="0.25">
      <c r="A636" s="36">
        <f t="shared" si="77"/>
        <v>53</v>
      </c>
      <c r="B636" s="25"/>
      <c r="C636" s="26"/>
      <c r="D636" s="27"/>
      <c r="E636" s="28"/>
      <c r="F636" s="29"/>
      <c r="G636" s="30"/>
      <c r="H636" s="49"/>
      <c r="I636" s="40"/>
      <c r="J636" s="48"/>
      <c r="K636" s="48"/>
      <c r="L636" s="48"/>
      <c r="M636" s="110"/>
      <c r="N636" s="110"/>
      <c r="O636" s="110"/>
      <c r="P636" s="110"/>
      <c r="Q636" s="110"/>
      <c r="R636" s="110"/>
      <c r="S636" s="110"/>
      <c r="T636" s="110"/>
      <c r="V636" s="4"/>
      <c r="W636" s="35"/>
    </row>
    <row r="637" spans="1:23" x14ac:dyDescent="0.25">
      <c r="A637" s="36">
        <f t="shared" si="77"/>
        <v>53</v>
      </c>
      <c r="B637" s="25"/>
      <c r="C637" s="26"/>
      <c r="D637" s="27"/>
      <c r="E637" s="28"/>
      <c r="F637" s="29"/>
      <c r="G637" s="30"/>
      <c r="H637" s="49"/>
      <c r="I637" s="40"/>
      <c r="J637" s="48"/>
      <c r="K637" s="48"/>
      <c r="L637" s="48"/>
      <c r="M637" s="110"/>
      <c r="N637" s="110"/>
      <c r="O637" s="110"/>
      <c r="P637" s="110"/>
      <c r="Q637" s="110"/>
      <c r="R637" s="110"/>
      <c r="S637" s="110"/>
      <c r="T637" s="110"/>
      <c r="V637" s="4"/>
      <c r="W637" s="35"/>
    </row>
    <row r="638" spans="1:23" x14ac:dyDescent="0.25">
      <c r="A638" s="36">
        <f t="shared" si="77"/>
        <v>53</v>
      </c>
      <c r="B638" s="25"/>
      <c r="C638" s="26"/>
      <c r="D638" s="27"/>
      <c r="E638" s="28"/>
      <c r="F638" s="29"/>
      <c r="G638" s="30"/>
      <c r="H638" s="49"/>
      <c r="I638" s="40"/>
      <c r="J638" s="48"/>
      <c r="K638" s="48"/>
      <c r="L638" s="48"/>
      <c r="M638" s="110"/>
      <c r="N638" s="110"/>
      <c r="O638" s="110"/>
      <c r="P638" s="110"/>
      <c r="Q638" s="110"/>
      <c r="R638" s="110"/>
      <c r="S638" s="110"/>
      <c r="T638" s="110"/>
      <c r="V638" s="4"/>
      <c r="W638" s="35"/>
    </row>
    <row r="639" spans="1:23" x14ac:dyDescent="0.25">
      <c r="A639" s="36">
        <f t="shared" si="77"/>
        <v>53</v>
      </c>
      <c r="B639" s="25"/>
      <c r="C639" s="26"/>
      <c r="D639" s="27"/>
      <c r="E639" s="28"/>
      <c r="F639" s="29"/>
      <c r="G639" s="30"/>
      <c r="H639" s="49"/>
      <c r="I639" s="40"/>
      <c r="J639" s="48"/>
      <c r="K639" s="48"/>
      <c r="L639" s="48"/>
      <c r="M639" s="110"/>
      <c r="N639" s="110"/>
      <c r="O639" s="110"/>
      <c r="P639" s="110"/>
      <c r="Q639" s="110"/>
      <c r="R639" s="110"/>
      <c r="S639" s="110"/>
      <c r="T639" s="110"/>
      <c r="V639" s="4"/>
      <c r="W639" s="35"/>
    </row>
    <row r="640" spans="1:23" x14ac:dyDescent="0.25">
      <c r="A640" s="36">
        <f t="shared" si="77"/>
        <v>53</v>
      </c>
      <c r="B640" s="25"/>
      <c r="C640" s="26"/>
      <c r="D640" s="27"/>
      <c r="E640" s="28"/>
      <c r="F640" s="29"/>
      <c r="G640" s="30"/>
      <c r="H640" s="49"/>
      <c r="I640" s="40"/>
      <c r="J640" s="48"/>
      <c r="K640" s="48"/>
      <c r="L640" s="48"/>
      <c r="M640" s="110"/>
      <c r="N640" s="110"/>
      <c r="O640" s="110"/>
      <c r="P640" s="110"/>
      <c r="Q640" s="110"/>
      <c r="R640" s="110"/>
      <c r="S640" s="110"/>
      <c r="T640" s="110"/>
      <c r="V640" s="4"/>
      <c r="W640" s="35"/>
    </row>
    <row r="641" spans="1:23" x14ac:dyDescent="0.25">
      <c r="A641" s="36">
        <f t="shared" si="77"/>
        <v>53</v>
      </c>
      <c r="B641" s="25"/>
      <c r="C641" s="26"/>
      <c r="D641" s="27"/>
      <c r="E641" s="28"/>
      <c r="F641" s="29"/>
      <c r="G641" s="30"/>
      <c r="H641" s="49"/>
      <c r="I641" s="40"/>
      <c r="J641" s="48"/>
      <c r="K641" s="48"/>
      <c r="L641" s="48"/>
      <c r="M641" s="110"/>
      <c r="N641" s="110"/>
      <c r="O641" s="110"/>
      <c r="P641" s="110"/>
      <c r="Q641" s="110"/>
      <c r="R641" s="110"/>
      <c r="S641" s="110"/>
      <c r="T641" s="110"/>
      <c r="V641" s="4"/>
      <c r="W641" s="35"/>
    </row>
    <row r="642" spans="1:23" x14ac:dyDescent="0.25">
      <c r="A642" s="36">
        <f t="shared" si="77"/>
        <v>53</v>
      </c>
      <c r="B642" s="25"/>
      <c r="C642" s="26"/>
      <c r="D642" s="27"/>
      <c r="E642" s="28"/>
      <c r="F642" s="29"/>
      <c r="G642" s="30"/>
      <c r="H642" s="49"/>
      <c r="I642" s="40"/>
      <c r="J642" s="48"/>
      <c r="K642" s="48"/>
      <c r="L642" s="48"/>
      <c r="M642" s="110"/>
      <c r="N642" s="110"/>
      <c r="O642" s="110"/>
      <c r="P642" s="110"/>
      <c r="Q642" s="110"/>
      <c r="R642" s="110"/>
      <c r="S642" s="110"/>
      <c r="T642" s="110"/>
      <c r="V642" s="4"/>
      <c r="W642" s="35"/>
    </row>
    <row r="643" spans="1:23" x14ac:dyDescent="0.25">
      <c r="A643" s="36">
        <f t="shared" si="77"/>
        <v>53</v>
      </c>
      <c r="B643" s="25"/>
      <c r="C643" s="26"/>
      <c r="D643" s="27"/>
      <c r="E643" s="28"/>
      <c r="F643" s="29"/>
      <c r="G643" s="30"/>
      <c r="H643" s="49"/>
      <c r="I643" s="40"/>
      <c r="J643" s="48"/>
      <c r="K643" s="48"/>
      <c r="L643" s="48"/>
      <c r="M643" s="110"/>
      <c r="N643" s="110"/>
      <c r="O643" s="110"/>
      <c r="P643" s="110"/>
      <c r="Q643" s="110"/>
      <c r="R643" s="110"/>
      <c r="S643" s="110"/>
      <c r="T643" s="110"/>
      <c r="V643" s="4"/>
      <c r="W643" s="35"/>
    </row>
    <row r="644" spans="1:23" x14ac:dyDescent="0.25">
      <c r="A644" s="36">
        <f t="shared" si="77"/>
        <v>53</v>
      </c>
      <c r="B644" s="25"/>
      <c r="C644" s="26"/>
      <c r="D644" s="27"/>
      <c r="E644" s="28"/>
      <c r="F644" s="29"/>
      <c r="G644" s="30"/>
      <c r="H644" s="49"/>
      <c r="I644" s="40"/>
      <c r="J644" s="48"/>
      <c r="K644" s="48"/>
      <c r="L644" s="48"/>
      <c r="M644" s="110"/>
      <c r="N644" s="110"/>
      <c r="O644" s="110"/>
      <c r="P644" s="110"/>
      <c r="Q644" s="110"/>
      <c r="R644" s="110"/>
      <c r="S644" s="110"/>
      <c r="T644" s="110"/>
      <c r="V644" s="4"/>
      <c r="W644" s="35"/>
    </row>
    <row r="645" spans="1:23" x14ac:dyDescent="0.25">
      <c r="A645" s="36">
        <f t="shared" ref="A645:A708" si="78">IF(B645=B644,A644,A644+1)</f>
        <v>53</v>
      </c>
      <c r="B645" s="25"/>
      <c r="C645" s="26"/>
      <c r="D645" s="27"/>
      <c r="E645" s="28"/>
      <c r="F645" s="29"/>
      <c r="G645" s="30"/>
      <c r="H645" s="49"/>
      <c r="I645" s="40"/>
      <c r="J645" s="48"/>
      <c r="K645" s="48"/>
      <c r="L645" s="48"/>
      <c r="M645" s="110"/>
      <c r="N645" s="110"/>
      <c r="O645" s="110"/>
      <c r="P645" s="110"/>
      <c r="Q645" s="110"/>
      <c r="R645" s="110"/>
      <c r="S645" s="110"/>
      <c r="T645" s="110"/>
      <c r="V645" s="4"/>
      <c r="W645" s="35"/>
    </row>
    <row r="646" spans="1:23" x14ac:dyDescent="0.25">
      <c r="A646" s="36">
        <f t="shared" si="78"/>
        <v>53</v>
      </c>
      <c r="B646" s="25"/>
      <c r="C646" s="26"/>
      <c r="D646" s="27"/>
      <c r="E646" s="28"/>
      <c r="F646" s="29"/>
      <c r="G646" s="30"/>
      <c r="H646" s="49"/>
      <c r="I646" s="40"/>
      <c r="J646" s="48"/>
      <c r="K646" s="48"/>
      <c r="L646" s="48"/>
      <c r="M646" s="110"/>
      <c r="N646" s="110"/>
      <c r="O646" s="110"/>
      <c r="P646" s="110"/>
      <c r="Q646" s="110"/>
      <c r="R646" s="110"/>
      <c r="S646" s="110"/>
      <c r="T646" s="110"/>
      <c r="V646" s="4"/>
      <c r="W646" s="35"/>
    </row>
    <row r="647" spans="1:23" x14ac:dyDescent="0.25">
      <c r="A647" s="36">
        <f t="shared" si="78"/>
        <v>53</v>
      </c>
      <c r="B647" s="25"/>
      <c r="C647" s="26"/>
      <c r="D647" s="27"/>
      <c r="E647" s="28"/>
      <c r="F647" s="29"/>
      <c r="G647" s="30"/>
      <c r="H647" s="49"/>
      <c r="I647" s="40"/>
      <c r="J647" s="48"/>
      <c r="K647" s="48"/>
      <c r="L647" s="48"/>
      <c r="M647" s="110"/>
      <c r="N647" s="110"/>
      <c r="O647" s="110"/>
      <c r="P647" s="110"/>
      <c r="Q647" s="110"/>
      <c r="R647" s="110"/>
      <c r="S647" s="110"/>
      <c r="T647" s="110"/>
      <c r="V647" s="4"/>
      <c r="W647" s="35"/>
    </row>
    <row r="648" spans="1:23" x14ac:dyDescent="0.25">
      <c r="A648" s="36">
        <f t="shared" si="78"/>
        <v>53</v>
      </c>
      <c r="B648" s="25"/>
      <c r="C648" s="26"/>
      <c r="D648" s="27"/>
      <c r="E648" s="28"/>
      <c r="F648" s="29"/>
      <c r="G648" s="30"/>
      <c r="H648" s="49"/>
      <c r="I648" s="40"/>
      <c r="J648" s="48"/>
      <c r="K648" s="48"/>
      <c r="L648" s="48"/>
      <c r="M648" s="110"/>
      <c r="N648" s="110"/>
      <c r="O648" s="110"/>
      <c r="P648" s="110"/>
      <c r="Q648" s="110"/>
      <c r="R648" s="110"/>
      <c r="S648" s="110"/>
      <c r="T648" s="110"/>
      <c r="V648" s="4"/>
      <c r="W648" s="35"/>
    </row>
    <row r="649" spans="1:23" x14ac:dyDescent="0.25">
      <c r="A649" s="36">
        <f t="shared" si="78"/>
        <v>53</v>
      </c>
      <c r="B649" s="25"/>
      <c r="C649" s="26"/>
      <c r="D649" s="27"/>
      <c r="E649" s="28"/>
      <c r="F649" s="29"/>
      <c r="G649" s="30"/>
      <c r="H649" s="49"/>
      <c r="I649" s="40"/>
      <c r="J649" s="48"/>
      <c r="K649" s="48"/>
      <c r="L649" s="48"/>
      <c r="M649" s="110"/>
      <c r="N649" s="110"/>
      <c r="O649" s="110"/>
      <c r="P649" s="110"/>
      <c r="Q649" s="110"/>
      <c r="R649" s="110"/>
      <c r="S649" s="110"/>
      <c r="T649" s="110"/>
      <c r="V649" s="4"/>
      <c r="W649" s="35"/>
    </row>
    <row r="650" spans="1:23" x14ac:dyDescent="0.25">
      <c r="A650" s="36">
        <f t="shared" si="78"/>
        <v>53</v>
      </c>
      <c r="B650" s="25"/>
      <c r="C650" s="26"/>
      <c r="D650" s="27"/>
      <c r="E650" s="28"/>
      <c r="F650" s="29"/>
      <c r="G650" s="30"/>
      <c r="H650" s="49"/>
      <c r="I650" s="40"/>
      <c r="J650" s="48"/>
      <c r="K650" s="48"/>
      <c r="L650" s="48"/>
      <c r="M650" s="110"/>
      <c r="N650" s="110"/>
      <c r="O650" s="110"/>
      <c r="P650" s="110"/>
      <c r="Q650" s="110"/>
      <c r="R650" s="110"/>
      <c r="S650" s="110"/>
      <c r="T650" s="110"/>
      <c r="V650" s="4"/>
      <c r="W650" s="35"/>
    </row>
    <row r="651" spans="1:23" x14ac:dyDescent="0.25">
      <c r="A651" s="36">
        <f t="shared" si="78"/>
        <v>53</v>
      </c>
      <c r="B651" s="25"/>
      <c r="C651" s="26"/>
      <c r="D651" s="55"/>
      <c r="E651" s="28"/>
      <c r="F651" s="29"/>
      <c r="G651" s="30"/>
      <c r="H651" s="49"/>
      <c r="I651" s="40"/>
      <c r="J651" s="48"/>
      <c r="K651" s="48"/>
      <c r="L651" s="48"/>
      <c r="M651" s="110"/>
      <c r="N651" s="110"/>
      <c r="O651" s="110"/>
      <c r="P651" s="110"/>
      <c r="Q651" s="110"/>
      <c r="R651" s="110"/>
      <c r="S651" s="110"/>
      <c r="T651" s="110"/>
      <c r="V651" s="4"/>
      <c r="W651" s="35"/>
    </row>
    <row r="652" spans="1:23" x14ac:dyDescent="0.25">
      <c r="A652" s="36">
        <f t="shared" si="78"/>
        <v>53</v>
      </c>
      <c r="B652" s="25"/>
      <c r="C652" s="26"/>
      <c r="D652" s="27"/>
      <c r="E652" s="28"/>
      <c r="F652" s="29"/>
      <c r="G652" s="30"/>
      <c r="H652" s="49"/>
      <c r="I652" s="40"/>
      <c r="J652" s="48"/>
      <c r="K652" s="48"/>
      <c r="L652" s="48"/>
      <c r="M652" s="110"/>
      <c r="N652" s="110"/>
      <c r="O652" s="110"/>
      <c r="P652" s="110"/>
      <c r="Q652" s="110"/>
      <c r="R652" s="110"/>
      <c r="S652" s="110"/>
      <c r="T652" s="110"/>
      <c r="V652" s="4"/>
      <c r="W652" s="35"/>
    </row>
    <row r="653" spans="1:23" x14ac:dyDescent="0.25">
      <c r="A653" s="36">
        <f t="shared" si="78"/>
        <v>53</v>
      </c>
      <c r="B653" s="25"/>
      <c r="C653" s="26"/>
      <c r="D653" s="27"/>
      <c r="E653" s="28"/>
      <c r="F653" s="29"/>
      <c r="G653" s="30"/>
      <c r="H653" s="49"/>
      <c r="I653" s="40"/>
      <c r="J653" s="48"/>
      <c r="K653" s="48"/>
      <c r="L653" s="48"/>
      <c r="M653" s="110"/>
      <c r="N653" s="110"/>
      <c r="O653" s="110"/>
      <c r="P653" s="110"/>
      <c r="Q653" s="110"/>
      <c r="R653" s="110"/>
      <c r="S653" s="110"/>
      <c r="T653" s="110"/>
      <c r="V653" s="4"/>
      <c r="W653" s="35"/>
    </row>
    <row r="654" spans="1:23" x14ac:dyDescent="0.25">
      <c r="A654" s="36">
        <f t="shared" si="78"/>
        <v>53</v>
      </c>
      <c r="B654" s="25"/>
      <c r="C654" s="26"/>
      <c r="D654" s="27"/>
      <c r="E654" s="28"/>
      <c r="F654" s="29"/>
      <c r="G654" s="30"/>
      <c r="H654" s="49"/>
      <c r="I654" s="40"/>
      <c r="J654" s="48"/>
      <c r="K654" s="48"/>
      <c r="L654" s="48"/>
      <c r="M654" s="110"/>
      <c r="N654" s="110"/>
      <c r="O654" s="110"/>
      <c r="P654" s="110"/>
      <c r="Q654" s="110"/>
      <c r="R654" s="110"/>
      <c r="S654" s="110"/>
      <c r="T654" s="110"/>
      <c r="V654" s="4"/>
      <c r="W654" s="35"/>
    </row>
    <row r="655" spans="1:23" x14ac:dyDescent="0.25">
      <c r="A655" s="36">
        <f t="shared" si="78"/>
        <v>53</v>
      </c>
      <c r="B655" s="25"/>
      <c r="C655" s="26"/>
      <c r="D655" s="27"/>
      <c r="E655" s="28"/>
      <c r="F655" s="29"/>
      <c r="G655" s="30"/>
      <c r="H655" s="49"/>
      <c r="I655" s="40"/>
      <c r="J655" s="48"/>
      <c r="K655" s="48"/>
      <c r="L655" s="48"/>
      <c r="M655" s="110"/>
      <c r="N655" s="110"/>
      <c r="O655" s="110"/>
      <c r="P655" s="110"/>
      <c r="Q655" s="110"/>
      <c r="R655" s="110"/>
      <c r="S655" s="110"/>
      <c r="T655" s="110"/>
      <c r="V655" s="4"/>
      <c r="W655" s="35"/>
    </row>
    <row r="656" spans="1:23" x14ac:dyDescent="0.25">
      <c r="A656" s="36">
        <f t="shared" si="78"/>
        <v>53</v>
      </c>
      <c r="B656" s="25"/>
      <c r="C656" s="26"/>
      <c r="D656" s="27"/>
      <c r="E656" s="28"/>
      <c r="F656" s="29"/>
      <c r="G656" s="30"/>
      <c r="H656" s="49"/>
      <c r="I656" s="40"/>
      <c r="J656" s="48"/>
      <c r="K656" s="48"/>
      <c r="L656" s="48"/>
      <c r="M656" s="110"/>
      <c r="N656" s="110"/>
      <c r="O656" s="110"/>
      <c r="P656" s="110"/>
      <c r="Q656" s="110"/>
      <c r="R656" s="110"/>
      <c r="S656" s="110"/>
      <c r="T656" s="110"/>
      <c r="V656" s="4"/>
      <c r="W656" s="35"/>
    </row>
    <row r="657" spans="1:23" x14ac:dyDescent="0.25">
      <c r="A657" s="36">
        <f t="shared" si="78"/>
        <v>53</v>
      </c>
      <c r="B657" s="25"/>
      <c r="C657" s="26"/>
      <c r="D657" s="27"/>
      <c r="E657" s="28"/>
      <c r="F657" s="29"/>
      <c r="G657" s="30"/>
      <c r="H657" s="49"/>
      <c r="I657" s="40"/>
      <c r="J657" s="48"/>
      <c r="K657" s="48"/>
      <c r="L657" s="48"/>
      <c r="M657" s="110"/>
      <c r="N657" s="110"/>
      <c r="O657" s="110"/>
      <c r="P657" s="110"/>
      <c r="Q657" s="110"/>
      <c r="R657" s="110"/>
      <c r="S657" s="110"/>
      <c r="T657" s="110"/>
      <c r="V657" s="4"/>
      <c r="W657" s="35"/>
    </row>
    <row r="658" spans="1:23" x14ac:dyDescent="0.25">
      <c r="A658" s="36">
        <f t="shared" si="78"/>
        <v>53</v>
      </c>
      <c r="B658" s="25"/>
      <c r="C658" s="26"/>
      <c r="D658" s="27"/>
      <c r="E658" s="28"/>
      <c r="F658" s="29"/>
      <c r="G658" s="30"/>
      <c r="H658" s="49"/>
      <c r="I658" s="40"/>
      <c r="J658" s="48"/>
      <c r="K658" s="48"/>
      <c r="L658" s="48"/>
      <c r="M658" s="110"/>
      <c r="N658" s="110"/>
      <c r="O658" s="110"/>
      <c r="P658" s="110"/>
      <c r="Q658" s="110"/>
      <c r="R658" s="110"/>
      <c r="S658" s="110"/>
      <c r="T658" s="110"/>
      <c r="V658" s="4"/>
      <c r="W658" s="35"/>
    </row>
    <row r="659" spans="1:23" x14ac:dyDescent="0.25">
      <c r="A659" s="36">
        <f t="shared" si="78"/>
        <v>53</v>
      </c>
      <c r="B659" s="25"/>
      <c r="C659" s="26"/>
      <c r="D659" s="27"/>
      <c r="E659" s="28"/>
      <c r="F659" s="29"/>
      <c r="G659" s="30"/>
      <c r="H659" s="49"/>
      <c r="I659" s="40"/>
      <c r="J659" s="48"/>
      <c r="K659" s="48"/>
      <c r="L659" s="48"/>
      <c r="M659" s="110"/>
      <c r="N659" s="110"/>
      <c r="O659" s="110"/>
      <c r="P659" s="110"/>
      <c r="Q659" s="110"/>
      <c r="R659" s="110"/>
      <c r="S659" s="110"/>
      <c r="T659" s="110"/>
      <c r="V659" s="4"/>
      <c r="W659" s="35"/>
    </row>
    <row r="660" spans="1:23" x14ac:dyDescent="0.25">
      <c r="A660" s="36">
        <f t="shared" si="78"/>
        <v>53</v>
      </c>
      <c r="B660" s="25"/>
      <c r="C660" s="26"/>
      <c r="D660" s="27"/>
      <c r="E660" s="28"/>
      <c r="F660" s="29"/>
      <c r="G660" s="30"/>
      <c r="H660" s="49"/>
      <c r="I660" s="40"/>
      <c r="J660" s="48"/>
      <c r="K660" s="48"/>
      <c r="L660" s="48"/>
      <c r="M660" s="110"/>
      <c r="N660" s="110"/>
      <c r="O660" s="110"/>
      <c r="P660" s="110"/>
      <c r="Q660" s="110"/>
      <c r="R660" s="110"/>
      <c r="S660" s="110"/>
      <c r="T660" s="110"/>
      <c r="V660" s="4"/>
      <c r="W660" s="35"/>
    </row>
    <row r="661" spans="1:23" x14ac:dyDescent="0.25">
      <c r="A661" s="36">
        <f t="shared" si="78"/>
        <v>53</v>
      </c>
      <c r="B661" s="25"/>
      <c r="C661" s="26"/>
      <c r="D661" s="27"/>
      <c r="E661" s="28"/>
      <c r="F661" s="29"/>
      <c r="G661" s="30"/>
      <c r="H661" s="49"/>
      <c r="I661" s="40"/>
      <c r="J661" s="48"/>
      <c r="K661" s="48"/>
      <c r="L661" s="48"/>
      <c r="M661" s="110"/>
      <c r="N661" s="110"/>
      <c r="O661" s="110"/>
      <c r="P661" s="110"/>
      <c r="Q661" s="110"/>
      <c r="R661" s="110"/>
      <c r="S661" s="110"/>
      <c r="T661" s="110"/>
      <c r="V661" s="4"/>
      <c r="W661" s="35"/>
    </row>
    <row r="662" spans="1:23" x14ac:dyDescent="0.25">
      <c r="A662" s="36">
        <f t="shared" si="78"/>
        <v>53</v>
      </c>
      <c r="B662" s="25"/>
      <c r="C662" s="26"/>
      <c r="D662" s="27"/>
      <c r="E662" s="28"/>
      <c r="F662" s="29"/>
      <c r="G662" s="30"/>
      <c r="H662" s="49"/>
      <c r="I662" s="40"/>
      <c r="J662" s="48"/>
      <c r="K662" s="48"/>
      <c r="L662" s="48"/>
      <c r="M662" s="110"/>
      <c r="N662" s="110"/>
      <c r="O662" s="110"/>
      <c r="P662" s="110"/>
      <c r="Q662" s="110"/>
      <c r="R662" s="110"/>
      <c r="S662" s="110"/>
      <c r="T662" s="110"/>
      <c r="V662" s="4"/>
      <c r="W662" s="35"/>
    </row>
    <row r="663" spans="1:23" x14ac:dyDescent="0.25">
      <c r="A663" s="36">
        <f t="shared" si="78"/>
        <v>53</v>
      </c>
      <c r="B663" s="25"/>
      <c r="C663" s="26"/>
      <c r="D663" s="27"/>
      <c r="E663" s="28"/>
      <c r="F663" s="29"/>
      <c r="G663" s="30"/>
      <c r="H663" s="49"/>
      <c r="I663" s="40"/>
      <c r="J663" s="48"/>
      <c r="K663" s="48"/>
      <c r="L663" s="48"/>
      <c r="M663" s="110"/>
      <c r="N663" s="110"/>
      <c r="O663" s="110"/>
      <c r="P663" s="110"/>
      <c r="Q663" s="110"/>
      <c r="R663" s="110"/>
      <c r="S663" s="110"/>
      <c r="T663" s="110"/>
      <c r="V663" s="4"/>
      <c r="W663" s="35"/>
    </row>
    <row r="664" spans="1:23" x14ac:dyDescent="0.25">
      <c r="A664" s="36">
        <f t="shared" si="78"/>
        <v>53</v>
      </c>
      <c r="B664" s="25"/>
      <c r="C664" s="26"/>
      <c r="D664" s="27"/>
      <c r="E664" s="28"/>
      <c r="F664" s="29"/>
      <c r="G664" s="30"/>
      <c r="H664" s="49"/>
      <c r="I664" s="40"/>
      <c r="J664" s="48"/>
      <c r="K664" s="48"/>
      <c r="L664" s="48"/>
      <c r="M664" s="110"/>
      <c r="N664" s="110"/>
      <c r="O664" s="110"/>
      <c r="P664" s="110"/>
      <c r="Q664" s="110"/>
      <c r="R664" s="110"/>
      <c r="S664" s="110"/>
      <c r="T664" s="110"/>
      <c r="V664" s="4"/>
      <c r="W664" s="35"/>
    </row>
    <row r="665" spans="1:23" x14ac:dyDescent="0.25">
      <c r="A665" s="36">
        <f t="shared" si="78"/>
        <v>53</v>
      </c>
      <c r="B665" s="25"/>
      <c r="C665" s="26"/>
      <c r="D665" s="27"/>
      <c r="E665" s="28"/>
      <c r="F665" s="29"/>
      <c r="G665" s="30"/>
      <c r="H665" s="49"/>
      <c r="I665" s="40"/>
      <c r="J665" s="48"/>
      <c r="K665" s="48"/>
      <c r="L665" s="48"/>
      <c r="M665" s="110"/>
      <c r="N665" s="110"/>
      <c r="O665" s="110"/>
      <c r="P665" s="110"/>
      <c r="Q665" s="110"/>
      <c r="R665" s="110"/>
      <c r="S665" s="110"/>
      <c r="T665" s="110"/>
      <c r="V665" s="4"/>
      <c r="W665" s="35"/>
    </row>
    <row r="666" spans="1:23" x14ac:dyDescent="0.25">
      <c r="A666" s="36">
        <f t="shared" si="78"/>
        <v>53</v>
      </c>
      <c r="B666" s="25"/>
      <c r="C666" s="26"/>
      <c r="D666" s="27"/>
      <c r="E666" s="28"/>
      <c r="F666" s="29"/>
      <c r="G666" s="30"/>
      <c r="H666" s="49"/>
      <c r="I666" s="40"/>
      <c r="J666" s="48"/>
      <c r="K666" s="48"/>
      <c r="L666" s="48"/>
      <c r="M666" s="110"/>
      <c r="N666" s="110"/>
      <c r="O666" s="110"/>
      <c r="P666" s="110"/>
      <c r="Q666" s="110"/>
      <c r="R666" s="110"/>
      <c r="S666" s="110"/>
      <c r="T666" s="110"/>
      <c r="V666" s="4"/>
      <c r="W666" s="35"/>
    </row>
    <row r="667" spans="1:23" x14ac:dyDescent="0.25">
      <c r="A667" s="36">
        <f t="shared" si="78"/>
        <v>53</v>
      </c>
      <c r="B667" s="25"/>
      <c r="C667" s="26"/>
      <c r="D667" s="27"/>
      <c r="E667" s="28"/>
      <c r="F667" s="47"/>
      <c r="G667" s="30"/>
      <c r="H667" s="31"/>
      <c r="I667" s="40"/>
      <c r="J667" s="48"/>
      <c r="K667" s="48"/>
      <c r="L667" s="48"/>
      <c r="M667" s="110"/>
      <c r="N667" s="110"/>
      <c r="O667" s="110"/>
      <c r="P667" s="110"/>
      <c r="Q667" s="110"/>
      <c r="R667" s="110"/>
      <c r="S667" s="110"/>
      <c r="T667" s="110"/>
      <c r="V667" s="4"/>
      <c r="W667" s="35"/>
    </row>
    <row r="668" spans="1:23" x14ac:dyDescent="0.25">
      <c r="A668" s="36">
        <f t="shared" si="78"/>
        <v>53</v>
      </c>
      <c r="B668" s="25"/>
      <c r="C668" s="26"/>
      <c r="D668" s="27"/>
      <c r="E668" s="28"/>
      <c r="F668" s="47"/>
      <c r="G668" s="30"/>
      <c r="H668" s="31"/>
      <c r="I668" s="40"/>
      <c r="J668" s="48"/>
      <c r="K668" s="48"/>
      <c r="L668" s="48"/>
      <c r="M668" s="110"/>
      <c r="N668" s="110"/>
      <c r="O668" s="110"/>
      <c r="P668" s="110"/>
      <c r="Q668" s="110"/>
      <c r="R668" s="110"/>
      <c r="S668" s="110"/>
      <c r="T668" s="110"/>
      <c r="V668" s="4"/>
      <c r="W668" s="35"/>
    </row>
    <row r="669" spans="1:23" x14ac:dyDescent="0.25">
      <c r="A669" s="36">
        <f t="shared" si="78"/>
        <v>53</v>
      </c>
      <c r="B669" s="25"/>
      <c r="C669" s="26"/>
      <c r="D669" s="27"/>
      <c r="E669" s="28"/>
      <c r="F669" s="47"/>
      <c r="G669" s="30"/>
      <c r="H669" s="31"/>
      <c r="I669" s="40"/>
      <c r="J669" s="48"/>
      <c r="K669" s="48"/>
      <c r="L669" s="48"/>
      <c r="M669" s="110"/>
      <c r="N669" s="110"/>
      <c r="O669" s="110"/>
      <c r="P669" s="110"/>
      <c r="Q669" s="110"/>
      <c r="R669" s="110"/>
      <c r="S669" s="110"/>
      <c r="T669" s="110"/>
      <c r="V669" s="4"/>
      <c r="W669" s="35"/>
    </row>
    <row r="670" spans="1:23" x14ac:dyDescent="0.25">
      <c r="A670" s="36">
        <f t="shared" si="78"/>
        <v>53</v>
      </c>
      <c r="B670" s="25"/>
      <c r="C670" s="26"/>
      <c r="D670" s="27"/>
      <c r="E670" s="28"/>
      <c r="F670" s="29"/>
      <c r="G670" s="30"/>
      <c r="H670" s="31"/>
      <c r="I670" s="40"/>
      <c r="J670" s="48"/>
      <c r="K670" s="48"/>
      <c r="L670" s="48"/>
      <c r="M670" s="110"/>
      <c r="N670" s="110"/>
      <c r="O670" s="110"/>
      <c r="P670" s="110"/>
      <c r="Q670" s="110"/>
      <c r="R670" s="110"/>
      <c r="S670" s="110"/>
      <c r="T670" s="110"/>
      <c r="V670" s="4"/>
      <c r="W670" s="35"/>
    </row>
    <row r="671" spans="1:23" x14ac:dyDescent="0.25">
      <c r="A671" s="36">
        <f t="shared" si="78"/>
        <v>53</v>
      </c>
      <c r="B671" s="25"/>
      <c r="C671" s="26"/>
      <c r="D671" s="27"/>
      <c r="E671" s="28"/>
      <c r="F671" s="29"/>
      <c r="G671" s="30"/>
      <c r="H671" s="31"/>
      <c r="I671" s="40"/>
      <c r="J671" s="48"/>
      <c r="K671" s="48"/>
      <c r="L671" s="48"/>
      <c r="M671" s="110"/>
      <c r="N671" s="110"/>
      <c r="O671" s="110"/>
      <c r="P671" s="110"/>
      <c r="Q671" s="110"/>
      <c r="R671" s="110"/>
      <c r="S671" s="110"/>
      <c r="T671" s="110"/>
      <c r="V671" s="4"/>
      <c r="W671" s="35"/>
    </row>
    <row r="672" spans="1:23" x14ac:dyDescent="0.25">
      <c r="A672" s="36">
        <f t="shared" si="78"/>
        <v>53</v>
      </c>
      <c r="B672" s="25"/>
      <c r="C672" s="26"/>
      <c r="D672" s="27"/>
      <c r="E672" s="28"/>
      <c r="F672" s="29"/>
      <c r="G672" s="30"/>
      <c r="H672" s="31"/>
      <c r="I672" s="40"/>
      <c r="J672" s="48"/>
      <c r="K672" s="48"/>
      <c r="L672" s="48"/>
      <c r="M672" s="110"/>
      <c r="N672" s="110"/>
      <c r="O672" s="110"/>
      <c r="P672" s="110"/>
      <c r="Q672" s="110"/>
      <c r="R672" s="110"/>
      <c r="S672" s="110"/>
      <c r="T672" s="110"/>
      <c r="V672" s="4"/>
      <c r="W672" s="35"/>
    </row>
    <row r="673" spans="1:23" x14ac:dyDescent="0.25">
      <c r="A673" s="36">
        <f t="shared" si="78"/>
        <v>53</v>
      </c>
      <c r="B673" s="25"/>
      <c r="C673" s="26"/>
      <c r="D673" s="27"/>
      <c r="E673" s="28"/>
      <c r="F673" s="29"/>
      <c r="G673" s="30"/>
      <c r="H673" s="31"/>
      <c r="I673" s="40"/>
      <c r="J673" s="48"/>
      <c r="K673" s="48"/>
      <c r="L673" s="48"/>
      <c r="M673" s="110"/>
      <c r="N673" s="110"/>
      <c r="O673" s="110"/>
      <c r="P673" s="110"/>
      <c r="Q673" s="110"/>
      <c r="R673" s="110"/>
      <c r="S673" s="110"/>
      <c r="T673" s="110"/>
      <c r="V673" s="4"/>
      <c r="W673" s="35"/>
    </row>
    <row r="674" spans="1:23" x14ac:dyDescent="0.25">
      <c r="A674" s="36">
        <f t="shared" si="78"/>
        <v>53</v>
      </c>
      <c r="I674" s="48"/>
      <c r="J674" s="48"/>
      <c r="K674" s="48"/>
      <c r="L674" s="48"/>
      <c r="M674" s="110"/>
      <c r="N674" s="110"/>
      <c r="O674" s="110"/>
      <c r="P674" s="110"/>
      <c r="Q674" s="110"/>
      <c r="R674" s="110"/>
      <c r="S674" s="110"/>
      <c r="T674" s="110"/>
      <c r="V674" s="4"/>
      <c r="W674" s="35"/>
    </row>
    <row r="675" spans="1:23" x14ac:dyDescent="0.25">
      <c r="A675" s="36">
        <f t="shared" si="78"/>
        <v>53</v>
      </c>
      <c r="I675" s="48"/>
      <c r="J675" s="48"/>
      <c r="K675" s="48"/>
      <c r="L675" s="48"/>
      <c r="M675" s="110"/>
      <c r="N675" s="110"/>
      <c r="O675" s="110"/>
      <c r="P675" s="110"/>
      <c r="Q675" s="110"/>
      <c r="R675" s="110"/>
      <c r="S675" s="110"/>
      <c r="T675" s="110"/>
      <c r="V675" s="4"/>
      <c r="W675" s="35"/>
    </row>
    <row r="676" spans="1:23" x14ac:dyDescent="0.25">
      <c r="A676" s="36">
        <f t="shared" si="78"/>
        <v>53</v>
      </c>
      <c r="I676" s="48"/>
      <c r="J676" s="48"/>
      <c r="K676" s="48"/>
      <c r="L676" s="48"/>
      <c r="M676" s="110"/>
      <c r="N676" s="110"/>
      <c r="O676" s="110"/>
      <c r="P676" s="110"/>
      <c r="Q676" s="110"/>
      <c r="R676" s="110"/>
      <c r="S676" s="110"/>
      <c r="T676" s="110"/>
      <c r="V676" s="4"/>
      <c r="W676" s="35"/>
    </row>
    <row r="677" spans="1:23" x14ac:dyDescent="0.25">
      <c r="A677" s="36">
        <f t="shared" si="78"/>
        <v>53</v>
      </c>
      <c r="I677" s="48"/>
      <c r="J677" s="48"/>
      <c r="K677" s="48"/>
      <c r="L677" s="48"/>
      <c r="M677" s="110"/>
      <c r="N677" s="110"/>
      <c r="O677" s="110"/>
      <c r="P677" s="110"/>
      <c r="Q677" s="110"/>
      <c r="R677" s="110"/>
      <c r="S677" s="110"/>
      <c r="T677" s="110"/>
      <c r="V677" s="4"/>
      <c r="W677" s="35"/>
    </row>
    <row r="678" spans="1:23" x14ac:dyDescent="0.25">
      <c r="A678" s="36">
        <f t="shared" si="78"/>
        <v>53</v>
      </c>
      <c r="I678" s="48"/>
      <c r="J678" s="48"/>
      <c r="K678" s="48"/>
      <c r="L678" s="48"/>
      <c r="M678" s="110"/>
      <c r="N678" s="110"/>
      <c r="O678" s="110"/>
      <c r="P678" s="110"/>
      <c r="Q678" s="110"/>
      <c r="R678" s="110"/>
      <c r="S678" s="110"/>
      <c r="T678" s="110"/>
      <c r="V678" s="4"/>
      <c r="W678" s="35"/>
    </row>
    <row r="679" spans="1:23" x14ac:dyDescent="0.25">
      <c r="A679" s="36">
        <f t="shared" si="78"/>
        <v>53</v>
      </c>
      <c r="I679" s="48"/>
      <c r="J679" s="48"/>
      <c r="K679" s="48"/>
      <c r="L679" s="48"/>
      <c r="M679" s="110"/>
      <c r="N679" s="110"/>
      <c r="O679" s="110"/>
      <c r="P679" s="110"/>
      <c r="Q679" s="110"/>
      <c r="R679" s="110"/>
      <c r="S679" s="110"/>
      <c r="T679" s="110"/>
      <c r="V679" s="4"/>
      <c r="W679" s="35"/>
    </row>
    <row r="680" spans="1:23" x14ac:dyDescent="0.25">
      <c r="A680" s="36">
        <f t="shared" si="78"/>
        <v>53</v>
      </c>
      <c r="I680" s="48"/>
      <c r="J680" s="48"/>
      <c r="K680" s="48"/>
      <c r="L680" s="48"/>
      <c r="M680" s="110"/>
      <c r="N680" s="110"/>
      <c r="O680" s="110"/>
      <c r="P680" s="110"/>
      <c r="Q680" s="110"/>
      <c r="R680" s="110"/>
      <c r="S680" s="110"/>
      <c r="T680" s="110"/>
      <c r="V680" s="4"/>
      <c r="W680" s="35"/>
    </row>
    <row r="681" spans="1:23" x14ac:dyDescent="0.25">
      <c r="A681" s="36">
        <f t="shared" si="78"/>
        <v>53</v>
      </c>
      <c r="I681" s="48"/>
      <c r="J681" s="48"/>
      <c r="K681" s="48"/>
      <c r="L681" s="48"/>
      <c r="M681" s="110"/>
      <c r="N681" s="110"/>
      <c r="O681" s="110"/>
      <c r="P681" s="110"/>
      <c r="Q681" s="110"/>
      <c r="R681" s="110"/>
      <c r="S681" s="110"/>
      <c r="T681" s="110"/>
      <c r="V681" s="4"/>
      <c r="W681" s="35"/>
    </row>
    <row r="682" spans="1:23" x14ac:dyDescent="0.25">
      <c r="A682" s="36">
        <f t="shared" si="78"/>
        <v>53</v>
      </c>
      <c r="I682" s="48"/>
      <c r="J682" s="48"/>
      <c r="K682" s="48"/>
      <c r="L682" s="48"/>
      <c r="M682" s="110"/>
      <c r="N682" s="110"/>
      <c r="O682" s="110"/>
      <c r="P682" s="110"/>
      <c r="Q682" s="110"/>
      <c r="R682" s="110"/>
      <c r="S682" s="110"/>
      <c r="T682" s="110"/>
      <c r="V682" s="4"/>
      <c r="W682" s="35"/>
    </row>
    <row r="683" spans="1:23" x14ac:dyDescent="0.25">
      <c r="A683" s="36">
        <f t="shared" si="78"/>
        <v>53</v>
      </c>
      <c r="I683" s="48"/>
      <c r="J683" s="48"/>
      <c r="K683" s="48"/>
      <c r="L683" s="48"/>
      <c r="M683" s="110"/>
      <c r="N683" s="110"/>
      <c r="O683" s="110"/>
      <c r="P683" s="110"/>
      <c r="Q683" s="110"/>
      <c r="R683" s="110"/>
      <c r="S683" s="110"/>
      <c r="T683" s="110"/>
      <c r="V683" s="4"/>
      <c r="W683" s="35"/>
    </row>
    <row r="684" spans="1:23" x14ac:dyDescent="0.25">
      <c r="A684" s="36">
        <f t="shared" si="78"/>
        <v>53</v>
      </c>
      <c r="I684" s="48"/>
      <c r="J684" s="48"/>
      <c r="K684" s="48"/>
      <c r="L684" s="48"/>
      <c r="M684" s="110"/>
      <c r="N684" s="110"/>
      <c r="O684" s="110"/>
      <c r="P684" s="110"/>
      <c r="Q684" s="110"/>
      <c r="R684" s="110"/>
      <c r="S684" s="110"/>
      <c r="T684" s="110"/>
      <c r="V684" s="4"/>
      <c r="W684" s="35"/>
    </row>
    <row r="685" spans="1:23" x14ac:dyDescent="0.25">
      <c r="A685" s="36">
        <f t="shared" si="78"/>
        <v>53</v>
      </c>
      <c r="I685" s="48"/>
      <c r="J685" s="48"/>
      <c r="K685" s="48"/>
      <c r="L685" s="48"/>
      <c r="M685" s="110"/>
      <c r="N685" s="110"/>
      <c r="O685" s="110"/>
      <c r="P685" s="110"/>
      <c r="Q685" s="110"/>
      <c r="R685" s="110"/>
      <c r="S685" s="110"/>
      <c r="T685" s="110"/>
      <c r="V685" s="4"/>
      <c r="W685" s="35"/>
    </row>
    <row r="686" spans="1:23" x14ac:dyDescent="0.25">
      <c r="A686" s="36">
        <f t="shared" si="78"/>
        <v>53</v>
      </c>
      <c r="I686" s="48"/>
      <c r="J686" s="48"/>
      <c r="K686" s="48"/>
      <c r="L686" s="48"/>
      <c r="M686" s="110"/>
      <c r="N686" s="110"/>
      <c r="O686" s="110"/>
      <c r="P686" s="110"/>
      <c r="Q686" s="110"/>
      <c r="R686" s="110"/>
      <c r="S686" s="110"/>
      <c r="T686" s="110"/>
      <c r="V686" s="4"/>
      <c r="W686" s="35"/>
    </row>
    <row r="687" spans="1:23" x14ac:dyDescent="0.25">
      <c r="A687" s="36">
        <f t="shared" si="78"/>
        <v>53</v>
      </c>
      <c r="I687" s="48"/>
      <c r="J687" s="48"/>
      <c r="K687" s="48"/>
      <c r="L687" s="48"/>
      <c r="M687" s="110"/>
      <c r="N687" s="110"/>
      <c r="O687" s="110"/>
      <c r="P687" s="110"/>
      <c r="Q687" s="110"/>
      <c r="R687" s="110"/>
      <c r="S687" s="110"/>
      <c r="T687" s="110"/>
      <c r="V687" s="4"/>
      <c r="W687" s="35"/>
    </row>
    <row r="688" spans="1:23" x14ac:dyDescent="0.25">
      <c r="A688" s="36">
        <f t="shared" si="78"/>
        <v>53</v>
      </c>
      <c r="I688" s="48"/>
      <c r="J688" s="48"/>
      <c r="K688" s="48"/>
      <c r="L688" s="48"/>
      <c r="M688" s="110"/>
      <c r="N688" s="110"/>
      <c r="O688" s="110"/>
      <c r="P688" s="110"/>
      <c r="Q688" s="110"/>
      <c r="R688" s="110"/>
      <c r="S688" s="110"/>
      <c r="T688" s="110"/>
      <c r="V688" s="4"/>
      <c r="W688" s="35"/>
    </row>
    <row r="689" spans="1:23" x14ac:dyDescent="0.25">
      <c r="A689" s="36">
        <f t="shared" si="78"/>
        <v>53</v>
      </c>
      <c r="I689" s="48"/>
      <c r="J689" s="48"/>
      <c r="K689" s="48"/>
      <c r="L689" s="48"/>
      <c r="M689" s="110"/>
      <c r="N689" s="110"/>
      <c r="O689" s="110"/>
      <c r="P689" s="110"/>
      <c r="Q689" s="110"/>
      <c r="R689" s="110"/>
      <c r="S689" s="110"/>
      <c r="T689" s="110"/>
      <c r="V689" s="4"/>
      <c r="W689" s="35"/>
    </row>
    <row r="690" spans="1:23" x14ac:dyDescent="0.25">
      <c r="A690" s="36">
        <f t="shared" si="78"/>
        <v>53</v>
      </c>
      <c r="I690" s="48"/>
      <c r="J690" s="48"/>
      <c r="K690" s="48"/>
      <c r="L690" s="48"/>
      <c r="M690" s="110"/>
      <c r="N690" s="110"/>
      <c r="O690" s="110"/>
      <c r="P690" s="110"/>
      <c r="Q690" s="110"/>
      <c r="R690" s="110"/>
      <c r="S690" s="110"/>
      <c r="T690" s="110"/>
      <c r="V690" s="4"/>
      <c r="W690" s="35"/>
    </row>
    <row r="691" spans="1:23" x14ac:dyDescent="0.25">
      <c r="A691" s="36">
        <f t="shared" si="78"/>
        <v>53</v>
      </c>
      <c r="I691" s="48"/>
      <c r="J691" s="48"/>
      <c r="K691" s="48"/>
      <c r="L691" s="48"/>
      <c r="M691" s="110"/>
      <c r="N691" s="110"/>
      <c r="O691" s="110"/>
      <c r="P691" s="110"/>
      <c r="Q691" s="110"/>
      <c r="R691" s="110"/>
      <c r="S691" s="110"/>
      <c r="T691" s="110"/>
      <c r="V691" s="4"/>
      <c r="W691" s="35"/>
    </row>
    <row r="692" spans="1:23" x14ac:dyDescent="0.25">
      <c r="A692" s="36">
        <f t="shared" si="78"/>
        <v>53</v>
      </c>
      <c r="I692" s="48"/>
      <c r="J692" s="48"/>
      <c r="K692" s="48"/>
      <c r="L692" s="48"/>
      <c r="M692" s="110"/>
      <c r="N692" s="110"/>
      <c r="O692" s="110"/>
      <c r="P692" s="110"/>
      <c r="Q692" s="110"/>
      <c r="R692" s="110"/>
      <c r="S692" s="110"/>
      <c r="T692" s="110"/>
      <c r="V692" s="4"/>
      <c r="W692" s="35"/>
    </row>
    <row r="693" spans="1:23" x14ac:dyDescent="0.25">
      <c r="A693" s="36">
        <f t="shared" si="78"/>
        <v>53</v>
      </c>
      <c r="I693" s="48"/>
      <c r="J693" s="48"/>
      <c r="K693" s="48"/>
      <c r="L693" s="48"/>
      <c r="M693" s="110"/>
      <c r="N693" s="110"/>
      <c r="O693" s="110"/>
      <c r="P693" s="110"/>
      <c r="Q693" s="110"/>
      <c r="R693" s="110"/>
      <c r="S693" s="110"/>
      <c r="T693" s="110"/>
      <c r="V693" s="4"/>
      <c r="W693" s="35"/>
    </row>
    <row r="694" spans="1:23" x14ac:dyDescent="0.25">
      <c r="A694" s="36">
        <f t="shared" si="78"/>
        <v>53</v>
      </c>
      <c r="I694" s="48"/>
      <c r="J694" s="48"/>
      <c r="K694" s="48"/>
      <c r="L694" s="48"/>
      <c r="M694" s="110"/>
      <c r="N694" s="110"/>
      <c r="O694" s="110"/>
      <c r="P694" s="110"/>
      <c r="Q694" s="110"/>
      <c r="R694" s="110"/>
      <c r="S694" s="110"/>
      <c r="T694" s="110"/>
      <c r="V694" s="4"/>
      <c r="W694" s="35"/>
    </row>
    <row r="695" spans="1:23" x14ac:dyDescent="0.25">
      <c r="A695" s="36">
        <f t="shared" si="78"/>
        <v>53</v>
      </c>
      <c r="I695" s="48"/>
      <c r="J695" s="48"/>
      <c r="K695" s="48"/>
      <c r="L695" s="48"/>
      <c r="M695" s="110"/>
      <c r="N695" s="110"/>
      <c r="O695" s="110"/>
      <c r="P695" s="110"/>
      <c r="Q695" s="110"/>
      <c r="R695" s="110"/>
      <c r="S695" s="110"/>
      <c r="T695" s="110"/>
      <c r="V695" s="4"/>
      <c r="W695" s="35"/>
    </row>
    <row r="696" spans="1:23" x14ac:dyDescent="0.25">
      <c r="A696" s="36">
        <f t="shared" si="78"/>
        <v>53</v>
      </c>
      <c r="I696" s="48"/>
      <c r="J696" s="48"/>
      <c r="K696" s="48"/>
      <c r="L696" s="48"/>
      <c r="M696" s="110"/>
      <c r="N696" s="110"/>
      <c r="O696" s="110"/>
      <c r="P696" s="110"/>
      <c r="Q696" s="110"/>
      <c r="R696" s="110"/>
      <c r="S696" s="110"/>
      <c r="T696" s="110"/>
      <c r="V696" s="4"/>
      <c r="W696" s="35"/>
    </row>
    <row r="697" spans="1:23" x14ac:dyDescent="0.25">
      <c r="A697" s="36">
        <f t="shared" si="78"/>
        <v>53</v>
      </c>
      <c r="I697" s="48"/>
      <c r="J697" s="48"/>
      <c r="K697" s="48"/>
      <c r="L697" s="48"/>
      <c r="M697" s="110"/>
      <c r="N697" s="110"/>
      <c r="O697" s="110"/>
      <c r="P697" s="110"/>
      <c r="Q697" s="110"/>
      <c r="R697" s="110"/>
      <c r="S697" s="110"/>
      <c r="T697" s="110"/>
      <c r="V697" s="4"/>
      <c r="W697" s="35"/>
    </row>
    <row r="698" spans="1:23" x14ac:dyDescent="0.25">
      <c r="A698" s="36">
        <f t="shared" si="78"/>
        <v>53</v>
      </c>
      <c r="I698" s="48"/>
      <c r="J698" s="48"/>
      <c r="K698" s="48"/>
      <c r="L698" s="48"/>
      <c r="M698" s="110"/>
      <c r="N698" s="110"/>
      <c r="O698" s="110"/>
      <c r="P698" s="110"/>
      <c r="Q698" s="110"/>
      <c r="R698" s="110"/>
      <c r="S698" s="110"/>
      <c r="T698" s="110"/>
      <c r="V698" s="4"/>
      <c r="W698" s="35"/>
    </row>
    <row r="699" spans="1:23" x14ac:dyDescent="0.25">
      <c r="A699" s="36">
        <f t="shared" si="78"/>
        <v>53</v>
      </c>
      <c r="I699" s="48"/>
      <c r="J699" s="48"/>
      <c r="K699" s="48"/>
      <c r="L699" s="48"/>
      <c r="M699" s="110"/>
      <c r="N699" s="110"/>
      <c r="O699" s="110"/>
      <c r="P699" s="110"/>
      <c r="Q699" s="110"/>
      <c r="R699" s="110"/>
      <c r="S699" s="110"/>
      <c r="T699" s="110"/>
      <c r="V699" s="4"/>
      <c r="W699" s="35"/>
    </row>
    <row r="700" spans="1:23" x14ac:dyDescent="0.25">
      <c r="A700" s="36">
        <f t="shared" si="78"/>
        <v>53</v>
      </c>
      <c r="I700" s="48"/>
      <c r="J700" s="48"/>
      <c r="K700" s="48"/>
      <c r="L700" s="48"/>
      <c r="M700" s="110"/>
      <c r="N700" s="110"/>
      <c r="O700" s="110"/>
      <c r="P700" s="110"/>
      <c r="Q700" s="110"/>
      <c r="R700" s="110"/>
      <c r="S700" s="110"/>
      <c r="T700" s="110"/>
      <c r="V700" s="4"/>
      <c r="W700" s="35"/>
    </row>
    <row r="701" spans="1:23" x14ac:dyDescent="0.25">
      <c r="A701" s="36">
        <f t="shared" si="78"/>
        <v>53</v>
      </c>
      <c r="I701" s="48"/>
      <c r="J701" s="48"/>
      <c r="K701" s="48"/>
      <c r="L701" s="48"/>
      <c r="M701" s="110"/>
      <c r="N701" s="110"/>
      <c r="O701" s="110"/>
      <c r="P701" s="110"/>
      <c r="Q701" s="110"/>
      <c r="R701" s="110"/>
      <c r="S701" s="110"/>
      <c r="T701" s="110"/>
      <c r="V701" s="4"/>
      <c r="W701" s="35"/>
    </row>
    <row r="702" spans="1:23" x14ac:dyDescent="0.25">
      <c r="A702" s="36">
        <f t="shared" si="78"/>
        <v>53</v>
      </c>
      <c r="I702" s="48"/>
      <c r="J702" s="48"/>
      <c r="K702" s="48"/>
      <c r="L702" s="48"/>
      <c r="M702" s="110"/>
      <c r="N702" s="110"/>
      <c r="O702" s="110"/>
      <c r="P702" s="110"/>
      <c r="Q702" s="110"/>
      <c r="R702" s="110"/>
      <c r="S702" s="110"/>
      <c r="T702" s="110"/>
      <c r="V702" s="4"/>
      <c r="W702" s="35"/>
    </row>
    <row r="703" spans="1:23" x14ac:dyDescent="0.25">
      <c r="A703" s="36">
        <f t="shared" si="78"/>
        <v>53</v>
      </c>
      <c r="I703" s="48"/>
      <c r="J703" s="48"/>
      <c r="K703" s="48"/>
      <c r="L703" s="48"/>
      <c r="M703" s="110"/>
      <c r="N703" s="110"/>
      <c r="O703" s="110"/>
      <c r="P703" s="110"/>
      <c r="Q703" s="110"/>
      <c r="R703" s="110"/>
      <c r="S703" s="110"/>
      <c r="T703" s="110"/>
      <c r="V703" s="4"/>
      <c r="W703" s="35"/>
    </row>
    <row r="704" spans="1:23" x14ac:dyDescent="0.25">
      <c r="A704" s="36">
        <f t="shared" si="78"/>
        <v>53</v>
      </c>
      <c r="I704" s="48"/>
      <c r="J704" s="48"/>
      <c r="K704" s="48"/>
      <c r="L704" s="48"/>
      <c r="M704" s="110"/>
      <c r="N704" s="110"/>
      <c r="O704" s="110"/>
      <c r="P704" s="110"/>
      <c r="Q704" s="110"/>
      <c r="R704" s="110"/>
      <c r="S704" s="110"/>
      <c r="T704" s="110"/>
      <c r="V704" s="4"/>
      <c r="W704" s="35"/>
    </row>
    <row r="705" spans="1:23" x14ac:dyDescent="0.25">
      <c r="A705" s="36">
        <f t="shared" si="78"/>
        <v>53</v>
      </c>
      <c r="I705" s="48"/>
      <c r="J705" s="48"/>
      <c r="K705" s="48"/>
      <c r="L705" s="48"/>
      <c r="M705" s="110"/>
      <c r="N705" s="110"/>
      <c r="O705" s="110"/>
      <c r="P705" s="110"/>
      <c r="Q705" s="110"/>
      <c r="R705" s="110"/>
      <c r="S705" s="110"/>
      <c r="T705" s="110"/>
      <c r="V705" s="4"/>
      <c r="W705" s="35"/>
    </row>
    <row r="706" spans="1:23" x14ac:dyDescent="0.25">
      <c r="A706" s="36">
        <f t="shared" si="78"/>
        <v>53</v>
      </c>
      <c r="I706" s="48"/>
      <c r="J706" s="48"/>
      <c r="K706" s="48"/>
      <c r="L706" s="48"/>
      <c r="M706" s="110"/>
      <c r="N706" s="110"/>
      <c r="O706" s="110"/>
      <c r="P706" s="110"/>
      <c r="Q706" s="110"/>
      <c r="R706" s="110"/>
      <c r="S706" s="110"/>
      <c r="T706" s="110"/>
      <c r="V706" s="4"/>
      <c r="W706" s="35"/>
    </row>
    <row r="707" spans="1:23" x14ac:dyDescent="0.25">
      <c r="A707" s="36">
        <f t="shared" si="78"/>
        <v>53</v>
      </c>
      <c r="I707" s="48"/>
      <c r="J707" s="48"/>
      <c r="K707" s="48"/>
      <c r="L707" s="48"/>
      <c r="M707" s="110"/>
      <c r="N707" s="110"/>
      <c r="O707" s="110"/>
      <c r="P707" s="110"/>
      <c r="Q707" s="110"/>
      <c r="R707" s="110"/>
      <c r="S707" s="110"/>
      <c r="T707" s="110"/>
      <c r="V707" s="4"/>
      <c r="W707" s="35"/>
    </row>
    <row r="708" spans="1:23" x14ac:dyDescent="0.25">
      <c r="A708" s="36">
        <f t="shared" si="78"/>
        <v>53</v>
      </c>
      <c r="I708" s="48"/>
      <c r="J708" s="48"/>
      <c r="K708" s="48"/>
      <c r="L708" s="48"/>
      <c r="M708" s="110"/>
      <c r="N708" s="110"/>
      <c r="O708" s="110"/>
      <c r="P708" s="110"/>
      <c r="Q708" s="110"/>
      <c r="R708" s="110"/>
      <c r="S708" s="110"/>
      <c r="T708" s="110"/>
      <c r="V708" s="4"/>
      <c r="W708" s="35"/>
    </row>
    <row r="709" spans="1:23" x14ac:dyDescent="0.25">
      <c r="A709" s="36">
        <f t="shared" ref="A709:A772" si="79">IF(B709=B708,A708,A708+1)</f>
        <v>53</v>
      </c>
      <c r="I709" s="48"/>
      <c r="J709" s="48"/>
      <c r="K709" s="48"/>
      <c r="L709" s="48"/>
      <c r="M709" s="110"/>
      <c r="N709" s="110"/>
      <c r="O709" s="110"/>
      <c r="P709" s="110"/>
      <c r="Q709" s="110"/>
      <c r="R709" s="110"/>
      <c r="S709" s="110"/>
      <c r="T709" s="110"/>
      <c r="V709" s="4"/>
      <c r="W709" s="35"/>
    </row>
    <row r="710" spans="1:23" x14ac:dyDescent="0.25">
      <c r="A710" s="36">
        <f t="shared" si="79"/>
        <v>53</v>
      </c>
      <c r="I710" s="48"/>
      <c r="J710" s="48"/>
      <c r="K710" s="48"/>
      <c r="L710" s="48"/>
      <c r="M710" s="110"/>
      <c r="N710" s="110"/>
      <c r="O710" s="110"/>
      <c r="P710" s="110"/>
      <c r="Q710" s="110"/>
      <c r="R710" s="110"/>
      <c r="S710" s="110"/>
      <c r="T710" s="110"/>
      <c r="V710" s="4"/>
      <c r="W710" s="35"/>
    </row>
    <row r="711" spans="1:23" x14ac:dyDescent="0.25">
      <c r="A711" s="36">
        <f t="shared" si="79"/>
        <v>53</v>
      </c>
      <c r="I711" s="48"/>
      <c r="J711" s="48"/>
      <c r="K711" s="48"/>
      <c r="L711" s="48"/>
      <c r="M711" s="110"/>
      <c r="N711" s="110"/>
      <c r="O711" s="110"/>
      <c r="P711" s="110"/>
      <c r="Q711" s="110"/>
      <c r="R711" s="110"/>
      <c r="S711" s="110"/>
      <c r="T711" s="110"/>
      <c r="V711" s="4"/>
      <c r="W711" s="35"/>
    </row>
    <row r="712" spans="1:23" x14ac:dyDescent="0.25">
      <c r="A712" s="36">
        <f t="shared" si="79"/>
        <v>53</v>
      </c>
      <c r="I712" s="48"/>
      <c r="J712" s="48"/>
      <c r="K712" s="48"/>
      <c r="L712" s="48"/>
      <c r="M712" s="110"/>
      <c r="N712" s="110"/>
      <c r="O712" s="110"/>
      <c r="P712" s="110"/>
      <c r="Q712" s="110"/>
      <c r="R712" s="110"/>
      <c r="S712" s="110"/>
      <c r="T712" s="110"/>
      <c r="V712" s="4"/>
      <c r="W712" s="35"/>
    </row>
    <row r="713" spans="1:23" x14ac:dyDescent="0.25">
      <c r="A713" s="36">
        <f t="shared" si="79"/>
        <v>53</v>
      </c>
      <c r="I713" s="48"/>
      <c r="J713" s="48"/>
      <c r="K713" s="48"/>
      <c r="L713" s="48"/>
      <c r="M713" s="110"/>
      <c r="N713" s="110"/>
      <c r="O713" s="110"/>
      <c r="P713" s="110"/>
      <c r="Q713" s="110"/>
      <c r="R713" s="110"/>
      <c r="S713" s="110"/>
      <c r="T713" s="110"/>
      <c r="V713" s="4"/>
      <c r="W713" s="35"/>
    </row>
    <row r="714" spans="1:23" x14ac:dyDescent="0.25">
      <c r="A714" s="36">
        <f t="shared" si="79"/>
        <v>53</v>
      </c>
      <c r="I714" s="48"/>
      <c r="J714" s="48"/>
      <c r="K714" s="48"/>
      <c r="L714" s="48"/>
      <c r="M714" s="110"/>
      <c r="N714" s="110"/>
      <c r="O714" s="110"/>
      <c r="P714" s="110"/>
      <c r="Q714" s="110"/>
      <c r="R714" s="110"/>
      <c r="S714" s="110"/>
      <c r="T714" s="110"/>
      <c r="V714" s="4"/>
      <c r="W714" s="35"/>
    </row>
    <row r="715" spans="1:23" x14ac:dyDescent="0.25">
      <c r="A715" s="36">
        <f t="shared" si="79"/>
        <v>53</v>
      </c>
      <c r="I715" s="48"/>
      <c r="J715" s="48"/>
      <c r="K715" s="48"/>
      <c r="L715" s="48"/>
      <c r="M715" s="110"/>
      <c r="N715" s="110"/>
      <c r="O715" s="110"/>
      <c r="P715" s="110"/>
      <c r="Q715" s="110"/>
      <c r="R715" s="110"/>
      <c r="S715" s="110"/>
      <c r="T715" s="110"/>
      <c r="V715" s="4"/>
      <c r="W715" s="35"/>
    </row>
    <row r="716" spans="1:23" x14ac:dyDescent="0.25">
      <c r="A716" s="36">
        <f t="shared" si="79"/>
        <v>53</v>
      </c>
      <c r="I716" s="48"/>
      <c r="J716" s="48"/>
      <c r="K716" s="48"/>
      <c r="L716" s="48"/>
      <c r="M716" s="110"/>
      <c r="N716" s="110"/>
      <c r="O716" s="110"/>
      <c r="P716" s="110"/>
      <c r="Q716" s="110"/>
      <c r="R716" s="110"/>
      <c r="S716" s="110"/>
      <c r="T716" s="110"/>
      <c r="V716" s="4"/>
      <c r="W716" s="35"/>
    </row>
    <row r="717" spans="1:23" x14ac:dyDescent="0.25">
      <c r="A717" s="36">
        <f t="shared" si="79"/>
        <v>53</v>
      </c>
      <c r="I717" s="48"/>
      <c r="J717" s="48"/>
      <c r="K717" s="48"/>
      <c r="L717" s="48"/>
      <c r="M717" s="110"/>
      <c r="N717" s="110"/>
      <c r="O717" s="110"/>
      <c r="P717" s="110"/>
      <c r="Q717" s="110"/>
      <c r="R717" s="110"/>
      <c r="S717" s="110"/>
      <c r="T717" s="110"/>
      <c r="V717" s="4"/>
      <c r="W717" s="35"/>
    </row>
    <row r="718" spans="1:23" x14ac:dyDescent="0.25">
      <c r="A718" s="36">
        <f t="shared" si="79"/>
        <v>53</v>
      </c>
      <c r="I718" s="48"/>
      <c r="J718" s="48"/>
      <c r="K718" s="48"/>
      <c r="L718" s="48"/>
      <c r="M718" s="110"/>
      <c r="N718" s="110"/>
      <c r="O718" s="110"/>
      <c r="P718" s="110"/>
      <c r="Q718" s="110"/>
      <c r="R718" s="110"/>
      <c r="S718" s="110"/>
      <c r="T718" s="110"/>
      <c r="V718" s="4"/>
      <c r="W718" s="35"/>
    </row>
    <row r="719" spans="1:23" x14ac:dyDescent="0.25">
      <c r="A719" s="36">
        <f t="shared" si="79"/>
        <v>53</v>
      </c>
      <c r="I719" s="48"/>
      <c r="J719" s="48"/>
      <c r="K719" s="48"/>
      <c r="L719" s="48"/>
      <c r="M719" s="110"/>
      <c r="N719" s="110"/>
      <c r="O719" s="110"/>
      <c r="P719" s="110"/>
      <c r="Q719" s="110"/>
      <c r="R719" s="110"/>
      <c r="S719" s="110"/>
      <c r="T719" s="110"/>
      <c r="V719" s="4"/>
      <c r="W719" s="35"/>
    </row>
    <row r="720" spans="1:23" x14ac:dyDescent="0.25">
      <c r="A720" s="36">
        <f t="shared" si="79"/>
        <v>53</v>
      </c>
      <c r="I720" s="48"/>
      <c r="J720" s="48"/>
      <c r="K720" s="48"/>
      <c r="L720" s="48"/>
      <c r="M720" s="110"/>
      <c r="N720" s="110"/>
      <c r="O720" s="110"/>
      <c r="P720" s="110"/>
      <c r="Q720" s="110"/>
      <c r="R720" s="110"/>
      <c r="S720" s="110"/>
      <c r="T720" s="110"/>
      <c r="V720" s="4"/>
      <c r="W720" s="35"/>
    </row>
    <row r="721" spans="1:23" x14ac:dyDescent="0.25">
      <c r="A721" s="36">
        <f t="shared" si="79"/>
        <v>53</v>
      </c>
      <c r="I721" s="48"/>
      <c r="J721" s="48"/>
      <c r="K721" s="48"/>
      <c r="L721" s="48"/>
      <c r="M721" s="110"/>
      <c r="N721" s="110"/>
      <c r="O721" s="110"/>
      <c r="P721" s="110"/>
      <c r="Q721" s="110"/>
      <c r="R721" s="110"/>
      <c r="S721" s="110"/>
      <c r="T721" s="110"/>
      <c r="V721" s="4"/>
      <c r="W721" s="35"/>
    </row>
    <row r="722" spans="1:23" x14ac:dyDescent="0.25">
      <c r="A722" s="36">
        <f t="shared" si="79"/>
        <v>53</v>
      </c>
      <c r="I722" s="48"/>
      <c r="J722" s="48"/>
      <c r="K722" s="48"/>
      <c r="L722" s="48"/>
      <c r="M722" s="110"/>
      <c r="N722" s="110"/>
      <c r="O722" s="110"/>
      <c r="P722" s="110"/>
      <c r="Q722" s="110"/>
      <c r="R722" s="110"/>
      <c r="S722" s="110"/>
      <c r="T722" s="110"/>
      <c r="V722" s="4"/>
      <c r="W722" s="35"/>
    </row>
    <row r="723" spans="1:23" x14ac:dyDescent="0.25">
      <c r="A723" s="36">
        <f t="shared" si="79"/>
        <v>53</v>
      </c>
      <c r="I723" s="48"/>
      <c r="J723" s="48"/>
      <c r="K723" s="48"/>
      <c r="L723" s="48"/>
      <c r="M723" s="110"/>
      <c r="N723" s="110"/>
      <c r="O723" s="110"/>
      <c r="P723" s="110"/>
      <c r="Q723" s="110"/>
      <c r="R723" s="110"/>
      <c r="S723" s="110"/>
      <c r="T723" s="110"/>
      <c r="V723" s="4"/>
      <c r="W723" s="35"/>
    </row>
    <row r="724" spans="1:23" x14ac:dyDescent="0.25">
      <c r="A724" s="36">
        <f t="shared" si="79"/>
        <v>53</v>
      </c>
      <c r="I724" s="48"/>
      <c r="J724" s="48"/>
      <c r="K724" s="48"/>
      <c r="L724" s="48"/>
      <c r="M724" s="110"/>
      <c r="N724" s="110"/>
      <c r="O724" s="110"/>
      <c r="P724" s="110"/>
      <c r="Q724" s="110"/>
      <c r="R724" s="110"/>
      <c r="S724" s="110"/>
      <c r="T724" s="110"/>
      <c r="V724" s="4"/>
      <c r="W724" s="35"/>
    </row>
    <row r="725" spans="1:23" x14ac:dyDescent="0.25">
      <c r="A725" s="36">
        <f t="shared" si="79"/>
        <v>53</v>
      </c>
      <c r="I725" s="48"/>
      <c r="J725" s="48"/>
      <c r="K725" s="48"/>
      <c r="L725" s="48"/>
      <c r="M725" s="110"/>
      <c r="N725" s="110"/>
      <c r="O725" s="110"/>
      <c r="P725" s="110"/>
      <c r="Q725" s="110"/>
      <c r="R725" s="110"/>
      <c r="S725" s="110"/>
      <c r="T725" s="110"/>
      <c r="V725" s="4"/>
      <c r="W725" s="35"/>
    </row>
    <row r="726" spans="1:23" x14ac:dyDescent="0.25">
      <c r="A726" s="36">
        <f t="shared" si="79"/>
        <v>53</v>
      </c>
      <c r="I726" s="48"/>
      <c r="J726" s="48"/>
      <c r="K726" s="48"/>
      <c r="L726" s="48"/>
      <c r="M726" s="110"/>
      <c r="N726" s="110"/>
      <c r="O726" s="110"/>
      <c r="P726" s="110"/>
      <c r="Q726" s="110"/>
      <c r="R726" s="110"/>
      <c r="S726" s="110"/>
      <c r="T726" s="110"/>
      <c r="V726" s="4"/>
      <c r="W726" s="35"/>
    </row>
    <row r="727" spans="1:23" x14ac:dyDescent="0.25">
      <c r="A727" s="36">
        <f t="shared" si="79"/>
        <v>53</v>
      </c>
      <c r="I727" s="48"/>
      <c r="J727" s="48"/>
      <c r="K727" s="48"/>
      <c r="L727" s="48"/>
      <c r="M727" s="110"/>
      <c r="N727" s="110"/>
      <c r="O727" s="110"/>
      <c r="P727" s="110"/>
      <c r="Q727" s="110"/>
      <c r="R727" s="110"/>
      <c r="S727" s="110"/>
      <c r="T727" s="110"/>
      <c r="V727" s="4"/>
      <c r="W727" s="35"/>
    </row>
    <row r="728" spans="1:23" x14ac:dyDescent="0.25">
      <c r="A728" s="36">
        <f t="shared" si="79"/>
        <v>53</v>
      </c>
      <c r="I728" s="48"/>
      <c r="J728" s="48"/>
      <c r="K728" s="48"/>
      <c r="L728" s="48"/>
      <c r="M728" s="110"/>
      <c r="N728" s="110"/>
      <c r="O728" s="110"/>
      <c r="P728" s="110"/>
      <c r="Q728" s="110"/>
      <c r="R728" s="110"/>
      <c r="S728" s="110"/>
      <c r="T728" s="110"/>
      <c r="V728" s="4"/>
      <c r="W728" s="35"/>
    </row>
    <row r="729" spans="1:23" x14ac:dyDescent="0.25">
      <c r="A729" s="36">
        <f t="shared" si="79"/>
        <v>53</v>
      </c>
      <c r="I729" s="48"/>
      <c r="J729" s="48"/>
      <c r="K729" s="48"/>
      <c r="L729" s="48"/>
      <c r="M729" s="110"/>
      <c r="N729" s="110"/>
      <c r="O729" s="110"/>
      <c r="P729" s="110"/>
      <c r="Q729" s="110"/>
      <c r="R729" s="110"/>
      <c r="S729" s="110"/>
      <c r="T729" s="110"/>
      <c r="V729" s="4"/>
      <c r="W729" s="35"/>
    </row>
    <row r="730" spans="1:23" x14ac:dyDescent="0.25">
      <c r="A730" s="36">
        <f t="shared" si="79"/>
        <v>53</v>
      </c>
      <c r="I730" s="48"/>
      <c r="J730" s="48"/>
      <c r="K730" s="48"/>
      <c r="L730" s="48"/>
      <c r="M730" s="110"/>
      <c r="N730" s="110"/>
      <c r="O730" s="110"/>
      <c r="P730" s="110"/>
      <c r="Q730" s="110"/>
      <c r="R730" s="110"/>
      <c r="S730" s="110"/>
      <c r="T730" s="110"/>
      <c r="V730" s="4"/>
      <c r="W730" s="35"/>
    </row>
    <row r="731" spans="1:23" x14ac:dyDescent="0.25">
      <c r="A731" s="36">
        <f t="shared" si="79"/>
        <v>53</v>
      </c>
      <c r="I731" s="48"/>
      <c r="J731" s="48"/>
      <c r="K731" s="48"/>
      <c r="L731" s="48"/>
      <c r="M731" s="110"/>
      <c r="N731" s="110"/>
      <c r="O731" s="110"/>
      <c r="P731" s="110"/>
      <c r="Q731" s="110"/>
      <c r="R731" s="110"/>
      <c r="S731" s="110"/>
      <c r="T731" s="110"/>
      <c r="V731" s="4"/>
      <c r="W731" s="35"/>
    </row>
    <row r="732" spans="1:23" x14ac:dyDescent="0.25">
      <c r="A732" s="36">
        <f t="shared" si="79"/>
        <v>53</v>
      </c>
      <c r="I732" s="48"/>
      <c r="J732" s="48"/>
      <c r="K732" s="48"/>
      <c r="L732" s="48"/>
      <c r="M732" s="110"/>
      <c r="N732" s="110"/>
      <c r="O732" s="110"/>
      <c r="P732" s="110"/>
      <c r="Q732" s="110"/>
      <c r="R732" s="110"/>
      <c r="S732" s="110"/>
      <c r="T732" s="110"/>
      <c r="V732" s="4"/>
      <c r="W732" s="35"/>
    </row>
    <row r="733" spans="1:23" x14ac:dyDescent="0.25">
      <c r="A733" s="36">
        <f t="shared" si="79"/>
        <v>53</v>
      </c>
      <c r="I733" s="48"/>
      <c r="J733" s="48"/>
      <c r="K733" s="48"/>
      <c r="L733" s="48"/>
      <c r="M733" s="110"/>
      <c r="N733" s="110"/>
      <c r="O733" s="110"/>
      <c r="P733" s="110"/>
      <c r="Q733" s="110"/>
      <c r="R733" s="110"/>
      <c r="S733" s="110"/>
      <c r="T733" s="110"/>
      <c r="V733" s="4"/>
      <c r="W733" s="35"/>
    </row>
    <row r="734" spans="1:23" x14ac:dyDescent="0.25">
      <c r="A734" s="36">
        <f t="shared" si="79"/>
        <v>53</v>
      </c>
      <c r="I734" s="48"/>
      <c r="J734" s="48"/>
      <c r="K734" s="48"/>
      <c r="L734" s="48"/>
      <c r="M734" s="110"/>
      <c r="N734" s="110"/>
      <c r="O734" s="110"/>
      <c r="P734" s="110"/>
      <c r="Q734" s="110"/>
      <c r="R734" s="110"/>
      <c r="S734" s="110"/>
      <c r="T734" s="110"/>
      <c r="V734" s="4"/>
      <c r="W734" s="35"/>
    </row>
    <row r="735" spans="1:23" x14ac:dyDescent="0.25">
      <c r="A735" s="36">
        <f t="shared" si="79"/>
        <v>53</v>
      </c>
      <c r="I735" s="48"/>
      <c r="J735" s="48"/>
      <c r="K735" s="48"/>
      <c r="L735" s="48"/>
      <c r="M735" s="110"/>
      <c r="N735" s="110"/>
      <c r="O735" s="110"/>
      <c r="P735" s="110"/>
      <c r="Q735" s="110"/>
      <c r="R735" s="110"/>
      <c r="S735" s="110"/>
      <c r="T735" s="110"/>
      <c r="V735" s="4"/>
      <c r="W735" s="35"/>
    </row>
    <row r="736" spans="1:23" x14ac:dyDescent="0.25">
      <c r="A736" s="36">
        <f t="shared" si="79"/>
        <v>53</v>
      </c>
      <c r="I736" s="48"/>
      <c r="J736" s="48"/>
      <c r="K736" s="48"/>
      <c r="L736" s="48"/>
      <c r="M736" s="110"/>
      <c r="N736" s="110"/>
      <c r="O736" s="110"/>
      <c r="P736" s="110"/>
      <c r="Q736" s="110"/>
      <c r="R736" s="110"/>
      <c r="S736" s="110"/>
      <c r="T736" s="110"/>
      <c r="V736" s="4"/>
      <c r="W736" s="35"/>
    </row>
    <row r="737" spans="1:23" x14ac:dyDescent="0.25">
      <c r="A737" s="36">
        <f t="shared" si="79"/>
        <v>53</v>
      </c>
      <c r="I737" s="48"/>
      <c r="J737" s="48"/>
      <c r="K737" s="48"/>
      <c r="L737" s="48"/>
      <c r="M737" s="110"/>
      <c r="N737" s="110"/>
      <c r="O737" s="110"/>
      <c r="P737" s="110"/>
      <c r="Q737" s="110"/>
      <c r="R737" s="110"/>
      <c r="S737" s="110"/>
      <c r="T737" s="110"/>
      <c r="V737" s="4"/>
      <c r="W737" s="35"/>
    </row>
    <row r="738" spans="1:23" x14ac:dyDescent="0.25">
      <c r="A738" s="36">
        <f t="shared" si="79"/>
        <v>53</v>
      </c>
      <c r="I738" s="48"/>
      <c r="J738" s="48"/>
      <c r="K738" s="48"/>
      <c r="L738" s="48"/>
      <c r="M738" s="110"/>
      <c r="N738" s="110"/>
      <c r="O738" s="110"/>
      <c r="P738" s="110"/>
      <c r="Q738" s="110"/>
      <c r="R738" s="110"/>
      <c r="S738" s="110"/>
      <c r="T738" s="110"/>
      <c r="V738" s="4"/>
      <c r="W738" s="35"/>
    </row>
    <row r="739" spans="1:23" x14ac:dyDescent="0.25">
      <c r="A739" s="36">
        <f t="shared" si="79"/>
        <v>53</v>
      </c>
      <c r="I739" s="48"/>
      <c r="J739" s="48"/>
      <c r="K739" s="48"/>
      <c r="L739" s="48"/>
      <c r="M739" s="110"/>
      <c r="N739" s="110"/>
      <c r="O739" s="110"/>
      <c r="P739" s="110"/>
      <c r="Q739" s="110"/>
      <c r="R739" s="110"/>
      <c r="S739" s="110"/>
      <c r="T739" s="110"/>
      <c r="V739" s="4"/>
      <c r="W739" s="35"/>
    </row>
    <row r="740" spans="1:23" x14ac:dyDescent="0.25">
      <c r="A740" s="36">
        <f t="shared" si="79"/>
        <v>53</v>
      </c>
      <c r="I740" s="48"/>
      <c r="J740" s="48"/>
      <c r="K740" s="48"/>
      <c r="L740" s="48"/>
      <c r="M740" s="110"/>
      <c r="N740" s="110"/>
      <c r="O740" s="110"/>
      <c r="P740" s="110"/>
      <c r="Q740" s="110"/>
      <c r="R740" s="110"/>
      <c r="S740" s="110"/>
      <c r="T740" s="110"/>
      <c r="V740" s="4"/>
      <c r="W740" s="35"/>
    </row>
    <row r="741" spans="1:23" x14ac:dyDescent="0.25">
      <c r="A741" s="36">
        <f t="shared" si="79"/>
        <v>53</v>
      </c>
      <c r="I741" s="48"/>
      <c r="J741" s="48"/>
      <c r="K741" s="48"/>
      <c r="L741" s="48"/>
      <c r="M741" s="110"/>
      <c r="N741" s="110"/>
      <c r="O741" s="110"/>
      <c r="P741" s="110"/>
      <c r="Q741" s="110"/>
      <c r="R741" s="110"/>
      <c r="S741" s="110"/>
      <c r="T741" s="110"/>
      <c r="V741" s="4"/>
      <c r="W741" s="35"/>
    </row>
    <row r="742" spans="1:23" x14ac:dyDescent="0.25">
      <c r="A742" s="36">
        <f t="shared" si="79"/>
        <v>53</v>
      </c>
      <c r="I742" s="48"/>
      <c r="J742" s="48"/>
      <c r="K742" s="48"/>
      <c r="L742" s="48"/>
      <c r="M742" s="110"/>
      <c r="N742" s="110"/>
      <c r="O742" s="110"/>
      <c r="P742" s="110"/>
      <c r="Q742" s="110"/>
      <c r="R742" s="110"/>
      <c r="S742" s="110"/>
      <c r="T742" s="110"/>
      <c r="V742" s="4"/>
      <c r="W742" s="35"/>
    </row>
    <row r="743" spans="1:23" x14ac:dyDescent="0.25">
      <c r="A743" s="36">
        <f t="shared" si="79"/>
        <v>53</v>
      </c>
      <c r="I743" s="48"/>
      <c r="J743" s="48"/>
      <c r="K743" s="48"/>
      <c r="L743" s="48"/>
      <c r="M743" s="110"/>
      <c r="N743" s="110"/>
      <c r="O743" s="110"/>
      <c r="P743" s="110"/>
      <c r="Q743" s="110"/>
      <c r="R743" s="110"/>
      <c r="S743" s="110"/>
      <c r="T743" s="110"/>
      <c r="V743" s="4"/>
      <c r="W743" s="35"/>
    </row>
    <row r="744" spans="1:23" x14ac:dyDescent="0.25">
      <c r="A744" s="36">
        <f t="shared" si="79"/>
        <v>53</v>
      </c>
      <c r="I744" s="48"/>
      <c r="J744" s="48"/>
      <c r="K744" s="48"/>
      <c r="L744" s="48"/>
      <c r="M744" s="110"/>
      <c r="N744" s="110"/>
      <c r="O744" s="110"/>
      <c r="P744" s="110"/>
      <c r="Q744" s="110"/>
      <c r="R744" s="110"/>
      <c r="S744" s="110"/>
      <c r="T744" s="110"/>
      <c r="V744" s="4"/>
      <c r="W744" s="35"/>
    </row>
    <row r="745" spans="1:23" x14ac:dyDescent="0.25">
      <c r="A745" s="36">
        <f t="shared" si="79"/>
        <v>53</v>
      </c>
      <c r="I745" s="48"/>
      <c r="J745" s="48"/>
      <c r="K745" s="48"/>
      <c r="L745" s="48"/>
      <c r="M745" s="110"/>
      <c r="N745" s="110"/>
      <c r="O745" s="110"/>
      <c r="P745" s="110"/>
      <c r="Q745" s="110"/>
      <c r="R745" s="110"/>
      <c r="S745" s="110"/>
      <c r="T745" s="110"/>
      <c r="V745" s="4"/>
      <c r="W745" s="35"/>
    </row>
    <row r="746" spans="1:23" x14ac:dyDescent="0.25">
      <c r="A746" s="36">
        <f t="shared" si="79"/>
        <v>53</v>
      </c>
      <c r="I746" s="48"/>
      <c r="J746" s="48"/>
      <c r="K746" s="48"/>
      <c r="L746" s="48"/>
      <c r="M746" s="110"/>
      <c r="N746" s="110"/>
      <c r="O746" s="110"/>
      <c r="P746" s="110"/>
      <c r="Q746" s="110"/>
      <c r="R746" s="110"/>
      <c r="S746" s="110"/>
      <c r="T746" s="110"/>
      <c r="V746" s="4"/>
      <c r="W746" s="35"/>
    </row>
    <row r="747" spans="1:23" x14ac:dyDescent="0.25">
      <c r="A747" s="36">
        <f t="shared" si="79"/>
        <v>53</v>
      </c>
      <c r="I747" s="48"/>
      <c r="J747" s="48"/>
      <c r="K747" s="48"/>
      <c r="L747" s="48"/>
      <c r="M747" s="110"/>
      <c r="N747" s="110"/>
      <c r="O747" s="110"/>
      <c r="P747" s="110"/>
      <c r="Q747" s="110"/>
      <c r="R747" s="110"/>
      <c r="S747" s="110"/>
      <c r="T747" s="110"/>
      <c r="V747" s="4"/>
      <c r="W747" s="35"/>
    </row>
    <row r="748" spans="1:23" x14ac:dyDescent="0.25">
      <c r="A748" s="36">
        <f t="shared" si="79"/>
        <v>53</v>
      </c>
      <c r="I748" s="48"/>
      <c r="J748" s="48"/>
      <c r="K748" s="48"/>
      <c r="L748" s="48"/>
      <c r="M748" s="110"/>
      <c r="N748" s="110"/>
      <c r="O748" s="110"/>
      <c r="P748" s="110"/>
      <c r="Q748" s="110"/>
      <c r="R748" s="110"/>
      <c r="S748" s="110"/>
      <c r="T748" s="110"/>
      <c r="V748" s="4"/>
      <c r="W748" s="35"/>
    </row>
    <row r="749" spans="1:23" x14ac:dyDescent="0.25">
      <c r="A749" s="36">
        <f t="shared" si="79"/>
        <v>53</v>
      </c>
      <c r="I749" s="48"/>
      <c r="J749" s="48"/>
      <c r="K749" s="48"/>
      <c r="L749" s="48"/>
      <c r="M749" s="110"/>
      <c r="N749" s="110"/>
      <c r="O749" s="110"/>
      <c r="P749" s="110"/>
      <c r="Q749" s="110"/>
      <c r="R749" s="110"/>
      <c r="S749" s="110"/>
      <c r="T749" s="110"/>
      <c r="V749" s="4"/>
      <c r="W749" s="35"/>
    </row>
    <row r="750" spans="1:23" x14ac:dyDescent="0.25">
      <c r="A750" s="36">
        <f t="shared" si="79"/>
        <v>53</v>
      </c>
      <c r="I750" s="48"/>
      <c r="J750" s="48"/>
      <c r="K750" s="48"/>
      <c r="L750" s="48"/>
      <c r="M750" s="110"/>
      <c r="N750" s="110"/>
      <c r="O750" s="110"/>
      <c r="P750" s="110"/>
      <c r="Q750" s="110"/>
      <c r="R750" s="110"/>
      <c r="S750" s="110"/>
      <c r="T750" s="110"/>
      <c r="V750" s="4"/>
      <c r="W750" s="35"/>
    </row>
    <row r="751" spans="1:23" x14ac:dyDescent="0.25">
      <c r="A751" s="36">
        <f t="shared" si="79"/>
        <v>53</v>
      </c>
      <c r="I751" s="48"/>
      <c r="J751" s="48"/>
      <c r="K751" s="48"/>
      <c r="L751" s="48"/>
      <c r="M751" s="110"/>
      <c r="N751" s="110"/>
      <c r="O751" s="110"/>
      <c r="P751" s="110"/>
      <c r="Q751" s="110"/>
      <c r="R751" s="110"/>
      <c r="S751" s="110"/>
      <c r="T751" s="110"/>
      <c r="V751" s="4"/>
      <c r="W751" s="35"/>
    </row>
    <row r="752" spans="1:23" x14ac:dyDescent="0.25">
      <c r="A752" s="36">
        <f t="shared" si="79"/>
        <v>53</v>
      </c>
      <c r="I752" s="48"/>
      <c r="J752" s="48"/>
      <c r="K752" s="48"/>
      <c r="L752" s="48"/>
      <c r="M752" s="110"/>
      <c r="N752" s="110"/>
      <c r="O752" s="110"/>
      <c r="P752" s="110"/>
      <c r="Q752" s="110"/>
      <c r="R752" s="110"/>
      <c r="S752" s="110"/>
      <c r="T752" s="110"/>
      <c r="V752" s="4"/>
      <c r="W752" s="35"/>
    </row>
    <row r="753" spans="1:23" x14ac:dyDescent="0.25">
      <c r="A753" s="36">
        <f t="shared" si="79"/>
        <v>53</v>
      </c>
      <c r="I753" s="48"/>
      <c r="J753" s="48"/>
      <c r="K753" s="48"/>
      <c r="L753" s="48"/>
      <c r="M753" s="110"/>
      <c r="N753" s="110"/>
      <c r="O753" s="110"/>
      <c r="P753" s="110"/>
      <c r="Q753" s="110"/>
      <c r="R753" s="110"/>
      <c r="S753" s="110"/>
      <c r="T753" s="110"/>
      <c r="V753" s="4"/>
      <c r="W753" s="35"/>
    </row>
    <row r="754" spans="1:23" x14ac:dyDescent="0.25">
      <c r="A754" s="36">
        <f t="shared" si="79"/>
        <v>53</v>
      </c>
      <c r="I754" s="48"/>
      <c r="J754" s="48"/>
      <c r="K754" s="48"/>
      <c r="L754" s="48"/>
      <c r="M754" s="110"/>
      <c r="N754" s="110"/>
      <c r="O754" s="110"/>
      <c r="P754" s="110"/>
      <c r="Q754" s="110"/>
      <c r="R754" s="110"/>
      <c r="S754" s="110"/>
      <c r="T754" s="110"/>
      <c r="V754" s="4"/>
      <c r="W754" s="35"/>
    </row>
    <row r="755" spans="1:23" x14ac:dyDescent="0.25">
      <c r="A755" s="36">
        <f t="shared" si="79"/>
        <v>53</v>
      </c>
      <c r="I755" s="48"/>
      <c r="J755" s="48"/>
      <c r="K755" s="48"/>
      <c r="L755" s="48"/>
      <c r="M755" s="110"/>
      <c r="N755" s="110"/>
      <c r="O755" s="110"/>
      <c r="P755" s="110"/>
      <c r="Q755" s="110"/>
      <c r="R755" s="110"/>
      <c r="S755" s="110"/>
      <c r="T755" s="110"/>
      <c r="V755" s="4"/>
      <c r="W755" s="35"/>
    </row>
    <row r="756" spans="1:23" x14ac:dyDescent="0.25">
      <c r="A756" s="36">
        <f t="shared" si="79"/>
        <v>53</v>
      </c>
      <c r="I756" s="48"/>
      <c r="J756" s="48"/>
      <c r="K756" s="48"/>
      <c r="L756" s="48"/>
      <c r="M756" s="110"/>
      <c r="N756" s="110"/>
      <c r="O756" s="110"/>
      <c r="P756" s="110"/>
      <c r="Q756" s="110"/>
      <c r="R756" s="110"/>
      <c r="S756" s="110"/>
      <c r="T756" s="110"/>
      <c r="V756" s="4"/>
      <c r="W756" s="35"/>
    </row>
    <row r="757" spans="1:23" x14ac:dyDescent="0.25">
      <c r="A757" s="36">
        <f t="shared" si="79"/>
        <v>53</v>
      </c>
      <c r="I757" s="48"/>
      <c r="J757" s="48"/>
      <c r="K757" s="48"/>
      <c r="L757" s="48"/>
      <c r="M757" s="110"/>
      <c r="N757" s="110"/>
      <c r="O757" s="110"/>
      <c r="P757" s="110"/>
      <c r="Q757" s="110"/>
      <c r="R757" s="110"/>
      <c r="S757" s="110"/>
      <c r="T757" s="110"/>
      <c r="V757" s="4"/>
      <c r="W757" s="35"/>
    </row>
    <row r="758" spans="1:23" x14ac:dyDescent="0.25">
      <c r="A758" s="36">
        <f t="shared" si="79"/>
        <v>53</v>
      </c>
      <c r="I758" s="48"/>
      <c r="J758" s="48"/>
      <c r="K758" s="48"/>
      <c r="L758" s="48"/>
      <c r="M758" s="110"/>
      <c r="N758" s="110"/>
      <c r="O758" s="110"/>
      <c r="P758" s="110"/>
      <c r="Q758" s="110"/>
      <c r="R758" s="110"/>
      <c r="S758" s="110"/>
      <c r="T758" s="110"/>
      <c r="V758" s="4"/>
      <c r="W758" s="35"/>
    </row>
    <row r="759" spans="1:23" x14ac:dyDescent="0.25">
      <c r="A759" s="36">
        <f t="shared" si="79"/>
        <v>53</v>
      </c>
      <c r="I759" s="48"/>
      <c r="J759" s="48"/>
      <c r="K759" s="48"/>
      <c r="L759" s="48"/>
      <c r="M759" s="110"/>
      <c r="N759" s="110"/>
      <c r="O759" s="110"/>
      <c r="P759" s="110"/>
      <c r="Q759" s="110"/>
      <c r="R759" s="110"/>
      <c r="S759" s="110"/>
      <c r="T759" s="110"/>
      <c r="V759" s="4"/>
      <c r="W759" s="35"/>
    </row>
    <row r="760" spans="1:23" x14ac:dyDescent="0.25">
      <c r="A760" s="36">
        <f t="shared" si="79"/>
        <v>53</v>
      </c>
      <c r="I760" s="48"/>
      <c r="J760" s="48"/>
      <c r="K760" s="48"/>
      <c r="L760" s="48"/>
      <c r="M760" s="110"/>
      <c r="N760" s="110"/>
      <c r="O760" s="110"/>
      <c r="P760" s="110"/>
      <c r="Q760" s="110"/>
      <c r="R760" s="110"/>
      <c r="S760" s="110"/>
      <c r="T760" s="110"/>
      <c r="V760" s="4"/>
      <c r="W760" s="35"/>
    </row>
    <row r="761" spans="1:23" x14ac:dyDescent="0.25">
      <c r="A761" s="36">
        <f t="shared" si="79"/>
        <v>53</v>
      </c>
      <c r="I761" s="48"/>
      <c r="J761" s="48"/>
      <c r="K761" s="48"/>
      <c r="L761" s="48"/>
      <c r="M761" s="110"/>
      <c r="N761" s="110"/>
      <c r="O761" s="110"/>
      <c r="P761" s="110"/>
      <c r="Q761" s="110"/>
      <c r="R761" s="110"/>
      <c r="S761" s="110"/>
      <c r="T761" s="110"/>
      <c r="V761" s="4"/>
      <c r="W761" s="35"/>
    </row>
    <row r="762" spans="1:23" x14ac:dyDescent="0.25">
      <c r="A762" s="36">
        <f t="shared" si="79"/>
        <v>53</v>
      </c>
      <c r="I762" s="48"/>
      <c r="J762" s="48"/>
      <c r="K762" s="48"/>
      <c r="L762" s="48"/>
      <c r="M762" s="110"/>
      <c r="N762" s="110"/>
      <c r="O762" s="110"/>
      <c r="P762" s="110"/>
      <c r="Q762" s="110"/>
      <c r="R762" s="110"/>
      <c r="S762" s="110"/>
      <c r="T762" s="110"/>
      <c r="V762" s="4"/>
      <c r="W762" s="35"/>
    </row>
    <row r="763" spans="1:23" x14ac:dyDescent="0.25">
      <c r="A763" s="36">
        <f t="shared" si="79"/>
        <v>53</v>
      </c>
      <c r="I763" s="48"/>
      <c r="J763" s="48"/>
      <c r="K763" s="48"/>
      <c r="L763" s="48"/>
      <c r="M763" s="110"/>
      <c r="N763" s="110"/>
      <c r="O763" s="110"/>
      <c r="P763" s="110"/>
      <c r="Q763" s="110"/>
      <c r="R763" s="110"/>
      <c r="S763" s="110"/>
      <c r="T763" s="110"/>
      <c r="V763" s="4"/>
      <c r="W763" s="35"/>
    </row>
    <row r="764" spans="1:23" x14ac:dyDescent="0.25">
      <c r="A764" s="36">
        <f t="shared" si="79"/>
        <v>53</v>
      </c>
      <c r="I764" s="48"/>
      <c r="J764" s="48"/>
      <c r="K764" s="48"/>
      <c r="L764" s="48"/>
      <c r="M764" s="110"/>
      <c r="N764" s="110"/>
      <c r="O764" s="110"/>
      <c r="P764" s="110"/>
      <c r="Q764" s="110"/>
      <c r="R764" s="110"/>
      <c r="S764" s="110"/>
      <c r="T764" s="110"/>
      <c r="V764" s="4"/>
      <c r="W764" s="35"/>
    </row>
    <row r="765" spans="1:23" x14ac:dyDescent="0.25">
      <c r="A765" s="36">
        <f t="shared" si="79"/>
        <v>53</v>
      </c>
      <c r="I765" s="48"/>
      <c r="J765" s="48"/>
      <c r="K765" s="48"/>
      <c r="L765" s="48"/>
      <c r="M765" s="110"/>
      <c r="N765" s="110"/>
      <c r="O765" s="110"/>
      <c r="P765" s="110"/>
      <c r="Q765" s="110"/>
      <c r="R765" s="110"/>
      <c r="S765" s="110"/>
      <c r="T765" s="110"/>
      <c r="V765" s="4"/>
      <c r="W765" s="35"/>
    </row>
    <row r="766" spans="1:23" x14ac:dyDescent="0.25">
      <c r="A766" s="36">
        <f t="shared" si="79"/>
        <v>53</v>
      </c>
      <c r="I766" s="48"/>
      <c r="J766" s="48"/>
      <c r="K766" s="48"/>
      <c r="L766" s="48"/>
      <c r="M766" s="110"/>
      <c r="N766" s="110"/>
      <c r="O766" s="110"/>
      <c r="P766" s="110"/>
      <c r="Q766" s="110"/>
      <c r="R766" s="110"/>
      <c r="S766" s="110"/>
      <c r="T766" s="110"/>
      <c r="V766" s="4"/>
      <c r="W766" s="35"/>
    </row>
    <row r="767" spans="1:23" x14ac:dyDescent="0.25">
      <c r="A767" s="36">
        <f t="shared" si="79"/>
        <v>53</v>
      </c>
      <c r="I767" s="48"/>
      <c r="J767" s="48"/>
      <c r="K767" s="48"/>
      <c r="L767" s="48"/>
      <c r="M767" s="110"/>
      <c r="N767" s="110"/>
      <c r="O767" s="110"/>
      <c r="P767" s="110"/>
      <c r="Q767" s="110"/>
      <c r="R767" s="110"/>
      <c r="S767" s="110"/>
      <c r="T767" s="110"/>
      <c r="V767" s="4"/>
      <c r="W767" s="35"/>
    </row>
    <row r="768" spans="1:23" x14ac:dyDescent="0.25">
      <c r="A768" s="36">
        <f t="shared" si="79"/>
        <v>53</v>
      </c>
      <c r="I768" s="48"/>
      <c r="J768" s="48"/>
      <c r="K768" s="48"/>
      <c r="L768" s="48"/>
      <c r="M768" s="110"/>
      <c r="N768" s="110"/>
      <c r="O768" s="110"/>
      <c r="P768" s="110"/>
      <c r="Q768" s="110"/>
      <c r="R768" s="110"/>
      <c r="S768" s="110"/>
      <c r="T768" s="110"/>
      <c r="V768" s="4"/>
      <c r="W768" s="35"/>
    </row>
    <row r="769" spans="1:23" x14ac:dyDescent="0.25">
      <c r="A769" s="36">
        <f t="shared" si="79"/>
        <v>53</v>
      </c>
      <c r="I769" s="48"/>
      <c r="J769" s="48"/>
      <c r="K769" s="48"/>
      <c r="L769" s="48"/>
      <c r="M769" s="110"/>
      <c r="N769" s="110"/>
      <c r="O769" s="110"/>
      <c r="P769" s="110"/>
      <c r="Q769" s="110"/>
      <c r="R769" s="110"/>
      <c r="S769" s="110"/>
      <c r="T769" s="110"/>
      <c r="V769" s="4"/>
      <c r="W769" s="35"/>
    </row>
    <row r="770" spans="1:23" x14ac:dyDescent="0.25">
      <c r="A770" s="36">
        <f t="shared" si="79"/>
        <v>53</v>
      </c>
      <c r="I770" s="48"/>
      <c r="J770" s="48"/>
      <c r="K770" s="48"/>
      <c r="L770" s="48"/>
      <c r="M770" s="110"/>
      <c r="N770" s="110"/>
      <c r="O770" s="110"/>
      <c r="P770" s="110"/>
      <c r="Q770" s="110"/>
      <c r="R770" s="110"/>
      <c r="S770" s="110"/>
      <c r="T770" s="110"/>
      <c r="V770" s="4"/>
      <c r="W770" s="35"/>
    </row>
    <row r="771" spans="1:23" x14ac:dyDescent="0.25">
      <c r="A771" s="36">
        <f t="shared" si="79"/>
        <v>53</v>
      </c>
      <c r="I771" s="48"/>
      <c r="J771" s="48"/>
      <c r="K771" s="48"/>
      <c r="L771" s="48"/>
      <c r="M771" s="110"/>
      <c r="N771" s="110"/>
      <c r="O771" s="110"/>
      <c r="P771" s="110"/>
      <c r="Q771" s="110"/>
      <c r="R771" s="110"/>
      <c r="S771" s="110"/>
      <c r="T771" s="110"/>
      <c r="V771" s="4"/>
      <c r="W771" s="35"/>
    </row>
    <row r="772" spans="1:23" x14ac:dyDescent="0.25">
      <c r="A772" s="36">
        <f t="shared" si="79"/>
        <v>53</v>
      </c>
      <c r="I772" s="48"/>
      <c r="J772" s="48"/>
      <c r="K772" s="48"/>
      <c r="L772" s="48"/>
      <c r="M772" s="110"/>
      <c r="N772" s="110"/>
      <c r="O772" s="110"/>
      <c r="P772" s="110"/>
      <c r="Q772" s="110"/>
      <c r="R772" s="110"/>
      <c r="S772" s="110"/>
      <c r="T772" s="110"/>
      <c r="V772" s="4"/>
      <c r="W772" s="35"/>
    </row>
    <row r="773" spans="1:23" x14ac:dyDescent="0.25">
      <c r="A773" s="36">
        <f t="shared" ref="A773:A836" si="80">IF(B773=B772,A772,A772+1)</f>
        <v>53</v>
      </c>
      <c r="I773" s="48"/>
      <c r="J773" s="48"/>
      <c r="K773" s="48"/>
      <c r="L773" s="48"/>
      <c r="M773" s="110"/>
      <c r="N773" s="110"/>
      <c r="O773" s="110"/>
      <c r="P773" s="110"/>
      <c r="Q773" s="110"/>
      <c r="R773" s="110"/>
      <c r="S773" s="110"/>
      <c r="T773" s="110"/>
      <c r="V773" s="4"/>
      <c r="W773" s="35"/>
    </row>
    <row r="774" spans="1:23" x14ac:dyDescent="0.25">
      <c r="A774" s="36">
        <f t="shared" si="80"/>
        <v>53</v>
      </c>
      <c r="I774" s="48"/>
      <c r="J774" s="48"/>
      <c r="K774" s="48"/>
      <c r="L774" s="48"/>
      <c r="M774" s="110"/>
      <c r="N774" s="110"/>
      <c r="O774" s="110"/>
      <c r="P774" s="110"/>
      <c r="Q774" s="110"/>
      <c r="R774" s="110"/>
      <c r="S774" s="110"/>
      <c r="T774" s="110"/>
      <c r="V774" s="4"/>
      <c r="W774" s="35"/>
    </row>
    <row r="775" spans="1:23" x14ac:dyDescent="0.25">
      <c r="A775" s="36">
        <f t="shared" si="80"/>
        <v>53</v>
      </c>
      <c r="I775" s="48"/>
      <c r="J775" s="48"/>
      <c r="K775" s="48"/>
      <c r="L775" s="48"/>
      <c r="M775" s="110"/>
      <c r="N775" s="110"/>
      <c r="O775" s="110"/>
      <c r="P775" s="110"/>
      <c r="Q775" s="110"/>
      <c r="R775" s="110"/>
      <c r="S775" s="110"/>
      <c r="T775" s="110"/>
      <c r="V775" s="4"/>
      <c r="W775" s="35"/>
    </row>
    <row r="776" spans="1:23" x14ac:dyDescent="0.25">
      <c r="A776" s="36">
        <f t="shared" si="80"/>
        <v>53</v>
      </c>
      <c r="I776" s="48"/>
      <c r="J776" s="48"/>
      <c r="K776" s="48"/>
      <c r="L776" s="48"/>
      <c r="M776" s="110"/>
      <c r="N776" s="110"/>
      <c r="O776" s="110"/>
      <c r="P776" s="110"/>
      <c r="Q776" s="110"/>
      <c r="R776" s="110"/>
      <c r="S776" s="110"/>
      <c r="T776" s="110"/>
      <c r="V776" s="4"/>
      <c r="W776" s="35"/>
    </row>
    <row r="777" spans="1:23" x14ac:dyDescent="0.25">
      <c r="A777" s="36">
        <f t="shared" si="80"/>
        <v>53</v>
      </c>
      <c r="I777" s="48"/>
      <c r="J777" s="48"/>
      <c r="K777" s="48"/>
      <c r="L777" s="48"/>
      <c r="M777" s="110"/>
      <c r="N777" s="110"/>
      <c r="O777" s="110"/>
      <c r="P777" s="110"/>
      <c r="Q777" s="110"/>
      <c r="R777" s="110"/>
      <c r="S777" s="110"/>
      <c r="T777" s="110"/>
      <c r="V777" s="4"/>
      <c r="W777" s="35"/>
    </row>
    <row r="778" spans="1:23" x14ac:dyDescent="0.25">
      <c r="A778" s="36">
        <f t="shared" si="80"/>
        <v>53</v>
      </c>
      <c r="I778" s="48"/>
      <c r="J778" s="48"/>
      <c r="K778" s="48"/>
      <c r="L778" s="48"/>
      <c r="M778" s="110"/>
      <c r="N778" s="110"/>
      <c r="O778" s="110"/>
      <c r="P778" s="110"/>
      <c r="Q778" s="110"/>
      <c r="R778" s="110"/>
      <c r="S778" s="110"/>
      <c r="T778" s="110"/>
      <c r="V778" s="4"/>
      <c r="W778" s="35"/>
    </row>
    <row r="779" spans="1:23" x14ac:dyDescent="0.25">
      <c r="A779" s="36">
        <f t="shared" si="80"/>
        <v>53</v>
      </c>
      <c r="I779" s="48"/>
      <c r="J779" s="48"/>
      <c r="K779" s="48"/>
      <c r="L779" s="48"/>
      <c r="M779" s="110"/>
      <c r="N779" s="110"/>
      <c r="O779" s="110"/>
      <c r="P779" s="110"/>
      <c r="Q779" s="110"/>
      <c r="R779" s="110"/>
      <c r="S779" s="110"/>
      <c r="T779" s="110"/>
      <c r="V779" s="4"/>
      <c r="W779" s="35"/>
    </row>
    <row r="780" spans="1:23" x14ac:dyDescent="0.25">
      <c r="A780" s="36">
        <f t="shared" si="80"/>
        <v>53</v>
      </c>
      <c r="I780" s="48"/>
      <c r="J780" s="48"/>
      <c r="K780" s="48"/>
      <c r="L780" s="48"/>
      <c r="M780" s="110"/>
      <c r="N780" s="110"/>
      <c r="O780" s="110"/>
      <c r="P780" s="110"/>
      <c r="Q780" s="110"/>
      <c r="R780" s="110"/>
      <c r="S780" s="110"/>
      <c r="T780" s="110"/>
      <c r="V780" s="4"/>
      <c r="W780" s="35"/>
    </row>
    <row r="781" spans="1:23" x14ac:dyDescent="0.25">
      <c r="A781" s="36">
        <f t="shared" si="80"/>
        <v>53</v>
      </c>
      <c r="I781" s="48"/>
      <c r="J781" s="48"/>
      <c r="K781" s="48"/>
      <c r="L781" s="48"/>
      <c r="M781" s="110"/>
      <c r="N781" s="110"/>
      <c r="O781" s="110"/>
      <c r="P781" s="110"/>
      <c r="Q781" s="110"/>
      <c r="R781" s="110"/>
      <c r="S781" s="110"/>
      <c r="T781" s="110"/>
      <c r="V781" s="4"/>
      <c r="W781" s="35"/>
    </row>
    <row r="782" spans="1:23" x14ac:dyDescent="0.25">
      <c r="A782" s="36">
        <f t="shared" si="80"/>
        <v>53</v>
      </c>
      <c r="I782" s="48"/>
      <c r="J782" s="48"/>
      <c r="K782" s="48"/>
      <c r="L782" s="48"/>
      <c r="M782" s="110"/>
      <c r="N782" s="110"/>
      <c r="O782" s="110"/>
      <c r="P782" s="110"/>
      <c r="Q782" s="110"/>
      <c r="R782" s="110"/>
      <c r="S782" s="110"/>
      <c r="T782" s="110"/>
      <c r="V782" s="4"/>
      <c r="W782" s="35"/>
    </row>
    <row r="783" spans="1:23" x14ac:dyDescent="0.25">
      <c r="A783" s="36">
        <f t="shared" si="80"/>
        <v>53</v>
      </c>
      <c r="I783" s="48"/>
      <c r="J783" s="48"/>
      <c r="K783" s="48"/>
      <c r="L783" s="48"/>
      <c r="M783" s="110"/>
      <c r="N783" s="110"/>
      <c r="O783" s="110"/>
      <c r="P783" s="110"/>
      <c r="Q783" s="110"/>
      <c r="R783" s="110"/>
      <c r="S783" s="110"/>
      <c r="T783" s="110"/>
      <c r="V783" s="4"/>
      <c r="W783" s="35"/>
    </row>
    <row r="784" spans="1:23" x14ac:dyDescent="0.25">
      <c r="A784" s="36">
        <f t="shared" si="80"/>
        <v>53</v>
      </c>
      <c r="I784" s="48"/>
      <c r="J784" s="48"/>
      <c r="K784" s="48"/>
      <c r="L784" s="48"/>
      <c r="M784" s="110"/>
      <c r="N784" s="110"/>
      <c r="O784" s="110"/>
      <c r="P784" s="110"/>
      <c r="Q784" s="110"/>
      <c r="R784" s="110"/>
      <c r="S784" s="110"/>
      <c r="T784" s="110"/>
      <c r="V784" s="4"/>
      <c r="W784" s="35"/>
    </row>
    <row r="785" spans="1:23" x14ac:dyDescent="0.25">
      <c r="A785" s="36">
        <f t="shared" si="80"/>
        <v>53</v>
      </c>
      <c r="I785" s="48"/>
      <c r="J785" s="48"/>
      <c r="K785" s="48"/>
      <c r="L785" s="48"/>
      <c r="M785" s="110"/>
      <c r="N785" s="110"/>
      <c r="O785" s="110"/>
      <c r="P785" s="110"/>
      <c r="Q785" s="110"/>
      <c r="R785" s="110"/>
      <c r="S785" s="110"/>
      <c r="T785" s="110"/>
      <c r="V785" s="4"/>
      <c r="W785" s="35"/>
    </row>
    <row r="786" spans="1:23" x14ac:dyDescent="0.25">
      <c r="A786" s="36">
        <f t="shared" si="80"/>
        <v>53</v>
      </c>
      <c r="I786" s="48"/>
      <c r="J786" s="48"/>
      <c r="K786" s="48"/>
      <c r="L786" s="48"/>
      <c r="M786" s="110"/>
      <c r="N786" s="110"/>
      <c r="O786" s="110"/>
      <c r="P786" s="110"/>
      <c r="Q786" s="110"/>
      <c r="R786" s="110"/>
      <c r="S786" s="110"/>
      <c r="T786" s="110"/>
      <c r="V786" s="4"/>
      <c r="W786" s="35"/>
    </row>
    <row r="787" spans="1:23" x14ac:dyDescent="0.25">
      <c r="A787" s="36">
        <f t="shared" si="80"/>
        <v>53</v>
      </c>
      <c r="I787" s="48"/>
      <c r="J787" s="48"/>
      <c r="K787" s="48"/>
      <c r="L787" s="48"/>
      <c r="M787" s="110"/>
      <c r="N787" s="110"/>
      <c r="O787" s="110"/>
      <c r="P787" s="110"/>
      <c r="Q787" s="110"/>
      <c r="R787" s="110"/>
      <c r="S787" s="110"/>
      <c r="T787" s="110"/>
      <c r="V787" s="4"/>
      <c r="W787" s="35"/>
    </row>
    <row r="788" spans="1:23" x14ac:dyDescent="0.25">
      <c r="A788" s="36">
        <f t="shared" si="80"/>
        <v>53</v>
      </c>
      <c r="I788" s="48"/>
      <c r="J788" s="48"/>
      <c r="K788" s="48"/>
      <c r="L788" s="48"/>
      <c r="M788" s="110"/>
      <c r="N788" s="110"/>
      <c r="O788" s="110"/>
      <c r="P788" s="110"/>
      <c r="Q788" s="110"/>
      <c r="R788" s="110"/>
      <c r="S788" s="110"/>
      <c r="T788" s="110"/>
      <c r="V788" s="4"/>
      <c r="W788" s="35"/>
    </row>
    <row r="789" spans="1:23" x14ac:dyDescent="0.25">
      <c r="A789" s="36">
        <f t="shared" si="80"/>
        <v>53</v>
      </c>
      <c r="I789" s="48"/>
      <c r="J789" s="48"/>
      <c r="K789" s="48"/>
      <c r="L789" s="48"/>
      <c r="M789" s="110"/>
      <c r="N789" s="110"/>
      <c r="O789" s="110"/>
      <c r="P789" s="110"/>
      <c r="Q789" s="110"/>
      <c r="R789" s="110"/>
      <c r="S789" s="110"/>
      <c r="T789" s="110"/>
      <c r="V789" s="4"/>
      <c r="W789" s="35"/>
    </row>
    <row r="790" spans="1:23" x14ac:dyDescent="0.25">
      <c r="A790" s="36">
        <f t="shared" si="80"/>
        <v>53</v>
      </c>
      <c r="I790" s="48"/>
      <c r="J790" s="48"/>
      <c r="K790" s="48"/>
      <c r="L790" s="48"/>
      <c r="M790" s="110"/>
      <c r="N790" s="110"/>
      <c r="O790" s="110"/>
      <c r="P790" s="110"/>
      <c r="Q790" s="110"/>
      <c r="R790" s="110"/>
      <c r="S790" s="110"/>
      <c r="T790" s="110"/>
      <c r="V790" s="4"/>
      <c r="W790" s="35"/>
    </row>
    <row r="791" spans="1:23" x14ac:dyDescent="0.25">
      <c r="A791" s="36">
        <f t="shared" si="80"/>
        <v>53</v>
      </c>
      <c r="I791" s="48"/>
      <c r="J791" s="48"/>
      <c r="K791" s="48"/>
      <c r="L791" s="48"/>
      <c r="M791" s="110"/>
      <c r="N791" s="110"/>
      <c r="O791" s="110"/>
      <c r="P791" s="110"/>
      <c r="Q791" s="110"/>
      <c r="R791" s="110"/>
      <c r="S791" s="110"/>
      <c r="T791" s="110"/>
      <c r="V791" s="4"/>
      <c r="W791" s="35"/>
    </row>
    <row r="792" spans="1:23" x14ac:dyDescent="0.25">
      <c r="A792" s="36">
        <f t="shared" si="80"/>
        <v>53</v>
      </c>
      <c r="I792" s="48"/>
      <c r="J792" s="48"/>
      <c r="K792" s="48"/>
      <c r="L792" s="48"/>
      <c r="M792" s="110"/>
      <c r="N792" s="110"/>
      <c r="O792" s="110"/>
      <c r="P792" s="110"/>
      <c r="Q792" s="110"/>
      <c r="R792" s="110"/>
      <c r="S792" s="110"/>
      <c r="T792" s="110"/>
      <c r="V792" s="4"/>
      <c r="W792" s="35"/>
    </row>
    <row r="793" spans="1:23" x14ac:dyDescent="0.25">
      <c r="A793" s="36">
        <f t="shared" si="80"/>
        <v>53</v>
      </c>
      <c r="I793" s="48"/>
      <c r="J793" s="48"/>
      <c r="K793" s="48"/>
      <c r="L793" s="48"/>
      <c r="M793" s="110"/>
      <c r="N793" s="110"/>
      <c r="O793" s="110"/>
      <c r="P793" s="110"/>
      <c r="Q793" s="110"/>
      <c r="R793" s="110"/>
      <c r="S793" s="110"/>
      <c r="T793" s="110"/>
      <c r="V793" s="4"/>
      <c r="W793" s="35"/>
    </row>
    <row r="794" spans="1:23" x14ac:dyDescent="0.25">
      <c r="A794" s="36">
        <f t="shared" si="80"/>
        <v>53</v>
      </c>
      <c r="I794" s="48"/>
      <c r="J794" s="48"/>
      <c r="K794" s="48"/>
      <c r="L794" s="48"/>
      <c r="M794" s="110"/>
      <c r="N794" s="110"/>
      <c r="O794" s="110"/>
      <c r="P794" s="110"/>
      <c r="Q794" s="110"/>
      <c r="R794" s="110"/>
      <c r="S794" s="110"/>
      <c r="T794" s="110"/>
      <c r="V794" s="4"/>
      <c r="W794" s="35"/>
    </row>
    <row r="795" spans="1:23" x14ac:dyDescent="0.25">
      <c r="A795" s="36">
        <f t="shared" si="80"/>
        <v>53</v>
      </c>
      <c r="I795" s="48"/>
      <c r="J795" s="48"/>
      <c r="K795" s="48"/>
      <c r="L795" s="48"/>
      <c r="M795" s="110"/>
      <c r="N795" s="110"/>
      <c r="O795" s="110"/>
      <c r="P795" s="110"/>
      <c r="Q795" s="110"/>
      <c r="R795" s="110"/>
      <c r="S795" s="110"/>
      <c r="T795" s="110"/>
      <c r="V795" s="4"/>
      <c r="W795" s="35"/>
    </row>
    <row r="796" spans="1:23" x14ac:dyDescent="0.25">
      <c r="A796" s="36">
        <f t="shared" si="80"/>
        <v>53</v>
      </c>
      <c r="I796" s="48"/>
      <c r="J796" s="48"/>
      <c r="K796" s="48"/>
      <c r="L796" s="48"/>
      <c r="M796" s="110"/>
      <c r="N796" s="110"/>
      <c r="O796" s="110"/>
      <c r="P796" s="110"/>
      <c r="Q796" s="110"/>
      <c r="R796" s="110"/>
      <c r="S796" s="110"/>
      <c r="T796" s="110"/>
      <c r="V796" s="4"/>
      <c r="W796" s="35"/>
    </row>
    <row r="797" spans="1:23" x14ac:dyDescent="0.25">
      <c r="A797" s="36">
        <f t="shared" si="80"/>
        <v>53</v>
      </c>
      <c r="I797" s="48"/>
      <c r="J797" s="48"/>
      <c r="K797" s="48"/>
      <c r="L797" s="48"/>
      <c r="M797" s="110"/>
      <c r="N797" s="110"/>
      <c r="O797" s="110"/>
      <c r="P797" s="110"/>
      <c r="Q797" s="110"/>
      <c r="R797" s="110"/>
      <c r="S797" s="110"/>
      <c r="T797" s="110"/>
      <c r="V797" s="4"/>
      <c r="W797" s="35"/>
    </row>
    <row r="798" spans="1:23" x14ac:dyDescent="0.25">
      <c r="A798" s="36">
        <f t="shared" si="80"/>
        <v>53</v>
      </c>
      <c r="I798" s="48"/>
      <c r="J798" s="48"/>
      <c r="K798" s="48"/>
      <c r="L798" s="48"/>
      <c r="M798" s="110"/>
      <c r="N798" s="110"/>
      <c r="O798" s="110"/>
      <c r="P798" s="110"/>
      <c r="Q798" s="110"/>
      <c r="R798" s="110"/>
      <c r="S798" s="110"/>
      <c r="T798" s="110"/>
      <c r="V798" s="4"/>
      <c r="W798" s="35"/>
    </row>
    <row r="799" spans="1:23" x14ac:dyDescent="0.25">
      <c r="A799" s="36">
        <f t="shared" si="80"/>
        <v>53</v>
      </c>
      <c r="I799" s="48"/>
      <c r="J799" s="48"/>
      <c r="K799" s="48"/>
      <c r="L799" s="48"/>
      <c r="M799" s="110"/>
      <c r="N799" s="110"/>
      <c r="O799" s="110"/>
      <c r="P799" s="110"/>
      <c r="Q799" s="110"/>
      <c r="R799" s="110"/>
      <c r="S799" s="110"/>
      <c r="T799" s="110"/>
      <c r="V799" s="4"/>
      <c r="W799" s="35"/>
    </row>
    <row r="800" spans="1:23" x14ac:dyDescent="0.25">
      <c r="A800" s="36">
        <f t="shared" si="80"/>
        <v>53</v>
      </c>
      <c r="I800" s="48"/>
      <c r="J800" s="48"/>
      <c r="K800" s="48"/>
      <c r="L800" s="48"/>
      <c r="M800" s="110"/>
      <c r="N800" s="110"/>
      <c r="O800" s="110"/>
      <c r="P800" s="110"/>
      <c r="Q800" s="110"/>
      <c r="R800" s="110"/>
      <c r="S800" s="110"/>
      <c r="T800" s="110"/>
      <c r="V800" s="4"/>
      <c r="W800" s="35"/>
    </row>
    <row r="801" spans="1:23" x14ac:dyDescent="0.25">
      <c r="A801" s="36">
        <f t="shared" si="80"/>
        <v>53</v>
      </c>
      <c r="I801" s="48"/>
      <c r="J801" s="48"/>
      <c r="K801" s="48"/>
      <c r="L801" s="48"/>
      <c r="M801" s="110"/>
      <c r="N801" s="110"/>
      <c r="O801" s="110"/>
      <c r="P801" s="110"/>
      <c r="Q801" s="110"/>
      <c r="R801" s="110"/>
      <c r="S801" s="110"/>
      <c r="T801" s="110"/>
      <c r="V801" s="4"/>
      <c r="W801" s="35"/>
    </row>
    <row r="802" spans="1:23" x14ac:dyDescent="0.25">
      <c r="A802" s="36">
        <f t="shared" si="80"/>
        <v>53</v>
      </c>
      <c r="I802" s="48"/>
      <c r="J802" s="48"/>
      <c r="K802" s="48"/>
      <c r="L802" s="48"/>
      <c r="M802" s="110"/>
      <c r="N802" s="110"/>
      <c r="O802" s="110"/>
      <c r="P802" s="110"/>
      <c r="Q802" s="110"/>
      <c r="R802" s="110"/>
      <c r="S802" s="110"/>
      <c r="T802" s="110"/>
      <c r="V802" s="4"/>
      <c r="W802" s="35"/>
    </row>
    <row r="803" spans="1:23" x14ac:dyDescent="0.25">
      <c r="A803" s="36">
        <f t="shared" si="80"/>
        <v>53</v>
      </c>
      <c r="I803" s="48"/>
      <c r="J803" s="48"/>
      <c r="K803" s="48"/>
      <c r="L803" s="48"/>
      <c r="M803" s="110"/>
      <c r="N803" s="110"/>
      <c r="O803" s="110"/>
      <c r="P803" s="110"/>
      <c r="Q803" s="110"/>
      <c r="R803" s="110"/>
      <c r="S803" s="110"/>
      <c r="T803" s="110"/>
      <c r="V803" s="4"/>
      <c r="W803" s="35"/>
    </row>
    <row r="804" spans="1:23" x14ac:dyDescent="0.25">
      <c r="A804" s="36">
        <f t="shared" si="80"/>
        <v>53</v>
      </c>
      <c r="I804" s="48"/>
      <c r="J804" s="48"/>
      <c r="K804" s="48"/>
      <c r="L804" s="48"/>
      <c r="M804" s="110"/>
      <c r="N804" s="110"/>
      <c r="O804" s="110"/>
      <c r="P804" s="110"/>
      <c r="Q804" s="110"/>
      <c r="R804" s="110"/>
      <c r="S804" s="110"/>
      <c r="T804" s="110"/>
      <c r="V804" s="4"/>
      <c r="W804" s="35"/>
    </row>
    <row r="805" spans="1:23" x14ac:dyDescent="0.25">
      <c r="A805" s="36">
        <f t="shared" si="80"/>
        <v>53</v>
      </c>
      <c r="I805" s="48"/>
      <c r="J805" s="48"/>
      <c r="K805" s="48"/>
      <c r="L805" s="48"/>
      <c r="M805" s="110"/>
      <c r="N805" s="110"/>
      <c r="O805" s="110"/>
      <c r="P805" s="110"/>
      <c r="Q805" s="110"/>
      <c r="R805" s="110"/>
      <c r="S805" s="110"/>
      <c r="T805" s="110"/>
      <c r="V805" s="4"/>
      <c r="W805" s="35"/>
    </row>
    <row r="806" spans="1:23" x14ac:dyDescent="0.25">
      <c r="A806" s="36">
        <f t="shared" si="80"/>
        <v>53</v>
      </c>
      <c r="I806" s="48"/>
      <c r="J806" s="48"/>
      <c r="K806" s="48"/>
      <c r="L806" s="48"/>
      <c r="M806" s="110"/>
      <c r="N806" s="110"/>
      <c r="O806" s="110"/>
      <c r="P806" s="110"/>
      <c r="Q806" s="110"/>
      <c r="R806" s="110"/>
      <c r="S806" s="110"/>
      <c r="T806" s="110"/>
      <c r="V806" s="4"/>
      <c r="W806" s="35"/>
    </row>
    <row r="807" spans="1:23" x14ac:dyDescent="0.25">
      <c r="A807" s="36">
        <f t="shared" si="80"/>
        <v>53</v>
      </c>
      <c r="I807" s="48"/>
      <c r="J807" s="48"/>
      <c r="K807" s="48"/>
      <c r="L807" s="48"/>
      <c r="M807" s="110"/>
      <c r="N807" s="110"/>
      <c r="O807" s="110"/>
      <c r="P807" s="110"/>
      <c r="Q807" s="110"/>
      <c r="R807" s="110"/>
      <c r="S807" s="110"/>
      <c r="T807" s="110"/>
      <c r="V807" s="4"/>
      <c r="W807" s="35"/>
    </row>
    <row r="808" spans="1:23" x14ac:dyDescent="0.25">
      <c r="A808" s="36">
        <f t="shared" si="80"/>
        <v>53</v>
      </c>
      <c r="I808" s="48"/>
      <c r="J808" s="48"/>
      <c r="K808" s="48"/>
      <c r="L808" s="48"/>
      <c r="M808" s="110"/>
      <c r="N808" s="110"/>
      <c r="O808" s="110"/>
      <c r="P808" s="110"/>
      <c r="Q808" s="110"/>
      <c r="R808" s="110"/>
      <c r="S808" s="110"/>
      <c r="T808" s="110"/>
      <c r="V808" s="4"/>
      <c r="W808" s="35"/>
    </row>
    <row r="809" spans="1:23" x14ac:dyDescent="0.25">
      <c r="A809" s="36">
        <f t="shared" si="80"/>
        <v>53</v>
      </c>
      <c r="I809" s="48"/>
      <c r="J809" s="48"/>
      <c r="K809" s="48"/>
      <c r="L809" s="48"/>
      <c r="M809" s="110"/>
      <c r="N809" s="110"/>
      <c r="O809" s="110"/>
      <c r="P809" s="110"/>
      <c r="Q809" s="110"/>
      <c r="R809" s="110"/>
      <c r="S809" s="110"/>
      <c r="T809" s="110"/>
      <c r="V809" s="4"/>
      <c r="W809" s="35"/>
    </row>
    <row r="810" spans="1:23" x14ac:dyDescent="0.25">
      <c r="A810" s="36">
        <f t="shared" si="80"/>
        <v>53</v>
      </c>
      <c r="I810" s="48"/>
      <c r="J810" s="48"/>
      <c r="K810" s="48"/>
      <c r="L810" s="48"/>
      <c r="M810" s="110"/>
      <c r="N810" s="110"/>
      <c r="O810" s="110"/>
      <c r="P810" s="110"/>
      <c r="Q810" s="110"/>
      <c r="R810" s="110"/>
      <c r="S810" s="110"/>
      <c r="T810" s="110"/>
      <c r="V810" s="4"/>
      <c r="W810" s="35"/>
    </row>
    <row r="811" spans="1:23" x14ac:dyDescent="0.25">
      <c r="A811" s="36">
        <f t="shared" si="80"/>
        <v>53</v>
      </c>
      <c r="I811" s="48"/>
      <c r="J811" s="48"/>
      <c r="K811" s="48"/>
      <c r="L811" s="48"/>
      <c r="M811" s="110"/>
      <c r="N811" s="110"/>
      <c r="O811" s="110"/>
      <c r="P811" s="110"/>
      <c r="Q811" s="110"/>
      <c r="R811" s="110"/>
      <c r="S811" s="110"/>
      <c r="T811" s="110"/>
      <c r="V811" s="4"/>
      <c r="W811" s="35"/>
    </row>
    <row r="812" spans="1:23" x14ac:dyDescent="0.25">
      <c r="A812" s="36">
        <f t="shared" si="80"/>
        <v>53</v>
      </c>
      <c r="I812" s="48"/>
      <c r="J812" s="48"/>
      <c r="K812" s="48"/>
      <c r="L812" s="48"/>
      <c r="M812" s="110"/>
      <c r="N812" s="110"/>
      <c r="O812" s="110"/>
      <c r="P812" s="110"/>
      <c r="Q812" s="110"/>
      <c r="R812" s="110"/>
      <c r="S812" s="110"/>
      <c r="T812" s="110"/>
      <c r="V812" s="4"/>
      <c r="W812" s="35"/>
    </row>
    <row r="813" spans="1:23" x14ac:dyDescent="0.25">
      <c r="A813" s="36">
        <f t="shared" si="80"/>
        <v>53</v>
      </c>
      <c r="I813" s="48"/>
      <c r="J813" s="48"/>
      <c r="K813" s="48"/>
      <c r="L813" s="48"/>
      <c r="M813" s="110"/>
      <c r="N813" s="110"/>
      <c r="O813" s="110"/>
      <c r="P813" s="110"/>
      <c r="Q813" s="110"/>
      <c r="R813" s="110"/>
      <c r="S813" s="110"/>
      <c r="T813" s="110"/>
      <c r="V813" s="4"/>
      <c r="W813" s="35"/>
    </row>
    <row r="814" spans="1:23" x14ac:dyDescent="0.25">
      <c r="A814" s="36">
        <f t="shared" si="80"/>
        <v>53</v>
      </c>
      <c r="I814" s="48"/>
      <c r="J814" s="48"/>
      <c r="K814" s="48"/>
      <c r="L814" s="48"/>
      <c r="M814" s="110"/>
      <c r="N814" s="110"/>
      <c r="O814" s="110"/>
      <c r="P814" s="110"/>
      <c r="Q814" s="110"/>
      <c r="R814" s="110"/>
      <c r="S814" s="110"/>
      <c r="T814" s="110"/>
      <c r="V814" s="4"/>
      <c r="W814" s="35"/>
    </row>
    <row r="815" spans="1:23" x14ac:dyDescent="0.25">
      <c r="A815" s="36">
        <f t="shared" si="80"/>
        <v>53</v>
      </c>
      <c r="I815" s="48"/>
      <c r="J815" s="48"/>
      <c r="K815" s="48"/>
      <c r="L815" s="48"/>
      <c r="M815" s="110"/>
      <c r="N815" s="110"/>
      <c r="O815" s="110"/>
      <c r="P815" s="110"/>
      <c r="Q815" s="110"/>
      <c r="R815" s="110"/>
      <c r="S815" s="110"/>
      <c r="T815" s="110"/>
      <c r="V815" s="4"/>
      <c r="W815" s="35"/>
    </row>
    <row r="816" spans="1:23" x14ac:dyDescent="0.25">
      <c r="A816" s="36">
        <f t="shared" si="80"/>
        <v>53</v>
      </c>
      <c r="I816" s="48"/>
      <c r="J816" s="48"/>
      <c r="K816" s="48"/>
      <c r="L816" s="48"/>
      <c r="M816" s="110"/>
      <c r="N816" s="110"/>
      <c r="O816" s="110"/>
      <c r="P816" s="110"/>
      <c r="Q816" s="110"/>
      <c r="R816" s="110"/>
      <c r="S816" s="110"/>
      <c r="T816" s="110"/>
      <c r="V816" s="4"/>
      <c r="W816" s="35"/>
    </row>
    <row r="817" spans="1:23" x14ac:dyDescent="0.25">
      <c r="A817" s="36">
        <f t="shared" si="80"/>
        <v>53</v>
      </c>
      <c r="I817" s="48"/>
      <c r="J817" s="48"/>
      <c r="K817" s="48"/>
      <c r="L817" s="48"/>
      <c r="M817" s="110"/>
      <c r="N817" s="110"/>
      <c r="O817" s="110"/>
      <c r="P817" s="110"/>
      <c r="Q817" s="110"/>
      <c r="R817" s="110"/>
      <c r="S817" s="110"/>
      <c r="T817" s="110"/>
      <c r="V817" s="4"/>
      <c r="W817" s="35"/>
    </row>
    <row r="818" spans="1:23" x14ac:dyDescent="0.25">
      <c r="A818" s="36">
        <f t="shared" si="80"/>
        <v>53</v>
      </c>
      <c r="I818" s="48"/>
      <c r="J818" s="48"/>
      <c r="K818" s="48"/>
      <c r="L818" s="48"/>
      <c r="M818" s="110"/>
      <c r="N818" s="110"/>
      <c r="O818" s="110"/>
      <c r="P818" s="110"/>
      <c r="Q818" s="110"/>
      <c r="R818" s="110"/>
      <c r="S818" s="110"/>
      <c r="T818" s="110"/>
      <c r="V818" s="4"/>
      <c r="W818" s="35"/>
    </row>
    <row r="819" spans="1:23" x14ac:dyDescent="0.25">
      <c r="A819" s="36">
        <f t="shared" si="80"/>
        <v>53</v>
      </c>
      <c r="I819" s="48"/>
      <c r="J819" s="48"/>
      <c r="K819" s="48"/>
      <c r="L819" s="48"/>
      <c r="M819" s="110"/>
      <c r="N819" s="110"/>
      <c r="O819" s="110"/>
      <c r="P819" s="110"/>
      <c r="Q819" s="110"/>
      <c r="R819" s="110"/>
      <c r="S819" s="110"/>
      <c r="T819" s="110"/>
      <c r="V819" s="4"/>
      <c r="W819" s="35"/>
    </row>
    <row r="820" spans="1:23" x14ac:dyDescent="0.25">
      <c r="A820" s="36">
        <f t="shared" si="80"/>
        <v>53</v>
      </c>
      <c r="I820" s="48"/>
      <c r="J820" s="48"/>
      <c r="K820" s="48"/>
      <c r="L820" s="48"/>
      <c r="M820" s="110"/>
      <c r="N820" s="110"/>
      <c r="O820" s="110"/>
      <c r="P820" s="110"/>
      <c r="Q820" s="110"/>
      <c r="R820" s="110"/>
      <c r="S820" s="110"/>
      <c r="T820" s="110"/>
      <c r="V820" s="4"/>
      <c r="W820" s="35"/>
    </row>
    <row r="821" spans="1:23" x14ac:dyDescent="0.25">
      <c r="A821" s="36">
        <f t="shared" si="80"/>
        <v>53</v>
      </c>
      <c r="I821" s="48"/>
      <c r="J821" s="48"/>
      <c r="K821" s="48"/>
      <c r="L821" s="48"/>
      <c r="M821" s="110"/>
      <c r="N821" s="110"/>
      <c r="O821" s="110"/>
      <c r="P821" s="110"/>
      <c r="Q821" s="110"/>
      <c r="R821" s="110"/>
      <c r="S821" s="110"/>
      <c r="T821" s="110"/>
      <c r="V821" s="4"/>
      <c r="W821" s="35"/>
    </row>
    <row r="822" spans="1:23" x14ac:dyDescent="0.25">
      <c r="A822" s="36">
        <f t="shared" si="80"/>
        <v>53</v>
      </c>
      <c r="I822" s="48"/>
      <c r="J822" s="48"/>
      <c r="K822" s="48"/>
      <c r="L822" s="48"/>
      <c r="M822" s="110"/>
      <c r="N822" s="110"/>
      <c r="O822" s="110"/>
      <c r="P822" s="110"/>
      <c r="Q822" s="110"/>
      <c r="R822" s="110"/>
      <c r="S822" s="110"/>
      <c r="T822" s="110"/>
      <c r="V822" s="4"/>
      <c r="W822" s="35"/>
    </row>
    <row r="823" spans="1:23" x14ac:dyDescent="0.25">
      <c r="A823" s="36">
        <f t="shared" si="80"/>
        <v>53</v>
      </c>
      <c r="I823" s="48"/>
      <c r="J823" s="48"/>
      <c r="K823" s="48"/>
      <c r="L823" s="48"/>
      <c r="M823" s="110"/>
      <c r="N823" s="110"/>
      <c r="O823" s="110"/>
      <c r="P823" s="110"/>
      <c r="Q823" s="110"/>
      <c r="R823" s="110"/>
      <c r="S823" s="110"/>
      <c r="T823" s="110"/>
      <c r="V823" s="4"/>
      <c r="W823" s="35"/>
    </row>
    <row r="824" spans="1:23" x14ac:dyDescent="0.25">
      <c r="A824" s="36">
        <f t="shared" si="80"/>
        <v>53</v>
      </c>
      <c r="I824" s="48"/>
      <c r="J824" s="48"/>
      <c r="K824" s="48"/>
      <c r="L824" s="48"/>
      <c r="M824" s="110"/>
      <c r="N824" s="110"/>
      <c r="O824" s="110"/>
      <c r="P824" s="110"/>
      <c r="Q824" s="110"/>
      <c r="R824" s="110"/>
      <c r="S824" s="110"/>
      <c r="T824" s="110"/>
      <c r="V824" s="4"/>
      <c r="W824" s="35"/>
    </row>
    <row r="825" spans="1:23" x14ac:dyDescent="0.25">
      <c r="A825" s="36">
        <f t="shared" si="80"/>
        <v>53</v>
      </c>
      <c r="I825" s="48"/>
      <c r="J825" s="48"/>
      <c r="K825" s="48"/>
      <c r="L825" s="48"/>
      <c r="M825" s="110"/>
      <c r="N825" s="110"/>
      <c r="O825" s="110"/>
      <c r="P825" s="110"/>
      <c r="Q825" s="110"/>
      <c r="R825" s="110"/>
      <c r="S825" s="110"/>
      <c r="T825" s="110"/>
      <c r="V825" s="4"/>
      <c r="W825" s="35"/>
    </row>
    <row r="826" spans="1:23" x14ac:dyDescent="0.25">
      <c r="A826" s="36">
        <f t="shared" si="80"/>
        <v>53</v>
      </c>
      <c r="I826" s="48"/>
      <c r="J826" s="48"/>
      <c r="K826" s="48"/>
      <c r="L826" s="48"/>
      <c r="M826" s="110"/>
      <c r="N826" s="110"/>
      <c r="O826" s="110"/>
      <c r="P826" s="110"/>
      <c r="Q826" s="110"/>
      <c r="R826" s="110"/>
      <c r="S826" s="110"/>
      <c r="T826" s="110"/>
      <c r="V826" s="4"/>
      <c r="W826" s="35"/>
    </row>
    <row r="827" spans="1:23" x14ac:dyDescent="0.25">
      <c r="A827" s="36">
        <f t="shared" si="80"/>
        <v>53</v>
      </c>
      <c r="I827" s="48"/>
      <c r="J827" s="48"/>
      <c r="K827" s="48"/>
      <c r="L827" s="48"/>
      <c r="M827" s="110"/>
      <c r="N827" s="110"/>
      <c r="O827" s="110"/>
      <c r="P827" s="110"/>
      <c r="Q827" s="110"/>
      <c r="R827" s="110"/>
      <c r="S827" s="110"/>
      <c r="T827" s="110"/>
      <c r="V827" s="4"/>
      <c r="W827" s="35"/>
    </row>
    <row r="828" spans="1:23" x14ac:dyDescent="0.25">
      <c r="A828" s="36">
        <f t="shared" si="80"/>
        <v>53</v>
      </c>
      <c r="I828" s="48"/>
      <c r="J828" s="48"/>
      <c r="K828" s="48"/>
      <c r="L828" s="48"/>
      <c r="M828" s="110"/>
      <c r="N828" s="110"/>
      <c r="O828" s="110"/>
      <c r="P828" s="110"/>
      <c r="Q828" s="110"/>
      <c r="R828" s="110"/>
      <c r="S828" s="110"/>
      <c r="T828" s="110"/>
      <c r="V828" s="4"/>
      <c r="W828" s="35"/>
    </row>
    <row r="829" spans="1:23" x14ac:dyDescent="0.25">
      <c r="A829" s="36">
        <f t="shared" si="80"/>
        <v>53</v>
      </c>
      <c r="I829" s="48"/>
      <c r="J829" s="48"/>
      <c r="K829" s="48"/>
      <c r="L829" s="48"/>
      <c r="M829" s="110"/>
      <c r="N829" s="110"/>
      <c r="O829" s="110"/>
      <c r="P829" s="110"/>
      <c r="Q829" s="110"/>
      <c r="R829" s="110"/>
      <c r="S829" s="110"/>
      <c r="T829" s="110"/>
      <c r="V829" s="4"/>
      <c r="W829" s="35"/>
    </row>
    <row r="830" spans="1:23" x14ac:dyDescent="0.25">
      <c r="A830" s="36">
        <f t="shared" si="80"/>
        <v>53</v>
      </c>
      <c r="I830" s="48"/>
      <c r="J830" s="48"/>
      <c r="K830" s="48"/>
      <c r="L830" s="48"/>
      <c r="M830" s="110"/>
      <c r="N830" s="110"/>
      <c r="O830" s="110"/>
      <c r="P830" s="110"/>
      <c r="Q830" s="110"/>
      <c r="R830" s="110"/>
      <c r="S830" s="110"/>
      <c r="T830" s="110"/>
      <c r="V830" s="4"/>
      <c r="W830" s="35"/>
    </row>
    <row r="831" spans="1:23" x14ac:dyDescent="0.25">
      <c r="A831" s="36">
        <f t="shared" si="80"/>
        <v>53</v>
      </c>
      <c r="I831" s="48"/>
      <c r="J831" s="48"/>
      <c r="K831" s="48"/>
      <c r="L831" s="48"/>
      <c r="M831" s="110"/>
      <c r="N831" s="110"/>
      <c r="O831" s="110"/>
      <c r="P831" s="110"/>
      <c r="Q831" s="110"/>
      <c r="R831" s="110"/>
      <c r="S831" s="110"/>
      <c r="T831" s="110"/>
      <c r="V831" s="4"/>
      <c r="W831" s="35"/>
    </row>
    <row r="832" spans="1:23" x14ac:dyDescent="0.25">
      <c r="A832" s="36">
        <f t="shared" si="80"/>
        <v>53</v>
      </c>
      <c r="I832" s="48"/>
      <c r="J832" s="48"/>
      <c r="K832" s="48"/>
      <c r="L832" s="48"/>
      <c r="M832" s="110"/>
      <c r="N832" s="110"/>
      <c r="O832" s="110"/>
      <c r="P832" s="110"/>
      <c r="Q832" s="110"/>
      <c r="R832" s="110"/>
      <c r="S832" s="110"/>
      <c r="T832" s="110"/>
      <c r="V832" s="4"/>
      <c r="W832" s="35"/>
    </row>
    <row r="833" spans="1:23" x14ac:dyDescent="0.25">
      <c r="A833" s="36">
        <f t="shared" si="80"/>
        <v>53</v>
      </c>
      <c r="I833" s="48"/>
      <c r="J833" s="48"/>
      <c r="K833" s="48"/>
      <c r="L833" s="48"/>
      <c r="M833" s="110"/>
      <c r="N833" s="110"/>
      <c r="O833" s="110"/>
      <c r="P833" s="110"/>
      <c r="Q833" s="110"/>
      <c r="R833" s="110"/>
      <c r="S833" s="110"/>
      <c r="T833" s="110"/>
      <c r="V833" s="4"/>
      <c r="W833" s="35"/>
    </row>
    <row r="834" spans="1:23" x14ac:dyDescent="0.25">
      <c r="A834" s="36">
        <f t="shared" si="80"/>
        <v>53</v>
      </c>
      <c r="I834" s="48"/>
      <c r="J834" s="48"/>
      <c r="K834" s="48"/>
      <c r="L834" s="48"/>
      <c r="M834" s="110"/>
      <c r="N834" s="110"/>
      <c r="O834" s="110"/>
      <c r="P834" s="110"/>
      <c r="Q834" s="110"/>
      <c r="R834" s="110"/>
      <c r="S834" s="110"/>
      <c r="T834" s="110"/>
      <c r="V834" s="4"/>
      <c r="W834" s="35"/>
    </row>
    <row r="835" spans="1:23" x14ac:dyDescent="0.25">
      <c r="A835" s="36">
        <f t="shared" si="80"/>
        <v>53</v>
      </c>
      <c r="I835" s="48"/>
      <c r="J835" s="48"/>
      <c r="K835" s="48"/>
      <c r="L835" s="48"/>
      <c r="M835" s="110"/>
      <c r="N835" s="110"/>
      <c r="O835" s="110"/>
      <c r="P835" s="110"/>
      <c r="Q835" s="110"/>
      <c r="R835" s="110"/>
      <c r="S835" s="110"/>
      <c r="T835" s="110"/>
      <c r="V835" s="4"/>
      <c r="W835" s="35"/>
    </row>
    <row r="836" spans="1:23" x14ac:dyDescent="0.25">
      <c r="A836" s="36">
        <f t="shared" si="80"/>
        <v>53</v>
      </c>
      <c r="I836" s="48"/>
      <c r="J836" s="48"/>
      <c r="K836" s="48"/>
      <c r="L836" s="48"/>
      <c r="M836" s="110"/>
      <c r="N836" s="110"/>
      <c r="O836" s="110"/>
      <c r="P836" s="110"/>
      <c r="Q836" s="110"/>
      <c r="R836" s="110"/>
      <c r="S836" s="110"/>
      <c r="T836" s="110"/>
      <c r="V836" s="4"/>
      <c r="W836" s="35"/>
    </row>
    <row r="837" spans="1:23" x14ac:dyDescent="0.25">
      <c r="A837" s="36">
        <f t="shared" ref="A837:A900" si="81">IF(B837=B836,A836,A836+1)</f>
        <v>53</v>
      </c>
      <c r="I837" s="48"/>
      <c r="J837" s="48"/>
      <c r="K837" s="48"/>
      <c r="L837" s="48"/>
      <c r="M837" s="110"/>
      <c r="N837" s="110"/>
      <c r="O837" s="110"/>
      <c r="P837" s="110"/>
      <c r="Q837" s="110"/>
      <c r="R837" s="110"/>
      <c r="S837" s="110"/>
      <c r="T837" s="110"/>
      <c r="V837" s="4"/>
      <c r="W837" s="35"/>
    </row>
    <row r="838" spans="1:23" x14ac:dyDescent="0.25">
      <c r="A838" s="36">
        <f t="shared" si="81"/>
        <v>53</v>
      </c>
      <c r="I838" s="48"/>
      <c r="J838" s="48"/>
      <c r="K838" s="48"/>
      <c r="L838" s="48"/>
      <c r="M838" s="110"/>
      <c r="N838" s="110"/>
      <c r="O838" s="110"/>
      <c r="P838" s="110"/>
      <c r="Q838" s="110"/>
      <c r="R838" s="110"/>
      <c r="S838" s="110"/>
      <c r="T838" s="110"/>
      <c r="V838" s="4"/>
      <c r="W838" s="35"/>
    </row>
    <row r="839" spans="1:23" x14ac:dyDescent="0.25">
      <c r="A839" s="36">
        <f t="shared" si="81"/>
        <v>53</v>
      </c>
      <c r="I839" s="48"/>
      <c r="J839" s="48"/>
      <c r="K839" s="48"/>
      <c r="L839" s="48"/>
      <c r="M839" s="110"/>
      <c r="N839" s="110"/>
      <c r="O839" s="110"/>
      <c r="P839" s="110"/>
      <c r="Q839" s="110"/>
      <c r="R839" s="110"/>
      <c r="S839" s="110"/>
      <c r="T839" s="110"/>
      <c r="V839" s="4"/>
      <c r="W839" s="35"/>
    </row>
    <row r="840" spans="1:23" x14ac:dyDescent="0.25">
      <c r="A840" s="36">
        <f t="shared" si="81"/>
        <v>53</v>
      </c>
      <c r="I840" s="48"/>
      <c r="J840" s="48"/>
      <c r="K840" s="48"/>
      <c r="L840" s="48"/>
      <c r="M840" s="110"/>
      <c r="N840" s="110"/>
      <c r="O840" s="110"/>
      <c r="P840" s="110"/>
      <c r="Q840" s="110"/>
      <c r="R840" s="110"/>
      <c r="S840" s="110"/>
      <c r="T840" s="110"/>
      <c r="V840" s="4"/>
      <c r="W840" s="35"/>
    </row>
    <row r="841" spans="1:23" x14ac:dyDescent="0.25">
      <c r="A841" s="36">
        <f t="shared" si="81"/>
        <v>53</v>
      </c>
      <c r="I841" s="48"/>
      <c r="J841" s="48"/>
      <c r="K841" s="48"/>
      <c r="L841" s="48"/>
      <c r="M841" s="110"/>
      <c r="N841" s="110"/>
      <c r="O841" s="110"/>
      <c r="P841" s="110"/>
      <c r="Q841" s="110"/>
      <c r="R841" s="110"/>
      <c r="S841" s="110"/>
      <c r="T841" s="110"/>
      <c r="V841" s="4"/>
      <c r="W841" s="35"/>
    </row>
    <row r="842" spans="1:23" x14ac:dyDescent="0.25">
      <c r="A842" s="36">
        <f t="shared" si="81"/>
        <v>53</v>
      </c>
      <c r="I842" s="48"/>
      <c r="J842" s="48"/>
      <c r="K842" s="48"/>
      <c r="L842" s="48"/>
      <c r="M842" s="110"/>
      <c r="N842" s="110"/>
      <c r="O842" s="110"/>
      <c r="P842" s="110"/>
      <c r="Q842" s="110"/>
      <c r="R842" s="110"/>
      <c r="S842" s="110"/>
      <c r="T842" s="110"/>
      <c r="V842" s="4"/>
      <c r="W842" s="35"/>
    </row>
    <row r="843" spans="1:23" x14ac:dyDescent="0.25">
      <c r="A843" s="36">
        <f t="shared" si="81"/>
        <v>53</v>
      </c>
      <c r="I843" s="48"/>
      <c r="J843" s="48"/>
      <c r="K843" s="48"/>
      <c r="L843" s="48"/>
      <c r="M843" s="110"/>
      <c r="N843" s="110"/>
      <c r="O843" s="110"/>
      <c r="P843" s="110"/>
      <c r="Q843" s="110"/>
      <c r="R843" s="110"/>
      <c r="S843" s="110"/>
      <c r="T843" s="110"/>
      <c r="V843" s="4"/>
      <c r="W843" s="35"/>
    </row>
    <row r="844" spans="1:23" x14ac:dyDescent="0.25">
      <c r="A844" s="36">
        <f t="shared" si="81"/>
        <v>53</v>
      </c>
      <c r="I844" s="48"/>
      <c r="J844" s="48"/>
      <c r="K844" s="48"/>
      <c r="L844" s="48"/>
      <c r="M844" s="110"/>
      <c r="N844" s="110"/>
      <c r="O844" s="110"/>
      <c r="P844" s="110"/>
      <c r="Q844" s="110"/>
      <c r="R844" s="110"/>
      <c r="S844" s="110"/>
      <c r="T844" s="110"/>
      <c r="V844" s="4"/>
      <c r="W844" s="35"/>
    </row>
    <row r="845" spans="1:23" x14ac:dyDescent="0.25">
      <c r="A845" s="36">
        <f t="shared" si="81"/>
        <v>53</v>
      </c>
      <c r="I845" s="48"/>
      <c r="J845" s="48"/>
      <c r="K845" s="48"/>
      <c r="L845" s="48"/>
      <c r="M845" s="110"/>
      <c r="N845" s="110"/>
      <c r="O845" s="110"/>
      <c r="P845" s="110"/>
      <c r="Q845" s="110"/>
      <c r="R845" s="110"/>
      <c r="S845" s="110"/>
      <c r="T845" s="110"/>
      <c r="V845" s="4"/>
      <c r="W845" s="35"/>
    </row>
    <row r="846" spans="1:23" x14ac:dyDescent="0.25">
      <c r="A846" s="36">
        <f t="shared" si="81"/>
        <v>53</v>
      </c>
      <c r="I846" s="48"/>
      <c r="J846" s="48"/>
      <c r="K846" s="48"/>
      <c r="L846" s="48"/>
      <c r="M846" s="110"/>
      <c r="N846" s="110"/>
      <c r="O846" s="110"/>
      <c r="P846" s="110"/>
      <c r="Q846" s="110"/>
      <c r="R846" s="110"/>
      <c r="S846" s="110"/>
      <c r="T846" s="110"/>
      <c r="V846" s="4"/>
      <c r="W846" s="35"/>
    </row>
    <row r="847" spans="1:23" x14ac:dyDescent="0.25">
      <c r="A847" s="36">
        <f t="shared" si="81"/>
        <v>53</v>
      </c>
      <c r="I847" s="48"/>
      <c r="J847" s="48"/>
      <c r="K847" s="48"/>
      <c r="L847" s="48"/>
      <c r="M847" s="110"/>
      <c r="N847" s="110"/>
      <c r="O847" s="110"/>
      <c r="P847" s="110"/>
      <c r="Q847" s="110"/>
      <c r="R847" s="110"/>
      <c r="S847" s="110"/>
      <c r="T847" s="110"/>
      <c r="V847" s="4"/>
      <c r="W847" s="35"/>
    </row>
    <row r="848" spans="1:23" x14ac:dyDescent="0.25">
      <c r="A848" s="36">
        <f t="shared" si="81"/>
        <v>53</v>
      </c>
      <c r="I848" s="48"/>
      <c r="J848" s="48"/>
      <c r="K848" s="48"/>
      <c r="L848" s="48"/>
      <c r="M848" s="110"/>
      <c r="N848" s="110"/>
      <c r="O848" s="110"/>
      <c r="P848" s="110"/>
      <c r="Q848" s="110"/>
      <c r="R848" s="110"/>
      <c r="S848" s="110"/>
      <c r="T848" s="110"/>
      <c r="V848" s="4"/>
      <c r="W848" s="35"/>
    </row>
    <row r="849" spans="1:23" x14ac:dyDescent="0.25">
      <c r="A849" s="36">
        <f t="shared" si="81"/>
        <v>53</v>
      </c>
      <c r="I849" s="48"/>
      <c r="J849" s="48"/>
      <c r="K849" s="48"/>
      <c r="L849" s="48"/>
      <c r="M849" s="110"/>
      <c r="N849" s="110"/>
      <c r="O849" s="110"/>
      <c r="P849" s="110"/>
      <c r="Q849" s="110"/>
      <c r="R849" s="110"/>
      <c r="S849" s="110"/>
      <c r="T849" s="110"/>
      <c r="V849" s="4"/>
      <c r="W849" s="35"/>
    </row>
    <row r="850" spans="1:23" x14ac:dyDescent="0.25">
      <c r="A850" s="36">
        <f t="shared" si="81"/>
        <v>53</v>
      </c>
      <c r="I850" s="48"/>
      <c r="J850" s="48"/>
      <c r="K850" s="48"/>
      <c r="L850" s="48"/>
      <c r="M850" s="110"/>
      <c r="N850" s="110"/>
      <c r="O850" s="110"/>
      <c r="P850" s="110"/>
      <c r="Q850" s="110"/>
      <c r="R850" s="110"/>
      <c r="S850" s="110"/>
      <c r="T850" s="110"/>
      <c r="V850" s="4"/>
      <c r="W850" s="35"/>
    </row>
    <row r="851" spans="1:23" x14ac:dyDescent="0.25">
      <c r="A851" s="36">
        <f t="shared" si="81"/>
        <v>53</v>
      </c>
      <c r="I851" s="48"/>
      <c r="J851" s="48"/>
      <c r="K851" s="48"/>
      <c r="L851" s="48"/>
      <c r="M851" s="110"/>
      <c r="N851" s="110"/>
      <c r="O851" s="110"/>
      <c r="P851" s="110"/>
      <c r="Q851" s="110"/>
      <c r="R851" s="110"/>
      <c r="S851" s="110"/>
      <c r="T851" s="110"/>
      <c r="V851" s="4"/>
      <c r="W851" s="35"/>
    </row>
    <row r="852" spans="1:23" x14ac:dyDescent="0.25">
      <c r="A852" s="36">
        <f t="shared" si="81"/>
        <v>53</v>
      </c>
      <c r="I852" s="48"/>
      <c r="J852" s="48"/>
      <c r="K852" s="48"/>
      <c r="L852" s="48"/>
      <c r="M852" s="110"/>
      <c r="N852" s="110"/>
      <c r="O852" s="110"/>
      <c r="P852" s="110"/>
      <c r="Q852" s="110"/>
      <c r="R852" s="110"/>
      <c r="S852" s="110"/>
      <c r="T852" s="110"/>
      <c r="V852" s="4"/>
      <c r="W852" s="35"/>
    </row>
    <row r="853" spans="1:23" x14ac:dyDescent="0.25">
      <c r="A853" s="36">
        <f t="shared" si="81"/>
        <v>53</v>
      </c>
      <c r="I853" s="48"/>
      <c r="J853" s="48"/>
      <c r="K853" s="48"/>
      <c r="L853" s="48"/>
      <c r="M853" s="110"/>
      <c r="N853" s="110"/>
      <c r="O853" s="110"/>
      <c r="P853" s="110"/>
      <c r="Q853" s="110"/>
      <c r="R853" s="110"/>
      <c r="S853" s="110"/>
      <c r="T853" s="110"/>
      <c r="V853" s="4"/>
      <c r="W853" s="35"/>
    </row>
    <row r="854" spans="1:23" x14ac:dyDescent="0.25">
      <c r="A854" s="36">
        <f t="shared" si="81"/>
        <v>53</v>
      </c>
      <c r="I854" s="48"/>
      <c r="J854" s="48"/>
      <c r="K854" s="48"/>
      <c r="L854" s="48"/>
      <c r="M854" s="110"/>
      <c r="N854" s="110"/>
      <c r="O854" s="110"/>
      <c r="P854" s="110"/>
      <c r="Q854" s="110"/>
      <c r="R854" s="110"/>
      <c r="S854" s="110"/>
      <c r="T854" s="110"/>
      <c r="V854" s="4"/>
      <c r="W854" s="35"/>
    </row>
    <row r="855" spans="1:23" x14ac:dyDescent="0.25">
      <c r="A855" s="36">
        <f t="shared" si="81"/>
        <v>53</v>
      </c>
      <c r="I855" s="48"/>
      <c r="J855" s="48"/>
      <c r="K855" s="48"/>
      <c r="L855" s="48"/>
      <c r="M855" s="110"/>
      <c r="N855" s="110"/>
      <c r="O855" s="110"/>
      <c r="P855" s="110"/>
      <c r="Q855" s="110"/>
      <c r="R855" s="110"/>
      <c r="S855" s="110"/>
      <c r="T855" s="110"/>
      <c r="V855" s="4"/>
      <c r="W855" s="35"/>
    </row>
    <row r="856" spans="1:23" x14ac:dyDescent="0.25">
      <c r="A856" s="36">
        <f t="shared" si="81"/>
        <v>53</v>
      </c>
      <c r="I856" s="48"/>
      <c r="J856" s="48"/>
      <c r="K856" s="48"/>
      <c r="L856" s="48"/>
      <c r="M856" s="110"/>
      <c r="N856" s="110"/>
      <c r="O856" s="110"/>
      <c r="P856" s="110"/>
      <c r="Q856" s="110"/>
      <c r="R856" s="110"/>
      <c r="S856" s="110"/>
      <c r="T856" s="110"/>
      <c r="V856" s="4"/>
      <c r="W856" s="35"/>
    </row>
    <row r="857" spans="1:23" x14ac:dyDescent="0.25">
      <c r="A857" s="36">
        <f t="shared" si="81"/>
        <v>53</v>
      </c>
      <c r="I857" s="48"/>
      <c r="J857" s="48"/>
      <c r="K857" s="48"/>
      <c r="L857" s="48"/>
      <c r="M857" s="110"/>
      <c r="N857" s="110"/>
      <c r="O857" s="110"/>
      <c r="P857" s="110"/>
      <c r="Q857" s="110"/>
      <c r="R857" s="110"/>
      <c r="S857" s="110"/>
      <c r="T857" s="110"/>
      <c r="V857" s="4"/>
      <c r="W857" s="35"/>
    </row>
    <row r="858" spans="1:23" x14ac:dyDescent="0.25">
      <c r="A858" s="36">
        <f t="shared" si="81"/>
        <v>53</v>
      </c>
      <c r="I858" s="48"/>
      <c r="J858" s="48"/>
      <c r="K858" s="48"/>
      <c r="L858" s="48"/>
      <c r="M858" s="110"/>
      <c r="N858" s="110"/>
      <c r="O858" s="110"/>
      <c r="P858" s="110"/>
      <c r="Q858" s="110"/>
      <c r="R858" s="110"/>
      <c r="S858" s="110"/>
      <c r="T858" s="110"/>
      <c r="V858" s="4"/>
      <c r="W858" s="35"/>
    </row>
    <row r="859" spans="1:23" x14ac:dyDescent="0.25">
      <c r="A859" s="36">
        <f t="shared" si="81"/>
        <v>53</v>
      </c>
      <c r="I859" s="48"/>
      <c r="J859" s="48"/>
      <c r="K859" s="48"/>
      <c r="L859" s="48"/>
      <c r="M859" s="110"/>
      <c r="N859" s="110"/>
      <c r="O859" s="110"/>
      <c r="P859" s="110"/>
      <c r="Q859" s="110"/>
      <c r="R859" s="110"/>
      <c r="S859" s="110"/>
      <c r="T859" s="110"/>
      <c r="V859" s="4"/>
      <c r="W859" s="35"/>
    </row>
    <row r="860" spans="1:23" x14ac:dyDescent="0.25">
      <c r="A860" s="36">
        <f t="shared" si="81"/>
        <v>53</v>
      </c>
      <c r="I860" s="48"/>
      <c r="J860" s="48"/>
      <c r="K860" s="48"/>
      <c r="L860" s="48"/>
      <c r="M860" s="110"/>
      <c r="N860" s="110"/>
      <c r="O860" s="110"/>
      <c r="P860" s="110"/>
      <c r="Q860" s="110"/>
      <c r="R860" s="110"/>
      <c r="S860" s="110"/>
      <c r="T860" s="110"/>
      <c r="V860" s="4"/>
      <c r="W860" s="35"/>
    </row>
    <row r="861" spans="1:23" x14ac:dyDescent="0.25">
      <c r="A861" s="36">
        <f t="shared" si="81"/>
        <v>53</v>
      </c>
      <c r="I861" s="48"/>
      <c r="J861" s="48"/>
      <c r="K861" s="48"/>
      <c r="L861" s="48"/>
      <c r="M861" s="110"/>
      <c r="N861" s="110"/>
      <c r="O861" s="110"/>
      <c r="P861" s="110"/>
      <c r="Q861" s="110"/>
      <c r="R861" s="110"/>
      <c r="S861" s="110"/>
      <c r="T861" s="110"/>
      <c r="V861" s="4"/>
      <c r="W861" s="35"/>
    </row>
    <row r="862" spans="1:23" x14ac:dyDescent="0.25">
      <c r="A862" s="36">
        <f t="shared" si="81"/>
        <v>53</v>
      </c>
      <c r="I862" s="48"/>
      <c r="J862" s="48"/>
      <c r="K862" s="48"/>
      <c r="L862" s="48"/>
      <c r="M862" s="110"/>
      <c r="N862" s="110"/>
      <c r="O862" s="110"/>
      <c r="P862" s="110"/>
      <c r="Q862" s="110"/>
      <c r="R862" s="110"/>
      <c r="S862" s="110"/>
      <c r="T862" s="110"/>
      <c r="V862" s="4"/>
      <c r="W862" s="35"/>
    </row>
    <row r="863" spans="1:23" x14ac:dyDescent="0.25">
      <c r="A863" s="36">
        <f t="shared" si="81"/>
        <v>53</v>
      </c>
      <c r="I863" s="48"/>
      <c r="J863" s="48"/>
      <c r="K863" s="48"/>
      <c r="L863" s="48"/>
      <c r="M863" s="110"/>
      <c r="N863" s="110"/>
      <c r="O863" s="110"/>
      <c r="P863" s="110"/>
      <c r="Q863" s="110"/>
      <c r="R863" s="110"/>
      <c r="S863" s="110"/>
      <c r="T863" s="110"/>
      <c r="V863" s="4"/>
      <c r="W863" s="35"/>
    </row>
    <row r="864" spans="1:23" x14ac:dyDescent="0.25">
      <c r="A864" s="36">
        <f t="shared" si="81"/>
        <v>53</v>
      </c>
      <c r="I864" s="48"/>
      <c r="J864" s="48"/>
      <c r="K864" s="48"/>
      <c r="L864" s="48"/>
      <c r="M864" s="110"/>
      <c r="N864" s="110"/>
      <c r="O864" s="110"/>
      <c r="P864" s="110"/>
      <c r="Q864" s="110"/>
      <c r="R864" s="110"/>
      <c r="S864" s="110"/>
      <c r="T864" s="110"/>
      <c r="V864" s="4"/>
      <c r="W864" s="35"/>
    </row>
    <row r="865" spans="1:23" x14ac:dyDescent="0.25">
      <c r="A865" s="36">
        <f t="shared" si="81"/>
        <v>53</v>
      </c>
      <c r="I865" s="48"/>
      <c r="J865" s="48"/>
      <c r="K865" s="48"/>
      <c r="L865" s="48"/>
      <c r="M865" s="110"/>
      <c r="N865" s="110"/>
      <c r="O865" s="110"/>
      <c r="P865" s="110"/>
      <c r="Q865" s="110"/>
      <c r="R865" s="110"/>
      <c r="S865" s="110"/>
      <c r="T865" s="110"/>
      <c r="V865" s="4"/>
      <c r="W865" s="35"/>
    </row>
    <row r="866" spans="1:23" x14ac:dyDescent="0.25">
      <c r="A866" s="36">
        <f t="shared" si="81"/>
        <v>53</v>
      </c>
      <c r="I866" s="48"/>
      <c r="J866" s="48"/>
      <c r="K866" s="48"/>
      <c r="L866" s="48"/>
      <c r="M866" s="110"/>
      <c r="N866" s="110"/>
      <c r="O866" s="110"/>
      <c r="P866" s="110"/>
      <c r="Q866" s="110"/>
      <c r="R866" s="110"/>
      <c r="S866" s="110"/>
      <c r="T866" s="110"/>
      <c r="V866" s="4"/>
      <c r="W866" s="35"/>
    </row>
    <row r="867" spans="1:23" x14ac:dyDescent="0.25">
      <c r="A867" s="36">
        <f t="shared" si="81"/>
        <v>53</v>
      </c>
      <c r="I867" s="48"/>
      <c r="J867" s="48"/>
      <c r="K867" s="48"/>
      <c r="L867" s="48"/>
      <c r="M867" s="110"/>
      <c r="N867" s="110"/>
      <c r="O867" s="110"/>
      <c r="P867" s="110"/>
      <c r="Q867" s="110"/>
      <c r="R867" s="110"/>
      <c r="S867" s="110"/>
      <c r="T867" s="110"/>
      <c r="V867" s="4"/>
      <c r="W867" s="35"/>
    </row>
    <row r="868" spans="1:23" x14ac:dyDescent="0.25">
      <c r="A868" s="36">
        <f t="shared" si="81"/>
        <v>53</v>
      </c>
      <c r="I868" s="48"/>
      <c r="J868" s="48"/>
      <c r="K868" s="48"/>
      <c r="L868" s="48"/>
      <c r="M868" s="110"/>
      <c r="N868" s="110"/>
      <c r="O868" s="110"/>
      <c r="P868" s="110"/>
      <c r="Q868" s="110"/>
      <c r="R868" s="110"/>
      <c r="S868" s="110"/>
      <c r="T868" s="110"/>
      <c r="V868" s="4"/>
      <c r="W868" s="35"/>
    </row>
    <row r="869" spans="1:23" x14ac:dyDescent="0.25">
      <c r="A869" s="36">
        <f t="shared" si="81"/>
        <v>53</v>
      </c>
      <c r="I869" s="48"/>
      <c r="J869" s="48"/>
      <c r="K869" s="48"/>
      <c r="L869" s="48"/>
      <c r="M869" s="110"/>
      <c r="N869" s="110"/>
      <c r="O869" s="110"/>
      <c r="P869" s="110"/>
      <c r="Q869" s="110"/>
      <c r="R869" s="110"/>
      <c r="S869" s="110"/>
      <c r="T869" s="110"/>
      <c r="V869" s="4"/>
      <c r="W869" s="35"/>
    </row>
    <row r="870" spans="1:23" x14ac:dyDescent="0.25">
      <c r="A870" s="36">
        <f t="shared" si="81"/>
        <v>53</v>
      </c>
      <c r="I870" s="48"/>
      <c r="J870" s="48"/>
      <c r="K870" s="48"/>
      <c r="L870" s="48"/>
      <c r="M870" s="110"/>
      <c r="N870" s="110"/>
      <c r="O870" s="110"/>
      <c r="P870" s="110"/>
      <c r="Q870" s="110"/>
      <c r="R870" s="110"/>
      <c r="S870" s="110"/>
      <c r="T870" s="110"/>
      <c r="V870" s="4"/>
      <c r="W870" s="35"/>
    </row>
    <row r="871" spans="1:23" x14ac:dyDescent="0.25">
      <c r="A871" s="36">
        <f t="shared" si="81"/>
        <v>53</v>
      </c>
      <c r="I871" s="48"/>
      <c r="J871" s="48"/>
      <c r="K871" s="48"/>
      <c r="L871" s="48"/>
      <c r="M871" s="110"/>
      <c r="N871" s="110"/>
      <c r="O871" s="110"/>
      <c r="P871" s="110"/>
      <c r="Q871" s="110"/>
      <c r="R871" s="110"/>
      <c r="S871" s="110"/>
      <c r="T871" s="110"/>
      <c r="V871" s="4"/>
      <c r="W871" s="35"/>
    </row>
    <row r="872" spans="1:23" x14ac:dyDescent="0.25">
      <c r="A872" s="36">
        <f t="shared" si="81"/>
        <v>53</v>
      </c>
      <c r="I872" s="48"/>
      <c r="J872" s="48"/>
      <c r="K872" s="48"/>
      <c r="L872" s="48"/>
      <c r="M872" s="110"/>
      <c r="N872" s="110"/>
      <c r="O872" s="110"/>
      <c r="P872" s="110"/>
      <c r="Q872" s="110"/>
      <c r="R872" s="110"/>
      <c r="S872" s="110"/>
      <c r="T872" s="110"/>
      <c r="V872" s="4"/>
      <c r="W872" s="35"/>
    </row>
    <row r="873" spans="1:23" x14ac:dyDescent="0.25">
      <c r="A873" s="36">
        <f t="shared" si="81"/>
        <v>53</v>
      </c>
      <c r="I873" s="48"/>
      <c r="J873" s="48"/>
      <c r="K873" s="48"/>
      <c r="L873" s="48"/>
      <c r="M873" s="110"/>
      <c r="N873" s="110"/>
      <c r="O873" s="110"/>
      <c r="P873" s="110"/>
      <c r="Q873" s="110"/>
      <c r="R873" s="110"/>
      <c r="S873" s="110"/>
      <c r="T873" s="110"/>
      <c r="V873" s="4"/>
      <c r="W873" s="35"/>
    </row>
    <row r="874" spans="1:23" x14ac:dyDescent="0.25">
      <c r="A874" s="36">
        <f t="shared" si="81"/>
        <v>53</v>
      </c>
      <c r="I874" s="48"/>
      <c r="J874" s="48"/>
      <c r="K874" s="48"/>
      <c r="L874" s="48"/>
      <c r="M874" s="110"/>
      <c r="N874" s="110"/>
      <c r="O874" s="110"/>
      <c r="P874" s="110"/>
      <c r="Q874" s="110"/>
      <c r="R874" s="110"/>
      <c r="S874" s="110"/>
      <c r="T874" s="110"/>
      <c r="V874" s="4"/>
      <c r="W874" s="35"/>
    </row>
    <row r="875" spans="1:23" x14ac:dyDescent="0.25">
      <c r="A875" s="36">
        <f t="shared" si="81"/>
        <v>53</v>
      </c>
      <c r="I875" s="48"/>
      <c r="J875" s="48"/>
      <c r="K875" s="48"/>
      <c r="L875" s="48"/>
      <c r="M875" s="110"/>
      <c r="N875" s="110"/>
      <c r="O875" s="110"/>
      <c r="P875" s="110"/>
      <c r="Q875" s="110"/>
      <c r="R875" s="110"/>
      <c r="S875" s="110"/>
      <c r="T875" s="110"/>
      <c r="V875" s="4"/>
      <c r="W875" s="35"/>
    </row>
    <row r="876" spans="1:23" x14ac:dyDescent="0.25">
      <c r="A876" s="36">
        <f t="shared" si="81"/>
        <v>53</v>
      </c>
      <c r="I876" s="48"/>
      <c r="J876" s="48"/>
      <c r="K876" s="48"/>
      <c r="L876" s="48"/>
      <c r="M876" s="110"/>
      <c r="N876" s="110"/>
      <c r="O876" s="110"/>
      <c r="P876" s="110"/>
      <c r="Q876" s="110"/>
      <c r="R876" s="110"/>
      <c r="S876" s="110"/>
      <c r="T876" s="110"/>
      <c r="V876" s="4"/>
      <c r="W876" s="35"/>
    </row>
    <row r="877" spans="1:23" x14ac:dyDescent="0.25">
      <c r="A877" s="36">
        <f t="shared" si="81"/>
        <v>53</v>
      </c>
      <c r="I877" s="48"/>
      <c r="J877" s="48"/>
      <c r="K877" s="48"/>
      <c r="L877" s="48"/>
      <c r="M877" s="110"/>
      <c r="N877" s="110"/>
      <c r="O877" s="110"/>
      <c r="P877" s="110"/>
      <c r="Q877" s="110"/>
      <c r="R877" s="110"/>
      <c r="S877" s="110"/>
      <c r="T877" s="110"/>
      <c r="V877" s="4"/>
      <c r="W877" s="35"/>
    </row>
    <row r="878" spans="1:23" x14ac:dyDescent="0.25">
      <c r="A878" s="36">
        <f t="shared" si="81"/>
        <v>53</v>
      </c>
      <c r="I878" s="48"/>
      <c r="J878" s="48"/>
      <c r="K878" s="48"/>
      <c r="L878" s="48"/>
      <c r="M878" s="110"/>
      <c r="N878" s="110"/>
      <c r="O878" s="110"/>
      <c r="P878" s="110"/>
      <c r="Q878" s="110"/>
      <c r="R878" s="110"/>
      <c r="S878" s="110"/>
      <c r="T878" s="110"/>
      <c r="V878" s="4"/>
      <c r="W878" s="35"/>
    </row>
    <row r="879" spans="1:23" x14ac:dyDescent="0.25">
      <c r="A879" s="36">
        <f t="shared" si="81"/>
        <v>53</v>
      </c>
      <c r="I879" s="48"/>
      <c r="J879" s="48"/>
      <c r="K879" s="48"/>
      <c r="L879" s="48"/>
      <c r="M879" s="110"/>
      <c r="N879" s="110"/>
      <c r="O879" s="110"/>
      <c r="P879" s="110"/>
      <c r="Q879" s="110"/>
      <c r="R879" s="110"/>
      <c r="S879" s="110"/>
      <c r="T879" s="110"/>
      <c r="V879" s="4"/>
      <c r="W879" s="35"/>
    </row>
    <row r="880" spans="1:23" x14ac:dyDescent="0.25">
      <c r="A880" s="36">
        <f t="shared" si="81"/>
        <v>53</v>
      </c>
      <c r="I880" s="48"/>
      <c r="J880" s="48"/>
      <c r="K880" s="48"/>
      <c r="L880" s="48"/>
      <c r="M880" s="110"/>
      <c r="N880" s="110"/>
      <c r="O880" s="110"/>
      <c r="P880" s="110"/>
      <c r="Q880" s="110"/>
      <c r="R880" s="110"/>
      <c r="S880" s="110"/>
      <c r="T880" s="110"/>
      <c r="V880" s="4"/>
      <c r="W880" s="35"/>
    </row>
    <row r="881" spans="1:23" x14ac:dyDescent="0.25">
      <c r="A881" s="36">
        <f t="shared" si="81"/>
        <v>53</v>
      </c>
      <c r="I881" s="48"/>
      <c r="J881" s="48"/>
      <c r="K881" s="48"/>
      <c r="L881" s="48"/>
      <c r="M881" s="110"/>
      <c r="N881" s="110"/>
      <c r="O881" s="110"/>
      <c r="P881" s="110"/>
      <c r="Q881" s="110"/>
      <c r="R881" s="110"/>
      <c r="S881" s="110"/>
      <c r="T881" s="110"/>
      <c r="V881" s="4"/>
      <c r="W881" s="35"/>
    </row>
    <row r="882" spans="1:23" x14ac:dyDescent="0.25">
      <c r="A882" s="36">
        <f t="shared" si="81"/>
        <v>53</v>
      </c>
      <c r="I882" s="48"/>
      <c r="J882" s="48"/>
      <c r="K882" s="48"/>
      <c r="L882" s="48"/>
      <c r="M882" s="110"/>
      <c r="N882" s="110"/>
      <c r="O882" s="110"/>
      <c r="P882" s="110"/>
      <c r="Q882" s="110"/>
      <c r="R882" s="110"/>
      <c r="S882" s="110"/>
      <c r="T882" s="110"/>
      <c r="V882" s="4"/>
      <c r="W882" s="35"/>
    </row>
    <row r="883" spans="1:23" x14ac:dyDescent="0.25">
      <c r="A883" s="36">
        <f t="shared" si="81"/>
        <v>53</v>
      </c>
      <c r="I883" s="48"/>
      <c r="J883" s="48"/>
      <c r="K883" s="48"/>
      <c r="L883" s="48"/>
      <c r="M883" s="110"/>
      <c r="N883" s="110"/>
      <c r="O883" s="110"/>
      <c r="P883" s="110"/>
      <c r="Q883" s="110"/>
      <c r="R883" s="110"/>
      <c r="S883" s="110"/>
      <c r="T883" s="110"/>
      <c r="V883" s="4"/>
      <c r="W883" s="35"/>
    </row>
    <row r="884" spans="1:23" x14ac:dyDescent="0.25">
      <c r="A884" s="36">
        <f t="shared" si="81"/>
        <v>53</v>
      </c>
      <c r="I884" s="48"/>
      <c r="J884" s="48"/>
      <c r="K884" s="48"/>
      <c r="L884" s="48"/>
      <c r="M884" s="110"/>
      <c r="N884" s="110"/>
      <c r="O884" s="110"/>
      <c r="P884" s="110"/>
      <c r="Q884" s="110"/>
      <c r="R884" s="110"/>
      <c r="S884" s="110"/>
      <c r="T884" s="110"/>
      <c r="V884" s="4"/>
      <c r="W884" s="35"/>
    </row>
    <row r="885" spans="1:23" x14ac:dyDescent="0.25">
      <c r="A885" s="36">
        <f t="shared" si="81"/>
        <v>53</v>
      </c>
      <c r="I885" s="48"/>
      <c r="J885" s="48"/>
      <c r="K885" s="48"/>
      <c r="L885" s="48"/>
      <c r="M885" s="110"/>
      <c r="N885" s="110"/>
      <c r="O885" s="110"/>
      <c r="P885" s="110"/>
      <c r="Q885" s="110"/>
      <c r="R885" s="110"/>
      <c r="S885" s="110"/>
      <c r="T885" s="110"/>
      <c r="V885" s="4"/>
      <c r="W885" s="35"/>
    </row>
    <row r="886" spans="1:23" x14ac:dyDescent="0.25">
      <c r="A886" s="36">
        <f t="shared" si="81"/>
        <v>53</v>
      </c>
      <c r="I886" s="48"/>
      <c r="J886" s="48"/>
      <c r="K886" s="48"/>
      <c r="L886" s="48"/>
      <c r="M886" s="110"/>
      <c r="N886" s="110"/>
      <c r="O886" s="110"/>
      <c r="P886" s="110"/>
      <c r="Q886" s="110"/>
      <c r="R886" s="110"/>
      <c r="S886" s="110"/>
      <c r="T886" s="110"/>
      <c r="V886" s="4"/>
      <c r="W886" s="35"/>
    </row>
    <row r="887" spans="1:23" x14ac:dyDescent="0.25">
      <c r="A887" s="36">
        <f t="shared" si="81"/>
        <v>53</v>
      </c>
      <c r="I887" s="48"/>
      <c r="J887" s="48"/>
      <c r="K887" s="48"/>
      <c r="L887" s="48"/>
      <c r="M887" s="110"/>
      <c r="N887" s="110"/>
      <c r="O887" s="110"/>
      <c r="P887" s="110"/>
      <c r="Q887" s="110"/>
      <c r="R887" s="110"/>
      <c r="S887" s="110"/>
      <c r="T887" s="110"/>
      <c r="V887" s="4"/>
      <c r="W887" s="35"/>
    </row>
    <row r="888" spans="1:23" x14ac:dyDescent="0.25">
      <c r="A888" s="36">
        <f t="shared" si="81"/>
        <v>53</v>
      </c>
      <c r="I888" s="48"/>
      <c r="J888" s="48"/>
      <c r="K888" s="48"/>
      <c r="L888" s="48"/>
      <c r="M888" s="110"/>
      <c r="N888" s="110"/>
      <c r="O888" s="110"/>
      <c r="P888" s="110"/>
      <c r="Q888" s="110"/>
      <c r="R888" s="110"/>
      <c r="V888" s="4"/>
      <c r="W888" s="35"/>
    </row>
    <row r="889" spans="1:23" x14ac:dyDescent="0.25">
      <c r="A889" s="36">
        <f t="shared" si="81"/>
        <v>53</v>
      </c>
      <c r="I889" s="48"/>
      <c r="J889" s="48"/>
      <c r="K889" s="48"/>
      <c r="L889" s="48"/>
      <c r="M889" s="110"/>
      <c r="N889" s="110"/>
      <c r="O889" s="110"/>
      <c r="P889" s="110"/>
      <c r="Q889" s="110"/>
      <c r="R889" s="110"/>
      <c r="V889" s="4"/>
      <c r="W889" s="35"/>
    </row>
    <row r="890" spans="1:23" x14ac:dyDescent="0.25">
      <c r="A890" s="36">
        <f t="shared" si="81"/>
        <v>53</v>
      </c>
      <c r="I890" s="48"/>
      <c r="J890" s="48"/>
      <c r="K890" s="48"/>
      <c r="L890" s="48"/>
      <c r="M890" s="110"/>
      <c r="N890" s="110"/>
      <c r="O890" s="110"/>
      <c r="P890" s="110"/>
      <c r="Q890" s="110"/>
      <c r="R890" s="110"/>
      <c r="V890" s="4"/>
      <c r="W890" s="35"/>
    </row>
    <row r="891" spans="1:23" x14ac:dyDescent="0.25">
      <c r="A891" s="36">
        <f t="shared" si="81"/>
        <v>53</v>
      </c>
      <c r="I891" s="48"/>
      <c r="J891" s="48"/>
      <c r="K891" s="48"/>
      <c r="L891" s="48"/>
      <c r="M891" s="110"/>
      <c r="N891" s="110"/>
      <c r="O891" s="110"/>
      <c r="P891" s="110"/>
      <c r="Q891" s="110"/>
      <c r="R891" s="110"/>
      <c r="V891" s="4"/>
      <c r="W891" s="35"/>
    </row>
    <row r="892" spans="1:23" x14ac:dyDescent="0.25">
      <c r="A892" s="36">
        <f t="shared" si="81"/>
        <v>53</v>
      </c>
      <c r="I892" s="48"/>
      <c r="J892" s="48"/>
      <c r="K892" s="48"/>
      <c r="L892" s="48"/>
      <c r="M892" s="110"/>
      <c r="N892" s="110"/>
      <c r="O892" s="110"/>
      <c r="P892" s="110"/>
      <c r="Q892" s="110"/>
      <c r="R892" s="110"/>
      <c r="V892" s="4"/>
      <c r="W892" s="35"/>
    </row>
    <row r="893" spans="1:23" x14ac:dyDescent="0.25">
      <c r="A893" s="36">
        <f t="shared" si="81"/>
        <v>53</v>
      </c>
      <c r="I893" s="48"/>
      <c r="J893" s="48"/>
      <c r="K893" s="48"/>
      <c r="L893" s="48"/>
      <c r="V893" s="4"/>
      <c r="W893" s="35"/>
    </row>
    <row r="894" spans="1:23" x14ac:dyDescent="0.25">
      <c r="A894" s="36">
        <f t="shared" si="81"/>
        <v>53</v>
      </c>
      <c r="I894" s="48"/>
      <c r="J894" s="48"/>
      <c r="K894" s="48"/>
      <c r="L894" s="48"/>
      <c r="V894" s="4"/>
      <c r="W894" s="35"/>
    </row>
    <row r="895" spans="1:23" x14ac:dyDescent="0.25">
      <c r="A895" s="36">
        <f t="shared" si="81"/>
        <v>53</v>
      </c>
      <c r="I895" s="48"/>
      <c r="J895" s="48"/>
      <c r="K895" s="48"/>
      <c r="L895" s="48"/>
      <c r="V895" s="4"/>
      <c r="W895" s="35"/>
    </row>
    <row r="896" spans="1:23" x14ac:dyDescent="0.25">
      <c r="A896" s="36">
        <f t="shared" si="81"/>
        <v>53</v>
      </c>
      <c r="I896" s="48"/>
      <c r="J896" s="48"/>
      <c r="K896" s="48"/>
      <c r="L896" s="48"/>
      <c r="V896" s="4"/>
      <c r="W896" s="35"/>
    </row>
    <row r="897" spans="1:23" x14ac:dyDescent="0.25">
      <c r="A897" s="36">
        <f t="shared" si="81"/>
        <v>53</v>
      </c>
      <c r="I897" s="48"/>
      <c r="J897" s="48"/>
      <c r="K897" s="48"/>
      <c r="L897" s="48"/>
      <c r="V897" s="4"/>
      <c r="W897" s="35"/>
    </row>
    <row r="898" spans="1:23" x14ac:dyDescent="0.25">
      <c r="A898" s="36">
        <f t="shared" si="81"/>
        <v>53</v>
      </c>
      <c r="I898" s="48"/>
      <c r="J898" s="48"/>
      <c r="K898" s="48"/>
      <c r="L898" s="48"/>
      <c r="V898" s="4"/>
      <c r="W898" s="35"/>
    </row>
    <row r="899" spans="1:23" x14ac:dyDescent="0.25">
      <c r="A899" s="36">
        <f t="shared" si="81"/>
        <v>53</v>
      </c>
      <c r="I899" s="48"/>
      <c r="J899" s="48"/>
      <c r="K899" s="48"/>
      <c r="L899" s="48"/>
      <c r="V899" s="35"/>
    </row>
    <row r="900" spans="1:23" x14ac:dyDescent="0.25">
      <c r="A900" s="36">
        <f t="shared" si="81"/>
        <v>53</v>
      </c>
      <c r="I900" s="48"/>
      <c r="J900" s="48"/>
      <c r="K900" s="48"/>
      <c r="L900" s="48"/>
      <c r="V900" s="35"/>
    </row>
    <row r="901" spans="1:23" x14ac:dyDescent="0.25">
      <c r="A901" s="36">
        <f t="shared" ref="A901:A964" si="82">IF(B901=B900,A900,A900+1)</f>
        <v>53</v>
      </c>
      <c r="I901" s="48"/>
      <c r="J901" s="48"/>
      <c r="K901" s="48"/>
      <c r="L901" s="48"/>
      <c r="V901" s="35"/>
    </row>
    <row r="902" spans="1:23" x14ac:dyDescent="0.25">
      <c r="A902" s="36">
        <f t="shared" si="82"/>
        <v>53</v>
      </c>
      <c r="I902" s="48"/>
      <c r="J902" s="48"/>
      <c r="K902" s="48"/>
      <c r="L902" s="48"/>
      <c r="V902" s="35"/>
    </row>
    <row r="903" spans="1:23" x14ac:dyDescent="0.25">
      <c r="A903" s="36">
        <f t="shared" si="82"/>
        <v>53</v>
      </c>
      <c r="I903" s="48"/>
      <c r="J903" s="48"/>
      <c r="K903" s="48"/>
      <c r="L903" s="48"/>
      <c r="S903" s="110"/>
      <c r="T903" s="110"/>
      <c r="V903" s="35"/>
    </row>
    <row r="904" spans="1:23" x14ac:dyDescent="0.25">
      <c r="A904" s="36">
        <f t="shared" si="82"/>
        <v>53</v>
      </c>
      <c r="I904" s="48"/>
      <c r="J904" s="48"/>
      <c r="K904" s="48"/>
      <c r="L904" s="48"/>
      <c r="S904" s="110"/>
      <c r="T904" s="110"/>
      <c r="V904" s="35"/>
    </row>
    <row r="905" spans="1:23" x14ac:dyDescent="0.25">
      <c r="A905" s="36">
        <f t="shared" si="82"/>
        <v>53</v>
      </c>
      <c r="I905" s="48"/>
      <c r="J905"/>
      <c r="K905"/>
      <c r="L905"/>
      <c r="S905" s="110"/>
      <c r="T905" s="110"/>
      <c r="V905" s="35"/>
    </row>
    <row r="906" spans="1:23" x14ac:dyDescent="0.25">
      <c r="A906" s="36">
        <f t="shared" si="82"/>
        <v>53</v>
      </c>
      <c r="I906" s="48"/>
      <c r="J906"/>
      <c r="K906"/>
      <c r="L906"/>
      <c r="S906" s="110"/>
      <c r="T906" s="110"/>
      <c r="V906" s="35"/>
    </row>
    <row r="907" spans="1:23" x14ac:dyDescent="0.25">
      <c r="A907" s="36">
        <f t="shared" si="82"/>
        <v>53</v>
      </c>
      <c r="I907" s="48"/>
      <c r="J907"/>
      <c r="K907"/>
      <c r="L907"/>
      <c r="S907" s="110"/>
      <c r="T907" s="110"/>
      <c r="V907" s="35"/>
    </row>
    <row r="908" spans="1:23" x14ac:dyDescent="0.25">
      <c r="A908" s="36">
        <f t="shared" si="82"/>
        <v>53</v>
      </c>
      <c r="I908" s="48"/>
      <c r="J908"/>
      <c r="K908"/>
      <c r="L908"/>
      <c r="M908" s="110"/>
      <c r="N908" s="110"/>
      <c r="O908" s="110"/>
      <c r="P908" s="110"/>
      <c r="Q908" s="110"/>
      <c r="R908" s="110"/>
      <c r="S908" s="110"/>
      <c r="T908" s="110"/>
      <c r="V908" s="35"/>
    </row>
    <row r="909" spans="1:23" x14ac:dyDescent="0.25">
      <c r="A909" s="36">
        <f t="shared" si="82"/>
        <v>53</v>
      </c>
      <c r="I909" s="48"/>
      <c r="J909"/>
      <c r="K909"/>
      <c r="L909"/>
      <c r="M909" s="110"/>
      <c r="N909" s="110"/>
      <c r="O909" s="110"/>
      <c r="P909" s="110"/>
      <c r="Q909" s="110"/>
      <c r="R909" s="110"/>
      <c r="S909" s="110"/>
      <c r="T909" s="110"/>
      <c r="V909" s="35"/>
    </row>
    <row r="910" spans="1:23" x14ac:dyDescent="0.25">
      <c r="A910" s="36">
        <f t="shared" si="82"/>
        <v>53</v>
      </c>
      <c r="I910" s="48"/>
      <c r="J910"/>
      <c r="K910"/>
      <c r="L910"/>
      <c r="M910" s="110"/>
      <c r="N910" s="110"/>
      <c r="O910" s="110"/>
      <c r="P910" s="110"/>
      <c r="Q910" s="110"/>
      <c r="R910" s="110"/>
      <c r="S910" s="110"/>
      <c r="T910" s="110"/>
      <c r="V910" s="35"/>
    </row>
    <row r="911" spans="1:23" x14ac:dyDescent="0.25">
      <c r="A911" s="36">
        <f t="shared" si="82"/>
        <v>53</v>
      </c>
      <c r="I911" s="48"/>
      <c r="J911"/>
      <c r="K911"/>
      <c r="L911"/>
      <c r="M911" s="110"/>
      <c r="N911" s="110"/>
      <c r="O911" s="110"/>
      <c r="P911" s="110"/>
      <c r="Q911" s="110"/>
      <c r="R911" s="110"/>
      <c r="S911" s="110"/>
      <c r="T911" s="110"/>
      <c r="V911" s="35"/>
    </row>
    <row r="912" spans="1:23" x14ac:dyDescent="0.25">
      <c r="A912" s="36">
        <f t="shared" si="82"/>
        <v>53</v>
      </c>
      <c r="I912" s="48"/>
      <c r="J912"/>
      <c r="K912"/>
      <c r="L912"/>
      <c r="M912" s="110"/>
      <c r="N912" s="110"/>
      <c r="O912" s="110"/>
      <c r="P912" s="110"/>
      <c r="Q912" s="110"/>
      <c r="R912" s="110"/>
      <c r="S912" s="110"/>
      <c r="T912" s="110"/>
      <c r="V912" s="35"/>
    </row>
    <row r="913" spans="1:22" x14ac:dyDescent="0.25">
      <c r="A913" s="36">
        <f t="shared" si="82"/>
        <v>53</v>
      </c>
      <c r="I913" s="48"/>
      <c r="J913"/>
      <c r="K913"/>
      <c r="L913"/>
      <c r="M913" s="110"/>
      <c r="N913" s="110"/>
      <c r="O913" s="110"/>
      <c r="P913" s="110"/>
      <c r="Q913" s="110"/>
      <c r="R913" s="110"/>
      <c r="S913" s="110"/>
      <c r="T913" s="110"/>
      <c r="V913" s="35"/>
    </row>
    <row r="914" spans="1:22" x14ac:dyDescent="0.25">
      <c r="A914" s="36">
        <f t="shared" si="82"/>
        <v>53</v>
      </c>
      <c r="I914" s="48"/>
      <c r="J914"/>
      <c r="K914"/>
      <c r="L914"/>
      <c r="M914" s="110"/>
      <c r="N914" s="110"/>
      <c r="O914" s="110"/>
      <c r="P914" s="110"/>
      <c r="Q914" s="110"/>
      <c r="R914" s="110"/>
      <c r="S914" s="110"/>
      <c r="T914" s="110"/>
      <c r="V914" s="35"/>
    </row>
    <row r="915" spans="1:22" x14ac:dyDescent="0.25">
      <c r="A915" s="36">
        <f t="shared" si="82"/>
        <v>53</v>
      </c>
      <c r="I915" s="48"/>
      <c r="J915"/>
      <c r="K915"/>
      <c r="L915"/>
      <c r="M915" s="110"/>
      <c r="N915" s="110"/>
      <c r="O915" s="110"/>
      <c r="P915" s="110"/>
      <c r="Q915" s="110"/>
      <c r="R915" s="110"/>
      <c r="S915" s="110"/>
      <c r="T915" s="110"/>
      <c r="V915" s="35"/>
    </row>
    <row r="916" spans="1:22" x14ac:dyDescent="0.25">
      <c r="A916" s="36">
        <f t="shared" si="82"/>
        <v>53</v>
      </c>
      <c r="I916" s="48"/>
      <c r="J916"/>
      <c r="K916"/>
      <c r="L916"/>
      <c r="M916" s="110"/>
      <c r="N916" s="110"/>
      <c r="O916" s="110"/>
      <c r="P916" s="110"/>
      <c r="Q916" s="110"/>
      <c r="R916" s="110"/>
      <c r="V916" s="35"/>
    </row>
    <row r="917" spans="1:22" x14ac:dyDescent="0.25">
      <c r="A917" s="36">
        <f t="shared" si="82"/>
        <v>53</v>
      </c>
      <c r="I917" s="48"/>
      <c r="J917"/>
      <c r="K917"/>
      <c r="L917"/>
      <c r="M917" s="110"/>
      <c r="N917" s="110"/>
      <c r="O917" s="110"/>
      <c r="P917" s="110"/>
      <c r="Q917" s="110"/>
      <c r="R917" s="110"/>
      <c r="V917" s="35"/>
    </row>
    <row r="918" spans="1:22" x14ac:dyDescent="0.25">
      <c r="A918" s="36">
        <f t="shared" si="82"/>
        <v>53</v>
      </c>
      <c r="I918" s="48"/>
      <c r="J918"/>
      <c r="K918"/>
      <c r="L918"/>
      <c r="M918" s="110"/>
      <c r="N918" s="110"/>
      <c r="O918" s="110"/>
      <c r="P918" s="110"/>
      <c r="Q918" s="110"/>
      <c r="R918" s="110"/>
      <c r="V918" s="35"/>
    </row>
    <row r="919" spans="1:22" x14ac:dyDescent="0.25">
      <c r="A919" s="36">
        <f t="shared" si="82"/>
        <v>53</v>
      </c>
      <c r="I919" s="48"/>
      <c r="J919"/>
      <c r="K919"/>
      <c r="L919"/>
      <c r="M919" s="110"/>
      <c r="N919" s="110"/>
      <c r="O919" s="110"/>
      <c r="P919" s="110"/>
      <c r="Q919" s="110"/>
      <c r="R919" s="110"/>
      <c r="V919" s="35"/>
    </row>
    <row r="920" spans="1:22" x14ac:dyDescent="0.25">
      <c r="A920" s="36">
        <f t="shared" si="82"/>
        <v>53</v>
      </c>
      <c r="I920" s="48"/>
      <c r="J920" s="48"/>
      <c r="K920" s="48"/>
      <c r="L920" s="48"/>
      <c r="M920" s="110"/>
      <c r="N920" s="110"/>
      <c r="O920" s="110"/>
      <c r="P920" s="110"/>
      <c r="Q920" s="110"/>
      <c r="R920" s="110"/>
      <c r="V920" s="35"/>
    </row>
    <row r="921" spans="1:22" x14ac:dyDescent="0.25">
      <c r="A921" s="36">
        <f t="shared" si="82"/>
        <v>53</v>
      </c>
      <c r="I921" s="48"/>
      <c r="J921" s="48"/>
      <c r="K921" s="48"/>
      <c r="L921" s="48"/>
      <c r="V921" s="35"/>
    </row>
    <row r="922" spans="1:22" x14ac:dyDescent="0.25">
      <c r="A922" s="36">
        <f t="shared" si="82"/>
        <v>53</v>
      </c>
      <c r="I922" s="48"/>
      <c r="J922" s="48"/>
      <c r="K922" s="48"/>
      <c r="L922" s="48"/>
      <c r="V922" s="35"/>
    </row>
    <row r="923" spans="1:22" x14ac:dyDescent="0.25">
      <c r="A923" s="36">
        <f t="shared" si="82"/>
        <v>53</v>
      </c>
      <c r="I923" s="48"/>
      <c r="J923" s="48"/>
      <c r="K923" s="48"/>
      <c r="L923" s="48"/>
      <c r="V923" s="35"/>
    </row>
    <row r="924" spans="1:22" x14ac:dyDescent="0.25">
      <c r="A924" s="36">
        <f t="shared" si="82"/>
        <v>53</v>
      </c>
      <c r="I924" s="48"/>
      <c r="J924" s="48"/>
      <c r="K924" s="48"/>
      <c r="L924" s="48"/>
      <c r="V924" s="35"/>
    </row>
    <row r="925" spans="1:22" x14ac:dyDescent="0.25">
      <c r="A925" s="36">
        <f t="shared" si="82"/>
        <v>53</v>
      </c>
      <c r="I925" s="48"/>
      <c r="J925" s="48"/>
      <c r="K925" s="48"/>
      <c r="L925" s="48"/>
      <c r="V925" s="35"/>
    </row>
    <row r="926" spans="1:22" x14ac:dyDescent="0.25">
      <c r="A926" s="36">
        <f t="shared" si="82"/>
        <v>53</v>
      </c>
      <c r="I926" s="48"/>
      <c r="J926" s="48"/>
      <c r="K926" s="48"/>
      <c r="L926" s="48"/>
      <c r="V926" s="35"/>
    </row>
    <row r="927" spans="1:22" x14ac:dyDescent="0.25">
      <c r="A927" s="36">
        <f t="shared" si="82"/>
        <v>53</v>
      </c>
      <c r="I927" s="48"/>
      <c r="J927" s="48"/>
      <c r="K927" s="48"/>
      <c r="L927" s="48"/>
      <c r="V927" s="35"/>
    </row>
    <row r="928" spans="1:22" x14ac:dyDescent="0.25">
      <c r="A928" s="36">
        <f t="shared" si="82"/>
        <v>53</v>
      </c>
      <c r="I928" s="48"/>
      <c r="J928" s="48"/>
      <c r="K928" s="48"/>
      <c r="L928" s="48"/>
      <c r="V928" s="35"/>
    </row>
    <row r="929" spans="1:22" x14ac:dyDescent="0.25">
      <c r="A929" s="36">
        <f t="shared" si="82"/>
        <v>53</v>
      </c>
      <c r="I929" s="48"/>
      <c r="J929" s="48"/>
      <c r="K929" s="48"/>
      <c r="L929" s="48"/>
      <c r="V929" s="35"/>
    </row>
    <row r="930" spans="1:22" x14ac:dyDescent="0.25">
      <c r="A930" s="36">
        <f t="shared" si="82"/>
        <v>53</v>
      </c>
      <c r="I930" s="48"/>
      <c r="J930" s="48"/>
      <c r="K930" s="48"/>
      <c r="L930" s="48"/>
      <c r="V930" s="35"/>
    </row>
    <row r="931" spans="1:22" x14ac:dyDescent="0.25">
      <c r="A931" s="36">
        <f t="shared" si="82"/>
        <v>53</v>
      </c>
      <c r="I931" s="48"/>
      <c r="J931" s="48"/>
      <c r="K931" s="48"/>
      <c r="L931" s="48"/>
      <c r="V931" s="35"/>
    </row>
    <row r="932" spans="1:22" x14ac:dyDescent="0.25">
      <c r="A932" s="36">
        <f t="shared" si="82"/>
        <v>53</v>
      </c>
      <c r="I932" s="48"/>
      <c r="J932" s="48"/>
      <c r="K932" s="48"/>
      <c r="L932" s="48"/>
      <c r="V932" s="35"/>
    </row>
    <row r="933" spans="1:22" x14ac:dyDescent="0.25">
      <c r="A933" s="36">
        <f t="shared" si="82"/>
        <v>53</v>
      </c>
      <c r="I933" s="48"/>
      <c r="V933" s="35"/>
    </row>
    <row r="934" spans="1:22" x14ac:dyDescent="0.25">
      <c r="A934" s="36">
        <f t="shared" si="82"/>
        <v>53</v>
      </c>
      <c r="I934" s="48"/>
      <c r="V934" s="35"/>
    </row>
    <row r="935" spans="1:22" x14ac:dyDescent="0.25">
      <c r="A935" s="36">
        <f t="shared" si="82"/>
        <v>53</v>
      </c>
      <c r="I935" s="48"/>
      <c r="V935" s="35"/>
    </row>
    <row r="936" spans="1:22" x14ac:dyDescent="0.25">
      <c r="A936" s="36">
        <f t="shared" si="82"/>
        <v>53</v>
      </c>
      <c r="I936" s="48"/>
      <c r="V936" s="35"/>
    </row>
    <row r="937" spans="1:22" x14ac:dyDescent="0.25">
      <c r="A937" s="36">
        <f t="shared" si="82"/>
        <v>53</v>
      </c>
      <c r="I937" s="48"/>
      <c r="V937" s="35"/>
    </row>
    <row r="938" spans="1:22" x14ac:dyDescent="0.25">
      <c r="A938" s="36">
        <f t="shared" si="82"/>
        <v>53</v>
      </c>
      <c r="I938" s="48"/>
      <c r="V938" s="35"/>
    </row>
    <row r="939" spans="1:22" x14ac:dyDescent="0.25">
      <c r="A939" s="36">
        <f t="shared" si="82"/>
        <v>53</v>
      </c>
      <c r="I939" s="48"/>
      <c r="V939" s="35"/>
    </row>
    <row r="940" spans="1:22" x14ac:dyDescent="0.25">
      <c r="A940" s="36">
        <f t="shared" si="82"/>
        <v>53</v>
      </c>
      <c r="I940" s="48"/>
      <c r="V940" s="35"/>
    </row>
    <row r="941" spans="1:22" x14ac:dyDescent="0.25">
      <c r="A941" s="36">
        <f t="shared" si="82"/>
        <v>53</v>
      </c>
      <c r="I941" s="48"/>
      <c r="V941" s="35"/>
    </row>
    <row r="942" spans="1:22" x14ac:dyDescent="0.25">
      <c r="A942" s="36">
        <f t="shared" si="82"/>
        <v>53</v>
      </c>
      <c r="I942" s="48"/>
      <c r="V942" s="35"/>
    </row>
    <row r="943" spans="1:22" x14ac:dyDescent="0.25">
      <c r="A943" s="36">
        <f t="shared" si="82"/>
        <v>53</v>
      </c>
      <c r="I943" s="48"/>
      <c r="V943" s="35"/>
    </row>
    <row r="944" spans="1:22" x14ac:dyDescent="0.25">
      <c r="A944" s="36">
        <f t="shared" si="82"/>
        <v>53</v>
      </c>
      <c r="I944" s="48"/>
      <c r="V944" s="35"/>
    </row>
    <row r="945" spans="1:22" x14ac:dyDescent="0.25">
      <c r="A945" s="36">
        <f t="shared" si="82"/>
        <v>53</v>
      </c>
      <c r="I945" s="48"/>
      <c r="V945" s="35"/>
    </row>
    <row r="946" spans="1:22" x14ac:dyDescent="0.25">
      <c r="A946" s="36">
        <f t="shared" si="82"/>
        <v>53</v>
      </c>
      <c r="I946" s="48"/>
      <c r="V946" s="35"/>
    </row>
    <row r="947" spans="1:22" x14ac:dyDescent="0.25">
      <c r="A947" s="36">
        <f t="shared" si="82"/>
        <v>53</v>
      </c>
      <c r="I947" s="48"/>
      <c r="V947" s="35"/>
    </row>
    <row r="948" spans="1:22" x14ac:dyDescent="0.25">
      <c r="A948" s="36">
        <f t="shared" si="82"/>
        <v>53</v>
      </c>
      <c r="I948" s="48"/>
      <c r="V948" s="35"/>
    </row>
    <row r="949" spans="1:22" x14ac:dyDescent="0.25">
      <c r="A949" s="36">
        <f t="shared" si="82"/>
        <v>53</v>
      </c>
      <c r="I949" s="48"/>
      <c r="V949" s="35"/>
    </row>
    <row r="950" spans="1:22" x14ac:dyDescent="0.25">
      <c r="A950" s="36">
        <f t="shared" si="82"/>
        <v>53</v>
      </c>
      <c r="I950" s="48"/>
      <c r="V950" s="35"/>
    </row>
    <row r="951" spans="1:22" x14ac:dyDescent="0.25">
      <c r="A951" s="36">
        <f t="shared" si="82"/>
        <v>53</v>
      </c>
      <c r="I951" s="48"/>
      <c r="V951" s="35"/>
    </row>
    <row r="952" spans="1:22" x14ac:dyDescent="0.25">
      <c r="A952" s="36">
        <f t="shared" si="82"/>
        <v>53</v>
      </c>
      <c r="I952" s="48"/>
      <c r="V952" s="35"/>
    </row>
    <row r="953" spans="1:22" x14ac:dyDescent="0.25">
      <c r="A953" s="36">
        <f t="shared" si="82"/>
        <v>53</v>
      </c>
      <c r="I953" s="48"/>
      <c r="V953" s="35"/>
    </row>
    <row r="954" spans="1:22" x14ac:dyDescent="0.25">
      <c r="A954" s="36">
        <f t="shared" si="82"/>
        <v>53</v>
      </c>
      <c r="I954" s="48"/>
      <c r="V954" s="35"/>
    </row>
    <row r="955" spans="1:22" x14ac:dyDescent="0.25">
      <c r="A955" s="36">
        <f t="shared" si="82"/>
        <v>53</v>
      </c>
      <c r="I955" s="48"/>
      <c r="V955" s="35"/>
    </row>
    <row r="956" spans="1:22" x14ac:dyDescent="0.25">
      <c r="A956" s="36">
        <f t="shared" si="82"/>
        <v>53</v>
      </c>
      <c r="I956" s="48"/>
      <c r="V956" s="35"/>
    </row>
    <row r="957" spans="1:22" x14ac:dyDescent="0.25">
      <c r="A957" s="36">
        <f t="shared" si="82"/>
        <v>53</v>
      </c>
      <c r="I957" s="48"/>
      <c r="V957" s="35"/>
    </row>
    <row r="958" spans="1:22" x14ac:dyDescent="0.25">
      <c r="A958" s="36">
        <f t="shared" si="82"/>
        <v>53</v>
      </c>
      <c r="I958" s="48"/>
      <c r="V958" s="35"/>
    </row>
    <row r="959" spans="1:22" x14ac:dyDescent="0.25">
      <c r="A959" s="36">
        <f t="shared" si="82"/>
        <v>53</v>
      </c>
      <c r="I959" s="48"/>
      <c r="V959" s="35"/>
    </row>
    <row r="960" spans="1:22" x14ac:dyDescent="0.25">
      <c r="A960" s="36">
        <f t="shared" si="82"/>
        <v>53</v>
      </c>
      <c r="I960" s="48"/>
      <c r="V960" s="35"/>
    </row>
    <row r="961" spans="1:22" x14ac:dyDescent="0.25">
      <c r="A961" s="36">
        <f t="shared" si="82"/>
        <v>53</v>
      </c>
      <c r="I961" s="48"/>
      <c r="V961" s="35"/>
    </row>
    <row r="962" spans="1:22" x14ac:dyDescent="0.25">
      <c r="A962" s="36">
        <f t="shared" si="82"/>
        <v>53</v>
      </c>
      <c r="I962" s="48"/>
      <c r="V962" s="35"/>
    </row>
    <row r="963" spans="1:22" x14ac:dyDescent="0.25">
      <c r="A963" s="36">
        <f t="shared" si="82"/>
        <v>53</v>
      </c>
      <c r="I963" s="48"/>
      <c r="V963" s="35"/>
    </row>
    <row r="964" spans="1:22" x14ac:dyDescent="0.25">
      <c r="A964" s="36">
        <f t="shared" si="82"/>
        <v>53</v>
      </c>
      <c r="I964" s="48"/>
      <c r="V964" s="35"/>
    </row>
    <row r="965" spans="1:22" x14ac:dyDescent="0.25">
      <c r="A965" s="36">
        <f t="shared" ref="A965:A1028" si="83">IF(B965=B964,A964,A964+1)</f>
        <v>53</v>
      </c>
      <c r="I965" s="48"/>
      <c r="V965" s="35"/>
    </row>
    <row r="966" spans="1:22" x14ac:dyDescent="0.25">
      <c r="A966" s="36">
        <f t="shared" si="83"/>
        <v>53</v>
      </c>
      <c r="I966" s="48"/>
      <c r="V966" s="35"/>
    </row>
    <row r="967" spans="1:22" x14ac:dyDescent="0.25">
      <c r="A967" s="36">
        <f t="shared" si="83"/>
        <v>53</v>
      </c>
      <c r="I967" s="48"/>
      <c r="V967" s="35"/>
    </row>
    <row r="968" spans="1:22" x14ac:dyDescent="0.25">
      <c r="A968" s="36">
        <f t="shared" si="83"/>
        <v>53</v>
      </c>
      <c r="I968" s="48"/>
      <c r="V968" s="35"/>
    </row>
    <row r="969" spans="1:22" x14ac:dyDescent="0.25">
      <c r="A969" s="36">
        <f t="shared" si="83"/>
        <v>53</v>
      </c>
      <c r="I969" s="48"/>
      <c r="V969" s="35"/>
    </row>
    <row r="970" spans="1:22" x14ac:dyDescent="0.25">
      <c r="A970" s="36">
        <f t="shared" si="83"/>
        <v>53</v>
      </c>
      <c r="I970" s="48"/>
      <c r="V970" s="35"/>
    </row>
    <row r="971" spans="1:22" x14ac:dyDescent="0.25">
      <c r="A971" s="36">
        <f t="shared" si="83"/>
        <v>53</v>
      </c>
      <c r="I971" s="48"/>
      <c r="V971" s="35"/>
    </row>
    <row r="972" spans="1:22" x14ac:dyDescent="0.25">
      <c r="A972" s="36">
        <f t="shared" si="83"/>
        <v>53</v>
      </c>
      <c r="I972" s="48"/>
      <c r="V972" s="35"/>
    </row>
    <row r="973" spans="1:22" x14ac:dyDescent="0.25">
      <c r="A973" s="36">
        <f t="shared" si="83"/>
        <v>53</v>
      </c>
      <c r="I973" s="48"/>
      <c r="V973" s="35"/>
    </row>
    <row r="974" spans="1:22" x14ac:dyDescent="0.25">
      <c r="A974" s="36">
        <f t="shared" si="83"/>
        <v>53</v>
      </c>
      <c r="I974" s="48"/>
      <c r="V974" s="35"/>
    </row>
    <row r="975" spans="1:22" x14ac:dyDescent="0.25">
      <c r="A975" s="36">
        <f t="shared" si="83"/>
        <v>53</v>
      </c>
      <c r="I975" s="48"/>
      <c r="V975" s="35"/>
    </row>
    <row r="976" spans="1:22" x14ac:dyDescent="0.25">
      <c r="A976" s="36">
        <f t="shared" si="83"/>
        <v>53</v>
      </c>
      <c r="I976" s="48"/>
      <c r="V976" s="35"/>
    </row>
    <row r="977" spans="1:22" x14ac:dyDescent="0.25">
      <c r="A977" s="36">
        <f t="shared" si="83"/>
        <v>53</v>
      </c>
      <c r="I977" s="48"/>
      <c r="V977" s="35"/>
    </row>
    <row r="978" spans="1:22" x14ac:dyDescent="0.25">
      <c r="A978" s="36">
        <f t="shared" si="83"/>
        <v>53</v>
      </c>
      <c r="V978" s="35"/>
    </row>
    <row r="979" spans="1:22" x14ac:dyDescent="0.25">
      <c r="A979" s="36">
        <f t="shared" si="83"/>
        <v>53</v>
      </c>
      <c r="V979" s="35"/>
    </row>
    <row r="980" spans="1:22" x14ac:dyDescent="0.25">
      <c r="A980" s="36">
        <f t="shared" si="83"/>
        <v>53</v>
      </c>
      <c r="V980" s="35"/>
    </row>
    <row r="981" spans="1:22" x14ac:dyDescent="0.25">
      <c r="A981" s="36">
        <f t="shared" si="83"/>
        <v>53</v>
      </c>
      <c r="V981" s="35"/>
    </row>
    <row r="982" spans="1:22" x14ac:dyDescent="0.25">
      <c r="A982" s="36">
        <f t="shared" si="83"/>
        <v>53</v>
      </c>
      <c r="V982" s="35"/>
    </row>
    <row r="983" spans="1:22" x14ac:dyDescent="0.25">
      <c r="A983" s="36">
        <f t="shared" si="83"/>
        <v>53</v>
      </c>
      <c r="V983" s="35"/>
    </row>
    <row r="984" spans="1:22" x14ac:dyDescent="0.25">
      <c r="A984" s="36">
        <f t="shared" si="83"/>
        <v>53</v>
      </c>
      <c r="V984" s="35"/>
    </row>
    <row r="985" spans="1:22" x14ac:dyDescent="0.25">
      <c r="A985" s="36">
        <f t="shared" si="83"/>
        <v>53</v>
      </c>
      <c r="V985" s="35"/>
    </row>
    <row r="986" spans="1:22" x14ac:dyDescent="0.25">
      <c r="A986" s="36">
        <f t="shared" si="83"/>
        <v>53</v>
      </c>
      <c r="V986" s="35"/>
    </row>
    <row r="987" spans="1:22" x14ac:dyDescent="0.25">
      <c r="A987" s="36">
        <f t="shared" si="83"/>
        <v>53</v>
      </c>
      <c r="V987" s="35"/>
    </row>
    <row r="988" spans="1:22" x14ac:dyDescent="0.25">
      <c r="A988" s="36">
        <f t="shared" si="83"/>
        <v>53</v>
      </c>
      <c r="V988" s="35"/>
    </row>
    <row r="989" spans="1:22" x14ac:dyDescent="0.25">
      <c r="A989" s="36">
        <f t="shared" si="83"/>
        <v>53</v>
      </c>
      <c r="V989" s="35"/>
    </row>
    <row r="990" spans="1:22" x14ac:dyDescent="0.25">
      <c r="A990" s="36">
        <f t="shared" si="83"/>
        <v>53</v>
      </c>
      <c r="V990" s="35"/>
    </row>
    <row r="991" spans="1:22" x14ac:dyDescent="0.25">
      <c r="A991" s="36">
        <f t="shared" si="83"/>
        <v>53</v>
      </c>
      <c r="V991" s="35"/>
    </row>
    <row r="992" spans="1:22" x14ac:dyDescent="0.25">
      <c r="A992" s="36">
        <f t="shared" si="83"/>
        <v>53</v>
      </c>
      <c r="V992" s="35"/>
    </row>
    <row r="993" spans="1:22" x14ac:dyDescent="0.25">
      <c r="A993" s="36">
        <f t="shared" si="83"/>
        <v>53</v>
      </c>
      <c r="V993" s="35"/>
    </row>
    <row r="994" spans="1:22" x14ac:dyDescent="0.25">
      <c r="A994" s="36">
        <f t="shared" si="83"/>
        <v>53</v>
      </c>
      <c r="V994" s="35"/>
    </row>
    <row r="995" spans="1:22" x14ac:dyDescent="0.25">
      <c r="A995" s="36">
        <f t="shared" si="83"/>
        <v>53</v>
      </c>
      <c r="V995" s="35"/>
    </row>
    <row r="996" spans="1:22" x14ac:dyDescent="0.25">
      <c r="A996" s="36">
        <f t="shared" si="83"/>
        <v>53</v>
      </c>
      <c r="V996" s="35"/>
    </row>
    <row r="997" spans="1:22" x14ac:dyDescent="0.25">
      <c r="A997" s="36">
        <f t="shared" si="83"/>
        <v>53</v>
      </c>
      <c r="V997" s="35"/>
    </row>
    <row r="998" spans="1:22" x14ac:dyDescent="0.25">
      <c r="A998" s="36">
        <f t="shared" si="83"/>
        <v>53</v>
      </c>
      <c r="V998" s="35"/>
    </row>
    <row r="999" spans="1:22" x14ac:dyDescent="0.25">
      <c r="A999" s="36">
        <f t="shared" si="83"/>
        <v>53</v>
      </c>
      <c r="V999" s="35"/>
    </row>
    <row r="1000" spans="1:22" x14ac:dyDescent="0.25">
      <c r="A1000" s="36">
        <f t="shared" si="83"/>
        <v>53</v>
      </c>
      <c r="V1000" s="35"/>
    </row>
    <row r="1001" spans="1:22" x14ac:dyDescent="0.25">
      <c r="A1001" s="36">
        <f t="shared" si="83"/>
        <v>53</v>
      </c>
      <c r="V1001" s="35"/>
    </row>
    <row r="1002" spans="1:22" x14ac:dyDescent="0.25">
      <c r="A1002" s="36">
        <f t="shared" si="83"/>
        <v>53</v>
      </c>
      <c r="V1002" s="35"/>
    </row>
    <row r="1003" spans="1:22" x14ac:dyDescent="0.25">
      <c r="A1003" s="36">
        <f t="shared" si="83"/>
        <v>53</v>
      </c>
      <c r="V1003" s="35"/>
    </row>
    <row r="1004" spans="1:22" x14ac:dyDescent="0.25">
      <c r="A1004" s="36">
        <f t="shared" si="83"/>
        <v>53</v>
      </c>
      <c r="V1004" s="35"/>
    </row>
    <row r="1005" spans="1:22" x14ac:dyDescent="0.25">
      <c r="A1005" s="36">
        <f t="shared" si="83"/>
        <v>53</v>
      </c>
      <c r="V1005" s="35"/>
    </row>
    <row r="1006" spans="1:22" x14ac:dyDescent="0.25">
      <c r="A1006" s="36">
        <f t="shared" si="83"/>
        <v>53</v>
      </c>
      <c r="V1006" s="35"/>
    </row>
    <row r="1007" spans="1:22" x14ac:dyDescent="0.25">
      <c r="A1007" s="36">
        <f t="shared" si="83"/>
        <v>53</v>
      </c>
      <c r="V1007" s="35"/>
    </row>
    <row r="1008" spans="1:22" x14ac:dyDescent="0.25">
      <c r="A1008" s="36">
        <f t="shared" si="83"/>
        <v>53</v>
      </c>
      <c r="V1008" s="35"/>
    </row>
    <row r="1009" spans="1:22" x14ac:dyDescent="0.25">
      <c r="A1009" s="36">
        <f t="shared" si="83"/>
        <v>53</v>
      </c>
      <c r="V1009" s="35"/>
    </row>
    <row r="1010" spans="1:22" x14ac:dyDescent="0.25">
      <c r="A1010" s="36">
        <f t="shared" si="83"/>
        <v>53</v>
      </c>
      <c r="V1010" s="35"/>
    </row>
    <row r="1011" spans="1:22" x14ac:dyDescent="0.25">
      <c r="A1011" s="36">
        <f t="shared" si="83"/>
        <v>53</v>
      </c>
      <c r="V1011" s="35"/>
    </row>
    <row r="1012" spans="1:22" x14ac:dyDescent="0.25">
      <c r="A1012" s="36">
        <f t="shared" si="83"/>
        <v>53</v>
      </c>
      <c r="V1012" s="35"/>
    </row>
    <row r="1013" spans="1:22" x14ac:dyDescent="0.25">
      <c r="A1013" s="36">
        <f t="shared" si="83"/>
        <v>53</v>
      </c>
      <c r="V1013" s="35"/>
    </row>
    <row r="1014" spans="1:22" x14ac:dyDescent="0.25">
      <c r="A1014" s="36">
        <f t="shared" si="83"/>
        <v>53</v>
      </c>
      <c r="V1014" s="35"/>
    </row>
    <row r="1015" spans="1:22" x14ac:dyDescent="0.25">
      <c r="A1015" s="36">
        <f t="shared" si="83"/>
        <v>53</v>
      </c>
      <c r="V1015" s="35"/>
    </row>
    <row r="1016" spans="1:22" x14ac:dyDescent="0.25">
      <c r="A1016" s="36">
        <f t="shared" si="83"/>
        <v>53</v>
      </c>
      <c r="V1016" s="35"/>
    </row>
    <row r="1017" spans="1:22" x14ac:dyDescent="0.25">
      <c r="A1017" s="36">
        <f t="shared" si="83"/>
        <v>53</v>
      </c>
      <c r="V1017" s="35"/>
    </row>
    <row r="1018" spans="1:22" x14ac:dyDescent="0.25">
      <c r="A1018" s="36">
        <f t="shared" si="83"/>
        <v>53</v>
      </c>
      <c r="V1018" s="35"/>
    </row>
    <row r="1019" spans="1:22" x14ac:dyDescent="0.25">
      <c r="A1019" s="36">
        <f t="shared" si="83"/>
        <v>53</v>
      </c>
      <c r="V1019" s="35"/>
    </row>
    <row r="1020" spans="1:22" x14ac:dyDescent="0.25">
      <c r="A1020" s="36">
        <f t="shared" si="83"/>
        <v>53</v>
      </c>
      <c r="V1020" s="35"/>
    </row>
    <row r="1021" spans="1:22" x14ac:dyDescent="0.25">
      <c r="A1021" s="36">
        <f t="shared" si="83"/>
        <v>53</v>
      </c>
      <c r="V1021" s="35"/>
    </row>
    <row r="1022" spans="1:22" x14ac:dyDescent="0.25">
      <c r="A1022" s="36">
        <f t="shared" si="83"/>
        <v>53</v>
      </c>
      <c r="V1022" s="35"/>
    </row>
    <row r="1023" spans="1:22" x14ac:dyDescent="0.25">
      <c r="A1023" s="36">
        <f t="shared" si="83"/>
        <v>53</v>
      </c>
      <c r="V1023" s="35"/>
    </row>
    <row r="1024" spans="1:22" x14ac:dyDescent="0.25">
      <c r="A1024" s="36">
        <f t="shared" si="83"/>
        <v>53</v>
      </c>
      <c r="V1024" s="35"/>
    </row>
    <row r="1025" spans="1:22" x14ac:dyDescent="0.25">
      <c r="A1025" s="36">
        <f t="shared" si="83"/>
        <v>53</v>
      </c>
      <c r="V1025" s="35"/>
    </row>
    <row r="1026" spans="1:22" x14ac:dyDescent="0.25">
      <c r="A1026" s="36">
        <f t="shared" si="83"/>
        <v>53</v>
      </c>
      <c r="V1026" s="35"/>
    </row>
    <row r="1027" spans="1:22" x14ac:dyDescent="0.25">
      <c r="A1027" s="36">
        <f t="shared" si="83"/>
        <v>53</v>
      </c>
      <c r="V1027" s="35"/>
    </row>
    <row r="1028" spans="1:22" x14ac:dyDescent="0.25">
      <c r="A1028" s="36">
        <f t="shared" si="83"/>
        <v>53</v>
      </c>
      <c r="V1028" s="35"/>
    </row>
    <row r="1029" spans="1:22" x14ac:dyDescent="0.25">
      <c r="A1029" s="36">
        <f t="shared" ref="A1029:A1092" si="84">IF(B1029=B1028,A1028,A1028+1)</f>
        <v>53</v>
      </c>
      <c r="V1029" s="35"/>
    </row>
    <row r="1030" spans="1:22" x14ac:dyDescent="0.25">
      <c r="A1030" s="36">
        <f t="shared" si="84"/>
        <v>53</v>
      </c>
      <c r="V1030" s="35"/>
    </row>
    <row r="1031" spans="1:22" x14ac:dyDescent="0.25">
      <c r="A1031" s="36">
        <f t="shared" si="84"/>
        <v>53</v>
      </c>
      <c r="V1031" s="35"/>
    </row>
    <row r="1032" spans="1:22" x14ac:dyDescent="0.25">
      <c r="A1032" s="36">
        <f t="shared" si="84"/>
        <v>53</v>
      </c>
      <c r="V1032" s="35"/>
    </row>
    <row r="1033" spans="1:22" x14ac:dyDescent="0.25">
      <c r="A1033" s="36">
        <f t="shared" si="84"/>
        <v>53</v>
      </c>
      <c r="V1033" s="35"/>
    </row>
    <row r="1034" spans="1:22" x14ac:dyDescent="0.25">
      <c r="A1034" s="36">
        <f t="shared" si="84"/>
        <v>53</v>
      </c>
      <c r="V1034" s="35"/>
    </row>
    <row r="1035" spans="1:22" x14ac:dyDescent="0.25">
      <c r="A1035" s="36">
        <f t="shared" si="84"/>
        <v>53</v>
      </c>
      <c r="V1035" s="35"/>
    </row>
    <row r="1036" spans="1:22" x14ac:dyDescent="0.25">
      <c r="A1036" s="36">
        <f t="shared" si="84"/>
        <v>53</v>
      </c>
      <c r="V1036" s="35"/>
    </row>
    <row r="1037" spans="1:22" x14ac:dyDescent="0.25">
      <c r="A1037" s="36">
        <f t="shared" si="84"/>
        <v>53</v>
      </c>
      <c r="V1037" s="35"/>
    </row>
    <row r="1038" spans="1:22" x14ac:dyDescent="0.25">
      <c r="A1038" s="36">
        <f t="shared" si="84"/>
        <v>53</v>
      </c>
      <c r="V1038" s="35"/>
    </row>
    <row r="1039" spans="1:22" x14ac:dyDescent="0.25">
      <c r="A1039" s="36">
        <f t="shared" si="84"/>
        <v>53</v>
      </c>
      <c r="V1039" s="35"/>
    </row>
    <row r="1040" spans="1:22" x14ac:dyDescent="0.25">
      <c r="A1040" s="36">
        <f t="shared" si="84"/>
        <v>53</v>
      </c>
      <c r="V1040" s="35"/>
    </row>
    <row r="1041" spans="1:22" x14ac:dyDescent="0.25">
      <c r="A1041" s="36">
        <f t="shared" si="84"/>
        <v>53</v>
      </c>
      <c r="V1041" s="35"/>
    </row>
    <row r="1042" spans="1:22" x14ac:dyDescent="0.25">
      <c r="A1042" s="36">
        <f t="shared" si="84"/>
        <v>53</v>
      </c>
      <c r="V1042" s="35"/>
    </row>
    <row r="1043" spans="1:22" x14ac:dyDescent="0.25">
      <c r="A1043" s="36">
        <f t="shared" si="84"/>
        <v>53</v>
      </c>
      <c r="V1043" s="35"/>
    </row>
    <row r="1044" spans="1:22" x14ac:dyDescent="0.25">
      <c r="A1044" s="36">
        <f t="shared" si="84"/>
        <v>53</v>
      </c>
      <c r="V1044" s="35"/>
    </row>
    <row r="1045" spans="1:22" x14ac:dyDescent="0.25">
      <c r="A1045" s="36">
        <f t="shared" si="84"/>
        <v>53</v>
      </c>
      <c r="V1045" s="35"/>
    </row>
    <row r="1046" spans="1:22" x14ac:dyDescent="0.25">
      <c r="A1046" s="36">
        <f t="shared" si="84"/>
        <v>53</v>
      </c>
      <c r="V1046" s="35"/>
    </row>
    <row r="1047" spans="1:22" x14ac:dyDescent="0.25">
      <c r="A1047" s="36">
        <f t="shared" si="84"/>
        <v>53</v>
      </c>
      <c r="V1047" s="35"/>
    </row>
    <row r="1048" spans="1:22" x14ac:dyDescent="0.25">
      <c r="A1048" s="36">
        <f t="shared" si="84"/>
        <v>53</v>
      </c>
      <c r="V1048" s="35"/>
    </row>
    <row r="1049" spans="1:22" x14ac:dyDescent="0.25">
      <c r="A1049" s="36">
        <f t="shared" si="84"/>
        <v>53</v>
      </c>
      <c r="V1049" s="35"/>
    </row>
    <row r="1050" spans="1:22" x14ac:dyDescent="0.25">
      <c r="A1050" s="36">
        <f t="shared" si="84"/>
        <v>53</v>
      </c>
      <c r="V1050" s="35"/>
    </row>
    <row r="1051" spans="1:22" x14ac:dyDescent="0.25">
      <c r="A1051" s="36">
        <f t="shared" si="84"/>
        <v>53</v>
      </c>
      <c r="V1051" s="35"/>
    </row>
    <row r="1052" spans="1:22" x14ac:dyDescent="0.25">
      <c r="A1052" s="36">
        <f t="shared" si="84"/>
        <v>53</v>
      </c>
      <c r="V1052" s="35"/>
    </row>
    <row r="1053" spans="1:22" x14ac:dyDescent="0.25">
      <c r="A1053" s="36">
        <f t="shared" si="84"/>
        <v>53</v>
      </c>
      <c r="V1053" s="35"/>
    </row>
    <row r="1054" spans="1:22" x14ac:dyDescent="0.25">
      <c r="A1054" s="36">
        <f t="shared" si="84"/>
        <v>53</v>
      </c>
      <c r="V1054" s="35"/>
    </row>
    <row r="1055" spans="1:22" x14ac:dyDescent="0.25">
      <c r="A1055" s="36">
        <f t="shared" si="84"/>
        <v>53</v>
      </c>
      <c r="V1055" s="35"/>
    </row>
    <row r="1056" spans="1:22" x14ac:dyDescent="0.25">
      <c r="A1056" s="36">
        <f t="shared" si="84"/>
        <v>53</v>
      </c>
      <c r="V1056" s="35"/>
    </row>
    <row r="1057" spans="1:22" x14ac:dyDescent="0.25">
      <c r="A1057" s="36">
        <f t="shared" si="84"/>
        <v>53</v>
      </c>
      <c r="V1057" s="35"/>
    </row>
    <row r="1058" spans="1:22" x14ac:dyDescent="0.25">
      <c r="A1058" s="36">
        <f t="shared" si="84"/>
        <v>53</v>
      </c>
      <c r="V1058" s="35"/>
    </row>
    <row r="1059" spans="1:22" x14ac:dyDescent="0.25">
      <c r="A1059" s="36">
        <f t="shared" si="84"/>
        <v>53</v>
      </c>
      <c r="V1059" s="35"/>
    </row>
    <row r="1060" spans="1:22" x14ac:dyDescent="0.25">
      <c r="A1060" s="36">
        <f t="shared" si="84"/>
        <v>53</v>
      </c>
      <c r="V1060" s="35"/>
    </row>
    <row r="1061" spans="1:22" x14ac:dyDescent="0.25">
      <c r="A1061" s="36">
        <f t="shared" si="84"/>
        <v>53</v>
      </c>
      <c r="V1061" s="35"/>
    </row>
    <row r="1062" spans="1:22" x14ac:dyDescent="0.25">
      <c r="A1062" s="36">
        <f t="shared" si="84"/>
        <v>53</v>
      </c>
      <c r="V1062" s="35"/>
    </row>
    <row r="1063" spans="1:22" x14ac:dyDescent="0.25">
      <c r="A1063" s="36">
        <f t="shared" si="84"/>
        <v>53</v>
      </c>
      <c r="V1063" s="35"/>
    </row>
    <row r="1064" spans="1:22" x14ac:dyDescent="0.25">
      <c r="A1064" s="36">
        <f t="shared" si="84"/>
        <v>53</v>
      </c>
      <c r="V1064" s="35"/>
    </row>
    <row r="1065" spans="1:22" x14ac:dyDescent="0.25">
      <c r="A1065" s="36">
        <f t="shared" si="84"/>
        <v>53</v>
      </c>
      <c r="V1065" s="35"/>
    </row>
    <row r="1066" spans="1:22" x14ac:dyDescent="0.25">
      <c r="A1066" s="36">
        <f t="shared" si="84"/>
        <v>53</v>
      </c>
      <c r="V1066" s="35"/>
    </row>
    <row r="1067" spans="1:22" x14ac:dyDescent="0.25">
      <c r="A1067" s="36">
        <f t="shared" si="84"/>
        <v>53</v>
      </c>
      <c r="V1067" s="35"/>
    </row>
    <row r="1068" spans="1:22" x14ac:dyDescent="0.25">
      <c r="A1068" s="36">
        <f t="shared" si="84"/>
        <v>53</v>
      </c>
      <c r="V1068" s="35"/>
    </row>
    <row r="1069" spans="1:22" x14ac:dyDescent="0.25">
      <c r="A1069" s="36">
        <f t="shared" si="84"/>
        <v>53</v>
      </c>
      <c r="V1069" s="35"/>
    </row>
    <row r="1070" spans="1:22" x14ac:dyDescent="0.25">
      <c r="A1070" s="36">
        <f t="shared" si="84"/>
        <v>53</v>
      </c>
      <c r="V1070" s="35"/>
    </row>
    <row r="1071" spans="1:22" x14ac:dyDescent="0.25">
      <c r="A1071" s="36">
        <f t="shared" si="84"/>
        <v>53</v>
      </c>
      <c r="V1071" s="35"/>
    </row>
    <row r="1072" spans="1:22" x14ac:dyDescent="0.25">
      <c r="A1072" s="36">
        <f t="shared" si="84"/>
        <v>53</v>
      </c>
      <c r="V1072" s="35"/>
    </row>
    <row r="1073" spans="1:22" x14ac:dyDescent="0.25">
      <c r="A1073" s="36">
        <f t="shared" si="84"/>
        <v>53</v>
      </c>
      <c r="V1073" s="35"/>
    </row>
    <row r="1074" spans="1:22" x14ac:dyDescent="0.25">
      <c r="A1074" s="36">
        <f t="shared" si="84"/>
        <v>53</v>
      </c>
      <c r="V1074" s="35"/>
    </row>
    <row r="1075" spans="1:22" x14ac:dyDescent="0.25">
      <c r="A1075" s="36">
        <f t="shared" si="84"/>
        <v>53</v>
      </c>
      <c r="V1075" s="35"/>
    </row>
    <row r="1076" spans="1:22" x14ac:dyDescent="0.25">
      <c r="A1076" s="36">
        <f t="shared" si="84"/>
        <v>53</v>
      </c>
      <c r="V1076" s="35"/>
    </row>
    <row r="1077" spans="1:22" x14ac:dyDescent="0.25">
      <c r="A1077" s="36">
        <f t="shared" si="84"/>
        <v>53</v>
      </c>
      <c r="V1077" s="35"/>
    </row>
    <row r="1078" spans="1:22" x14ac:dyDescent="0.25">
      <c r="A1078" s="36">
        <f t="shared" si="84"/>
        <v>53</v>
      </c>
      <c r="V1078" s="35"/>
    </row>
    <row r="1079" spans="1:22" x14ac:dyDescent="0.25">
      <c r="A1079" s="36">
        <f t="shared" si="84"/>
        <v>53</v>
      </c>
      <c r="V1079" s="35"/>
    </row>
    <row r="1080" spans="1:22" x14ac:dyDescent="0.25">
      <c r="A1080" s="36">
        <f t="shared" si="84"/>
        <v>53</v>
      </c>
      <c r="V1080" s="35"/>
    </row>
    <row r="1081" spans="1:22" x14ac:dyDescent="0.25">
      <c r="A1081" s="36">
        <f t="shared" si="84"/>
        <v>53</v>
      </c>
      <c r="V1081" s="35"/>
    </row>
    <row r="1082" spans="1:22" x14ac:dyDescent="0.25">
      <c r="A1082" s="36">
        <f t="shared" si="84"/>
        <v>53</v>
      </c>
      <c r="V1082" s="35"/>
    </row>
    <row r="1083" spans="1:22" x14ac:dyDescent="0.25">
      <c r="A1083" s="36">
        <f t="shared" si="84"/>
        <v>53</v>
      </c>
      <c r="V1083" s="35"/>
    </row>
    <row r="1084" spans="1:22" x14ac:dyDescent="0.25">
      <c r="A1084" s="36">
        <f t="shared" si="84"/>
        <v>53</v>
      </c>
      <c r="V1084" s="35"/>
    </row>
    <row r="1085" spans="1:22" x14ac:dyDescent="0.25">
      <c r="A1085" s="36">
        <f t="shared" si="84"/>
        <v>53</v>
      </c>
      <c r="V1085" s="35"/>
    </row>
    <row r="1086" spans="1:22" x14ac:dyDescent="0.25">
      <c r="A1086" s="36">
        <f t="shared" si="84"/>
        <v>53</v>
      </c>
      <c r="V1086" s="35"/>
    </row>
    <row r="1087" spans="1:22" x14ac:dyDescent="0.25">
      <c r="A1087" s="36">
        <f t="shared" si="84"/>
        <v>53</v>
      </c>
      <c r="V1087" s="35"/>
    </row>
    <row r="1088" spans="1:22" x14ac:dyDescent="0.25">
      <c r="A1088" s="36">
        <f t="shared" si="84"/>
        <v>53</v>
      </c>
      <c r="V1088" s="35"/>
    </row>
    <row r="1089" spans="1:22" x14ac:dyDescent="0.25">
      <c r="A1089" s="36">
        <f t="shared" si="84"/>
        <v>53</v>
      </c>
      <c r="V1089" s="35"/>
    </row>
    <row r="1090" spans="1:22" x14ac:dyDescent="0.25">
      <c r="A1090" s="36">
        <f t="shared" si="84"/>
        <v>53</v>
      </c>
      <c r="V1090" s="35"/>
    </row>
    <row r="1091" spans="1:22" x14ac:dyDescent="0.25">
      <c r="A1091" s="36">
        <f t="shared" si="84"/>
        <v>53</v>
      </c>
      <c r="V1091" s="35"/>
    </row>
    <row r="1092" spans="1:22" x14ac:dyDescent="0.25">
      <c r="A1092" s="36">
        <f t="shared" si="84"/>
        <v>53</v>
      </c>
      <c r="V1092" s="35"/>
    </row>
    <row r="1093" spans="1:22" x14ac:dyDescent="0.25">
      <c r="A1093" s="36">
        <f t="shared" ref="A1093:A1156" si="85">IF(B1093=B1092,A1092,A1092+1)</f>
        <v>53</v>
      </c>
      <c r="V1093" s="35"/>
    </row>
    <row r="1094" spans="1:22" x14ac:dyDescent="0.25">
      <c r="A1094" s="36">
        <f t="shared" si="85"/>
        <v>53</v>
      </c>
      <c r="V1094" s="35"/>
    </row>
    <row r="1095" spans="1:22" x14ac:dyDescent="0.25">
      <c r="A1095" s="36">
        <f t="shared" si="85"/>
        <v>53</v>
      </c>
      <c r="V1095" s="35"/>
    </row>
    <row r="1096" spans="1:22" x14ac:dyDescent="0.25">
      <c r="A1096" s="36">
        <f t="shared" si="85"/>
        <v>53</v>
      </c>
      <c r="V1096" s="35"/>
    </row>
    <row r="1097" spans="1:22" x14ac:dyDescent="0.25">
      <c r="A1097" s="36">
        <f t="shared" si="85"/>
        <v>53</v>
      </c>
      <c r="V1097" s="35"/>
    </row>
    <row r="1098" spans="1:22" x14ac:dyDescent="0.25">
      <c r="A1098" s="36">
        <f t="shared" si="85"/>
        <v>53</v>
      </c>
      <c r="V1098" s="35"/>
    </row>
    <row r="1099" spans="1:22" x14ac:dyDescent="0.25">
      <c r="A1099" s="36">
        <f t="shared" si="85"/>
        <v>53</v>
      </c>
      <c r="V1099" s="35"/>
    </row>
    <row r="1100" spans="1:22" x14ac:dyDescent="0.25">
      <c r="A1100" s="36">
        <f t="shared" si="85"/>
        <v>53</v>
      </c>
      <c r="V1100" s="35"/>
    </row>
    <row r="1101" spans="1:22" x14ac:dyDescent="0.25">
      <c r="A1101" s="36">
        <f t="shared" si="85"/>
        <v>53</v>
      </c>
      <c r="V1101" s="35"/>
    </row>
    <row r="1102" spans="1:22" x14ac:dyDescent="0.25">
      <c r="A1102" s="36">
        <f t="shared" si="85"/>
        <v>53</v>
      </c>
      <c r="V1102" s="35"/>
    </row>
    <row r="1103" spans="1:22" x14ac:dyDescent="0.25">
      <c r="A1103" s="36">
        <f t="shared" si="85"/>
        <v>53</v>
      </c>
      <c r="V1103" s="35"/>
    </row>
    <row r="1104" spans="1:22" x14ac:dyDescent="0.25">
      <c r="A1104" s="36">
        <f t="shared" si="85"/>
        <v>53</v>
      </c>
      <c r="V1104" s="35"/>
    </row>
    <row r="1105" spans="1:22" x14ac:dyDescent="0.25">
      <c r="A1105" s="36">
        <f t="shared" si="85"/>
        <v>53</v>
      </c>
      <c r="V1105" s="35"/>
    </row>
    <row r="1106" spans="1:22" x14ac:dyDescent="0.25">
      <c r="A1106" s="36">
        <f t="shared" si="85"/>
        <v>53</v>
      </c>
      <c r="V1106" s="35"/>
    </row>
    <row r="1107" spans="1:22" x14ac:dyDescent="0.25">
      <c r="A1107" s="36">
        <f t="shared" si="85"/>
        <v>53</v>
      </c>
      <c r="V1107" s="35"/>
    </row>
    <row r="1108" spans="1:22" x14ac:dyDescent="0.25">
      <c r="A1108" s="36">
        <f t="shared" si="85"/>
        <v>53</v>
      </c>
      <c r="V1108" s="35"/>
    </row>
    <row r="1109" spans="1:22" x14ac:dyDescent="0.25">
      <c r="A1109" s="36">
        <f t="shared" si="85"/>
        <v>53</v>
      </c>
      <c r="V1109" s="35"/>
    </row>
    <row r="1110" spans="1:22" x14ac:dyDescent="0.25">
      <c r="A1110" s="36">
        <f t="shared" si="85"/>
        <v>53</v>
      </c>
      <c r="V1110" s="35"/>
    </row>
    <row r="1111" spans="1:22" x14ac:dyDescent="0.25">
      <c r="A1111" s="36">
        <f t="shared" si="85"/>
        <v>53</v>
      </c>
      <c r="V1111" s="35"/>
    </row>
    <row r="1112" spans="1:22" x14ac:dyDescent="0.25">
      <c r="A1112" s="36">
        <f t="shared" si="85"/>
        <v>53</v>
      </c>
      <c r="V1112" s="35"/>
    </row>
    <row r="1113" spans="1:22" x14ac:dyDescent="0.25">
      <c r="A1113" s="36">
        <f t="shared" si="85"/>
        <v>53</v>
      </c>
      <c r="V1113" s="35"/>
    </row>
    <row r="1114" spans="1:22" x14ac:dyDescent="0.25">
      <c r="A1114" s="36">
        <f t="shared" si="85"/>
        <v>53</v>
      </c>
      <c r="V1114" s="35"/>
    </row>
    <row r="1115" spans="1:22" x14ac:dyDescent="0.25">
      <c r="A1115" s="36">
        <f t="shared" si="85"/>
        <v>53</v>
      </c>
      <c r="V1115" s="35"/>
    </row>
    <row r="1116" spans="1:22" x14ac:dyDescent="0.25">
      <c r="A1116" s="36">
        <f t="shared" si="85"/>
        <v>53</v>
      </c>
      <c r="V1116" s="35"/>
    </row>
    <row r="1117" spans="1:22" x14ac:dyDescent="0.25">
      <c r="A1117" s="36">
        <f t="shared" si="85"/>
        <v>53</v>
      </c>
      <c r="V1117" s="35"/>
    </row>
    <row r="1118" spans="1:22" x14ac:dyDescent="0.25">
      <c r="A1118" s="36">
        <f t="shared" si="85"/>
        <v>53</v>
      </c>
      <c r="V1118" s="35"/>
    </row>
    <row r="1119" spans="1:22" x14ac:dyDescent="0.25">
      <c r="A1119" s="36">
        <f t="shared" si="85"/>
        <v>53</v>
      </c>
      <c r="V1119" s="35"/>
    </row>
    <row r="1120" spans="1:22" x14ac:dyDescent="0.25">
      <c r="A1120" s="36">
        <f t="shared" si="85"/>
        <v>53</v>
      </c>
      <c r="V1120" s="35"/>
    </row>
    <row r="1121" spans="1:22" x14ac:dyDescent="0.25">
      <c r="A1121" s="36">
        <f t="shared" si="85"/>
        <v>53</v>
      </c>
      <c r="V1121" s="35"/>
    </row>
    <row r="1122" spans="1:22" x14ac:dyDescent="0.25">
      <c r="A1122" s="36">
        <f t="shared" si="85"/>
        <v>53</v>
      </c>
      <c r="V1122" s="35"/>
    </row>
    <row r="1123" spans="1:22" x14ac:dyDescent="0.25">
      <c r="A1123" s="36">
        <f t="shared" si="85"/>
        <v>53</v>
      </c>
      <c r="V1123" s="35"/>
    </row>
    <row r="1124" spans="1:22" x14ac:dyDescent="0.25">
      <c r="A1124" s="36">
        <f t="shared" si="85"/>
        <v>53</v>
      </c>
      <c r="V1124" s="35"/>
    </row>
    <row r="1125" spans="1:22" x14ac:dyDescent="0.25">
      <c r="A1125" s="36">
        <f t="shared" si="85"/>
        <v>53</v>
      </c>
      <c r="V1125" s="35"/>
    </row>
    <row r="1126" spans="1:22" x14ac:dyDescent="0.25">
      <c r="A1126" s="36">
        <f t="shared" si="85"/>
        <v>53</v>
      </c>
      <c r="V1126" s="35"/>
    </row>
    <row r="1127" spans="1:22" x14ac:dyDescent="0.25">
      <c r="A1127" s="36">
        <f t="shared" si="85"/>
        <v>53</v>
      </c>
      <c r="V1127" s="35"/>
    </row>
    <row r="1128" spans="1:22" x14ac:dyDescent="0.25">
      <c r="A1128" s="36">
        <f t="shared" si="85"/>
        <v>53</v>
      </c>
      <c r="V1128" s="35"/>
    </row>
    <row r="1129" spans="1:22" x14ac:dyDescent="0.25">
      <c r="A1129" s="36">
        <f t="shared" si="85"/>
        <v>53</v>
      </c>
      <c r="V1129" s="35"/>
    </row>
    <row r="1130" spans="1:22" x14ac:dyDescent="0.25">
      <c r="A1130" s="36">
        <f t="shared" si="85"/>
        <v>53</v>
      </c>
      <c r="V1130" s="35"/>
    </row>
    <row r="1131" spans="1:22" x14ac:dyDescent="0.25">
      <c r="A1131" s="36">
        <f t="shared" si="85"/>
        <v>53</v>
      </c>
      <c r="V1131" s="35"/>
    </row>
    <row r="1132" spans="1:22" x14ac:dyDescent="0.25">
      <c r="A1132" s="36">
        <f t="shared" si="85"/>
        <v>53</v>
      </c>
      <c r="V1132" s="35"/>
    </row>
    <row r="1133" spans="1:22" x14ac:dyDescent="0.25">
      <c r="A1133" s="36">
        <f t="shared" si="85"/>
        <v>53</v>
      </c>
      <c r="V1133" s="35"/>
    </row>
    <row r="1134" spans="1:22" x14ac:dyDescent="0.25">
      <c r="A1134" s="36">
        <f t="shared" si="85"/>
        <v>53</v>
      </c>
      <c r="V1134" s="35"/>
    </row>
    <row r="1135" spans="1:22" x14ac:dyDescent="0.25">
      <c r="A1135" s="36">
        <f t="shared" si="85"/>
        <v>53</v>
      </c>
      <c r="V1135" s="35"/>
    </row>
    <row r="1136" spans="1:22" x14ac:dyDescent="0.25">
      <c r="A1136" s="36">
        <f t="shared" si="85"/>
        <v>53</v>
      </c>
      <c r="V1136" s="35"/>
    </row>
    <row r="1137" spans="1:22" x14ac:dyDescent="0.25">
      <c r="A1137" s="36">
        <f t="shared" si="85"/>
        <v>53</v>
      </c>
      <c r="V1137" s="35"/>
    </row>
    <row r="1138" spans="1:22" x14ac:dyDescent="0.25">
      <c r="A1138" s="36">
        <f t="shared" si="85"/>
        <v>53</v>
      </c>
      <c r="V1138" s="35"/>
    </row>
    <row r="1139" spans="1:22" x14ac:dyDescent="0.25">
      <c r="A1139" s="36">
        <f t="shared" si="85"/>
        <v>53</v>
      </c>
      <c r="V1139" s="35"/>
    </row>
    <row r="1140" spans="1:22" x14ac:dyDescent="0.25">
      <c r="A1140" s="36">
        <f t="shared" si="85"/>
        <v>53</v>
      </c>
      <c r="V1140" s="35"/>
    </row>
    <row r="1141" spans="1:22" x14ac:dyDescent="0.25">
      <c r="A1141" s="36">
        <f t="shared" si="85"/>
        <v>53</v>
      </c>
      <c r="V1141" s="35"/>
    </row>
    <row r="1142" spans="1:22" x14ac:dyDescent="0.25">
      <c r="A1142" s="36">
        <f t="shared" si="85"/>
        <v>53</v>
      </c>
      <c r="V1142" s="35"/>
    </row>
    <row r="1143" spans="1:22" x14ac:dyDescent="0.25">
      <c r="A1143" s="36">
        <f t="shared" si="85"/>
        <v>53</v>
      </c>
      <c r="V1143" s="35"/>
    </row>
    <row r="1144" spans="1:22" x14ac:dyDescent="0.25">
      <c r="A1144" s="36">
        <f t="shared" si="85"/>
        <v>53</v>
      </c>
      <c r="V1144" s="35"/>
    </row>
    <row r="1145" spans="1:22" x14ac:dyDescent="0.25">
      <c r="A1145" s="36">
        <f t="shared" si="85"/>
        <v>53</v>
      </c>
      <c r="V1145" s="35"/>
    </row>
    <row r="1146" spans="1:22" x14ac:dyDescent="0.25">
      <c r="A1146" s="36">
        <f t="shared" si="85"/>
        <v>53</v>
      </c>
      <c r="V1146" s="35"/>
    </row>
    <row r="1147" spans="1:22" x14ac:dyDescent="0.25">
      <c r="A1147" s="36">
        <f t="shared" si="85"/>
        <v>53</v>
      </c>
      <c r="V1147" s="35"/>
    </row>
    <row r="1148" spans="1:22" x14ac:dyDescent="0.25">
      <c r="A1148" s="36">
        <f t="shared" si="85"/>
        <v>53</v>
      </c>
      <c r="V1148" s="35"/>
    </row>
    <row r="1149" spans="1:22" x14ac:dyDescent="0.25">
      <c r="A1149" s="36">
        <f t="shared" si="85"/>
        <v>53</v>
      </c>
      <c r="V1149" s="35"/>
    </row>
    <row r="1150" spans="1:22" x14ac:dyDescent="0.25">
      <c r="A1150" s="36">
        <f t="shared" si="85"/>
        <v>53</v>
      </c>
      <c r="V1150" s="35"/>
    </row>
    <row r="1151" spans="1:22" x14ac:dyDescent="0.25">
      <c r="A1151" s="36">
        <f t="shared" si="85"/>
        <v>53</v>
      </c>
      <c r="V1151" s="35"/>
    </row>
    <row r="1152" spans="1:22" x14ac:dyDescent="0.25">
      <c r="A1152" s="36">
        <f t="shared" si="85"/>
        <v>53</v>
      </c>
      <c r="V1152" s="35"/>
    </row>
    <row r="1153" spans="1:22" x14ac:dyDescent="0.25">
      <c r="A1153" s="36">
        <f t="shared" si="85"/>
        <v>53</v>
      </c>
      <c r="V1153" s="35"/>
    </row>
    <row r="1154" spans="1:22" x14ac:dyDescent="0.25">
      <c r="A1154" s="36">
        <f t="shared" si="85"/>
        <v>53</v>
      </c>
      <c r="V1154" s="35"/>
    </row>
    <row r="1155" spans="1:22" x14ac:dyDescent="0.25">
      <c r="A1155" s="36">
        <f t="shared" si="85"/>
        <v>53</v>
      </c>
      <c r="V1155" s="35"/>
    </row>
    <row r="1156" spans="1:22" x14ac:dyDescent="0.25">
      <c r="A1156" s="36">
        <f t="shared" si="85"/>
        <v>53</v>
      </c>
      <c r="V1156" s="35"/>
    </row>
    <row r="1157" spans="1:22" x14ac:dyDescent="0.25">
      <c r="A1157" s="36">
        <f t="shared" ref="A1157:A1220" si="86">IF(B1157=B1156,A1156,A1156+1)</f>
        <v>53</v>
      </c>
      <c r="V1157" s="35"/>
    </row>
    <row r="1158" spans="1:22" x14ac:dyDescent="0.25">
      <c r="A1158" s="36">
        <f t="shared" si="86"/>
        <v>53</v>
      </c>
      <c r="V1158" s="35"/>
    </row>
    <row r="1159" spans="1:22" x14ac:dyDescent="0.25">
      <c r="A1159" s="36">
        <f t="shared" si="86"/>
        <v>53</v>
      </c>
      <c r="V1159" s="35"/>
    </row>
    <row r="1160" spans="1:22" x14ac:dyDescent="0.25">
      <c r="A1160" s="36">
        <f t="shared" si="86"/>
        <v>53</v>
      </c>
      <c r="V1160" s="35"/>
    </row>
    <row r="1161" spans="1:22" x14ac:dyDescent="0.25">
      <c r="A1161" s="36">
        <f t="shared" si="86"/>
        <v>53</v>
      </c>
      <c r="V1161" s="35"/>
    </row>
    <row r="1162" spans="1:22" x14ac:dyDescent="0.25">
      <c r="A1162" s="36">
        <f t="shared" si="86"/>
        <v>53</v>
      </c>
      <c r="V1162" s="35"/>
    </row>
    <row r="1163" spans="1:22" x14ac:dyDescent="0.25">
      <c r="A1163" s="36">
        <f t="shared" si="86"/>
        <v>53</v>
      </c>
      <c r="V1163" s="35"/>
    </row>
    <row r="1164" spans="1:22" x14ac:dyDescent="0.25">
      <c r="A1164" s="36">
        <f t="shared" si="86"/>
        <v>53</v>
      </c>
      <c r="V1164" s="35"/>
    </row>
    <row r="1165" spans="1:22" x14ac:dyDescent="0.25">
      <c r="A1165" s="36">
        <f t="shared" si="86"/>
        <v>53</v>
      </c>
      <c r="V1165" s="35"/>
    </row>
    <row r="1166" spans="1:22" x14ac:dyDescent="0.25">
      <c r="A1166" s="36">
        <f t="shared" si="86"/>
        <v>53</v>
      </c>
      <c r="V1166" s="35"/>
    </row>
    <row r="1167" spans="1:22" x14ac:dyDescent="0.25">
      <c r="A1167" s="36">
        <f t="shared" si="86"/>
        <v>53</v>
      </c>
      <c r="V1167" s="35"/>
    </row>
    <row r="1168" spans="1:22" x14ac:dyDescent="0.25">
      <c r="A1168" s="36">
        <f t="shared" si="86"/>
        <v>53</v>
      </c>
      <c r="V1168" s="35"/>
    </row>
    <row r="1169" spans="1:22" x14ac:dyDescent="0.25">
      <c r="A1169" s="36">
        <f t="shared" si="86"/>
        <v>53</v>
      </c>
      <c r="V1169" s="35"/>
    </row>
    <row r="1170" spans="1:22" x14ac:dyDescent="0.25">
      <c r="A1170" s="36">
        <f t="shared" si="86"/>
        <v>53</v>
      </c>
      <c r="V1170" s="35"/>
    </row>
    <row r="1171" spans="1:22" x14ac:dyDescent="0.25">
      <c r="A1171" s="36">
        <f t="shared" si="86"/>
        <v>53</v>
      </c>
      <c r="V1171" s="35"/>
    </row>
    <row r="1172" spans="1:22" x14ac:dyDescent="0.25">
      <c r="A1172" s="36">
        <f t="shared" si="86"/>
        <v>53</v>
      </c>
      <c r="V1172" s="35"/>
    </row>
    <row r="1173" spans="1:22" x14ac:dyDescent="0.25">
      <c r="A1173" s="36">
        <f t="shared" si="86"/>
        <v>53</v>
      </c>
      <c r="V1173" s="35"/>
    </row>
    <row r="1174" spans="1:22" x14ac:dyDescent="0.25">
      <c r="A1174" s="36">
        <f t="shared" si="86"/>
        <v>53</v>
      </c>
      <c r="V1174" s="35"/>
    </row>
    <row r="1175" spans="1:22" x14ac:dyDescent="0.25">
      <c r="A1175" s="36">
        <f t="shared" si="86"/>
        <v>53</v>
      </c>
      <c r="V1175" s="35"/>
    </row>
    <row r="1176" spans="1:22" x14ac:dyDescent="0.25">
      <c r="A1176" s="36">
        <f t="shared" si="86"/>
        <v>53</v>
      </c>
      <c r="V1176" s="35"/>
    </row>
    <row r="1177" spans="1:22" x14ac:dyDescent="0.25">
      <c r="A1177" s="36">
        <f t="shared" si="86"/>
        <v>53</v>
      </c>
      <c r="V1177" s="35"/>
    </row>
    <row r="1178" spans="1:22" x14ac:dyDescent="0.25">
      <c r="A1178" s="36">
        <f t="shared" si="86"/>
        <v>53</v>
      </c>
      <c r="V1178" s="35"/>
    </row>
    <row r="1179" spans="1:22" x14ac:dyDescent="0.25">
      <c r="A1179" s="36">
        <f t="shared" si="86"/>
        <v>53</v>
      </c>
      <c r="V1179" s="35"/>
    </row>
    <row r="1180" spans="1:22" x14ac:dyDescent="0.25">
      <c r="A1180" s="36">
        <f t="shared" si="86"/>
        <v>53</v>
      </c>
      <c r="V1180" s="35"/>
    </row>
    <row r="1181" spans="1:22" x14ac:dyDescent="0.25">
      <c r="A1181" s="36">
        <f t="shared" si="86"/>
        <v>53</v>
      </c>
      <c r="V1181" s="35"/>
    </row>
    <row r="1182" spans="1:22" x14ac:dyDescent="0.25">
      <c r="A1182" s="36">
        <f t="shared" si="86"/>
        <v>53</v>
      </c>
      <c r="V1182" s="35"/>
    </row>
    <row r="1183" spans="1:22" x14ac:dyDescent="0.25">
      <c r="A1183" s="36">
        <f t="shared" si="86"/>
        <v>53</v>
      </c>
      <c r="V1183" s="35"/>
    </row>
    <row r="1184" spans="1:22" x14ac:dyDescent="0.25">
      <c r="A1184" s="36">
        <f t="shared" si="86"/>
        <v>53</v>
      </c>
      <c r="V1184" s="35"/>
    </row>
    <row r="1185" spans="1:22" x14ac:dyDescent="0.25">
      <c r="A1185" s="36">
        <f t="shared" si="86"/>
        <v>53</v>
      </c>
      <c r="V1185" s="35"/>
    </row>
    <row r="1186" spans="1:22" x14ac:dyDescent="0.25">
      <c r="A1186" s="36">
        <f t="shared" si="86"/>
        <v>53</v>
      </c>
      <c r="V1186" s="35"/>
    </row>
    <row r="1187" spans="1:22" x14ac:dyDescent="0.25">
      <c r="A1187" s="36">
        <f t="shared" si="86"/>
        <v>53</v>
      </c>
      <c r="V1187" s="35"/>
    </row>
    <row r="1188" spans="1:22" x14ac:dyDescent="0.25">
      <c r="A1188" s="36">
        <f t="shared" si="86"/>
        <v>53</v>
      </c>
      <c r="V1188" s="35"/>
    </row>
    <row r="1189" spans="1:22" x14ac:dyDescent="0.25">
      <c r="A1189" s="36">
        <f t="shared" si="86"/>
        <v>53</v>
      </c>
      <c r="V1189" s="35"/>
    </row>
    <row r="1190" spans="1:22" x14ac:dyDescent="0.25">
      <c r="A1190" s="36">
        <f t="shared" si="86"/>
        <v>53</v>
      </c>
      <c r="V1190" s="35"/>
    </row>
    <row r="1191" spans="1:22" x14ac:dyDescent="0.25">
      <c r="A1191" s="36">
        <f t="shared" si="86"/>
        <v>53</v>
      </c>
      <c r="V1191" s="35"/>
    </row>
    <row r="1192" spans="1:22" x14ac:dyDescent="0.25">
      <c r="A1192" s="36">
        <f t="shared" si="86"/>
        <v>53</v>
      </c>
      <c r="V1192" s="35"/>
    </row>
    <row r="1193" spans="1:22" x14ac:dyDescent="0.25">
      <c r="A1193" s="36">
        <f t="shared" si="86"/>
        <v>53</v>
      </c>
      <c r="V1193" s="35"/>
    </row>
    <row r="1194" spans="1:22" x14ac:dyDescent="0.25">
      <c r="A1194" s="36">
        <f t="shared" si="86"/>
        <v>53</v>
      </c>
      <c r="V1194" s="35"/>
    </row>
    <row r="1195" spans="1:22" x14ac:dyDescent="0.25">
      <c r="A1195" s="36">
        <f t="shared" si="86"/>
        <v>53</v>
      </c>
      <c r="V1195" s="35"/>
    </row>
    <row r="1196" spans="1:22" x14ac:dyDescent="0.25">
      <c r="A1196" s="36">
        <f t="shared" si="86"/>
        <v>53</v>
      </c>
      <c r="V1196" s="35"/>
    </row>
    <row r="1197" spans="1:22" x14ac:dyDescent="0.25">
      <c r="A1197" s="36">
        <f t="shared" si="86"/>
        <v>53</v>
      </c>
      <c r="V1197" s="35"/>
    </row>
    <row r="1198" spans="1:22" x14ac:dyDescent="0.25">
      <c r="A1198" s="36">
        <f t="shared" si="86"/>
        <v>53</v>
      </c>
      <c r="V1198" s="35"/>
    </row>
    <row r="1199" spans="1:22" x14ac:dyDescent="0.25">
      <c r="A1199" s="36">
        <f t="shared" si="86"/>
        <v>53</v>
      </c>
      <c r="V1199" s="35"/>
    </row>
    <row r="1200" spans="1:22" x14ac:dyDescent="0.25">
      <c r="A1200" s="36">
        <f t="shared" si="86"/>
        <v>53</v>
      </c>
      <c r="V1200" s="35"/>
    </row>
    <row r="1201" spans="1:22" x14ac:dyDescent="0.25">
      <c r="A1201" s="36">
        <f t="shared" si="86"/>
        <v>53</v>
      </c>
      <c r="V1201" s="35"/>
    </row>
    <row r="1202" spans="1:22" x14ac:dyDescent="0.25">
      <c r="A1202" s="36">
        <f t="shared" si="86"/>
        <v>53</v>
      </c>
      <c r="V1202" s="35"/>
    </row>
    <row r="1203" spans="1:22" x14ac:dyDescent="0.25">
      <c r="A1203" s="36">
        <f t="shared" si="86"/>
        <v>53</v>
      </c>
      <c r="V1203" s="35"/>
    </row>
    <row r="1204" spans="1:22" x14ac:dyDescent="0.25">
      <c r="A1204" s="36">
        <f t="shared" si="86"/>
        <v>53</v>
      </c>
      <c r="V1204" s="35"/>
    </row>
    <row r="1205" spans="1:22" x14ac:dyDescent="0.25">
      <c r="A1205" s="36">
        <f t="shared" si="86"/>
        <v>53</v>
      </c>
      <c r="V1205" s="35"/>
    </row>
    <row r="1206" spans="1:22" x14ac:dyDescent="0.25">
      <c r="A1206" s="36">
        <f t="shared" si="86"/>
        <v>53</v>
      </c>
      <c r="V1206" s="35"/>
    </row>
    <row r="1207" spans="1:22" x14ac:dyDescent="0.25">
      <c r="A1207" s="36">
        <f t="shared" si="86"/>
        <v>53</v>
      </c>
      <c r="V1207" s="35"/>
    </row>
    <row r="1208" spans="1:22" x14ac:dyDescent="0.25">
      <c r="A1208" s="36">
        <f t="shared" si="86"/>
        <v>53</v>
      </c>
      <c r="V1208" s="35"/>
    </row>
    <row r="1209" spans="1:22" x14ac:dyDescent="0.25">
      <c r="A1209" s="36">
        <f t="shared" si="86"/>
        <v>53</v>
      </c>
      <c r="V1209" s="35"/>
    </row>
    <row r="1210" spans="1:22" x14ac:dyDescent="0.25">
      <c r="A1210" s="36">
        <f t="shared" si="86"/>
        <v>53</v>
      </c>
      <c r="V1210" s="35"/>
    </row>
    <row r="1211" spans="1:22" x14ac:dyDescent="0.25">
      <c r="A1211" s="36">
        <f t="shared" si="86"/>
        <v>53</v>
      </c>
      <c r="V1211" s="35"/>
    </row>
    <row r="1212" spans="1:22" x14ac:dyDescent="0.25">
      <c r="A1212" s="36">
        <f t="shared" si="86"/>
        <v>53</v>
      </c>
      <c r="V1212" s="35"/>
    </row>
    <row r="1213" spans="1:22" x14ac:dyDescent="0.25">
      <c r="A1213" s="36">
        <f t="shared" si="86"/>
        <v>53</v>
      </c>
    </row>
    <row r="1214" spans="1:22" x14ac:dyDescent="0.25">
      <c r="A1214" s="36">
        <f t="shared" si="86"/>
        <v>53</v>
      </c>
    </row>
    <row r="1215" spans="1:22" x14ac:dyDescent="0.25">
      <c r="A1215" s="36">
        <f t="shared" si="86"/>
        <v>53</v>
      </c>
    </row>
    <row r="1216" spans="1:22" x14ac:dyDescent="0.25">
      <c r="A1216" s="36">
        <f t="shared" si="86"/>
        <v>53</v>
      </c>
    </row>
    <row r="1217" spans="1:1" x14ac:dyDescent="0.25">
      <c r="A1217" s="36">
        <f t="shared" si="86"/>
        <v>53</v>
      </c>
    </row>
    <row r="1218" spans="1:1" x14ac:dyDescent="0.25">
      <c r="A1218" s="36">
        <f t="shared" si="86"/>
        <v>53</v>
      </c>
    </row>
    <row r="1219" spans="1:1" x14ac:dyDescent="0.25">
      <c r="A1219" s="36">
        <f t="shared" si="86"/>
        <v>53</v>
      </c>
    </row>
    <row r="1220" spans="1:1" x14ac:dyDescent="0.25">
      <c r="A1220" s="36">
        <f t="shared" si="86"/>
        <v>53</v>
      </c>
    </row>
    <row r="1221" spans="1:1" x14ac:dyDescent="0.25">
      <c r="A1221" s="36">
        <f t="shared" ref="A1221:A1284" si="87">IF(B1221=B1220,A1220,A1220+1)</f>
        <v>53</v>
      </c>
    </row>
    <row r="1222" spans="1:1" x14ac:dyDescent="0.25">
      <c r="A1222" s="36">
        <f t="shared" si="87"/>
        <v>53</v>
      </c>
    </row>
    <row r="1223" spans="1:1" x14ac:dyDescent="0.25">
      <c r="A1223" s="36">
        <f t="shared" si="87"/>
        <v>53</v>
      </c>
    </row>
    <row r="1224" spans="1:1" x14ac:dyDescent="0.25">
      <c r="A1224" s="36">
        <f t="shared" si="87"/>
        <v>53</v>
      </c>
    </row>
    <row r="1225" spans="1:1" x14ac:dyDescent="0.25">
      <c r="A1225" s="36">
        <f t="shared" si="87"/>
        <v>53</v>
      </c>
    </row>
    <row r="1226" spans="1:1" x14ac:dyDescent="0.25">
      <c r="A1226" s="36">
        <f t="shared" si="87"/>
        <v>53</v>
      </c>
    </row>
    <row r="1227" spans="1:1" x14ac:dyDescent="0.25">
      <c r="A1227" s="36">
        <f t="shared" si="87"/>
        <v>53</v>
      </c>
    </row>
    <row r="1228" spans="1:1" x14ac:dyDescent="0.25">
      <c r="A1228" s="36">
        <f t="shared" si="87"/>
        <v>53</v>
      </c>
    </row>
    <row r="1229" spans="1:1" x14ac:dyDescent="0.25">
      <c r="A1229" s="36">
        <f t="shared" si="87"/>
        <v>53</v>
      </c>
    </row>
    <row r="1230" spans="1:1" x14ac:dyDescent="0.25">
      <c r="A1230" s="36">
        <f t="shared" si="87"/>
        <v>53</v>
      </c>
    </row>
    <row r="1231" spans="1:1" x14ac:dyDescent="0.25">
      <c r="A1231" s="36">
        <f t="shared" si="87"/>
        <v>53</v>
      </c>
    </row>
    <row r="1232" spans="1:1" x14ac:dyDescent="0.25">
      <c r="A1232" s="36">
        <f t="shared" si="87"/>
        <v>53</v>
      </c>
    </row>
    <row r="1233" spans="1:1" x14ac:dyDescent="0.25">
      <c r="A1233" s="36">
        <f t="shared" si="87"/>
        <v>53</v>
      </c>
    </row>
    <row r="1234" spans="1:1" x14ac:dyDescent="0.25">
      <c r="A1234" s="36">
        <f t="shared" si="87"/>
        <v>53</v>
      </c>
    </row>
    <row r="1235" spans="1:1" x14ac:dyDescent="0.25">
      <c r="A1235" s="36">
        <f t="shared" si="87"/>
        <v>53</v>
      </c>
    </row>
    <row r="1236" spans="1:1" x14ac:dyDescent="0.25">
      <c r="A1236" s="36">
        <f t="shared" si="87"/>
        <v>53</v>
      </c>
    </row>
    <row r="1237" spans="1:1" x14ac:dyDescent="0.25">
      <c r="A1237" s="36">
        <f t="shared" si="87"/>
        <v>53</v>
      </c>
    </row>
    <row r="1238" spans="1:1" x14ac:dyDescent="0.25">
      <c r="A1238" s="36">
        <f t="shared" si="87"/>
        <v>53</v>
      </c>
    </row>
    <row r="1239" spans="1:1" x14ac:dyDescent="0.25">
      <c r="A1239" s="36">
        <f t="shared" si="87"/>
        <v>53</v>
      </c>
    </row>
    <row r="1240" spans="1:1" x14ac:dyDescent="0.25">
      <c r="A1240" s="36">
        <f t="shared" si="87"/>
        <v>53</v>
      </c>
    </row>
    <row r="1241" spans="1:1" x14ac:dyDescent="0.25">
      <c r="A1241" s="36">
        <f t="shared" si="87"/>
        <v>53</v>
      </c>
    </row>
    <row r="1242" spans="1:1" x14ac:dyDescent="0.25">
      <c r="A1242" s="36">
        <f t="shared" si="87"/>
        <v>53</v>
      </c>
    </row>
    <row r="1243" spans="1:1" x14ac:dyDescent="0.25">
      <c r="A1243" s="36">
        <f t="shared" si="87"/>
        <v>53</v>
      </c>
    </row>
    <row r="1244" spans="1:1" x14ac:dyDescent="0.25">
      <c r="A1244" s="36">
        <f t="shared" si="87"/>
        <v>53</v>
      </c>
    </row>
    <row r="1245" spans="1:1" x14ac:dyDescent="0.25">
      <c r="A1245" s="36">
        <f t="shared" si="87"/>
        <v>53</v>
      </c>
    </row>
    <row r="1246" spans="1:1" x14ac:dyDescent="0.25">
      <c r="A1246" s="36">
        <f t="shared" si="87"/>
        <v>53</v>
      </c>
    </row>
    <row r="1247" spans="1:1" x14ac:dyDescent="0.25">
      <c r="A1247" s="36">
        <f t="shared" si="87"/>
        <v>53</v>
      </c>
    </row>
    <row r="1248" spans="1:1" x14ac:dyDescent="0.25">
      <c r="A1248" s="36">
        <f t="shared" si="87"/>
        <v>53</v>
      </c>
    </row>
    <row r="1249" spans="1:1" x14ac:dyDescent="0.25">
      <c r="A1249" s="36">
        <f t="shared" si="87"/>
        <v>53</v>
      </c>
    </row>
    <row r="1250" spans="1:1" x14ac:dyDescent="0.25">
      <c r="A1250" s="36">
        <f t="shared" si="87"/>
        <v>53</v>
      </c>
    </row>
    <row r="1251" spans="1:1" x14ac:dyDescent="0.25">
      <c r="A1251" s="36">
        <f t="shared" si="87"/>
        <v>53</v>
      </c>
    </row>
    <row r="1252" spans="1:1" x14ac:dyDescent="0.25">
      <c r="A1252" s="36">
        <f t="shared" si="87"/>
        <v>53</v>
      </c>
    </row>
    <row r="1253" spans="1:1" x14ac:dyDescent="0.25">
      <c r="A1253" s="36">
        <f t="shared" si="87"/>
        <v>53</v>
      </c>
    </row>
    <row r="1254" spans="1:1" x14ac:dyDescent="0.25">
      <c r="A1254" s="36">
        <f t="shared" si="87"/>
        <v>53</v>
      </c>
    </row>
    <row r="1255" spans="1:1" x14ac:dyDescent="0.25">
      <c r="A1255" s="36">
        <f t="shared" si="87"/>
        <v>53</v>
      </c>
    </row>
    <row r="1256" spans="1:1" x14ac:dyDescent="0.25">
      <c r="A1256" s="36">
        <f t="shared" si="87"/>
        <v>53</v>
      </c>
    </row>
    <row r="1257" spans="1:1" x14ac:dyDescent="0.25">
      <c r="A1257" s="36">
        <f t="shared" si="87"/>
        <v>53</v>
      </c>
    </row>
    <row r="1258" spans="1:1" x14ac:dyDescent="0.25">
      <c r="A1258" s="36">
        <f t="shared" si="87"/>
        <v>53</v>
      </c>
    </row>
    <row r="1259" spans="1:1" x14ac:dyDescent="0.25">
      <c r="A1259" s="36">
        <f t="shared" si="87"/>
        <v>53</v>
      </c>
    </row>
    <row r="1260" spans="1:1" x14ac:dyDescent="0.25">
      <c r="A1260" s="36">
        <f t="shared" si="87"/>
        <v>53</v>
      </c>
    </row>
    <row r="1261" spans="1:1" x14ac:dyDescent="0.25">
      <c r="A1261" s="36">
        <f t="shared" si="87"/>
        <v>53</v>
      </c>
    </row>
    <row r="1262" spans="1:1" x14ac:dyDescent="0.25">
      <c r="A1262" s="36">
        <f t="shared" si="87"/>
        <v>53</v>
      </c>
    </row>
    <row r="1263" spans="1:1" x14ac:dyDescent="0.25">
      <c r="A1263" s="36">
        <f t="shared" si="87"/>
        <v>53</v>
      </c>
    </row>
    <row r="1264" spans="1:1" x14ac:dyDescent="0.25">
      <c r="A1264" s="36">
        <f t="shared" si="87"/>
        <v>53</v>
      </c>
    </row>
    <row r="1265" spans="1:1" x14ac:dyDescent="0.25">
      <c r="A1265" s="36">
        <f t="shared" si="87"/>
        <v>53</v>
      </c>
    </row>
    <row r="1266" spans="1:1" x14ac:dyDescent="0.25">
      <c r="A1266" s="36">
        <f t="shared" si="87"/>
        <v>53</v>
      </c>
    </row>
    <row r="1267" spans="1:1" x14ac:dyDescent="0.25">
      <c r="A1267" s="36">
        <f t="shared" si="87"/>
        <v>53</v>
      </c>
    </row>
    <row r="1268" spans="1:1" x14ac:dyDescent="0.25">
      <c r="A1268" s="36">
        <f t="shared" si="87"/>
        <v>53</v>
      </c>
    </row>
    <row r="1269" spans="1:1" x14ac:dyDescent="0.25">
      <c r="A1269" s="36">
        <f t="shared" si="87"/>
        <v>53</v>
      </c>
    </row>
    <row r="1270" spans="1:1" x14ac:dyDescent="0.25">
      <c r="A1270" s="36">
        <f t="shared" si="87"/>
        <v>53</v>
      </c>
    </row>
    <row r="1271" spans="1:1" x14ac:dyDescent="0.25">
      <c r="A1271" s="36">
        <f t="shared" si="87"/>
        <v>53</v>
      </c>
    </row>
    <row r="1272" spans="1:1" x14ac:dyDescent="0.25">
      <c r="A1272" s="36">
        <f t="shared" si="87"/>
        <v>53</v>
      </c>
    </row>
    <row r="1273" spans="1:1" x14ac:dyDescent="0.25">
      <c r="A1273" s="36">
        <f t="shared" si="87"/>
        <v>53</v>
      </c>
    </row>
    <row r="1274" spans="1:1" x14ac:dyDescent="0.25">
      <c r="A1274" s="36">
        <f t="shared" si="87"/>
        <v>53</v>
      </c>
    </row>
    <row r="1275" spans="1:1" x14ac:dyDescent="0.25">
      <c r="A1275" s="36">
        <f t="shared" si="87"/>
        <v>53</v>
      </c>
    </row>
    <row r="1276" spans="1:1" x14ac:dyDescent="0.25">
      <c r="A1276" s="36">
        <f t="shared" si="87"/>
        <v>53</v>
      </c>
    </row>
    <row r="1277" spans="1:1" x14ac:dyDescent="0.25">
      <c r="A1277" s="36">
        <f t="shared" si="87"/>
        <v>53</v>
      </c>
    </row>
    <row r="1278" spans="1:1" x14ac:dyDescent="0.25">
      <c r="A1278" s="36">
        <f t="shared" si="87"/>
        <v>53</v>
      </c>
    </row>
    <row r="1279" spans="1:1" x14ac:dyDescent="0.25">
      <c r="A1279" s="36">
        <f t="shared" si="87"/>
        <v>53</v>
      </c>
    </row>
    <row r="1280" spans="1:1" x14ac:dyDescent="0.25">
      <c r="A1280" s="36">
        <f t="shared" si="87"/>
        <v>53</v>
      </c>
    </row>
    <row r="1281" spans="1:1" x14ac:dyDescent="0.25">
      <c r="A1281" s="36">
        <f t="shared" si="87"/>
        <v>53</v>
      </c>
    </row>
    <row r="1282" spans="1:1" x14ac:dyDescent="0.25">
      <c r="A1282" s="36">
        <f t="shared" si="87"/>
        <v>53</v>
      </c>
    </row>
    <row r="1283" spans="1:1" x14ac:dyDescent="0.25">
      <c r="A1283" s="36">
        <f t="shared" si="87"/>
        <v>53</v>
      </c>
    </row>
    <row r="1284" spans="1:1" x14ac:dyDescent="0.25">
      <c r="A1284" s="36">
        <f t="shared" si="87"/>
        <v>53</v>
      </c>
    </row>
    <row r="1285" spans="1:1" x14ac:dyDescent="0.25">
      <c r="A1285" s="36">
        <f t="shared" ref="A1285:A1348" si="88">IF(B1285=B1284,A1284,A1284+1)</f>
        <v>53</v>
      </c>
    </row>
    <row r="1286" spans="1:1" x14ac:dyDescent="0.25">
      <c r="A1286" s="36">
        <f t="shared" si="88"/>
        <v>53</v>
      </c>
    </row>
    <row r="1287" spans="1:1" x14ac:dyDescent="0.25">
      <c r="A1287" s="36">
        <f t="shared" si="88"/>
        <v>53</v>
      </c>
    </row>
    <row r="1288" spans="1:1" x14ac:dyDescent="0.25">
      <c r="A1288" s="36">
        <f t="shared" si="88"/>
        <v>53</v>
      </c>
    </row>
    <row r="1289" spans="1:1" x14ac:dyDescent="0.25">
      <c r="A1289" s="36">
        <f t="shared" si="88"/>
        <v>53</v>
      </c>
    </row>
    <row r="1290" spans="1:1" x14ac:dyDescent="0.25">
      <c r="A1290" s="36">
        <f t="shared" si="88"/>
        <v>53</v>
      </c>
    </row>
    <row r="1291" spans="1:1" x14ac:dyDescent="0.25">
      <c r="A1291" s="36">
        <f t="shared" si="88"/>
        <v>53</v>
      </c>
    </row>
    <row r="1292" spans="1:1" x14ac:dyDescent="0.25">
      <c r="A1292" s="36">
        <f t="shared" si="88"/>
        <v>53</v>
      </c>
    </row>
    <row r="1293" spans="1:1" x14ac:dyDescent="0.25">
      <c r="A1293" s="36">
        <f t="shared" si="88"/>
        <v>53</v>
      </c>
    </row>
    <row r="1294" spans="1:1" x14ac:dyDescent="0.25">
      <c r="A1294" s="36">
        <f t="shared" si="88"/>
        <v>53</v>
      </c>
    </row>
    <row r="1295" spans="1:1" x14ac:dyDescent="0.25">
      <c r="A1295" s="36">
        <f t="shared" si="88"/>
        <v>53</v>
      </c>
    </row>
    <row r="1296" spans="1:1" x14ac:dyDescent="0.25">
      <c r="A1296" s="36">
        <f t="shared" si="88"/>
        <v>53</v>
      </c>
    </row>
    <row r="1297" spans="1:1" x14ac:dyDescent="0.25">
      <c r="A1297" s="36">
        <f t="shared" si="88"/>
        <v>53</v>
      </c>
    </row>
    <row r="1298" spans="1:1" x14ac:dyDescent="0.25">
      <c r="A1298" s="36">
        <f t="shared" si="88"/>
        <v>53</v>
      </c>
    </row>
    <row r="1299" spans="1:1" x14ac:dyDescent="0.25">
      <c r="A1299" s="36">
        <f t="shared" si="88"/>
        <v>53</v>
      </c>
    </row>
    <row r="1300" spans="1:1" x14ac:dyDescent="0.25">
      <c r="A1300" s="36">
        <f t="shared" si="88"/>
        <v>53</v>
      </c>
    </row>
    <row r="1301" spans="1:1" x14ac:dyDescent="0.25">
      <c r="A1301" s="36">
        <f t="shared" si="88"/>
        <v>53</v>
      </c>
    </row>
    <row r="1302" spans="1:1" x14ac:dyDescent="0.25">
      <c r="A1302" s="36">
        <f t="shared" si="88"/>
        <v>53</v>
      </c>
    </row>
    <row r="1303" spans="1:1" x14ac:dyDescent="0.25">
      <c r="A1303" s="36">
        <f t="shared" si="88"/>
        <v>53</v>
      </c>
    </row>
    <row r="1304" spans="1:1" x14ac:dyDescent="0.25">
      <c r="A1304" s="36">
        <f t="shared" si="88"/>
        <v>53</v>
      </c>
    </row>
    <row r="1305" spans="1:1" x14ac:dyDescent="0.25">
      <c r="A1305" s="36">
        <f t="shared" si="88"/>
        <v>53</v>
      </c>
    </row>
    <row r="1306" spans="1:1" x14ac:dyDescent="0.25">
      <c r="A1306" s="36">
        <f t="shared" si="88"/>
        <v>53</v>
      </c>
    </row>
    <row r="1307" spans="1:1" x14ac:dyDescent="0.25">
      <c r="A1307" s="36">
        <f t="shared" si="88"/>
        <v>53</v>
      </c>
    </row>
    <row r="1308" spans="1:1" x14ac:dyDescent="0.25">
      <c r="A1308" s="36">
        <f t="shared" si="88"/>
        <v>53</v>
      </c>
    </row>
    <row r="1309" spans="1:1" x14ac:dyDescent="0.25">
      <c r="A1309" s="36">
        <f t="shared" si="88"/>
        <v>53</v>
      </c>
    </row>
    <row r="1310" spans="1:1" x14ac:dyDescent="0.25">
      <c r="A1310" s="36">
        <f t="shared" si="88"/>
        <v>53</v>
      </c>
    </row>
    <row r="1311" spans="1:1" x14ac:dyDescent="0.25">
      <c r="A1311" s="36">
        <f t="shared" si="88"/>
        <v>53</v>
      </c>
    </row>
    <row r="1312" spans="1:1" x14ac:dyDescent="0.25">
      <c r="A1312" s="36">
        <f t="shared" si="88"/>
        <v>53</v>
      </c>
    </row>
    <row r="1313" spans="1:1" x14ac:dyDescent="0.25">
      <c r="A1313" s="36">
        <f t="shared" si="88"/>
        <v>53</v>
      </c>
    </row>
    <row r="1314" spans="1:1" x14ac:dyDescent="0.25">
      <c r="A1314" s="36">
        <f t="shared" si="88"/>
        <v>53</v>
      </c>
    </row>
    <row r="1315" spans="1:1" x14ac:dyDescent="0.25">
      <c r="A1315" s="36">
        <f t="shared" si="88"/>
        <v>53</v>
      </c>
    </row>
    <row r="1316" spans="1:1" x14ac:dyDescent="0.25">
      <c r="A1316" s="36">
        <f t="shared" si="88"/>
        <v>53</v>
      </c>
    </row>
    <row r="1317" spans="1:1" x14ac:dyDescent="0.25">
      <c r="A1317" s="36">
        <f t="shared" si="88"/>
        <v>53</v>
      </c>
    </row>
    <row r="1318" spans="1:1" x14ac:dyDescent="0.25">
      <c r="A1318" s="36">
        <f t="shared" si="88"/>
        <v>53</v>
      </c>
    </row>
    <row r="1319" spans="1:1" x14ac:dyDescent="0.25">
      <c r="A1319" s="36">
        <f t="shared" si="88"/>
        <v>53</v>
      </c>
    </row>
    <row r="1320" spans="1:1" x14ac:dyDescent="0.25">
      <c r="A1320" s="36">
        <f t="shared" si="88"/>
        <v>53</v>
      </c>
    </row>
    <row r="1321" spans="1:1" x14ac:dyDescent="0.25">
      <c r="A1321" s="36">
        <f t="shared" si="88"/>
        <v>53</v>
      </c>
    </row>
    <row r="1322" spans="1:1" x14ac:dyDescent="0.25">
      <c r="A1322" s="36">
        <f t="shared" si="88"/>
        <v>53</v>
      </c>
    </row>
    <row r="1323" spans="1:1" x14ac:dyDescent="0.25">
      <c r="A1323" s="36">
        <f t="shared" si="88"/>
        <v>53</v>
      </c>
    </row>
    <row r="1324" spans="1:1" x14ac:dyDescent="0.25">
      <c r="A1324" s="36">
        <f t="shared" si="88"/>
        <v>53</v>
      </c>
    </row>
    <row r="1325" spans="1:1" x14ac:dyDescent="0.25">
      <c r="A1325" s="36">
        <f t="shared" si="88"/>
        <v>53</v>
      </c>
    </row>
    <row r="1326" spans="1:1" x14ac:dyDescent="0.25">
      <c r="A1326" s="36">
        <f t="shared" si="88"/>
        <v>53</v>
      </c>
    </row>
    <row r="1327" spans="1:1" x14ac:dyDescent="0.25">
      <c r="A1327" s="36">
        <f t="shared" si="88"/>
        <v>53</v>
      </c>
    </row>
    <row r="1328" spans="1:1" x14ac:dyDescent="0.25">
      <c r="A1328" s="36">
        <f t="shared" si="88"/>
        <v>53</v>
      </c>
    </row>
    <row r="1329" spans="1:1" x14ac:dyDescent="0.25">
      <c r="A1329" s="36">
        <f t="shared" si="88"/>
        <v>53</v>
      </c>
    </row>
    <row r="1330" spans="1:1" x14ac:dyDescent="0.25">
      <c r="A1330" s="36">
        <f t="shared" si="88"/>
        <v>53</v>
      </c>
    </row>
    <row r="1331" spans="1:1" x14ac:dyDescent="0.25">
      <c r="A1331" s="36">
        <f t="shared" si="88"/>
        <v>53</v>
      </c>
    </row>
    <row r="1332" spans="1:1" x14ac:dyDescent="0.25">
      <c r="A1332" s="36">
        <f t="shared" si="88"/>
        <v>53</v>
      </c>
    </row>
    <row r="1333" spans="1:1" x14ac:dyDescent="0.25">
      <c r="A1333" s="36">
        <f t="shared" si="88"/>
        <v>53</v>
      </c>
    </row>
    <row r="1334" spans="1:1" x14ac:dyDescent="0.25">
      <c r="A1334" s="36">
        <f t="shared" si="88"/>
        <v>53</v>
      </c>
    </row>
    <row r="1335" spans="1:1" x14ac:dyDescent="0.25">
      <c r="A1335" s="36">
        <f t="shared" si="88"/>
        <v>53</v>
      </c>
    </row>
    <row r="1336" spans="1:1" x14ac:dyDescent="0.25">
      <c r="A1336" s="36">
        <f t="shared" si="88"/>
        <v>53</v>
      </c>
    </row>
    <row r="1337" spans="1:1" x14ac:dyDescent="0.25">
      <c r="A1337" s="36">
        <f t="shared" si="88"/>
        <v>53</v>
      </c>
    </row>
    <row r="1338" spans="1:1" x14ac:dyDescent="0.25">
      <c r="A1338" s="36">
        <f t="shared" si="88"/>
        <v>53</v>
      </c>
    </row>
    <row r="1339" spans="1:1" x14ac:dyDescent="0.25">
      <c r="A1339" s="36">
        <f t="shared" si="88"/>
        <v>53</v>
      </c>
    </row>
    <row r="1340" spans="1:1" x14ac:dyDescent="0.25">
      <c r="A1340" s="36">
        <f t="shared" si="88"/>
        <v>53</v>
      </c>
    </row>
    <row r="1341" spans="1:1" x14ac:dyDescent="0.25">
      <c r="A1341" s="36">
        <f t="shared" si="88"/>
        <v>53</v>
      </c>
    </row>
    <row r="1342" spans="1:1" x14ac:dyDescent="0.25">
      <c r="A1342" s="36">
        <f t="shared" si="88"/>
        <v>53</v>
      </c>
    </row>
    <row r="1343" spans="1:1" x14ac:dyDescent="0.25">
      <c r="A1343" s="36">
        <f t="shared" si="88"/>
        <v>53</v>
      </c>
    </row>
    <row r="1344" spans="1:1" x14ac:dyDescent="0.25">
      <c r="A1344" s="36">
        <f t="shared" si="88"/>
        <v>53</v>
      </c>
    </row>
    <row r="1345" spans="1:1" x14ac:dyDescent="0.25">
      <c r="A1345" s="36">
        <f t="shared" si="88"/>
        <v>53</v>
      </c>
    </row>
    <row r="1346" spans="1:1" x14ac:dyDescent="0.25">
      <c r="A1346" s="36">
        <f t="shared" si="88"/>
        <v>53</v>
      </c>
    </row>
    <row r="1347" spans="1:1" x14ac:dyDescent="0.25">
      <c r="A1347" s="36">
        <f t="shared" si="88"/>
        <v>53</v>
      </c>
    </row>
    <row r="1348" spans="1:1" x14ac:dyDescent="0.25">
      <c r="A1348" s="36">
        <f t="shared" si="88"/>
        <v>53</v>
      </c>
    </row>
    <row r="1349" spans="1:1" x14ac:dyDescent="0.25">
      <c r="A1349" s="36">
        <f t="shared" ref="A1349:A1412" si="89">IF(B1349=B1348,A1348,A1348+1)</f>
        <v>53</v>
      </c>
    </row>
    <row r="1350" spans="1:1" x14ac:dyDescent="0.25">
      <c r="A1350" s="36">
        <f t="shared" si="89"/>
        <v>53</v>
      </c>
    </row>
    <row r="1351" spans="1:1" x14ac:dyDescent="0.25">
      <c r="A1351" s="36">
        <f t="shared" si="89"/>
        <v>53</v>
      </c>
    </row>
    <row r="1352" spans="1:1" x14ac:dyDescent="0.25">
      <c r="A1352" s="36">
        <f t="shared" si="89"/>
        <v>53</v>
      </c>
    </row>
    <row r="1353" spans="1:1" x14ac:dyDescent="0.25">
      <c r="A1353" s="36">
        <f t="shared" si="89"/>
        <v>53</v>
      </c>
    </row>
    <row r="1354" spans="1:1" x14ac:dyDescent="0.25">
      <c r="A1354" s="36">
        <f t="shared" si="89"/>
        <v>53</v>
      </c>
    </row>
    <row r="1355" spans="1:1" x14ac:dyDescent="0.25">
      <c r="A1355" s="36">
        <f t="shared" si="89"/>
        <v>53</v>
      </c>
    </row>
    <row r="1356" spans="1:1" x14ac:dyDescent="0.25">
      <c r="A1356" s="36">
        <f t="shared" si="89"/>
        <v>53</v>
      </c>
    </row>
    <row r="1357" spans="1:1" x14ac:dyDescent="0.25">
      <c r="A1357" s="36">
        <f t="shared" si="89"/>
        <v>53</v>
      </c>
    </row>
    <row r="1358" spans="1:1" x14ac:dyDescent="0.25">
      <c r="A1358" s="36">
        <f t="shared" si="89"/>
        <v>53</v>
      </c>
    </row>
    <row r="1359" spans="1:1" x14ac:dyDescent="0.25">
      <c r="A1359" s="36">
        <f t="shared" si="89"/>
        <v>53</v>
      </c>
    </row>
    <row r="1360" spans="1:1" x14ac:dyDescent="0.25">
      <c r="A1360" s="36">
        <f t="shared" si="89"/>
        <v>53</v>
      </c>
    </row>
    <row r="1361" spans="1:1" x14ac:dyDescent="0.25">
      <c r="A1361" s="36">
        <f t="shared" si="89"/>
        <v>53</v>
      </c>
    </row>
    <row r="1362" spans="1:1" x14ac:dyDescent="0.25">
      <c r="A1362" s="36">
        <f t="shared" si="89"/>
        <v>53</v>
      </c>
    </row>
    <row r="1363" spans="1:1" x14ac:dyDescent="0.25">
      <c r="A1363" s="36">
        <f t="shared" si="89"/>
        <v>53</v>
      </c>
    </row>
    <row r="1364" spans="1:1" x14ac:dyDescent="0.25">
      <c r="A1364" s="36">
        <f t="shared" si="89"/>
        <v>53</v>
      </c>
    </row>
    <row r="1365" spans="1:1" x14ac:dyDescent="0.25">
      <c r="A1365" s="36">
        <f t="shared" si="89"/>
        <v>53</v>
      </c>
    </row>
    <row r="1366" spans="1:1" x14ac:dyDescent="0.25">
      <c r="A1366" s="36">
        <f t="shared" si="89"/>
        <v>53</v>
      </c>
    </row>
    <row r="1367" spans="1:1" x14ac:dyDescent="0.25">
      <c r="A1367" s="36">
        <f t="shared" si="89"/>
        <v>53</v>
      </c>
    </row>
    <row r="1368" spans="1:1" x14ac:dyDescent="0.25">
      <c r="A1368" s="36">
        <f t="shared" si="89"/>
        <v>53</v>
      </c>
    </row>
    <row r="1369" spans="1:1" x14ac:dyDescent="0.25">
      <c r="A1369" s="36">
        <f t="shared" si="89"/>
        <v>53</v>
      </c>
    </row>
    <row r="1370" spans="1:1" x14ac:dyDescent="0.25">
      <c r="A1370" s="36">
        <f t="shared" si="89"/>
        <v>53</v>
      </c>
    </row>
    <row r="1371" spans="1:1" x14ac:dyDescent="0.25">
      <c r="A1371" s="36">
        <f t="shared" si="89"/>
        <v>53</v>
      </c>
    </row>
    <row r="1372" spans="1:1" x14ac:dyDescent="0.25">
      <c r="A1372" s="36">
        <f t="shared" si="89"/>
        <v>53</v>
      </c>
    </row>
    <row r="1373" spans="1:1" x14ac:dyDescent="0.25">
      <c r="A1373" s="36">
        <f t="shared" si="89"/>
        <v>53</v>
      </c>
    </row>
    <row r="1374" spans="1:1" x14ac:dyDescent="0.25">
      <c r="A1374" s="36">
        <f t="shared" si="89"/>
        <v>53</v>
      </c>
    </row>
    <row r="1375" spans="1:1" x14ac:dyDescent="0.25">
      <c r="A1375" s="36">
        <f t="shared" si="89"/>
        <v>53</v>
      </c>
    </row>
    <row r="1376" spans="1:1" x14ac:dyDescent="0.25">
      <c r="A1376" s="36">
        <f t="shared" si="89"/>
        <v>53</v>
      </c>
    </row>
    <row r="1377" spans="1:1" x14ac:dyDescent="0.25">
      <c r="A1377" s="36">
        <f t="shared" si="89"/>
        <v>53</v>
      </c>
    </row>
    <row r="1378" spans="1:1" x14ac:dyDescent="0.25">
      <c r="A1378" s="36">
        <f t="shared" si="89"/>
        <v>53</v>
      </c>
    </row>
    <row r="1379" spans="1:1" x14ac:dyDescent="0.25">
      <c r="A1379" s="36">
        <f t="shared" si="89"/>
        <v>53</v>
      </c>
    </row>
    <row r="1380" spans="1:1" x14ac:dyDescent="0.25">
      <c r="A1380" s="36">
        <f t="shared" si="89"/>
        <v>53</v>
      </c>
    </row>
    <row r="1381" spans="1:1" x14ac:dyDescent="0.25">
      <c r="A1381" s="36">
        <f t="shared" si="89"/>
        <v>53</v>
      </c>
    </row>
    <row r="1382" spans="1:1" x14ac:dyDescent="0.25">
      <c r="A1382" s="36">
        <f t="shared" si="89"/>
        <v>53</v>
      </c>
    </row>
    <row r="1383" spans="1:1" x14ac:dyDescent="0.25">
      <c r="A1383" s="36">
        <f t="shared" si="89"/>
        <v>53</v>
      </c>
    </row>
    <row r="1384" spans="1:1" x14ac:dyDescent="0.25">
      <c r="A1384" s="36">
        <f t="shared" si="89"/>
        <v>53</v>
      </c>
    </row>
    <row r="1385" spans="1:1" x14ac:dyDescent="0.25">
      <c r="A1385" s="36">
        <f t="shared" si="89"/>
        <v>53</v>
      </c>
    </row>
    <row r="1386" spans="1:1" x14ac:dyDescent="0.25">
      <c r="A1386" s="36">
        <f t="shared" si="89"/>
        <v>53</v>
      </c>
    </row>
    <row r="1387" spans="1:1" x14ac:dyDescent="0.25">
      <c r="A1387" s="36">
        <f t="shared" si="89"/>
        <v>53</v>
      </c>
    </row>
    <row r="1388" spans="1:1" x14ac:dyDescent="0.25">
      <c r="A1388" s="36">
        <f t="shared" si="89"/>
        <v>53</v>
      </c>
    </row>
    <row r="1389" spans="1:1" x14ac:dyDescent="0.25">
      <c r="A1389" s="36">
        <f t="shared" si="89"/>
        <v>53</v>
      </c>
    </row>
    <row r="1390" spans="1:1" x14ac:dyDescent="0.25">
      <c r="A1390" s="36">
        <f t="shared" si="89"/>
        <v>53</v>
      </c>
    </row>
    <row r="1391" spans="1:1" x14ac:dyDescent="0.25">
      <c r="A1391" s="36">
        <f t="shared" si="89"/>
        <v>53</v>
      </c>
    </row>
    <row r="1392" spans="1:1" x14ac:dyDescent="0.25">
      <c r="A1392" s="36">
        <f t="shared" si="89"/>
        <v>53</v>
      </c>
    </row>
    <row r="1393" spans="1:1" x14ac:dyDescent="0.25">
      <c r="A1393" s="36">
        <f t="shared" si="89"/>
        <v>53</v>
      </c>
    </row>
    <row r="1394" spans="1:1" x14ac:dyDescent="0.25">
      <c r="A1394" s="36">
        <f t="shared" si="89"/>
        <v>53</v>
      </c>
    </row>
    <row r="1395" spans="1:1" x14ac:dyDescent="0.25">
      <c r="A1395" s="36">
        <f t="shared" si="89"/>
        <v>53</v>
      </c>
    </row>
    <row r="1396" spans="1:1" x14ac:dyDescent="0.25">
      <c r="A1396" s="36">
        <f t="shared" si="89"/>
        <v>53</v>
      </c>
    </row>
    <row r="1397" spans="1:1" x14ac:dyDescent="0.25">
      <c r="A1397" s="36">
        <f t="shared" si="89"/>
        <v>53</v>
      </c>
    </row>
    <row r="1398" spans="1:1" x14ac:dyDescent="0.25">
      <c r="A1398" s="36">
        <f t="shared" si="89"/>
        <v>53</v>
      </c>
    </row>
    <row r="1399" spans="1:1" x14ac:dyDescent="0.25">
      <c r="A1399" s="36">
        <f t="shared" si="89"/>
        <v>53</v>
      </c>
    </row>
    <row r="1400" spans="1:1" x14ac:dyDescent="0.25">
      <c r="A1400" s="36">
        <f t="shared" si="89"/>
        <v>53</v>
      </c>
    </row>
    <row r="1401" spans="1:1" x14ac:dyDescent="0.25">
      <c r="A1401" s="36">
        <f t="shared" si="89"/>
        <v>53</v>
      </c>
    </row>
    <row r="1402" spans="1:1" x14ac:dyDescent="0.25">
      <c r="A1402" s="36">
        <f t="shared" si="89"/>
        <v>53</v>
      </c>
    </row>
    <row r="1403" spans="1:1" x14ac:dyDescent="0.25">
      <c r="A1403" s="36">
        <f t="shared" si="89"/>
        <v>53</v>
      </c>
    </row>
    <row r="1404" spans="1:1" x14ac:dyDescent="0.25">
      <c r="A1404" s="36">
        <f t="shared" si="89"/>
        <v>53</v>
      </c>
    </row>
    <row r="1405" spans="1:1" x14ac:dyDescent="0.25">
      <c r="A1405" s="36">
        <f t="shared" si="89"/>
        <v>53</v>
      </c>
    </row>
    <row r="1406" spans="1:1" x14ac:dyDescent="0.25">
      <c r="A1406" s="36">
        <f t="shared" si="89"/>
        <v>53</v>
      </c>
    </row>
    <row r="1407" spans="1:1" x14ac:dyDescent="0.25">
      <c r="A1407" s="36">
        <f t="shared" si="89"/>
        <v>53</v>
      </c>
    </row>
    <row r="1408" spans="1:1" x14ac:dyDescent="0.25">
      <c r="A1408" s="36">
        <f t="shared" si="89"/>
        <v>53</v>
      </c>
    </row>
    <row r="1409" spans="1:1" x14ac:dyDescent="0.25">
      <c r="A1409" s="36">
        <f t="shared" si="89"/>
        <v>53</v>
      </c>
    </row>
    <row r="1410" spans="1:1" x14ac:dyDescent="0.25">
      <c r="A1410" s="36">
        <f t="shared" si="89"/>
        <v>53</v>
      </c>
    </row>
    <row r="1411" spans="1:1" x14ac:dyDescent="0.25">
      <c r="A1411" s="36">
        <f t="shared" si="89"/>
        <v>53</v>
      </c>
    </row>
    <row r="1412" spans="1:1" x14ac:dyDescent="0.25">
      <c r="A1412" s="36">
        <f t="shared" si="89"/>
        <v>53</v>
      </c>
    </row>
    <row r="1413" spans="1:1" x14ac:dyDescent="0.25">
      <c r="A1413" s="36">
        <f t="shared" ref="A1413:A1476" si="90">IF(B1413=B1412,A1412,A1412+1)</f>
        <v>53</v>
      </c>
    </row>
    <row r="1414" spans="1:1" x14ac:dyDescent="0.25">
      <c r="A1414" s="36">
        <f t="shared" si="90"/>
        <v>53</v>
      </c>
    </row>
    <row r="1415" spans="1:1" x14ac:dyDescent="0.25">
      <c r="A1415" s="36">
        <f t="shared" si="90"/>
        <v>53</v>
      </c>
    </row>
    <row r="1416" spans="1:1" x14ac:dyDescent="0.25">
      <c r="A1416" s="36">
        <f t="shared" si="90"/>
        <v>53</v>
      </c>
    </row>
    <row r="1417" spans="1:1" x14ac:dyDescent="0.25">
      <c r="A1417" s="36">
        <f t="shared" si="90"/>
        <v>53</v>
      </c>
    </row>
    <row r="1418" spans="1:1" x14ac:dyDescent="0.25">
      <c r="A1418" s="36">
        <f t="shared" si="90"/>
        <v>53</v>
      </c>
    </row>
    <row r="1419" spans="1:1" x14ac:dyDescent="0.25">
      <c r="A1419" s="36">
        <f t="shared" si="90"/>
        <v>53</v>
      </c>
    </row>
    <row r="1420" spans="1:1" x14ac:dyDescent="0.25">
      <c r="A1420" s="36">
        <f t="shared" si="90"/>
        <v>53</v>
      </c>
    </row>
    <row r="1421" spans="1:1" x14ac:dyDescent="0.25">
      <c r="A1421" s="36">
        <f t="shared" si="90"/>
        <v>53</v>
      </c>
    </row>
    <row r="1422" spans="1:1" x14ac:dyDescent="0.25">
      <c r="A1422" s="36">
        <f t="shared" si="90"/>
        <v>53</v>
      </c>
    </row>
    <row r="1423" spans="1:1" x14ac:dyDescent="0.25">
      <c r="A1423" s="36">
        <f t="shared" si="90"/>
        <v>53</v>
      </c>
    </row>
    <row r="1424" spans="1:1" x14ac:dyDescent="0.25">
      <c r="A1424" s="36">
        <f t="shared" si="90"/>
        <v>53</v>
      </c>
    </row>
    <row r="1425" spans="1:1" x14ac:dyDescent="0.25">
      <c r="A1425" s="36">
        <f t="shared" si="90"/>
        <v>53</v>
      </c>
    </row>
    <row r="1426" spans="1:1" x14ac:dyDescent="0.25">
      <c r="A1426" s="36">
        <f t="shared" si="90"/>
        <v>53</v>
      </c>
    </row>
    <row r="1427" spans="1:1" x14ac:dyDescent="0.25">
      <c r="A1427" s="36">
        <f t="shared" si="90"/>
        <v>53</v>
      </c>
    </row>
    <row r="1428" spans="1:1" x14ac:dyDescent="0.25">
      <c r="A1428" s="36">
        <f t="shared" si="90"/>
        <v>53</v>
      </c>
    </row>
    <row r="1429" spans="1:1" x14ac:dyDescent="0.25">
      <c r="A1429" s="36">
        <f t="shared" si="90"/>
        <v>53</v>
      </c>
    </row>
    <row r="1430" spans="1:1" x14ac:dyDescent="0.25">
      <c r="A1430" s="36">
        <f t="shared" si="90"/>
        <v>53</v>
      </c>
    </row>
    <row r="1431" spans="1:1" x14ac:dyDescent="0.25">
      <c r="A1431" s="36">
        <f t="shared" si="90"/>
        <v>53</v>
      </c>
    </row>
    <row r="1432" spans="1:1" x14ac:dyDescent="0.25">
      <c r="A1432" s="36">
        <f t="shared" si="90"/>
        <v>53</v>
      </c>
    </row>
    <row r="1433" spans="1:1" x14ac:dyDescent="0.25">
      <c r="A1433" s="36">
        <f t="shared" si="90"/>
        <v>53</v>
      </c>
    </row>
    <row r="1434" spans="1:1" x14ac:dyDescent="0.25">
      <c r="A1434" s="36">
        <f t="shared" si="90"/>
        <v>53</v>
      </c>
    </row>
    <row r="1435" spans="1:1" x14ac:dyDescent="0.25">
      <c r="A1435" s="36">
        <f t="shared" si="90"/>
        <v>53</v>
      </c>
    </row>
    <row r="1436" spans="1:1" x14ac:dyDescent="0.25">
      <c r="A1436" s="36">
        <f t="shared" si="90"/>
        <v>53</v>
      </c>
    </row>
    <row r="1437" spans="1:1" x14ac:dyDescent="0.25">
      <c r="A1437" s="36">
        <f t="shared" si="90"/>
        <v>53</v>
      </c>
    </row>
    <row r="1438" spans="1:1" x14ac:dyDescent="0.25">
      <c r="A1438" s="36">
        <f t="shared" si="90"/>
        <v>53</v>
      </c>
    </row>
    <row r="1439" spans="1:1" x14ac:dyDescent="0.25">
      <c r="A1439" s="36">
        <f t="shared" si="90"/>
        <v>53</v>
      </c>
    </row>
    <row r="1440" spans="1:1" x14ac:dyDescent="0.25">
      <c r="A1440" s="36">
        <f t="shared" si="90"/>
        <v>53</v>
      </c>
    </row>
    <row r="1441" spans="1:1" x14ac:dyDescent="0.25">
      <c r="A1441" s="36">
        <f t="shared" si="90"/>
        <v>53</v>
      </c>
    </row>
    <row r="1442" spans="1:1" x14ac:dyDescent="0.25">
      <c r="A1442" s="36">
        <f t="shared" si="90"/>
        <v>53</v>
      </c>
    </row>
    <row r="1443" spans="1:1" x14ac:dyDescent="0.25">
      <c r="A1443" s="36">
        <f t="shared" si="90"/>
        <v>53</v>
      </c>
    </row>
    <row r="1444" spans="1:1" x14ac:dyDescent="0.25">
      <c r="A1444" s="36">
        <f t="shared" si="90"/>
        <v>53</v>
      </c>
    </row>
    <row r="1445" spans="1:1" x14ac:dyDescent="0.25">
      <c r="A1445" s="36">
        <f t="shared" si="90"/>
        <v>53</v>
      </c>
    </row>
    <row r="1446" spans="1:1" x14ac:dyDescent="0.25">
      <c r="A1446" s="36">
        <f t="shared" si="90"/>
        <v>53</v>
      </c>
    </row>
    <row r="1447" spans="1:1" x14ac:dyDescent="0.25">
      <c r="A1447" s="36">
        <f t="shared" si="90"/>
        <v>53</v>
      </c>
    </row>
    <row r="1448" spans="1:1" x14ac:dyDescent="0.25">
      <c r="A1448" s="36">
        <f t="shared" si="90"/>
        <v>53</v>
      </c>
    </row>
    <row r="1449" spans="1:1" x14ac:dyDescent="0.25">
      <c r="A1449" s="36">
        <f t="shared" si="90"/>
        <v>53</v>
      </c>
    </row>
    <row r="1450" spans="1:1" x14ac:dyDescent="0.25">
      <c r="A1450" s="36">
        <f t="shared" si="90"/>
        <v>53</v>
      </c>
    </row>
    <row r="1451" spans="1:1" x14ac:dyDescent="0.25">
      <c r="A1451" s="36">
        <f t="shared" si="90"/>
        <v>53</v>
      </c>
    </row>
    <row r="1452" spans="1:1" x14ac:dyDescent="0.25">
      <c r="A1452" s="36">
        <f t="shared" si="90"/>
        <v>53</v>
      </c>
    </row>
    <row r="1453" spans="1:1" x14ac:dyDescent="0.25">
      <c r="A1453" s="36">
        <f t="shared" si="90"/>
        <v>53</v>
      </c>
    </row>
    <row r="1454" spans="1:1" x14ac:dyDescent="0.25">
      <c r="A1454" s="36">
        <f t="shared" si="90"/>
        <v>53</v>
      </c>
    </row>
    <row r="1455" spans="1:1" x14ac:dyDescent="0.25">
      <c r="A1455" s="36">
        <f t="shared" si="90"/>
        <v>53</v>
      </c>
    </row>
    <row r="1456" spans="1:1" x14ac:dyDescent="0.25">
      <c r="A1456" s="36">
        <f t="shared" si="90"/>
        <v>53</v>
      </c>
    </row>
    <row r="1457" spans="1:1" x14ac:dyDescent="0.25">
      <c r="A1457" s="36">
        <f t="shared" si="90"/>
        <v>53</v>
      </c>
    </row>
    <row r="1458" spans="1:1" x14ac:dyDescent="0.25">
      <c r="A1458" s="36">
        <f t="shared" si="90"/>
        <v>53</v>
      </c>
    </row>
    <row r="1459" spans="1:1" x14ac:dyDescent="0.25">
      <c r="A1459" s="36">
        <f t="shared" si="90"/>
        <v>53</v>
      </c>
    </row>
    <row r="1460" spans="1:1" x14ac:dyDescent="0.25">
      <c r="A1460" s="36">
        <f t="shared" si="90"/>
        <v>53</v>
      </c>
    </row>
    <row r="1461" spans="1:1" x14ac:dyDescent="0.25">
      <c r="A1461" s="36">
        <f t="shared" si="90"/>
        <v>53</v>
      </c>
    </row>
    <row r="1462" spans="1:1" x14ac:dyDescent="0.25">
      <c r="A1462" s="36">
        <f t="shared" si="90"/>
        <v>53</v>
      </c>
    </row>
    <row r="1463" spans="1:1" x14ac:dyDescent="0.25">
      <c r="A1463" s="36">
        <f t="shared" si="90"/>
        <v>53</v>
      </c>
    </row>
    <row r="1464" spans="1:1" x14ac:dyDescent="0.25">
      <c r="A1464" s="36">
        <f t="shared" si="90"/>
        <v>53</v>
      </c>
    </row>
    <row r="1465" spans="1:1" x14ac:dyDescent="0.25">
      <c r="A1465" s="36">
        <f t="shared" si="90"/>
        <v>53</v>
      </c>
    </row>
    <row r="1466" spans="1:1" x14ac:dyDescent="0.25">
      <c r="A1466" s="36">
        <f t="shared" si="90"/>
        <v>53</v>
      </c>
    </row>
    <row r="1467" spans="1:1" x14ac:dyDescent="0.25">
      <c r="A1467" s="36">
        <f t="shared" si="90"/>
        <v>53</v>
      </c>
    </row>
    <row r="1468" spans="1:1" x14ac:dyDescent="0.25">
      <c r="A1468" s="36">
        <f t="shared" si="90"/>
        <v>53</v>
      </c>
    </row>
    <row r="1469" spans="1:1" x14ac:dyDescent="0.25">
      <c r="A1469" s="36">
        <f t="shared" si="90"/>
        <v>53</v>
      </c>
    </row>
    <row r="1470" spans="1:1" x14ac:dyDescent="0.25">
      <c r="A1470" s="36">
        <f t="shared" si="90"/>
        <v>53</v>
      </c>
    </row>
    <row r="1471" spans="1:1" x14ac:dyDescent="0.25">
      <c r="A1471" s="36">
        <f t="shared" si="90"/>
        <v>53</v>
      </c>
    </row>
    <row r="1472" spans="1:1" x14ac:dyDescent="0.25">
      <c r="A1472" s="36">
        <f t="shared" si="90"/>
        <v>53</v>
      </c>
    </row>
    <row r="1473" spans="1:1" x14ac:dyDescent="0.25">
      <c r="A1473" s="36">
        <f t="shared" si="90"/>
        <v>53</v>
      </c>
    </row>
    <row r="1474" spans="1:1" x14ac:dyDescent="0.25">
      <c r="A1474" s="36">
        <f t="shared" si="90"/>
        <v>53</v>
      </c>
    </row>
    <row r="1475" spans="1:1" x14ac:dyDescent="0.25">
      <c r="A1475" s="36">
        <f t="shared" si="90"/>
        <v>53</v>
      </c>
    </row>
    <row r="1476" spans="1:1" x14ac:dyDescent="0.25">
      <c r="A1476" s="36">
        <f t="shared" si="90"/>
        <v>53</v>
      </c>
    </row>
    <row r="1477" spans="1:1" x14ac:dyDescent="0.25">
      <c r="A1477" s="36">
        <f t="shared" ref="A1477:A1540" si="91">IF(B1477=B1476,A1476,A1476+1)</f>
        <v>53</v>
      </c>
    </row>
    <row r="1478" spans="1:1" x14ac:dyDescent="0.25">
      <c r="A1478" s="36">
        <f t="shared" si="91"/>
        <v>53</v>
      </c>
    </row>
    <row r="1479" spans="1:1" x14ac:dyDescent="0.25">
      <c r="A1479" s="36">
        <f t="shared" si="91"/>
        <v>53</v>
      </c>
    </row>
    <row r="1480" spans="1:1" x14ac:dyDescent="0.25">
      <c r="A1480" s="36">
        <f t="shared" si="91"/>
        <v>53</v>
      </c>
    </row>
    <row r="1481" spans="1:1" x14ac:dyDescent="0.25">
      <c r="A1481" s="36">
        <f t="shared" si="91"/>
        <v>53</v>
      </c>
    </row>
    <row r="1482" spans="1:1" x14ac:dyDescent="0.25">
      <c r="A1482" s="36">
        <f t="shared" si="91"/>
        <v>53</v>
      </c>
    </row>
    <row r="1483" spans="1:1" x14ac:dyDescent="0.25">
      <c r="A1483" s="36">
        <f t="shared" si="91"/>
        <v>53</v>
      </c>
    </row>
    <row r="1484" spans="1:1" x14ac:dyDescent="0.25">
      <c r="A1484" s="36">
        <f t="shared" si="91"/>
        <v>53</v>
      </c>
    </row>
    <row r="1485" spans="1:1" x14ac:dyDescent="0.25">
      <c r="A1485" s="36">
        <f t="shared" si="91"/>
        <v>53</v>
      </c>
    </row>
    <row r="1486" spans="1:1" x14ac:dyDescent="0.25">
      <c r="A1486" s="36">
        <f t="shared" si="91"/>
        <v>53</v>
      </c>
    </row>
    <row r="1487" spans="1:1" x14ac:dyDescent="0.25">
      <c r="A1487" s="36">
        <f t="shared" si="91"/>
        <v>53</v>
      </c>
    </row>
    <row r="1488" spans="1:1" x14ac:dyDescent="0.25">
      <c r="A1488" s="36">
        <f t="shared" si="91"/>
        <v>53</v>
      </c>
    </row>
    <row r="1489" spans="1:1" x14ac:dyDescent="0.25">
      <c r="A1489" s="36">
        <f t="shared" si="91"/>
        <v>53</v>
      </c>
    </row>
    <row r="1490" spans="1:1" x14ac:dyDescent="0.25">
      <c r="A1490" s="36">
        <f t="shared" si="91"/>
        <v>53</v>
      </c>
    </row>
    <row r="1491" spans="1:1" x14ac:dyDescent="0.25">
      <c r="A1491" s="36">
        <f t="shared" si="91"/>
        <v>53</v>
      </c>
    </row>
    <row r="1492" spans="1:1" x14ac:dyDescent="0.25">
      <c r="A1492" s="36">
        <f t="shared" si="91"/>
        <v>53</v>
      </c>
    </row>
    <row r="1493" spans="1:1" x14ac:dyDescent="0.25">
      <c r="A1493" s="36">
        <f t="shared" si="91"/>
        <v>53</v>
      </c>
    </row>
    <row r="1494" spans="1:1" x14ac:dyDescent="0.25">
      <c r="A1494" s="36">
        <f t="shared" si="91"/>
        <v>53</v>
      </c>
    </row>
    <row r="1495" spans="1:1" x14ac:dyDescent="0.25">
      <c r="A1495" s="36">
        <f t="shared" si="91"/>
        <v>53</v>
      </c>
    </row>
    <row r="1496" spans="1:1" x14ac:dyDescent="0.25">
      <c r="A1496" s="36">
        <f t="shared" si="91"/>
        <v>53</v>
      </c>
    </row>
    <row r="1497" spans="1:1" x14ac:dyDescent="0.25">
      <c r="A1497" s="36">
        <f t="shared" si="91"/>
        <v>53</v>
      </c>
    </row>
    <row r="1498" spans="1:1" x14ac:dyDescent="0.25">
      <c r="A1498" s="36">
        <f t="shared" si="91"/>
        <v>53</v>
      </c>
    </row>
    <row r="1499" spans="1:1" x14ac:dyDescent="0.25">
      <c r="A1499" s="36">
        <f t="shared" si="91"/>
        <v>53</v>
      </c>
    </row>
    <row r="1500" spans="1:1" x14ac:dyDescent="0.25">
      <c r="A1500" s="36">
        <f t="shared" si="91"/>
        <v>53</v>
      </c>
    </row>
    <row r="1501" spans="1:1" x14ac:dyDescent="0.25">
      <c r="A1501" s="36">
        <f t="shared" si="91"/>
        <v>53</v>
      </c>
    </row>
    <row r="1502" spans="1:1" x14ac:dyDescent="0.25">
      <c r="A1502" s="36">
        <f t="shared" si="91"/>
        <v>53</v>
      </c>
    </row>
    <row r="1503" spans="1:1" x14ac:dyDescent="0.25">
      <c r="A1503" s="36">
        <f t="shared" si="91"/>
        <v>53</v>
      </c>
    </row>
    <row r="1504" spans="1:1" x14ac:dyDescent="0.25">
      <c r="A1504" s="36">
        <f t="shared" si="91"/>
        <v>53</v>
      </c>
    </row>
    <row r="1505" spans="1:1" x14ac:dyDescent="0.25">
      <c r="A1505" s="36">
        <f t="shared" si="91"/>
        <v>53</v>
      </c>
    </row>
    <row r="1506" spans="1:1" x14ac:dyDescent="0.25">
      <c r="A1506" s="36">
        <f t="shared" si="91"/>
        <v>53</v>
      </c>
    </row>
    <row r="1507" spans="1:1" x14ac:dyDescent="0.25">
      <c r="A1507" s="36">
        <f t="shared" si="91"/>
        <v>53</v>
      </c>
    </row>
    <row r="1508" spans="1:1" x14ac:dyDescent="0.25">
      <c r="A1508" s="36">
        <f t="shared" si="91"/>
        <v>53</v>
      </c>
    </row>
    <row r="1509" spans="1:1" x14ac:dyDescent="0.25">
      <c r="A1509" s="36">
        <f t="shared" si="91"/>
        <v>53</v>
      </c>
    </row>
    <row r="1510" spans="1:1" x14ac:dyDescent="0.25">
      <c r="A1510" s="36">
        <f t="shared" si="91"/>
        <v>53</v>
      </c>
    </row>
    <row r="1511" spans="1:1" x14ac:dyDescent="0.25">
      <c r="A1511" s="36">
        <f t="shared" si="91"/>
        <v>53</v>
      </c>
    </row>
    <row r="1512" spans="1:1" x14ac:dyDescent="0.25">
      <c r="A1512" s="36">
        <f t="shared" si="91"/>
        <v>53</v>
      </c>
    </row>
    <row r="1513" spans="1:1" x14ac:dyDescent="0.25">
      <c r="A1513" s="36">
        <f t="shared" si="91"/>
        <v>53</v>
      </c>
    </row>
    <row r="1514" spans="1:1" x14ac:dyDescent="0.25">
      <c r="A1514" s="36">
        <f t="shared" si="91"/>
        <v>53</v>
      </c>
    </row>
    <row r="1515" spans="1:1" x14ac:dyDescent="0.25">
      <c r="A1515" s="36">
        <f t="shared" si="91"/>
        <v>53</v>
      </c>
    </row>
    <row r="1516" spans="1:1" x14ac:dyDescent="0.25">
      <c r="A1516" s="36">
        <f t="shared" si="91"/>
        <v>53</v>
      </c>
    </row>
    <row r="1517" spans="1:1" x14ac:dyDescent="0.25">
      <c r="A1517" s="36">
        <f t="shared" si="91"/>
        <v>53</v>
      </c>
    </row>
    <row r="1518" spans="1:1" x14ac:dyDescent="0.25">
      <c r="A1518" s="36">
        <f t="shared" si="91"/>
        <v>53</v>
      </c>
    </row>
    <row r="1519" spans="1:1" x14ac:dyDescent="0.25">
      <c r="A1519" s="36">
        <f t="shared" si="91"/>
        <v>53</v>
      </c>
    </row>
    <row r="1520" spans="1:1" x14ac:dyDescent="0.25">
      <c r="A1520" s="36">
        <f t="shared" si="91"/>
        <v>53</v>
      </c>
    </row>
    <row r="1521" spans="1:1" x14ac:dyDescent="0.25">
      <c r="A1521" s="36">
        <f t="shared" si="91"/>
        <v>53</v>
      </c>
    </row>
    <row r="1522" spans="1:1" x14ac:dyDescent="0.25">
      <c r="A1522" s="36">
        <f t="shared" si="91"/>
        <v>53</v>
      </c>
    </row>
    <row r="1523" spans="1:1" x14ac:dyDescent="0.25">
      <c r="A1523" s="36">
        <f t="shared" si="91"/>
        <v>53</v>
      </c>
    </row>
    <row r="1524" spans="1:1" x14ac:dyDescent="0.25">
      <c r="A1524" s="36">
        <f t="shared" si="91"/>
        <v>53</v>
      </c>
    </row>
    <row r="1525" spans="1:1" x14ac:dyDescent="0.25">
      <c r="A1525" s="36">
        <f t="shared" si="91"/>
        <v>53</v>
      </c>
    </row>
    <row r="1526" spans="1:1" x14ac:dyDescent="0.25">
      <c r="A1526" s="36">
        <f t="shared" si="91"/>
        <v>53</v>
      </c>
    </row>
    <row r="1527" spans="1:1" x14ac:dyDescent="0.25">
      <c r="A1527" s="36">
        <f t="shared" si="91"/>
        <v>53</v>
      </c>
    </row>
    <row r="1528" spans="1:1" x14ac:dyDescent="0.25">
      <c r="A1528" s="36">
        <f t="shared" si="91"/>
        <v>53</v>
      </c>
    </row>
    <row r="1529" spans="1:1" x14ac:dyDescent="0.25">
      <c r="A1529" s="36">
        <f t="shared" si="91"/>
        <v>53</v>
      </c>
    </row>
    <row r="1530" spans="1:1" x14ac:dyDescent="0.25">
      <c r="A1530" s="36">
        <f t="shared" si="91"/>
        <v>53</v>
      </c>
    </row>
    <row r="1531" spans="1:1" x14ac:dyDescent="0.25">
      <c r="A1531" s="36">
        <f t="shared" si="91"/>
        <v>53</v>
      </c>
    </row>
    <row r="1532" spans="1:1" x14ac:dyDescent="0.25">
      <c r="A1532" s="36">
        <f t="shared" si="91"/>
        <v>53</v>
      </c>
    </row>
    <row r="1533" spans="1:1" x14ac:dyDescent="0.25">
      <c r="A1533" s="36">
        <f t="shared" si="91"/>
        <v>53</v>
      </c>
    </row>
    <row r="1534" spans="1:1" x14ac:dyDescent="0.25">
      <c r="A1534" s="36">
        <f t="shared" si="91"/>
        <v>53</v>
      </c>
    </row>
    <row r="1535" spans="1:1" x14ac:dyDescent="0.25">
      <c r="A1535" s="36">
        <f t="shared" si="91"/>
        <v>53</v>
      </c>
    </row>
    <row r="1536" spans="1:1" x14ac:dyDescent="0.25">
      <c r="A1536" s="36">
        <f t="shared" si="91"/>
        <v>53</v>
      </c>
    </row>
    <row r="1537" spans="1:1" x14ac:dyDescent="0.25">
      <c r="A1537" s="36">
        <f t="shared" si="91"/>
        <v>53</v>
      </c>
    </row>
    <row r="1538" spans="1:1" x14ac:dyDescent="0.25">
      <c r="A1538" s="36">
        <f t="shared" si="91"/>
        <v>53</v>
      </c>
    </row>
    <row r="1539" spans="1:1" x14ac:dyDescent="0.25">
      <c r="A1539" s="36">
        <f t="shared" si="91"/>
        <v>53</v>
      </c>
    </row>
    <row r="1540" spans="1:1" x14ac:dyDescent="0.25">
      <c r="A1540" s="36">
        <f t="shared" si="91"/>
        <v>53</v>
      </c>
    </row>
    <row r="1541" spans="1:1" x14ac:dyDescent="0.25">
      <c r="A1541" s="36">
        <f t="shared" ref="A1541:A1604" si="92">IF(B1541=B1540,A1540,A1540+1)</f>
        <v>53</v>
      </c>
    </row>
    <row r="1542" spans="1:1" x14ac:dyDescent="0.25">
      <c r="A1542" s="36">
        <f t="shared" si="92"/>
        <v>53</v>
      </c>
    </row>
    <row r="1543" spans="1:1" x14ac:dyDescent="0.25">
      <c r="A1543" s="36">
        <f t="shared" si="92"/>
        <v>53</v>
      </c>
    </row>
    <row r="1544" spans="1:1" x14ac:dyDescent="0.25">
      <c r="A1544" s="36">
        <f t="shared" si="92"/>
        <v>53</v>
      </c>
    </row>
    <row r="1545" spans="1:1" x14ac:dyDescent="0.25">
      <c r="A1545" s="36">
        <f t="shared" si="92"/>
        <v>53</v>
      </c>
    </row>
    <row r="1546" spans="1:1" x14ac:dyDescent="0.25">
      <c r="A1546" s="36">
        <f t="shared" si="92"/>
        <v>53</v>
      </c>
    </row>
    <row r="1547" spans="1:1" x14ac:dyDescent="0.25">
      <c r="A1547" s="36">
        <f t="shared" si="92"/>
        <v>53</v>
      </c>
    </row>
    <row r="1548" spans="1:1" x14ac:dyDescent="0.25">
      <c r="A1548" s="36">
        <f t="shared" si="92"/>
        <v>53</v>
      </c>
    </row>
    <row r="1549" spans="1:1" x14ac:dyDescent="0.25">
      <c r="A1549" s="36">
        <f t="shared" si="92"/>
        <v>53</v>
      </c>
    </row>
    <row r="1550" spans="1:1" x14ac:dyDescent="0.25">
      <c r="A1550" s="36">
        <f t="shared" si="92"/>
        <v>53</v>
      </c>
    </row>
    <row r="1551" spans="1:1" x14ac:dyDescent="0.25">
      <c r="A1551" s="36">
        <f t="shared" si="92"/>
        <v>53</v>
      </c>
    </row>
    <row r="1552" spans="1:1" x14ac:dyDescent="0.25">
      <c r="A1552" s="36">
        <f t="shared" si="92"/>
        <v>53</v>
      </c>
    </row>
    <row r="1553" spans="1:1" x14ac:dyDescent="0.25">
      <c r="A1553" s="36">
        <f t="shared" si="92"/>
        <v>53</v>
      </c>
    </row>
    <row r="1554" spans="1:1" x14ac:dyDescent="0.25">
      <c r="A1554" s="36">
        <f t="shared" si="92"/>
        <v>53</v>
      </c>
    </row>
    <row r="1555" spans="1:1" x14ac:dyDescent="0.25">
      <c r="A1555" s="36">
        <f t="shared" si="92"/>
        <v>53</v>
      </c>
    </row>
    <row r="1556" spans="1:1" x14ac:dyDescent="0.25">
      <c r="A1556" s="36">
        <f t="shared" si="92"/>
        <v>53</v>
      </c>
    </row>
    <row r="1557" spans="1:1" x14ac:dyDescent="0.25">
      <c r="A1557" s="36">
        <f t="shared" si="92"/>
        <v>53</v>
      </c>
    </row>
    <row r="1558" spans="1:1" x14ac:dyDescent="0.25">
      <c r="A1558" s="36">
        <f t="shared" si="92"/>
        <v>53</v>
      </c>
    </row>
    <row r="1559" spans="1:1" x14ac:dyDescent="0.25">
      <c r="A1559" s="36">
        <f t="shared" si="92"/>
        <v>53</v>
      </c>
    </row>
    <row r="1560" spans="1:1" x14ac:dyDescent="0.25">
      <c r="A1560" s="36">
        <f t="shared" si="92"/>
        <v>53</v>
      </c>
    </row>
    <row r="1561" spans="1:1" x14ac:dyDescent="0.25">
      <c r="A1561" s="36">
        <f t="shared" si="92"/>
        <v>53</v>
      </c>
    </row>
    <row r="1562" spans="1:1" x14ac:dyDescent="0.25">
      <c r="A1562" s="36">
        <f t="shared" si="92"/>
        <v>53</v>
      </c>
    </row>
    <row r="1563" spans="1:1" x14ac:dyDescent="0.25">
      <c r="A1563" s="36">
        <f t="shared" si="92"/>
        <v>53</v>
      </c>
    </row>
    <row r="1564" spans="1:1" x14ac:dyDescent="0.25">
      <c r="A1564" s="36">
        <f t="shared" si="92"/>
        <v>53</v>
      </c>
    </row>
    <row r="1565" spans="1:1" x14ac:dyDescent="0.25">
      <c r="A1565" s="36">
        <f t="shared" si="92"/>
        <v>53</v>
      </c>
    </row>
    <row r="1566" spans="1:1" x14ac:dyDescent="0.25">
      <c r="A1566" s="36">
        <f t="shared" si="92"/>
        <v>53</v>
      </c>
    </row>
    <row r="1567" spans="1:1" x14ac:dyDescent="0.25">
      <c r="A1567" s="36">
        <f t="shared" si="92"/>
        <v>53</v>
      </c>
    </row>
    <row r="1568" spans="1:1" x14ac:dyDescent="0.25">
      <c r="A1568" s="36">
        <f t="shared" si="92"/>
        <v>53</v>
      </c>
    </row>
    <row r="1569" spans="1:1" x14ac:dyDescent="0.25">
      <c r="A1569" s="36">
        <f t="shared" si="92"/>
        <v>53</v>
      </c>
    </row>
    <row r="1570" spans="1:1" x14ac:dyDescent="0.25">
      <c r="A1570" s="36">
        <f t="shared" si="92"/>
        <v>53</v>
      </c>
    </row>
    <row r="1571" spans="1:1" x14ac:dyDescent="0.25">
      <c r="A1571" s="36">
        <f t="shared" si="92"/>
        <v>53</v>
      </c>
    </row>
    <row r="1572" spans="1:1" x14ac:dyDescent="0.25">
      <c r="A1572" s="36">
        <f t="shared" si="92"/>
        <v>53</v>
      </c>
    </row>
    <row r="1573" spans="1:1" x14ac:dyDescent="0.25">
      <c r="A1573" s="36">
        <f t="shared" si="92"/>
        <v>53</v>
      </c>
    </row>
    <row r="1574" spans="1:1" x14ac:dyDescent="0.25">
      <c r="A1574" s="36">
        <f t="shared" si="92"/>
        <v>53</v>
      </c>
    </row>
    <row r="1575" spans="1:1" x14ac:dyDescent="0.25">
      <c r="A1575" s="36">
        <f t="shared" si="92"/>
        <v>53</v>
      </c>
    </row>
    <row r="1576" spans="1:1" x14ac:dyDescent="0.25">
      <c r="A1576" s="36">
        <f t="shared" si="92"/>
        <v>53</v>
      </c>
    </row>
    <row r="1577" spans="1:1" x14ac:dyDescent="0.25">
      <c r="A1577" s="36">
        <f t="shared" si="92"/>
        <v>53</v>
      </c>
    </row>
    <row r="1578" spans="1:1" x14ac:dyDescent="0.25">
      <c r="A1578" s="36">
        <f t="shared" si="92"/>
        <v>53</v>
      </c>
    </row>
    <row r="1579" spans="1:1" x14ac:dyDescent="0.25">
      <c r="A1579" s="36">
        <f t="shared" si="92"/>
        <v>53</v>
      </c>
    </row>
    <row r="1580" spans="1:1" x14ac:dyDescent="0.25">
      <c r="A1580" s="36">
        <f t="shared" si="92"/>
        <v>53</v>
      </c>
    </row>
    <row r="1581" spans="1:1" x14ac:dyDescent="0.25">
      <c r="A1581" s="36">
        <f t="shared" si="92"/>
        <v>53</v>
      </c>
    </row>
    <row r="1582" spans="1:1" x14ac:dyDescent="0.25">
      <c r="A1582" s="36">
        <f t="shared" si="92"/>
        <v>53</v>
      </c>
    </row>
    <row r="1583" spans="1:1" x14ac:dyDescent="0.25">
      <c r="A1583" s="36">
        <f t="shared" si="92"/>
        <v>53</v>
      </c>
    </row>
    <row r="1584" spans="1:1" x14ac:dyDescent="0.25">
      <c r="A1584" s="36">
        <f t="shared" si="92"/>
        <v>53</v>
      </c>
    </row>
    <row r="1585" spans="1:1" x14ac:dyDescent="0.25">
      <c r="A1585" s="36">
        <f t="shared" si="92"/>
        <v>53</v>
      </c>
    </row>
    <row r="1586" spans="1:1" x14ac:dyDescent="0.25">
      <c r="A1586" s="36">
        <f t="shared" si="92"/>
        <v>53</v>
      </c>
    </row>
    <row r="1587" spans="1:1" x14ac:dyDescent="0.25">
      <c r="A1587" s="36">
        <f t="shared" si="92"/>
        <v>53</v>
      </c>
    </row>
    <row r="1588" spans="1:1" x14ac:dyDescent="0.25">
      <c r="A1588" s="36">
        <f t="shared" si="92"/>
        <v>53</v>
      </c>
    </row>
    <row r="1589" spans="1:1" x14ac:dyDescent="0.25">
      <c r="A1589" s="36">
        <f t="shared" si="92"/>
        <v>53</v>
      </c>
    </row>
    <row r="1590" spans="1:1" x14ac:dyDescent="0.25">
      <c r="A1590" s="36">
        <f t="shared" si="92"/>
        <v>53</v>
      </c>
    </row>
    <row r="1591" spans="1:1" x14ac:dyDescent="0.25">
      <c r="A1591" s="36">
        <f t="shared" si="92"/>
        <v>53</v>
      </c>
    </row>
    <row r="1592" spans="1:1" x14ac:dyDescent="0.25">
      <c r="A1592" s="36">
        <f t="shared" si="92"/>
        <v>53</v>
      </c>
    </row>
    <row r="1593" spans="1:1" x14ac:dyDescent="0.25">
      <c r="A1593" s="36">
        <f t="shared" si="92"/>
        <v>53</v>
      </c>
    </row>
    <row r="1594" spans="1:1" x14ac:dyDescent="0.25">
      <c r="A1594" s="36">
        <f t="shared" si="92"/>
        <v>53</v>
      </c>
    </row>
    <row r="1595" spans="1:1" x14ac:dyDescent="0.25">
      <c r="A1595" s="36">
        <f t="shared" si="92"/>
        <v>53</v>
      </c>
    </row>
    <row r="1596" spans="1:1" x14ac:dyDescent="0.25">
      <c r="A1596" s="36">
        <f t="shared" si="92"/>
        <v>53</v>
      </c>
    </row>
    <row r="1597" spans="1:1" x14ac:dyDescent="0.25">
      <c r="A1597" s="36">
        <f t="shared" si="92"/>
        <v>53</v>
      </c>
    </row>
    <row r="1598" spans="1:1" x14ac:dyDescent="0.25">
      <c r="A1598" s="36">
        <f t="shared" si="92"/>
        <v>53</v>
      </c>
    </row>
    <row r="1599" spans="1:1" x14ac:dyDescent="0.25">
      <c r="A1599" s="36">
        <f t="shared" si="92"/>
        <v>53</v>
      </c>
    </row>
    <row r="1600" spans="1:1" x14ac:dyDescent="0.25">
      <c r="A1600" s="36">
        <f t="shared" si="92"/>
        <v>53</v>
      </c>
    </row>
    <row r="1601" spans="1:1" x14ac:dyDescent="0.25">
      <c r="A1601" s="36">
        <f t="shared" si="92"/>
        <v>53</v>
      </c>
    </row>
    <row r="1602" spans="1:1" x14ac:dyDescent="0.25">
      <c r="A1602" s="36">
        <f t="shared" si="92"/>
        <v>53</v>
      </c>
    </row>
    <row r="1603" spans="1:1" x14ac:dyDescent="0.25">
      <c r="A1603" s="36">
        <f t="shared" si="92"/>
        <v>53</v>
      </c>
    </row>
    <row r="1604" spans="1:1" x14ac:dyDescent="0.25">
      <c r="A1604" s="36">
        <f t="shared" si="92"/>
        <v>53</v>
      </c>
    </row>
    <row r="1605" spans="1:1" x14ac:dyDescent="0.25">
      <c r="A1605" s="36">
        <f t="shared" ref="A1605:A1668" si="93">IF(B1605=B1604,A1604,A1604+1)</f>
        <v>53</v>
      </c>
    </row>
    <row r="1606" spans="1:1" x14ac:dyDescent="0.25">
      <c r="A1606" s="36">
        <f t="shared" si="93"/>
        <v>53</v>
      </c>
    </row>
    <row r="1607" spans="1:1" x14ac:dyDescent="0.25">
      <c r="A1607" s="36">
        <f t="shared" si="93"/>
        <v>53</v>
      </c>
    </row>
    <row r="1608" spans="1:1" x14ac:dyDescent="0.25">
      <c r="A1608" s="36">
        <f t="shared" si="93"/>
        <v>53</v>
      </c>
    </row>
    <row r="1609" spans="1:1" x14ac:dyDescent="0.25">
      <c r="A1609" s="36">
        <f t="shared" si="93"/>
        <v>53</v>
      </c>
    </row>
    <row r="1610" spans="1:1" x14ac:dyDescent="0.25">
      <c r="A1610" s="36">
        <f t="shared" si="93"/>
        <v>53</v>
      </c>
    </row>
    <row r="1611" spans="1:1" x14ac:dyDescent="0.25">
      <c r="A1611" s="36">
        <f t="shared" si="93"/>
        <v>53</v>
      </c>
    </row>
    <row r="1612" spans="1:1" x14ac:dyDescent="0.25">
      <c r="A1612" s="36">
        <f t="shared" si="93"/>
        <v>53</v>
      </c>
    </row>
    <row r="1613" spans="1:1" x14ac:dyDescent="0.25">
      <c r="A1613" s="36">
        <f t="shared" si="93"/>
        <v>53</v>
      </c>
    </row>
    <row r="1614" spans="1:1" x14ac:dyDescent="0.25">
      <c r="A1614" s="36">
        <f t="shared" si="93"/>
        <v>53</v>
      </c>
    </row>
    <row r="1615" spans="1:1" x14ac:dyDescent="0.25">
      <c r="A1615" s="36">
        <f t="shared" si="93"/>
        <v>53</v>
      </c>
    </row>
    <row r="1616" spans="1:1" x14ac:dyDescent="0.25">
      <c r="A1616" s="36">
        <f t="shared" si="93"/>
        <v>53</v>
      </c>
    </row>
    <row r="1617" spans="1:1" x14ac:dyDescent="0.25">
      <c r="A1617" s="36">
        <f t="shared" si="93"/>
        <v>53</v>
      </c>
    </row>
    <row r="1618" spans="1:1" x14ac:dyDescent="0.25">
      <c r="A1618" s="36">
        <f t="shared" si="93"/>
        <v>53</v>
      </c>
    </row>
    <row r="1619" spans="1:1" x14ac:dyDescent="0.25">
      <c r="A1619" s="36">
        <f t="shared" si="93"/>
        <v>53</v>
      </c>
    </row>
    <row r="1620" spans="1:1" x14ac:dyDescent="0.25">
      <c r="A1620" s="36">
        <f t="shared" si="93"/>
        <v>53</v>
      </c>
    </row>
    <row r="1621" spans="1:1" x14ac:dyDescent="0.25">
      <c r="A1621" s="36">
        <f t="shared" si="93"/>
        <v>53</v>
      </c>
    </row>
    <row r="1622" spans="1:1" x14ac:dyDescent="0.25">
      <c r="A1622" s="36">
        <f t="shared" si="93"/>
        <v>53</v>
      </c>
    </row>
    <row r="1623" spans="1:1" x14ac:dyDescent="0.25">
      <c r="A1623" s="36">
        <f t="shared" si="93"/>
        <v>53</v>
      </c>
    </row>
    <row r="1624" spans="1:1" x14ac:dyDescent="0.25">
      <c r="A1624" s="36">
        <f t="shared" si="93"/>
        <v>53</v>
      </c>
    </row>
    <row r="1625" spans="1:1" x14ac:dyDescent="0.25">
      <c r="A1625" s="36">
        <f t="shared" si="93"/>
        <v>53</v>
      </c>
    </row>
    <row r="1626" spans="1:1" x14ac:dyDescent="0.25">
      <c r="A1626" s="36">
        <f t="shared" si="93"/>
        <v>53</v>
      </c>
    </row>
    <row r="1627" spans="1:1" x14ac:dyDescent="0.25">
      <c r="A1627" s="36">
        <f t="shared" si="93"/>
        <v>53</v>
      </c>
    </row>
    <row r="1628" spans="1:1" x14ac:dyDescent="0.25">
      <c r="A1628" s="36">
        <f t="shared" si="93"/>
        <v>53</v>
      </c>
    </row>
    <row r="1629" spans="1:1" x14ac:dyDescent="0.25">
      <c r="A1629" s="36">
        <f t="shared" si="93"/>
        <v>53</v>
      </c>
    </row>
    <row r="1630" spans="1:1" x14ac:dyDescent="0.25">
      <c r="A1630" s="36">
        <f t="shared" si="93"/>
        <v>53</v>
      </c>
    </row>
    <row r="1631" spans="1:1" x14ac:dyDescent="0.25">
      <c r="A1631" s="36">
        <f t="shared" si="93"/>
        <v>53</v>
      </c>
    </row>
    <row r="1632" spans="1:1" x14ac:dyDescent="0.25">
      <c r="A1632" s="36">
        <f t="shared" si="93"/>
        <v>53</v>
      </c>
    </row>
    <row r="1633" spans="1:1" x14ac:dyDescent="0.25">
      <c r="A1633" s="36">
        <f t="shared" si="93"/>
        <v>53</v>
      </c>
    </row>
    <row r="1634" spans="1:1" x14ac:dyDescent="0.25">
      <c r="A1634" s="36">
        <f t="shared" si="93"/>
        <v>53</v>
      </c>
    </row>
    <row r="1635" spans="1:1" x14ac:dyDescent="0.25">
      <c r="A1635" s="36">
        <f t="shared" si="93"/>
        <v>53</v>
      </c>
    </row>
    <row r="1636" spans="1:1" x14ac:dyDescent="0.25">
      <c r="A1636" s="36">
        <f t="shared" si="93"/>
        <v>53</v>
      </c>
    </row>
    <row r="1637" spans="1:1" x14ac:dyDescent="0.25">
      <c r="A1637" s="36">
        <f t="shared" si="93"/>
        <v>53</v>
      </c>
    </row>
    <row r="1638" spans="1:1" x14ac:dyDescent="0.25">
      <c r="A1638" s="36">
        <f t="shared" si="93"/>
        <v>53</v>
      </c>
    </row>
    <row r="1639" spans="1:1" x14ac:dyDescent="0.25">
      <c r="A1639" s="36">
        <f t="shared" si="93"/>
        <v>53</v>
      </c>
    </row>
    <row r="1640" spans="1:1" x14ac:dyDescent="0.25">
      <c r="A1640" s="36">
        <f t="shared" si="93"/>
        <v>53</v>
      </c>
    </row>
    <row r="1641" spans="1:1" x14ac:dyDescent="0.25">
      <c r="A1641" s="36">
        <f t="shared" si="93"/>
        <v>53</v>
      </c>
    </row>
    <row r="1642" spans="1:1" x14ac:dyDescent="0.25">
      <c r="A1642" s="36">
        <f t="shared" si="93"/>
        <v>53</v>
      </c>
    </row>
    <row r="1643" spans="1:1" x14ac:dyDescent="0.25">
      <c r="A1643" s="36">
        <f t="shared" si="93"/>
        <v>53</v>
      </c>
    </row>
    <row r="1644" spans="1:1" x14ac:dyDescent="0.25">
      <c r="A1644" s="36">
        <f t="shared" si="93"/>
        <v>53</v>
      </c>
    </row>
    <row r="1645" spans="1:1" x14ac:dyDescent="0.25">
      <c r="A1645" s="36">
        <f t="shared" si="93"/>
        <v>53</v>
      </c>
    </row>
    <row r="1646" spans="1:1" x14ac:dyDescent="0.25">
      <c r="A1646" s="36">
        <f t="shared" si="93"/>
        <v>53</v>
      </c>
    </row>
    <row r="1647" spans="1:1" x14ac:dyDescent="0.25">
      <c r="A1647" s="36">
        <f t="shared" si="93"/>
        <v>53</v>
      </c>
    </row>
    <row r="1648" spans="1:1" x14ac:dyDescent="0.25">
      <c r="A1648" s="36">
        <f t="shared" si="93"/>
        <v>53</v>
      </c>
    </row>
    <row r="1649" spans="1:1" x14ac:dyDescent="0.25">
      <c r="A1649" s="36">
        <f t="shared" si="93"/>
        <v>53</v>
      </c>
    </row>
    <row r="1650" spans="1:1" x14ac:dyDescent="0.25">
      <c r="A1650" s="36">
        <f t="shared" si="93"/>
        <v>53</v>
      </c>
    </row>
    <row r="1651" spans="1:1" x14ac:dyDescent="0.25">
      <c r="A1651" s="36">
        <f t="shared" si="93"/>
        <v>53</v>
      </c>
    </row>
    <row r="1652" spans="1:1" x14ac:dyDescent="0.25">
      <c r="A1652" s="36">
        <f t="shared" si="93"/>
        <v>53</v>
      </c>
    </row>
    <row r="1653" spans="1:1" x14ac:dyDescent="0.25">
      <c r="A1653" s="36">
        <f t="shared" si="93"/>
        <v>53</v>
      </c>
    </row>
    <row r="1654" spans="1:1" x14ac:dyDescent="0.25">
      <c r="A1654" s="36">
        <f t="shared" si="93"/>
        <v>53</v>
      </c>
    </row>
    <row r="1655" spans="1:1" x14ac:dyDescent="0.25">
      <c r="A1655" s="36">
        <f t="shared" si="93"/>
        <v>53</v>
      </c>
    </row>
    <row r="1656" spans="1:1" x14ac:dyDescent="0.25">
      <c r="A1656" s="36">
        <f t="shared" si="93"/>
        <v>53</v>
      </c>
    </row>
    <row r="1657" spans="1:1" x14ac:dyDescent="0.25">
      <c r="A1657" s="36">
        <f t="shared" si="93"/>
        <v>53</v>
      </c>
    </row>
    <row r="1658" spans="1:1" x14ac:dyDescent="0.25">
      <c r="A1658" s="36">
        <f t="shared" si="93"/>
        <v>53</v>
      </c>
    </row>
    <row r="1659" spans="1:1" x14ac:dyDescent="0.25">
      <c r="A1659" s="36">
        <f t="shared" si="93"/>
        <v>53</v>
      </c>
    </row>
    <row r="1660" spans="1:1" x14ac:dyDescent="0.25">
      <c r="A1660" s="36">
        <f t="shared" si="93"/>
        <v>53</v>
      </c>
    </row>
    <row r="1661" spans="1:1" x14ac:dyDescent="0.25">
      <c r="A1661" s="36">
        <f t="shared" si="93"/>
        <v>53</v>
      </c>
    </row>
    <row r="1662" spans="1:1" x14ac:dyDescent="0.25">
      <c r="A1662" s="36">
        <f t="shared" si="93"/>
        <v>53</v>
      </c>
    </row>
    <row r="1663" spans="1:1" x14ac:dyDescent="0.25">
      <c r="A1663" s="36">
        <f t="shared" si="93"/>
        <v>53</v>
      </c>
    </row>
    <row r="1664" spans="1:1" x14ac:dyDescent="0.25">
      <c r="A1664" s="36">
        <f t="shared" si="93"/>
        <v>53</v>
      </c>
    </row>
    <row r="1665" spans="1:1" x14ac:dyDescent="0.25">
      <c r="A1665" s="36">
        <f t="shared" si="93"/>
        <v>53</v>
      </c>
    </row>
    <row r="1666" spans="1:1" x14ac:dyDescent="0.25">
      <c r="A1666" s="36">
        <f t="shared" si="93"/>
        <v>53</v>
      </c>
    </row>
    <row r="1667" spans="1:1" x14ac:dyDescent="0.25">
      <c r="A1667" s="36">
        <f t="shared" si="93"/>
        <v>53</v>
      </c>
    </row>
    <row r="1668" spans="1:1" x14ac:dyDescent="0.25">
      <c r="A1668" s="36">
        <f t="shared" si="93"/>
        <v>53</v>
      </c>
    </row>
    <row r="1669" spans="1:1" x14ac:dyDescent="0.25">
      <c r="A1669" s="36">
        <f t="shared" ref="A1669:A1732" si="94">IF(B1669=B1668,A1668,A1668+1)</f>
        <v>53</v>
      </c>
    </row>
    <row r="1670" spans="1:1" x14ac:dyDescent="0.25">
      <c r="A1670" s="36">
        <f t="shared" si="94"/>
        <v>53</v>
      </c>
    </row>
    <row r="1671" spans="1:1" x14ac:dyDescent="0.25">
      <c r="A1671" s="36">
        <f t="shared" si="94"/>
        <v>53</v>
      </c>
    </row>
    <row r="1672" spans="1:1" x14ac:dyDescent="0.25">
      <c r="A1672" s="36">
        <f t="shared" si="94"/>
        <v>53</v>
      </c>
    </row>
    <row r="1673" spans="1:1" x14ac:dyDescent="0.25">
      <c r="A1673" s="36">
        <f t="shared" si="94"/>
        <v>53</v>
      </c>
    </row>
    <row r="1674" spans="1:1" x14ac:dyDescent="0.25">
      <c r="A1674" s="36">
        <f t="shared" si="94"/>
        <v>53</v>
      </c>
    </row>
    <row r="1675" spans="1:1" x14ac:dyDescent="0.25">
      <c r="A1675" s="36">
        <f t="shared" si="94"/>
        <v>53</v>
      </c>
    </row>
    <row r="1676" spans="1:1" x14ac:dyDescent="0.25">
      <c r="A1676" s="36">
        <f t="shared" si="94"/>
        <v>53</v>
      </c>
    </row>
    <row r="1677" spans="1:1" x14ac:dyDescent="0.25">
      <c r="A1677" s="36">
        <f t="shared" si="94"/>
        <v>53</v>
      </c>
    </row>
    <row r="1678" spans="1:1" x14ac:dyDescent="0.25">
      <c r="A1678" s="36">
        <f t="shared" si="94"/>
        <v>53</v>
      </c>
    </row>
    <row r="1679" spans="1:1" x14ac:dyDescent="0.25">
      <c r="A1679" s="36">
        <f t="shared" si="94"/>
        <v>53</v>
      </c>
    </row>
    <row r="1680" spans="1:1" x14ac:dyDescent="0.25">
      <c r="A1680" s="36">
        <f t="shared" si="94"/>
        <v>53</v>
      </c>
    </row>
    <row r="1681" spans="1:1" x14ac:dyDescent="0.25">
      <c r="A1681" s="36">
        <f t="shared" si="94"/>
        <v>53</v>
      </c>
    </row>
    <row r="1682" spans="1:1" x14ac:dyDescent="0.25">
      <c r="A1682" s="36">
        <f t="shared" si="94"/>
        <v>53</v>
      </c>
    </row>
    <row r="1683" spans="1:1" x14ac:dyDescent="0.25">
      <c r="A1683" s="36">
        <f t="shared" si="94"/>
        <v>53</v>
      </c>
    </row>
    <row r="1684" spans="1:1" x14ac:dyDescent="0.25">
      <c r="A1684" s="36">
        <f t="shared" si="94"/>
        <v>53</v>
      </c>
    </row>
    <row r="1685" spans="1:1" x14ac:dyDescent="0.25">
      <c r="A1685" s="36">
        <f t="shared" si="94"/>
        <v>53</v>
      </c>
    </row>
    <row r="1686" spans="1:1" x14ac:dyDescent="0.25">
      <c r="A1686" s="36">
        <f t="shared" si="94"/>
        <v>53</v>
      </c>
    </row>
    <row r="1687" spans="1:1" x14ac:dyDescent="0.25">
      <c r="A1687" s="36">
        <f t="shared" si="94"/>
        <v>53</v>
      </c>
    </row>
    <row r="1688" spans="1:1" x14ac:dyDescent="0.25">
      <c r="A1688" s="36">
        <f t="shared" si="94"/>
        <v>53</v>
      </c>
    </row>
    <row r="1689" spans="1:1" x14ac:dyDescent="0.25">
      <c r="A1689" s="36">
        <f t="shared" si="94"/>
        <v>53</v>
      </c>
    </row>
    <row r="1690" spans="1:1" x14ac:dyDescent="0.25">
      <c r="A1690" s="36">
        <f t="shared" si="94"/>
        <v>53</v>
      </c>
    </row>
    <row r="1691" spans="1:1" x14ac:dyDescent="0.25">
      <c r="A1691" s="36">
        <f t="shared" si="94"/>
        <v>53</v>
      </c>
    </row>
    <row r="1692" spans="1:1" x14ac:dyDescent="0.25">
      <c r="A1692" s="36">
        <f t="shared" si="94"/>
        <v>53</v>
      </c>
    </row>
    <row r="1693" spans="1:1" x14ac:dyDescent="0.25">
      <c r="A1693" s="36">
        <f t="shared" si="94"/>
        <v>53</v>
      </c>
    </row>
    <row r="1694" spans="1:1" x14ac:dyDescent="0.25">
      <c r="A1694" s="36">
        <f t="shared" si="94"/>
        <v>53</v>
      </c>
    </row>
    <row r="1695" spans="1:1" x14ac:dyDescent="0.25">
      <c r="A1695" s="36">
        <f t="shared" si="94"/>
        <v>53</v>
      </c>
    </row>
    <row r="1696" spans="1:1" x14ac:dyDescent="0.25">
      <c r="A1696" s="36">
        <f t="shared" si="94"/>
        <v>53</v>
      </c>
    </row>
    <row r="1697" spans="1:1" x14ac:dyDescent="0.25">
      <c r="A1697" s="36">
        <f t="shared" si="94"/>
        <v>53</v>
      </c>
    </row>
    <row r="1698" spans="1:1" x14ac:dyDescent="0.25">
      <c r="A1698" s="36">
        <f t="shared" si="94"/>
        <v>53</v>
      </c>
    </row>
    <row r="1699" spans="1:1" x14ac:dyDescent="0.25">
      <c r="A1699" s="36">
        <f t="shared" si="94"/>
        <v>53</v>
      </c>
    </row>
    <row r="1700" spans="1:1" x14ac:dyDescent="0.25">
      <c r="A1700" s="36">
        <f t="shared" si="94"/>
        <v>53</v>
      </c>
    </row>
    <row r="1701" spans="1:1" x14ac:dyDescent="0.25">
      <c r="A1701" s="36">
        <f t="shared" si="94"/>
        <v>53</v>
      </c>
    </row>
    <row r="1702" spans="1:1" x14ac:dyDescent="0.25">
      <c r="A1702" s="36">
        <f t="shared" si="94"/>
        <v>53</v>
      </c>
    </row>
    <row r="1703" spans="1:1" x14ac:dyDescent="0.25">
      <c r="A1703" s="36">
        <f t="shared" si="94"/>
        <v>53</v>
      </c>
    </row>
    <row r="1704" spans="1:1" x14ac:dyDescent="0.25">
      <c r="A1704" s="36">
        <f t="shared" si="94"/>
        <v>53</v>
      </c>
    </row>
    <row r="1705" spans="1:1" x14ac:dyDescent="0.25">
      <c r="A1705" s="36">
        <f t="shared" si="94"/>
        <v>53</v>
      </c>
    </row>
    <row r="1706" spans="1:1" x14ac:dyDescent="0.25">
      <c r="A1706" s="36">
        <f t="shared" si="94"/>
        <v>53</v>
      </c>
    </row>
    <row r="1707" spans="1:1" x14ac:dyDescent="0.25">
      <c r="A1707" s="36">
        <f t="shared" si="94"/>
        <v>53</v>
      </c>
    </row>
    <row r="1708" spans="1:1" x14ac:dyDescent="0.25">
      <c r="A1708" s="36">
        <f t="shared" si="94"/>
        <v>53</v>
      </c>
    </row>
    <row r="1709" spans="1:1" x14ac:dyDescent="0.25">
      <c r="A1709" s="36">
        <f t="shared" si="94"/>
        <v>53</v>
      </c>
    </row>
    <row r="1710" spans="1:1" x14ac:dyDescent="0.25">
      <c r="A1710" s="36">
        <f t="shared" si="94"/>
        <v>53</v>
      </c>
    </row>
    <row r="1711" spans="1:1" x14ac:dyDescent="0.25">
      <c r="A1711" s="36">
        <f t="shared" si="94"/>
        <v>53</v>
      </c>
    </row>
    <row r="1712" spans="1:1" x14ac:dyDescent="0.25">
      <c r="A1712" s="36">
        <f t="shared" si="94"/>
        <v>53</v>
      </c>
    </row>
    <row r="1713" spans="1:1" x14ac:dyDescent="0.25">
      <c r="A1713" s="36">
        <f t="shared" si="94"/>
        <v>53</v>
      </c>
    </row>
    <row r="1714" spans="1:1" x14ac:dyDescent="0.25">
      <c r="A1714" s="36">
        <f t="shared" si="94"/>
        <v>53</v>
      </c>
    </row>
    <row r="1715" spans="1:1" x14ac:dyDescent="0.25">
      <c r="A1715" s="36">
        <f t="shared" si="94"/>
        <v>53</v>
      </c>
    </row>
    <row r="1716" spans="1:1" x14ac:dyDescent="0.25">
      <c r="A1716" s="36">
        <f t="shared" si="94"/>
        <v>53</v>
      </c>
    </row>
    <row r="1717" spans="1:1" x14ac:dyDescent="0.25">
      <c r="A1717" s="36">
        <f t="shared" si="94"/>
        <v>53</v>
      </c>
    </row>
    <row r="1718" spans="1:1" x14ac:dyDescent="0.25">
      <c r="A1718" s="36">
        <f t="shared" si="94"/>
        <v>53</v>
      </c>
    </row>
    <row r="1719" spans="1:1" x14ac:dyDescent="0.25">
      <c r="A1719" s="36">
        <f t="shared" si="94"/>
        <v>53</v>
      </c>
    </row>
    <row r="1720" spans="1:1" x14ac:dyDescent="0.25">
      <c r="A1720" s="36">
        <f t="shared" si="94"/>
        <v>53</v>
      </c>
    </row>
    <row r="1721" spans="1:1" x14ac:dyDescent="0.25">
      <c r="A1721" s="36">
        <f t="shared" si="94"/>
        <v>53</v>
      </c>
    </row>
    <row r="1722" spans="1:1" x14ac:dyDescent="0.25">
      <c r="A1722" s="36">
        <f t="shared" si="94"/>
        <v>53</v>
      </c>
    </row>
    <row r="1723" spans="1:1" x14ac:dyDescent="0.25">
      <c r="A1723" s="36">
        <f t="shared" si="94"/>
        <v>53</v>
      </c>
    </row>
    <row r="1724" spans="1:1" x14ac:dyDescent="0.25">
      <c r="A1724" s="36">
        <f t="shared" si="94"/>
        <v>53</v>
      </c>
    </row>
    <row r="1725" spans="1:1" x14ac:dyDescent="0.25">
      <c r="A1725" s="36">
        <f t="shared" si="94"/>
        <v>53</v>
      </c>
    </row>
    <row r="1726" spans="1:1" x14ac:dyDescent="0.25">
      <c r="A1726" s="36">
        <f t="shared" si="94"/>
        <v>53</v>
      </c>
    </row>
    <row r="1727" spans="1:1" x14ac:dyDescent="0.25">
      <c r="A1727" s="36">
        <f t="shared" si="94"/>
        <v>53</v>
      </c>
    </row>
    <row r="1728" spans="1:1" x14ac:dyDescent="0.25">
      <c r="A1728" s="36">
        <f t="shared" si="94"/>
        <v>53</v>
      </c>
    </row>
    <row r="1729" spans="1:1" x14ac:dyDescent="0.25">
      <c r="A1729" s="36">
        <f t="shared" si="94"/>
        <v>53</v>
      </c>
    </row>
    <row r="1730" spans="1:1" x14ac:dyDescent="0.25">
      <c r="A1730" s="36">
        <f t="shared" si="94"/>
        <v>53</v>
      </c>
    </row>
    <row r="1731" spans="1:1" x14ac:dyDescent="0.25">
      <c r="A1731" s="36">
        <f t="shared" si="94"/>
        <v>53</v>
      </c>
    </row>
    <row r="1732" spans="1:1" x14ac:dyDescent="0.25">
      <c r="A1732" s="36">
        <f t="shared" si="94"/>
        <v>53</v>
      </c>
    </row>
    <row r="1733" spans="1:1" x14ac:dyDescent="0.25">
      <c r="A1733" s="36">
        <f t="shared" ref="A1733:A1746" si="95">IF(B1733=B1732,A1732,A1732+1)</f>
        <v>53</v>
      </c>
    </row>
    <row r="1734" spans="1:1" x14ac:dyDescent="0.25">
      <c r="A1734" s="36">
        <f t="shared" si="95"/>
        <v>53</v>
      </c>
    </row>
    <row r="1735" spans="1:1" x14ac:dyDescent="0.25">
      <c r="A1735" s="36">
        <f t="shared" si="95"/>
        <v>53</v>
      </c>
    </row>
    <row r="1736" spans="1:1" x14ac:dyDescent="0.25">
      <c r="A1736" s="36">
        <f t="shared" si="95"/>
        <v>53</v>
      </c>
    </row>
    <row r="1737" spans="1:1" x14ac:dyDescent="0.25">
      <c r="A1737" s="36">
        <f t="shared" si="95"/>
        <v>53</v>
      </c>
    </row>
    <row r="1738" spans="1:1" x14ac:dyDescent="0.25">
      <c r="A1738" s="36">
        <f t="shared" si="95"/>
        <v>53</v>
      </c>
    </row>
    <row r="1739" spans="1:1" x14ac:dyDescent="0.25">
      <c r="A1739" s="36">
        <f t="shared" si="95"/>
        <v>53</v>
      </c>
    </row>
    <row r="1740" spans="1:1" x14ac:dyDescent="0.25">
      <c r="A1740" s="36">
        <f t="shared" si="95"/>
        <v>53</v>
      </c>
    </row>
    <row r="1741" spans="1:1" x14ac:dyDescent="0.25">
      <c r="A1741" s="36">
        <f t="shared" si="95"/>
        <v>53</v>
      </c>
    </row>
    <row r="1742" spans="1:1" x14ac:dyDescent="0.25">
      <c r="A1742" s="36">
        <f t="shared" si="95"/>
        <v>53</v>
      </c>
    </row>
    <row r="1743" spans="1:1" x14ac:dyDescent="0.25">
      <c r="A1743" s="36">
        <f t="shared" si="95"/>
        <v>53</v>
      </c>
    </row>
    <row r="1744" spans="1:1" x14ac:dyDescent="0.25">
      <c r="A1744" s="36">
        <f t="shared" si="95"/>
        <v>53</v>
      </c>
    </row>
    <row r="1745" spans="1:1" x14ac:dyDescent="0.25">
      <c r="A1745" s="36">
        <f t="shared" si="95"/>
        <v>53</v>
      </c>
    </row>
    <row r="1746" spans="1:1" x14ac:dyDescent="0.25">
      <c r="A1746" s="36">
        <f t="shared" si="95"/>
        <v>53</v>
      </c>
    </row>
  </sheetData>
  <mergeCells count="3">
    <mergeCell ref="V3:W3"/>
    <mergeCell ref="X3:Y3"/>
    <mergeCell ref="AC3:AD3"/>
  </mergeCells>
  <conditionalFormatting sqref="I661:I993">
    <cfRule type="expression" dxfId="202" priority="19">
      <formula>IF($I661=0,1,0)</formula>
    </cfRule>
  </conditionalFormatting>
  <conditionalFormatting sqref="V899:V1212">
    <cfRule type="expression" dxfId="201" priority="17">
      <formula>IF(ISNUMBER(CODE($V899)),1,0)</formula>
    </cfRule>
  </conditionalFormatting>
  <conditionalFormatting sqref="W547:W898">
    <cfRule type="expression" dxfId="200" priority="24">
      <formula>IF(ISNUMBER(CODE($W547)),1,0)</formula>
    </cfRule>
  </conditionalFormatting>
  <conditionalFormatting sqref="U899:U1212">
    <cfRule type="expression" dxfId="199" priority="25">
      <formula>IF($J933=0,1,0)</formula>
    </cfRule>
    <cfRule type="expression" dxfId="198" priority="26">
      <formula>IF($J933=0,0,1)</formula>
    </cfRule>
  </conditionalFormatting>
  <conditionalFormatting sqref="B428:R100005 B5:R426">
    <cfRule type="expression" dxfId="197" priority="16">
      <formula>IF($B5=$B4,0,1)</formula>
    </cfRule>
  </conditionalFormatting>
  <conditionalFormatting sqref="U394:X404">
    <cfRule type="expression" dxfId="196" priority="50">
      <formula>IF($M411=0,1,0)</formula>
    </cfRule>
    <cfRule type="expression" dxfId="195" priority="51">
      <formula>IF($M411=0,0,1)</formula>
    </cfRule>
  </conditionalFormatting>
  <conditionalFormatting sqref="X4:Y186 X187:X393">
    <cfRule type="expression" dxfId="194" priority="56">
      <formula>IF(ISNUMBER(CODE($Y4)),1,0)</formula>
    </cfRule>
  </conditionalFormatting>
  <conditionalFormatting sqref="U4:Y4 V5:Y186 V187:X393 U5:U393">
    <cfRule type="expression" dxfId="193" priority="63">
      <formula>IF($U4=0,1,0)</formula>
    </cfRule>
    <cfRule type="expression" dxfId="192" priority="64">
      <formula>IF($U4=0,0,1)</formula>
    </cfRule>
  </conditionalFormatting>
  <conditionalFormatting sqref="AC25:AC34 AC72:AC73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933:L1262">
    <cfRule type="expression" dxfId="191" priority="74">
      <formula>IF($I664=0,1,0)</formula>
    </cfRule>
  </conditionalFormatting>
  <conditionalFormatting sqref="W394:W898">
    <cfRule type="expression" dxfId="190" priority="79">
      <formula>IF($J428=0,0,1)</formula>
    </cfRule>
  </conditionalFormatting>
  <conditionalFormatting sqref="W394:W898">
    <cfRule type="expression" dxfId="189" priority="80">
      <formula>IF($J428=0,1,0)</formula>
    </cfRule>
  </conditionalFormatting>
  <conditionalFormatting sqref="U1213:V1228 V899:V1212">
    <cfRule type="expression" dxfId="188" priority="81">
      <formula>IF($I664=0,1,0)</formula>
    </cfRule>
  </conditionalFormatting>
  <conditionalFormatting sqref="AI3:AI22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W2:AW43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J2:BJ21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W2:BW2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427:R427">
    <cfRule type="expression" dxfId="187" priority="91">
      <formula>IF($B427=$B421,0,1)</formula>
    </cfRule>
  </conditionalFormatting>
  <conditionalFormatting sqref="U405:X898">
    <cfRule type="expression" dxfId="186" priority="95">
      <formula>IF($M427=0,1,0)</formula>
    </cfRule>
    <cfRule type="expression" dxfId="185" priority="96">
      <formula>IF($M427=0,0,1)</formula>
    </cfRule>
  </conditionalFormatting>
  <conditionalFormatting sqref="W394:W546">
    <cfRule type="expression" dxfId="184" priority="98">
      <formula>IF(ISNUMBER(CODE($W394)),1,0)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G48"/>
  <sheetViews>
    <sheetView workbookViewId="0">
      <selection activeCell="DX9" sqref="DX9:DZ10"/>
    </sheetView>
  </sheetViews>
  <sheetFormatPr defaultRowHeight="15" x14ac:dyDescent="0.25"/>
  <cols>
    <col min="2" max="3" width="16.140625" bestFit="1" customWidth="1"/>
    <col min="7" max="7" width="11.5703125" bestFit="1" customWidth="1"/>
    <col min="8" max="8" width="7.140625" bestFit="1" customWidth="1"/>
    <col min="9" max="9" width="10.85546875" hidden="1" customWidth="1"/>
    <col min="10" max="10" width="6" bestFit="1" customWidth="1"/>
    <col min="11" max="11" width="5.5703125" hidden="1" customWidth="1"/>
    <col min="12" max="12" width="6" hidden="1" customWidth="1"/>
    <col min="13" max="13" width="5.5703125" hidden="1" customWidth="1"/>
    <col min="14" max="14" width="6" hidden="1" customWidth="1"/>
    <col min="15" max="15" width="5.5703125" hidden="1" customWidth="1"/>
    <col min="16" max="16" width="6" hidden="1" customWidth="1"/>
    <col min="17" max="23" width="5.5703125" hidden="1" customWidth="1"/>
    <col min="24" max="24" width="25.140625" hidden="1" customWidth="1"/>
    <col min="25" max="26" width="25.5703125" hidden="1" customWidth="1"/>
    <col min="27" max="27" width="26.7109375" hidden="1" customWidth="1"/>
    <col min="28" max="28" width="5.7109375" hidden="1" customWidth="1"/>
    <col min="29" max="29" width="6" hidden="1" customWidth="1"/>
    <col min="30" max="30" width="9" hidden="1" customWidth="1"/>
    <col min="31" max="31" width="9.140625" hidden="1" customWidth="1"/>
    <col min="32" max="32" width="12" hidden="1" customWidth="1"/>
    <col min="33" max="33" width="12.28515625" hidden="1" customWidth="1"/>
    <col min="34" max="34" width="5.5703125" hidden="1" customWidth="1"/>
    <col min="35" max="35" width="6" hidden="1" customWidth="1"/>
    <col min="36" max="36" width="5.5703125" hidden="1" customWidth="1"/>
    <col min="37" max="37" width="6" hidden="1" customWidth="1"/>
    <col min="38" max="38" width="5.5703125" hidden="1" customWidth="1"/>
    <col min="39" max="39" width="6" hidden="1" customWidth="1"/>
    <col min="40" max="46" width="5.5703125" hidden="1" customWidth="1"/>
    <col min="47" max="47" width="25.5703125" hidden="1" customWidth="1"/>
    <col min="48" max="48" width="25.85546875" hidden="1" customWidth="1"/>
    <col min="49" max="49" width="25.7109375" hidden="1" customWidth="1"/>
    <col min="50" max="50" width="27" hidden="1" customWidth="1"/>
    <col min="51" max="51" width="9.140625" hidden="1" customWidth="1"/>
    <col min="52" max="64" width="12" hidden="1" customWidth="1"/>
    <col min="65" max="65" width="17.42578125" hidden="1" customWidth="1"/>
    <col min="66" max="66" width="17.7109375" hidden="1" customWidth="1"/>
    <col min="67" max="67" width="17.5703125" hidden="1" customWidth="1"/>
    <col min="68" max="68" width="18.85546875" hidden="1" customWidth="1"/>
    <col min="69" max="69" width="17.85546875" hidden="1" customWidth="1"/>
    <col min="70" max="70" width="18.140625" hidden="1" customWidth="1"/>
    <col min="71" max="71" width="17.7109375" hidden="1" customWidth="1"/>
    <col min="72" max="72" width="9.5703125" hidden="1" customWidth="1"/>
    <col min="73" max="73" width="9.140625" hidden="1" customWidth="1"/>
    <col min="74" max="74" width="14.85546875" hidden="1" customWidth="1"/>
    <col min="75" max="75" width="11.140625" hidden="1" customWidth="1"/>
    <col min="76" max="76" width="8.85546875" hidden="1" customWidth="1"/>
    <col min="77" max="77" width="10.5703125" hidden="1" customWidth="1"/>
    <col min="78" max="78" width="12.7109375" hidden="1" customWidth="1"/>
    <col min="79" max="79" width="18" hidden="1" customWidth="1"/>
    <col min="80" max="80" width="6.5703125" hidden="1" customWidth="1"/>
    <col min="81" max="81" width="12" hidden="1" customWidth="1"/>
    <col min="82" max="94" width="8.42578125" hidden="1" customWidth="1"/>
    <col min="95" max="95" width="25.5703125" hidden="1" customWidth="1"/>
    <col min="96" max="96" width="25.85546875" hidden="1" customWidth="1"/>
    <col min="97" max="97" width="25.7109375" hidden="1" customWidth="1"/>
    <col min="98" max="98" width="27" hidden="1" customWidth="1"/>
    <col min="99" max="112" width="8.42578125" hidden="1" customWidth="1"/>
    <col min="113" max="113" width="25.140625" hidden="1" customWidth="1"/>
    <col min="114" max="115" width="25.5703125" hidden="1" customWidth="1"/>
    <col min="116" max="116" width="26.7109375" hidden="1" customWidth="1"/>
    <col min="117" max="117" width="8.42578125" hidden="1" customWidth="1"/>
    <col min="118" max="118" width="5.7109375" hidden="1" customWidth="1"/>
    <col min="119" max="119" width="9.28515625" hidden="1" customWidth="1"/>
    <col min="120" max="120" width="9" hidden="1" customWidth="1"/>
    <col min="121" max="121" width="9.85546875" hidden="1" customWidth="1"/>
    <col min="122" max="122" width="10.7109375" hidden="1" customWidth="1"/>
    <col min="123" max="123" width="8.42578125" hidden="1" customWidth="1"/>
    <col min="124" max="124" width="9.140625" bestFit="1" customWidth="1"/>
    <col min="125" max="125" width="9.28515625" bestFit="1" customWidth="1"/>
    <col min="128" max="129" width="32.28515625" customWidth="1"/>
    <col min="130" max="130" width="6.5703125" style="39" bestFit="1" customWidth="1"/>
    <col min="131" max="131" width="22.140625" hidden="1" customWidth="1"/>
    <col min="132" max="132" width="8.42578125" hidden="1" customWidth="1"/>
    <col min="133" max="133" width="5.7109375" hidden="1" customWidth="1"/>
    <col min="134" max="135" width="12" hidden="1" customWidth="1"/>
    <col min="136" max="136" width="18.7109375" hidden="1" customWidth="1"/>
    <col min="137" max="137" width="11.42578125" hidden="1" customWidth="1"/>
    <col min="138" max="139" width="12" hidden="1" customWidth="1"/>
    <col min="140" max="140" width="2" hidden="1" customWidth="1"/>
    <col min="141" max="141" width="21.42578125" hidden="1" customWidth="1"/>
    <col min="142" max="142" width="8.42578125" hidden="1" customWidth="1"/>
    <col min="143" max="144" width="3" hidden="1" customWidth="1"/>
    <col min="145" max="145" width="22.140625" hidden="1" customWidth="1"/>
    <col min="146" max="146" width="12.42578125" hidden="1" customWidth="1"/>
    <col min="147" max="147" width="6.5703125" hidden="1" customWidth="1"/>
    <col min="148" max="148" width="2" hidden="1" customWidth="1"/>
    <col min="149" max="149" width="18.7109375" hidden="1" customWidth="1"/>
    <col min="150" max="150" width="20.42578125" hidden="1" customWidth="1"/>
    <col min="151" max="152" width="2" hidden="1" customWidth="1"/>
    <col min="153" max="153" width="7.7109375" hidden="1" customWidth="1"/>
    <col min="154" max="154" width="2" hidden="1" customWidth="1"/>
    <col min="155" max="155" width="113.5703125" hidden="1" customWidth="1"/>
    <col min="156" max="156" width="135.42578125" hidden="1" customWidth="1"/>
    <col min="157" max="157" width="0" hidden="1" customWidth="1"/>
    <col min="158" max="158" width="113.5703125" hidden="1" customWidth="1"/>
    <col min="159" max="159" width="135.42578125" hidden="1" customWidth="1"/>
    <col min="160" max="160" width="7.7109375" hidden="1" customWidth="1"/>
    <col min="162" max="162" width="13.7109375" bestFit="1" customWidth="1"/>
    <col min="163" max="163" width="6.28515625" bestFit="1" customWidth="1"/>
  </cols>
  <sheetData>
    <row r="1" spans="2:163" x14ac:dyDescent="0.25">
      <c r="K1" s="178" t="s">
        <v>229</v>
      </c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84"/>
      <c r="AH1" s="178" t="s">
        <v>926</v>
      </c>
      <c r="AI1" s="178"/>
      <c r="AJ1" s="178"/>
      <c r="AK1" s="178"/>
      <c r="AL1" s="178"/>
      <c r="AM1" s="178"/>
      <c r="AN1" s="178"/>
      <c r="AO1" s="178"/>
      <c r="AP1" s="178"/>
      <c r="AQ1" s="178"/>
      <c r="AR1" s="178"/>
      <c r="AS1" s="178"/>
      <c r="AT1" s="178"/>
      <c r="AU1" s="178"/>
      <c r="AV1" s="178"/>
      <c r="AW1" s="178"/>
      <c r="AX1" s="178"/>
      <c r="AY1" s="178"/>
      <c r="AZ1" s="178" t="s">
        <v>927</v>
      </c>
      <c r="BA1" s="178"/>
      <c r="BB1" s="178"/>
      <c r="BC1" s="178"/>
      <c r="BD1" s="178"/>
      <c r="BE1" s="178"/>
      <c r="BF1" s="178"/>
      <c r="BG1" s="178"/>
      <c r="BH1" s="178"/>
      <c r="BI1" s="178"/>
      <c r="BJ1" s="178"/>
      <c r="BK1" s="178"/>
      <c r="BL1" s="178"/>
      <c r="BM1" s="178"/>
      <c r="BN1" s="178"/>
      <c r="BO1" s="178"/>
      <c r="BP1" s="178"/>
      <c r="BQ1">
        <v>3</v>
      </c>
      <c r="BR1">
        <v>2</v>
      </c>
      <c r="BS1" s="178" t="s">
        <v>230</v>
      </c>
      <c r="BT1" s="178"/>
      <c r="BU1" s="178"/>
      <c r="BV1" s="178"/>
      <c r="BW1" s="178"/>
      <c r="BX1" s="178"/>
      <c r="BY1" s="178"/>
      <c r="BZ1" s="178"/>
      <c r="CA1" s="178"/>
      <c r="CB1" s="178"/>
      <c r="CC1" s="178"/>
      <c r="CD1" s="178"/>
      <c r="CE1" s="178"/>
      <c r="CF1" s="178"/>
      <c r="CG1" s="178"/>
      <c r="CH1" s="178"/>
      <c r="CI1" s="178"/>
      <c r="CJ1" s="178"/>
      <c r="CK1" s="178"/>
      <c r="CL1" s="178"/>
      <c r="CM1" s="178"/>
      <c r="CN1" s="178"/>
      <c r="CO1" s="178"/>
      <c r="CP1" s="178"/>
      <c r="CQ1" s="178"/>
      <c r="CR1" s="178"/>
      <c r="CS1" s="178"/>
      <c r="CT1" s="178"/>
      <c r="CU1" s="178"/>
      <c r="CV1" s="178"/>
      <c r="CW1" s="178"/>
      <c r="CX1" s="178"/>
      <c r="CY1" s="178"/>
      <c r="CZ1" s="178"/>
      <c r="DA1" s="178"/>
      <c r="DB1" s="178"/>
      <c r="DC1" s="178"/>
      <c r="DD1" s="178"/>
      <c r="DE1" s="178"/>
      <c r="DF1" s="178"/>
      <c r="DG1" s="178"/>
      <c r="DH1" s="178"/>
      <c r="DI1" s="178"/>
      <c r="DJ1" s="178"/>
      <c r="DK1" s="178"/>
      <c r="DL1" s="178"/>
      <c r="DM1" s="178"/>
      <c r="EP1" s="60"/>
      <c r="EV1" s="60"/>
      <c r="EY1" t="e">
        <f ca="1">MAX(EX3:EX48)</f>
        <v>#N/A</v>
      </c>
    </row>
    <row r="2" spans="2:163" ht="15.75" thickBot="1" x14ac:dyDescent="0.3">
      <c r="B2" s="181" t="s">
        <v>766</v>
      </c>
      <c r="C2" s="181"/>
      <c r="D2" s="181"/>
      <c r="E2" s="181"/>
      <c r="F2" s="181"/>
      <c r="G2" s="6" t="s">
        <v>1</v>
      </c>
      <c r="H2" s="6" t="s">
        <v>202</v>
      </c>
      <c r="I2" s="6" t="s">
        <v>1552</v>
      </c>
      <c r="J2" s="6" t="s">
        <v>1553</v>
      </c>
      <c r="K2" s="12" t="s">
        <v>5</v>
      </c>
      <c r="L2" s="12" t="s">
        <v>6</v>
      </c>
      <c r="M2" s="12" t="s">
        <v>8</v>
      </c>
      <c r="N2" s="12" t="s">
        <v>9</v>
      </c>
      <c r="O2" s="12" t="s">
        <v>14</v>
      </c>
      <c r="P2" s="12" t="s">
        <v>15</v>
      </c>
      <c r="Q2" s="12" t="s">
        <v>16</v>
      </c>
      <c r="R2" s="12" t="s">
        <v>17</v>
      </c>
      <c r="S2" s="12" t="s">
        <v>19</v>
      </c>
      <c r="T2" s="12" t="s">
        <v>20</v>
      </c>
      <c r="U2" s="12" t="s">
        <v>21</v>
      </c>
      <c r="V2" s="12" t="s">
        <v>22</v>
      </c>
      <c r="W2" s="12" t="s">
        <v>23</v>
      </c>
      <c r="X2" s="12" t="s">
        <v>70</v>
      </c>
      <c r="Y2" s="12" t="s">
        <v>71</v>
      </c>
      <c r="Z2" s="12" t="s">
        <v>72</v>
      </c>
      <c r="AA2" s="12" t="s">
        <v>73</v>
      </c>
      <c r="AB2" s="12" t="s">
        <v>62</v>
      </c>
      <c r="AC2" s="12" t="s">
        <v>66</v>
      </c>
      <c r="AD2" s="12" t="s">
        <v>928</v>
      </c>
      <c r="AE2" s="12" t="s">
        <v>205</v>
      </c>
      <c r="AF2" s="12" t="s">
        <v>221</v>
      </c>
      <c r="AG2" s="12" t="s">
        <v>1155</v>
      </c>
      <c r="AH2" s="11" t="s">
        <v>5</v>
      </c>
      <c r="AI2" s="11" t="s">
        <v>6</v>
      </c>
      <c r="AJ2" s="11" t="s">
        <v>8</v>
      </c>
      <c r="AK2" s="11" t="s">
        <v>9</v>
      </c>
      <c r="AL2" s="11" t="s">
        <v>14</v>
      </c>
      <c r="AM2" s="11" t="s">
        <v>15</v>
      </c>
      <c r="AN2" s="11" t="s">
        <v>16</v>
      </c>
      <c r="AO2" s="11" t="s">
        <v>17</v>
      </c>
      <c r="AP2" s="11" t="s">
        <v>19</v>
      </c>
      <c r="AQ2" s="11" t="s">
        <v>20</v>
      </c>
      <c r="AR2" s="11" t="s">
        <v>21</v>
      </c>
      <c r="AS2" s="11" t="s">
        <v>22</v>
      </c>
      <c r="AT2" s="11" t="s">
        <v>23</v>
      </c>
      <c r="AU2" s="11" t="s">
        <v>74</v>
      </c>
      <c r="AV2" s="11" t="s">
        <v>75</v>
      </c>
      <c r="AW2" s="11" t="s">
        <v>76</v>
      </c>
      <c r="AX2" s="11" t="s">
        <v>77</v>
      </c>
      <c r="AY2" s="11" t="s">
        <v>205</v>
      </c>
      <c r="AZ2" s="14" t="s">
        <v>5</v>
      </c>
      <c r="BA2" s="14" t="s">
        <v>6</v>
      </c>
      <c r="BB2" s="14" t="s">
        <v>8</v>
      </c>
      <c r="BC2" s="14" t="s">
        <v>9</v>
      </c>
      <c r="BD2" s="14" t="s">
        <v>14</v>
      </c>
      <c r="BE2" s="14" t="s">
        <v>15</v>
      </c>
      <c r="BF2" s="14" t="s">
        <v>16</v>
      </c>
      <c r="BG2" s="14" t="s">
        <v>17</v>
      </c>
      <c r="BH2" s="14" t="s">
        <v>19</v>
      </c>
      <c r="BI2" s="14" t="s">
        <v>20</v>
      </c>
      <c r="BJ2" s="14" t="s">
        <v>21</v>
      </c>
      <c r="BK2" s="14" t="s">
        <v>22</v>
      </c>
      <c r="BL2" s="14" t="s">
        <v>23</v>
      </c>
      <c r="BM2" s="14" t="s">
        <v>206</v>
      </c>
      <c r="BN2" s="14" t="s">
        <v>207</v>
      </c>
      <c r="BO2" s="14" t="s">
        <v>208</v>
      </c>
      <c r="BP2" s="14" t="s">
        <v>209</v>
      </c>
      <c r="BQ2" s="13" t="s">
        <v>210</v>
      </c>
      <c r="BR2" s="13" t="s">
        <v>211</v>
      </c>
      <c r="BS2" s="13" t="s">
        <v>212</v>
      </c>
      <c r="BT2" s="13" t="s">
        <v>213</v>
      </c>
      <c r="BU2" s="13" t="s">
        <v>929</v>
      </c>
      <c r="BV2" s="13" t="s">
        <v>930</v>
      </c>
      <c r="BW2" s="13" t="s">
        <v>214</v>
      </c>
      <c r="BX2" s="13" t="s">
        <v>215</v>
      </c>
      <c r="BY2" s="13" t="s">
        <v>216</v>
      </c>
      <c r="BZ2" s="13" t="s">
        <v>217</v>
      </c>
      <c r="CA2" s="13" t="s">
        <v>767</v>
      </c>
      <c r="CB2" s="13" t="s">
        <v>218</v>
      </c>
      <c r="CC2" s="13" t="s">
        <v>221</v>
      </c>
      <c r="CD2" s="14" t="s">
        <v>5</v>
      </c>
      <c r="CE2" s="14" t="s">
        <v>6</v>
      </c>
      <c r="CF2" s="14" t="s">
        <v>8</v>
      </c>
      <c r="CG2" s="14" t="s">
        <v>9</v>
      </c>
      <c r="CH2" s="14" t="s">
        <v>14</v>
      </c>
      <c r="CI2" s="14" t="s">
        <v>15</v>
      </c>
      <c r="CJ2" s="14" t="s">
        <v>16</v>
      </c>
      <c r="CK2" s="14" t="s">
        <v>17</v>
      </c>
      <c r="CL2" s="14" t="s">
        <v>19</v>
      </c>
      <c r="CM2" s="14" t="s">
        <v>20</v>
      </c>
      <c r="CN2" s="14" t="s">
        <v>21</v>
      </c>
      <c r="CO2" s="14" t="s">
        <v>22</v>
      </c>
      <c r="CP2" s="14" t="s">
        <v>23</v>
      </c>
      <c r="CQ2" s="14" t="s">
        <v>74</v>
      </c>
      <c r="CR2" s="14" t="s">
        <v>75</v>
      </c>
      <c r="CS2" s="14" t="s">
        <v>76</v>
      </c>
      <c r="CT2" s="14" t="s">
        <v>77</v>
      </c>
      <c r="CU2" s="14" t="s">
        <v>200</v>
      </c>
      <c r="CV2" s="15" t="s">
        <v>5</v>
      </c>
      <c r="CW2" s="15" t="s">
        <v>6</v>
      </c>
      <c r="CX2" s="15" t="s">
        <v>8</v>
      </c>
      <c r="CY2" s="15" t="s">
        <v>9</v>
      </c>
      <c r="CZ2" s="15" t="s">
        <v>14</v>
      </c>
      <c r="DA2" s="15" t="s">
        <v>15</v>
      </c>
      <c r="DB2" s="15" t="s">
        <v>16</v>
      </c>
      <c r="DC2" s="15" t="s">
        <v>17</v>
      </c>
      <c r="DD2" s="15" t="s">
        <v>19</v>
      </c>
      <c r="DE2" s="15" t="s">
        <v>20</v>
      </c>
      <c r="DF2" s="15" t="s">
        <v>21</v>
      </c>
      <c r="DG2" s="15" t="s">
        <v>22</v>
      </c>
      <c r="DH2" s="15" t="s">
        <v>23</v>
      </c>
      <c r="DI2" s="15" t="s">
        <v>70</v>
      </c>
      <c r="DJ2" s="15" t="s">
        <v>71</v>
      </c>
      <c r="DK2" s="15" t="s">
        <v>72</v>
      </c>
      <c r="DL2" s="15" t="s">
        <v>73</v>
      </c>
      <c r="DM2" s="15" t="s">
        <v>200</v>
      </c>
      <c r="DN2" t="s">
        <v>222</v>
      </c>
      <c r="DO2" t="s">
        <v>223</v>
      </c>
      <c r="DP2" t="s">
        <v>224</v>
      </c>
      <c r="DQ2" t="s">
        <v>225</v>
      </c>
      <c r="DR2" t="s">
        <v>226</v>
      </c>
      <c r="DS2" t="s">
        <v>227</v>
      </c>
      <c r="DT2" s="18" t="s">
        <v>224</v>
      </c>
      <c r="DU2" s="18" t="s">
        <v>223</v>
      </c>
      <c r="DV2" s="18" t="s">
        <v>228</v>
      </c>
      <c r="EY2" t="e">
        <f ca="1">VLOOKUP(1,$ER$3:$ES$48,2,0)</f>
        <v>#N/A</v>
      </c>
      <c r="EZ2" t="e">
        <f ca="1">VLOOKUP(1,$ER$3:$ET$48,3,0)</f>
        <v>#N/A</v>
      </c>
      <c r="FB2" t="e">
        <f ca="1">VLOOKUP($EY$1,$EX$3:$EZ$48,2,0)</f>
        <v>#N/A</v>
      </c>
      <c r="FC2" t="e">
        <f ca="1">VLOOKUP($EY$1,$EX$3:$EZ$48,3,0)</f>
        <v>#N/A</v>
      </c>
      <c r="FD2" s="3">
        <f ca="1">$EW$3</f>
        <v>100</v>
      </c>
    </row>
    <row r="3" spans="2:163" x14ac:dyDescent="0.25">
      <c r="G3" s="7" t="s">
        <v>170</v>
      </c>
      <c r="H3" s="8"/>
      <c r="I3" s="8">
        <v>217.5</v>
      </c>
      <c r="J3" s="179">
        <f>IF(ISBLANK(G3),"",IF(I3&lt;1,I4,I3))</f>
        <v>217.5</v>
      </c>
      <c r="K3" s="12">
        <f>IF(ISBLANK($G3),"",INDEX(OLook[],MATCH($G3,OLook[Team],0),MATCH(K$2,OLook[#Headers],0)))</f>
        <v>85.8</v>
      </c>
      <c r="L3" s="12">
        <f>IF(ISBLANK($G3),"",INDEX(OLook[],MATCH($G3,OLook[Team],0),MATCH(L$2,OLook[#Headers],0)))</f>
        <v>0.47499999999999998</v>
      </c>
      <c r="M3" s="12">
        <f>IF(ISBLANK($G3),"",INDEX(OLook[],MATCH($G3,OLook[Team],0),MATCH(M$2,OLook[#Headers],0)))</f>
        <v>34.9</v>
      </c>
      <c r="N3" s="12">
        <f>IF(ISBLANK($G3),"",INDEX(OLook[],MATCH($G3,OLook[Team],0),MATCH(N$2,OLook[#Headers],0)))</f>
        <v>0.38300000000000001</v>
      </c>
      <c r="O3" s="12">
        <f>IF(ISBLANK($G3),"",INDEX(OLook[],MATCH($G3,OLook[Team],0),MATCH(O$2,OLook[#Headers],0)))</f>
        <v>23.1</v>
      </c>
      <c r="P3" s="12">
        <f>IF(ISBLANK($G3),"",INDEX(OLook[],MATCH($G3,OLook[Team],0),MATCH(P$2,OLook[#Headers],0)))</f>
        <v>0.77200000000000002</v>
      </c>
      <c r="Q3" s="12">
        <f>IF(ISBLANK($G3),"",INDEX(OLook[],MATCH($G3,OLook[Team],0),MATCH(Q$2,OLook[#Headers],0)))</f>
        <v>9</v>
      </c>
      <c r="R3" s="12">
        <f>IF(ISBLANK($G3),"",INDEX(OLook[],MATCH($G3,OLook[Team],0),MATCH(R$2,OLook[#Headers],0)))</f>
        <v>36.799999999999997</v>
      </c>
      <c r="S3" s="12">
        <f>IF(ISBLANK($G3),"",INDEX(OLook[],MATCH($G3,OLook[Team],0),MATCH(S$2,OLook[#Headers],0)))</f>
        <v>22.5</v>
      </c>
      <c r="T3" s="12">
        <f>IF(ISBLANK($G3),"",INDEX(OLook[],MATCH($G3,OLook[Team],0),MATCH(T$2,OLook[#Headers],0)))</f>
        <v>6</v>
      </c>
      <c r="U3" s="12">
        <f>IF(ISBLANK($G3),"",INDEX(OLook[],MATCH($G3,OLook[Team],0),MATCH(U$2,OLook[#Headers],0)))</f>
        <v>4.0999999999999996</v>
      </c>
      <c r="V3" s="12">
        <f>IF(ISBLANK($G3),"",INDEX(OLook[],MATCH($G3,OLook[Team],0),MATCH(V$2,OLook[#Headers],0)))</f>
        <v>15.1</v>
      </c>
      <c r="W3" s="12">
        <f>IF(ISBLANK($G3),"",INDEX(OLook[],MATCH($G3,OLook[Team],0),MATCH(W$2,OLook[#Headers],0)))</f>
        <v>20.3</v>
      </c>
      <c r="X3" s="12">
        <f>IF(ISBLANK($G3),"",INDEX(OLook[],MATCH($G3,OLook[Team],0),MATCH(X$2,OLook[#Headers],0)))</f>
        <v>0.55200000000000005</v>
      </c>
      <c r="Y3" s="12">
        <f>IF(ISBLANK($G3),"",INDEX(OLook[],MATCH($G3,OLook[Team],0),MATCH(Y$2,OLook[#Headers],0)))</f>
        <v>13.6</v>
      </c>
      <c r="Z3" s="12">
        <f>IF(ISBLANK($G3),"",INDEX(OLook[],MATCH($G3,OLook[Team],0),MATCH(Z$2,OLook[#Headers],0)))</f>
        <v>21.2</v>
      </c>
      <c r="AA3" s="12">
        <f>IF(ISBLANK($G3),"",INDEX(OLook[],MATCH($G3,OLook[Team],0),MATCH(AA$2,OLook[#Headers],0)))</f>
        <v>0.20799999999999999</v>
      </c>
      <c r="AB3" s="12">
        <f>IF(ISBLANK($G3),"",INDEX(OLook[],MATCH($G3,OLook[Team],0),MATCH(AB$2,OLook[#Headers],0)))</f>
        <v>3.19</v>
      </c>
      <c r="AC3" s="12">
        <f>IF(ISBLANK($G3),"",INDEX(OLook[],MATCH($G3,OLook[Team],0),MATCH(AC$2,OLook[#Headers],0)))</f>
        <v>98.4</v>
      </c>
      <c r="AD3" s="12">
        <f>IF(ISBLANK($G3),"",INDEX(OLook[],MATCH($G3,OLook[Team],0),MATCH(AD$2,OLook[#Headers],0)))</f>
        <v>-1.8100000000000165</v>
      </c>
      <c r="AE3" s="12">
        <f>IF(ISBLANK($G3),"",INDEX(OLook[],MATCH($G3,OLook[Team],0),MATCH(AE$2,OLook[#Headers],0)))</f>
        <v>3</v>
      </c>
      <c r="AF3" s="12">
        <f>IF(ISBLANK($G3),"",IF(ISODD(ROW()),INDEX(Scores!$B$2:'Scores'!$N$32,MATCH(G3,Scores!$C$2:$C$32,0),6),INDEX(Scores!$B$2:'Scores'!$N$32,MATCH(G3,Scores!$C$2:$C$32,0),10)))</f>
        <v>10.028574876301557</v>
      </c>
      <c r="AG3" s="12">
        <f ca="1">IF(ISBLANK($G3),"",INDEX(Scores!$B$2:$P$32,MATCH($G3,Scores!$C$2:$C$32,0),MATCH(AG$2,Scores!$B$2:$P$2,0)))</f>
        <v>0</v>
      </c>
      <c r="AH3" s="11">
        <f>IF(ISBLANK($G3),"",INDEX(DLook[],MATCH($G3,DLook[Team],0),MATCH(AH$2,DLook[#Headers],0)))</f>
        <v>90.5</v>
      </c>
      <c r="AI3" s="11">
        <f>IF(ISBLANK($G3),"",INDEX(DLook[],MATCH($G3,DLook[Team],0),MATCH(AI$2,DLook[#Headers],0)))</f>
        <v>0.45200000000000001</v>
      </c>
      <c r="AJ3" s="11">
        <f>IF(ISBLANK($G3),"",INDEX(DLook[],MATCH($G3,DLook[Team],0),MATCH(AJ$2,DLook[#Headers],0)))</f>
        <v>32</v>
      </c>
      <c r="AK3" s="11">
        <f>IF(ISBLANK($G3),"",INDEX(DLook[],MATCH($G3,DLook[Team],0),MATCH(AK$2,DLook[#Headers],0)))</f>
        <v>0.35099999999999998</v>
      </c>
      <c r="AL3" s="11">
        <f>IF(ISBLANK($G3),"",INDEX(DLook[],MATCH($G3,DLook[Team],0),MATCH(AL$2,DLook[#Headers],0)))</f>
        <v>21.2</v>
      </c>
      <c r="AM3" s="11">
        <f>IF(ISBLANK($G3),"",INDEX(DLook[],MATCH($G3,DLook[Team],0),MATCH(AM$2,DLook[#Headers],0)))</f>
        <v>0.76900000000000002</v>
      </c>
      <c r="AN3" s="11">
        <f>IF(ISBLANK($G3),"",INDEX(DLook[],MATCH($G3,DLook[Team],0),MATCH(AN$2,DLook[#Headers],0)))</f>
        <v>9.8000000000000007</v>
      </c>
      <c r="AO3" s="11">
        <f>IF(ISBLANK($G3),"",INDEX(DLook[],MATCH($G3,DLook[Team],0),MATCH(AO$2,DLook[#Headers],0)))</f>
        <v>33.4</v>
      </c>
      <c r="AP3" s="11">
        <f>IF(ISBLANK($G3),"",INDEX(DLook[],MATCH($G3,DLook[Team],0),MATCH(AP$2,DLook[#Headers],0)))</f>
        <v>21.5</v>
      </c>
      <c r="AQ3" s="11">
        <f>IF(ISBLANK($G3),"",INDEX(DLook[],MATCH($G3,DLook[Team],0),MATCH(AQ$2,DLook[#Headers],0)))</f>
        <v>7.9</v>
      </c>
      <c r="AR3" s="11">
        <f>IF(ISBLANK($G3),"",INDEX(DLook[],MATCH($G3,DLook[Team],0),MATCH(AR$2,DLook[#Headers],0)))</f>
        <v>4.5999999999999996</v>
      </c>
      <c r="AS3" s="11">
        <f>IF(ISBLANK($G3),"",INDEX(DLook[],MATCH($G3,DLook[Team],0),MATCH(AS$2,DLook[#Headers],0)))</f>
        <v>12.2</v>
      </c>
      <c r="AT3" s="11">
        <f>IF(ISBLANK($G3),"",INDEX(DLook[],MATCH($G3,DLook[Team],0),MATCH(AT$2,DLook[#Headers],0)))</f>
        <v>20.9</v>
      </c>
      <c r="AU3" s="11">
        <f>IF(ISBLANK($G3),"",INDEX(DLook[],MATCH($G3,DLook[Team],0),MATCH(AU$2,DLook[#Headers],0)))</f>
        <v>0.51400000000000001</v>
      </c>
      <c r="AV3" s="11">
        <f>IF(ISBLANK($G3),"",INDEX(DLook[],MATCH($G3,DLook[Team],0),MATCH(AV$2,DLook[#Headers],0)))</f>
        <v>10.9</v>
      </c>
      <c r="AW3" s="11">
        <f>IF(ISBLANK($G3),"",INDEX(DLook[],MATCH($G3,DLook[Team],0),MATCH(AW$2,DLook[#Headers],0)))</f>
        <v>79</v>
      </c>
      <c r="AX3" s="11">
        <f>IF(ISBLANK($G3),"",INDEX(DLook[],MATCH($G3,DLook[Team],0),MATCH(AX$2,DLook[#Headers],0)))</f>
        <v>0.18</v>
      </c>
      <c r="AY3" s="11">
        <f>IF(ISBLANK($G3),"",INDEX(DLook[],MATCH($G3,DLook[Team],0),MATCH(AY$2,DLook[#Headers],0)))</f>
        <v>5</v>
      </c>
      <c r="AZ3" s="14">
        <f t="shared" ref="AZ3:AZ32" si="0">IF(ISBLANK($G3),"",IF(ISODD(ROW()),(K3*$AE3+AH4*$AY4)/($AE3+$AY4),(K3*$AE3+AH2*$AY2)/($AE3+$AY2)))</f>
        <v>88.8</v>
      </c>
      <c r="BA3" s="14">
        <f t="shared" ref="BA3:BA32" si="1">IF(ISBLANK($G3),"",IF(ISODD(ROW()),(L3*$AE3+AI4*$AY4)/($AE3+$AY4),(L3*$AE3+AI2*$AY2)/($AE3+$AY2)))</f>
        <v>0.46312500000000001</v>
      </c>
      <c r="BB3" s="14">
        <f t="shared" ref="BB3:BB32" si="2">IF(ISBLANK($G3),"",IF(ISODD(ROW()),(M3*$AE3+AJ4*$AY4)/($AE3+$AY4),(M3*$AE3+AJ2*$AY2)/($AE3+$AY2)))</f>
        <v>33.962499999999999</v>
      </c>
      <c r="BC3" s="14">
        <f t="shared" ref="BC3:BC32" si="3">IF(ISBLANK($G3),"",IF(ISODD(ROW()),(N3*$AE3+AK4*$AY4)/($AE3+$AY4),(N3*$AE3+AK2*$AY2)/($AE3+$AY2)))</f>
        <v>0.35862499999999997</v>
      </c>
      <c r="BD3" s="14">
        <f t="shared" ref="BD3:BD32" si="4">IF(ISBLANK($G3),"",IF(ISODD(ROW()),(O3*$AE3+AL4*$AY4)/($AE3+$AY4),(O3*$AE3+AL2*$AY2)/($AE3+$AY2)))</f>
        <v>20.350000000000001</v>
      </c>
      <c r="BE3" s="14">
        <f t="shared" ref="BE3:BE32" si="5">IF(ISBLANK($G3),"",IF(ISODD(ROW()),(P3*$AE3+AM4*$AY4)/($AE3+$AY4),(P3*$AE3+AM2*$AY2)/($AE3+$AY2)))</f>
        <v>0.78637500000000005</v>
      </c>
      <c r="BF3" s="14">
        <f t="shared" ref="BF3:BF32" si="6">IF(ISBLANK($G3),"",IF(ISODD(ROW()),(Q3*$AE3+AN4*$AY4)/($AE3+$AY4),(Q3*$AE3+AN2*$AY2)/($AE3+$AY2)))</f>
        <v>9.9375</v>
      </c>
      <c r="BG3" s="14">
        <f t="shared" ref="BG3:BG32" si="7">IF(ISBLANK($G3),"",IF(ISODD(ROW()),(R3*$AE3+AO4*$AY4)/($AE3+$AY4),(R3*$AE3+AO2*$AY2)/($AE3+$AY2)))</f>
        <v>35.174999999999997</v>
      </c>
      <c r="BH3" s="14">
        <f t="shared" ref="BH3:BH32" si="8">IF(ISBLANK($G3),"",IF(ISODD(ROW()),(S3*$AE3+AP4*$AY4)/($AE3+$AY4),(S3*$AE3+AP2*$AY2)/($AE3+$AY2)))</f>
        <v>22.9375</v>
      </c>
      <c r="BI3" s="14">
        <f t="shared" ref="BI3:BI32" si="9">IF(ISBLANK($G3),"",IF(ISODD(ROW()),(T3*$AE3+AQ4*$AY4)/($AE3+$AY4),(T3*$AE3+AQ2*$AY2)/($AE3+$AY2)))</f>
        <v>6.5</v>
      </c>
      <c r="BJ3" s="14">
        <f t="shared" ref="BJ3:BJ32" si="10">IF(ISBLANK($G3),"",IF(ISODD(ROW()),(U3*$AE3+AR4*$AY4)/($AE3+$AY4),(U3*$AE3+AR2*$AY2)/($AE3+$AY2)))</f>
        <v>4.0999999999999996</v>
      </c>
      <c r="BK3" s="14">
        <f t="shared" ref="BK3:BK32" si="11">IF(ISBLANK($G3),"",IF(ISODD(ROW()),(V3*$AE3+AS4*$AY4)/($AE3+$AY4),(V3*$AE3+AS2*$AY2)/($AE3+$AY2)))</f>
        <v>14.475</v>
      </c>
      <c r="BL3" s="14">
        <f t="shared" ref="BL3:BL32" si="12">IF(ISBLANK($G3),"",IF(ISODD(ROW()),(W3*$AE3+AT4*$AY4)/($AE3+$AY4),(W3*$AE3+AT2*$AY2)/($AE3+$AY2)))</f>
        <v>21.987500000000001</v>
      </c>
      <c r="BM3" s="14">
        <f t="shared" ref="BM3:BM32" si="13">IF(ISBLANK($G3),"",IF(ISODD(ROW()),(X3*$AE3+AU4*$AY4)/($AE3+$AY4),(X3*$AE3+AU2*$AY2)/($AE3+$AY2)))</f>
        <v>0.53200000000000003</v>
      </c>
      <c r="BN3" s="14">
        <f t="shared" ref="BN3:BN32" si="14">IF(ISBLANK($G3),"",IF(ISODD(ROW()),(Y3*$AE3+AV4*$AY4)/($AE3+$AY4),(Y3*$AE3+AV2*$AY2)/($AE3+$AY2)))</f>
        <v>12.85</v>
      </c>
      <c r="BO3" s="14">
        <f t="shared" ref="BO3:BO32" si="15">IF(ISBLANK($G3),"",IF(ISODD(ROW()),(Z3*$AE3+AW4*$AY4)/($AE3+$AY4),(Z3*$AE3+AW2*$AY2)/($AE3+$AY2)))</f>
        <v>55.95</v>
      </c>
      <c r="BP3" s="14">
        <f t="shared" ref="BP3:BP32" si="16">IF(ISBLANK($G3),"",IF(ISODD(ROW()),(AA3*$AE3+AX4*$AY4)/($AE3+$AY4),(AA3*$AE3+AX2*$AY2)/($AE3+$AY2)))</f>
        <v>0.18049999999999999</v>
      </c>
      <c r="BQ3" s="13">
        <f t="shared" ref="BQ3:BQ32" si="17">IF(ISBLANK($G3),"",SUMPRODUCT(AZ3:BP3,$CV$3:$DL$3)+$DM$3)</f>
        <v>117.2764499853962</v>
      </c>
      <c r="BR3" s="13">
        <f t="shared" ref="BR3:BR32" si="18">IF(ISBLANK($G3),"",IF(ISODD(ROW()),SUMPRODUCT(AZ4:BP4,$CD$3:$CT$3)+$CU$3,SUMPRODUCT(AZ2:BP2,$CD$3:$CT$3)+$CU$3))</f>
        <v>107.74566003841713</v>
      </c>
      <c r="BS3" s="13">
        <f t="shared" ref="BS3:BS32" si="19">IF(ISBLANK($G3),"",IF(ISODD(ROW()),(BQ3*$BQ$1+BR4*$BR$1)/SUM($BQ$1:$BR$1),(BQ3*$BQ$1+BR2*$BR$1)/SUM($BQ$1:$BR$1)))</f>
        <v>113.63785869077238</v>
      </c>
      <c r="BT3" s="13">
        <f t="shared" ref="BT3:BT32" si="20">IF(ISBLANK($G3),"",IF(ISODD(ROW()),(AC3*2+AC4*2)/4,(AC3*2+AC2*2)/4))</f>
        <v>98.5</v>
      </c>
      <c r="BU3" s="13">
        <f>IF(ISBLANK($G3),"",IF(ISODD(ROW()),(AD3*2+AD4*3)/5,(AD3*3+AD2*2)/5))</f>
        <v>-1.6900000000000233</v>
      </c>
      <c r="BV3" s="13">
        <f>IF(ISBLANK($G3),"",BT3*(1+(BU3/100)))</f>
        <v>96.835349999999977</v>
      </c>
      <c r="BW3" s="13">
        <f>IF(ISBLANK($G3),"",BS3*BV3/100)</f>
        <v>110.04161819571482</v>
      </c>
      <c r="BX3" s="13">
        <f t="shared" ref="BX3:BX32" si="21">IF(ISBLANK($G3),"",IF(ISODD(ROW()),AB3-AB4,AB3-AB2))</f>
        <v>0.41000000000000014</v>
      </c>
      <c r="BY3" s="13">
        <f>IF(ISBLANK($G3),"",IF(ISODD(ROW()),BW3-BW4,BW3-BW2))</f>
        <v>5.5031486424468312E-2</v>
      </c>
      <c r="BZ3" s="13">
        <f>IFERROR(IF(BX3&gt;0,BX3^0.9,-1*(-1*BX3)^0.9),"")</f>
        <v>0.44823469662140958</v>
      </c>
      <c r="CA3" s="13">
        <f>IF(ISBLANK(B3),0,INDEX(Advanced_Table[],MATCH(B3,Advanced_Table[Player],0),MATCH("Scaled VORP",Advanced_Table[#Headers],0)))+IF(ISBLANK(C3),0,INDEX(Advanced_Table[],MATCH(C3,Advanced_Table[Player],0),MATCH("Scaled VORP",Advanced_Table[#Headers],0)))+IF(ISBLANK(D3),0,INDEX(Advanced_Table[],MATCH(D3,Advanced_Table[Player],0),MATCH("Scaled VORP",Advanced_Table[#Headers],0)))+IF(ISBLANK(E3),0,INDEX(Advanced_Table[],MATCH(E3,Advanced_Table[Player],0),MATCH("Scaled VORP",Advanced_Table[#Headers],0)))+IF(ISBLANK(F3),0,INDEX(Advanced_Table[],MATCH(F3,Advanced_Table[Player],0),MATCH("Scaled VORP",Advanced_Table[#Headers],0)))</f>
        <v>0</v>
      </c>
      <c r="CB3" s="13">
        <f ca="1">IFERROR(BW3-CA3+BZ3/2+0.05*BW3*AG3,"")</f>
        <v>110.26573554402552</v>
      </c>
      <c r="CC3" s="13">
        <f t="shared" ref="CC3:CC32" si="22">IF(ISBLANK(G3),"",IF(ISODD(ROW()),SQRT(AF3^2+AF4^2),SQRT(AF3^2+AF2^2)))</f>
        <v>14.153009000422239</v>
      </c>
      <c r="CD3" s="14">
        <f>INDEX(Defense!$AB$3:$BA$8,2,MATCH(CD$2,Defense!$AB$3:$BA$3,0))</f>
        <v>1.1881973445510248</v>
      </c>
      <c r="CE3" s="14">
        <f>INDEX(Defense!$AB$3:$BA$8,2,MATCH(CE$2,Defense!$AB$3:$BA$3,0))</f>
        <v>20.37695032952751</v>
      </c>
      <c r="CF3" s="14">
        <f>INDEX(Defense!$AB$3:$BA$8,2,MATCH(CF$2,Defense!$AB$3:$BA$3,0))</f>
        <v>3.8108594084794688E-2</v>
      </c>
      <c r="CG3" s="14">
        <f>INDEX(Defense!$AB$3:$BA$8,2,MATCH(CG$2,Defense!$AB$3:$BA$3,0))</f>
        <v>0.82665533501354516</v>
      </c>
      <c r="CH3" s="14">
        <f>INDEX(Defense!$AB$3:$BA$8,2,MATCH(CH$2,Defense!$AB$3:$BA$3,0))</f>
        <v>0.96847375256109303</v>
      </c>
      <c r="CI3" s="14">
        <f>INDEX(Defense!$AB$3:$BA$8,2,MATCH(CI$2,Defense!$AB$3:$BA$3,0))</f>
        <v>24.899423599851655</v>
      </c>
      <c r="CJ3" s="14">
        <f>INDEX(Defense!$AB$3:$BA$8,2,MATCH(CJ$2,Defense!$AB$3:$BA$3,0))</f>
        <v>4.3333160259283868E-2</v>
      </c>
      <c r="CK3" s="14">
        <f>INDEX(Defense!$AB$3:$BA$8,2,MATCH(CK$2,Defense!$AB$3:$BA$3,0))</f>
        <v>4.3643719755598418E-3</v>
      </c>
      <c r="CL3" s="14">
        <f>INDEX(Defense!$AB$3:$BA$8,2,MATCH(CL$2,Defense!$AB$3:$BA$3,0))</f>
        <v>3.3980730825493605E-2</v>
      </c>
      <c r="CM3" s="14">
        <f>INDEX(Defense!$AB$3:$BA$8,2,MATCH(CM$2,Defense!$AB$3:$BA$3,0))</f>
        <v>2.2130116153199469E-2</v>
      </c>
      <c r="CN3" s="14">
        <f>INDEX(Defense!$AB$3:$BA$8,2,MATCH(CN$2,Defense!$AB$3:$BA$3,0))</f>
        <v>1.5770727592026978E-2</v>
      </c>
      <c r="CO3" s="14">
        <f>INDEX(Defense!$AB$3:$BA$8,2,MATCH(CO$2,Defense!$AB$3:$BA$3,0))</f>
        <v>3.4820867870809513E-2</v>
      </c>
      <c r="CP3" s="14">
        <f>INDEX(Defense!$AB$3:$BA$8,2,MATCH(CP$2,Defense!$AB$3:$BA$3,0))</f>
        <v>-8.5450857094943424E-4</v>
      </c>
      <c r="CQ3" s="14">
        <f>INDEX(Defense!$AB$3:$BA$8,2,MATCH(CQ$2,Defense!$AB$3:$BA$3,0))</f>
        <v>160.75587555196628</v>
      </c>
      <c r="CR3" s="14">
        <f>INDEX(Defense!$AB$3:$BA$8,2,MATCH(CR$2,Defense!$AB$3:$BA$3,0))</f>
        <v>0.15454953937048871</v>
      </c>
      <c r="CS3" s="14">
        <f>INDEX(Defense!$AB$3:$BA$8,2,MATCH(CS$2,Defense!$AB$3:$BA$3,0))</f>
        <v>0.10198746342122103</v>
      </c>
      <c r="CT3" s="14">
        <f>INDEX(Defense!$AB$3:$BA$8,2,MATCH(CT$2,Defense!$AB$3:$BA$3,0))</f>
        <v>-13.759669623776899</v>
      </c>
      <c r="CU3" s="14">
        <f>INDEX(Defense!$AB$3:$BA$8,2,MATCH(CU$2,Defense!$AB$3:$BA$3,0))</f>
        <v>-140.43646301959095</v>
      </c>
      <c r="CV3" s="15">
        <f>INDEX(Offense!$AB$3:$BA$8,2,MATCH(CV$2,Offense!$AB$3:$BA$3,0))</f>
        <v>0.94854285448896025</v>
      </c>
      <c r="CW3" s="15">
        <f>INDEX(Offense!$AB$3:$BA$8,2,MATCH(CW$2,Offense!$AB$3:$BA$3,0))</f>
        <v>85.640824181858136</v>
      </c>
      <c r="CX3" s="15">
        <f>INDEX(Offense!$AB$3:$BA$8,2,MATCH(CX$2,Offense!$AB$3:$BA$3,0))</f>
        <v>0.18969054669932336</v>
      </c>
      <c r="CY3" s="15">
        <f>INDEX(Offense!$AB$3:$BA$8,2,MATCH(CY$2,Offense!$AB$3:$BA$3,0))</f>
        <v>15.281981293875587</v>
      </c>
      <c r="CZ3" s="15">
        <f>INDEX(Offense!$AB$3:$BA$8,2,MATCH(CZ$2,Offense!$AB$3:$BA$3,0))</f>
        <v>8.6824407438745616E-2</v>
      </c>
      <c r="DA3" s="15">
        <f>INDEX(Offense!$AB$3:$BA$8,2,MATCH(DA$2,Offense!$AB$3:$BA$3,0))</f>
        <v>5.4421042890783919</v>
      </c>
      <c r="DB3" s="15">
        <f>INDEX(Offense!$AB$3:$BA$8,2,MATCH(DB$2,Offense!$AB$3:$BA$3,0))</f>
        <v>-0.20243279756818017</v>
      </c>
      <c r="DC3" s="15">
        <f>INDEX(Offense!$AB$3:$BA$8,2,MATCH(DC$2,Offense!$AB$3:$BA$3,0))</f>
        <v>-1.5058230699739127E-2</v>
      </c>
      <c r="DD3" s="15">
        <f>INDEX(Offense!$AB$3:$BA$8,2,MATCH(DD$2,Offense!$AB$3:$BA$3,0))</f>
        <v>1.816205347682766E-4</v>
      </c>
      <c r="DE3" s="15">
        <f>INDEX(Offense!$AB$3:$BA$8,2,MATCH(DE$2,Offense!$AB$3:$BA$3,0))</f>
        <v>-3.5192292427553826E-2</v>
      </c>
      <c r="DF3" s="15">
        <f>INDEX(Offense!$AB$3:$BA$8,2,MATCH(DF$2,Offense!$AB$3:$BA$3,0))</f>
        <v>-5.4876472195541252E-2</v>
      </c>
      <c r="DG3" s="15">
        <f>INDEX(Offense!$AB$3:$BA$8,2,MATCH(DG$2,Offense!$AB$3:$BA$3,0))</f>
        <v>9.8474663700154286E-2</v>
      </c>
      <c r="DH3" s="15">
        <f>INDEX(Offense!$AB$3:$BA$8,2,MATCH(DH$2,Offense!$AB$3:$BA$3,0))</f>
        <v>1.3645952114017732E-3</v>
      </c>
      <c r="DI3" s="15">
        <f>INDEX(Offense!$AB$3:$BA$8,2,MATCH(DI$2,Offense!$AB$3:$BA$3,0))</f>
        <v>84.693499827495899</v>
      </c>
      <c r="DJ3" s="15">
        <f>INDEX(Offense!$AB$3:$BA$8,2,MATCH(DJ$2,Offense!$AB$3:$BA$3,0))</f>
        <v>-0.41522539338692127</v>
      </c>
      <c r="DK3" s="15">
        <f>INDEX(Offense!$AB$3:$BA$8,2,MATCH(DK$2,Offense!$AB$3:$BA$3,0))</f>
        <v>0.19885166787903463</v>
      </c>
      <c r="DL3" s="15">
        <f>INDEX(Offense!$AB$3:$BA$8,2,MATCH(DL$2,Offense!$AB$3:$BA$3,0))</f>
        <v>65.336144739305752</v>
      </c>
      <c r="DM3" s="15">
        <f>INDEX(Offense!$AB$3:$BA$8,2,MATCH(DM$2,Offense!$AB$3:$BA$3,0))</f>
        <v>-85.690558012232202</v>
      </c>
      <c r="DN3">
        <f t="shared" ref="DN3:DN32" si="23">IF(ISODD(ROW()),IF(ISBLANK(H3),H4*-1,H3),IF(ISBLANK(H3),H2*-1,H3))</f>
        <v>2</v>
      </c>
      <c r="DO3">
        <f t="shared" ref="DO3:DO32" ca="1" si="24">IFERROR(IF(ISODD(ROW()),CB4-CB3,CB2-CB3),"")</f>
        <v>-0.50326618304586646</v>
      </c>
      <c r="DP3">
        <f t="shared" ref="DP3:DP32" ca="1" si="25">IFERROR(IF(ISODD(ROW()),_xlfn.NORM.DIST(CB3-CB4,0,CC3,1),1-DP2),"")</f>
        <v>0.51418298084975733</v>
      </c>
      <c r="DQ3" t="e">
        <f>IF(#REF!=0,"",ROUND(IF(#REF!&lt;0,#REF!/(#REF!-100),1/(#REF!/100+1)),2))</f>
        <v>#REF!</v>
      </c>
      <c r="DR3">
        <f t="shared" ref="DR3:DR32" ca="1" si="26">IFERROR(_xlfn.NORM.DIST(DN3,DO3,CC3,1),"")</f>
        <v>0.57019539980692935</v>
      </c>
      <c r="DS3">
        <f t="shared" ref="DS3:DS32" ca="1" si="27">IF(ISODD(ROW()),_xlfn.NORM.DIST(DV3,J3,SQRT(CC3^2+CC4^2),1),1-DS2)</f>
        <v>0.54970021066907959</v>
      </c>
      <c r="DT3" s="58">
        <f ca="1">DP3</f>
        <v>0.51418298084975733</v>
      </c>
      <c r="DU3" s="16">
        <f ca="1">IFERROR(ROUND(ROUND(DO3*2,0)/2,1),"")</f>
        <v>-0.5</v>
      </c>
      <c r="DV3" s="176">
        <f ca="1">IFERROR(IF(ISODD(ROW()),ROUND(CB3+CB4,0),ROUND(CB3+CB2,0)),"")</f>
        <v>220</v>
      </c>
      <c r="DX3" s="79" t="str">
        <f t="shared" ref="DX3:DX32" ca="1" si="28">IFERROR(VLOOKUP(ROW(F1),$EN$3:$EQ$50,2,0),"")</f>
        <v>Jazz @ Thunder</v>
      </c>
      <c r="DY3" s="79" t="str">
        <f t="shared" ref="DY3:DY32" ca="1" si="29">IFERROR(VLOOKUP(ROW(F1),$EN$3:$EQ$50,3,0),"")</f>
        <v>Jazz +2</v>
      </c>
      <c r="DZ3" s="39">
        <f t="shared" ref="DZ3:DZ32" ca="1" si="30">IFERROR(VLOOKUP(ROW(F1),$EN$3:$EQ$50,4,0),"")</f>
        <v>0.57019539980692935</v>
      </c>
      <c r="EA3" t="str">
        <f ca="1">IF(ISNUMBER(CODE(EB3)),IF(ISODD(ROW()),$G3&amp;" @ "&amp;$G4,$G2&amp;" @ "&amp;$G3),"")</f>
        <v>Jazz @ Thunder</v>
      </c>
      <c r="EB3" t="str">
        <f t="shared" ref="EB3:EB33" ca="1" si="31">IF(ISBLANK(G3),"",IF(DR3&gt;$FG$4,G3,""))</f>
        <v>Jazz</v>
      </c>
      <c r="EC3" t="str">
        <f ca="1">IF(ISNUMBER(CODE(EB3)),IF(DN3&lt;0,DN3,"+"&amp;DN3),"")</f>
        <v>+2</v>
      </c>
      <c r="ED3">
        <f ca="1">IF(ISNUMBER(CODE(EB3)),DR3,"")</f>
        <v>0.57019539980692935</v>
      </c>
      <c r="EE3">
        <f t="shared" ref="EE3:EE33" ca="1" si="32">IF(ISNUMBER(CODE(ED3)),ED3/SUM($ED$3:$ED$32)*$FG$3*COUNTIF($ED$3:$ED$32,"&gt;"&amp;$FG$4),"")</f>
        <v>19.364408878010465</v>
      </c>
      <c r="EF3" t="str">
        <f ca="1">IF(ISNUMBER(CODE(EG3)),IF(ISODD(ROW()),$G3&amp;" @ "&amp;$G4,$G2&amp;" @ "&amp;$G3),"")</f>
        <v>Jazz @ Thunder</v>
      </c>
      <c r="EG3" t="str">
        <f t="shared" ref="EG3:EG33" ca="1" si="33">IF(ISBLANK(G3),"",IF(ISODD(ROW()),IF(DS3&gt;$FG$5,"Over "&amp;J3,""),IF(DS3&gt;$FG$5,"Under "&amp;J2,"")))</f>
        <v>Over 217.5</v>
      </c>
      <c r="EH3">
        <f ca="1">IF(ISNUMBER(CODE(EF3)),DS3,"")</f>
        <v>0.54970021066907959</v>
      </c>
      <c r="EI3">
        <f t="shared" ref="EI3:EI33" ca="1" si="34">IF(ISNUMBER(CODE(EH3)),EH3/SUM($EH$3:$EH$32)*$FG$3*COUNTIF($EH$3:$EH$32,"&gt;"&amp;$FG$4),"")</f>
        <v>19.460796125020224</v>
      </c>
      <c r="EJ3">
        <f>IF(ISNUMBER(CODE(EK3)),EJ2+1,EJ2)</f>
        <v>0</v>
      </c>
      <c r="EK3" t="str">
        <f>IF(ISNUMBER(CODE(EL3)),IF(ISODD(ROW()),$G3&amp;" @ "&amp;$G4,$G2&amp;" @ "&amp;$G3),"")</f>
        <v/>
      </c>
      <c r="EL3" t="e">
        <f>IF(ISBLANK(G3),"",IF(DQ3&lt;0.5,IF(DP3&gt;0.5*$FG$7,G3&amp;" Moneyline (+"&amp;#REF!&amp;")",""),IF(DP3&gt;$FG$6*DQ3,G3&amp;" Moneyline ("&amp;#REF!&amp;")","")))</f>
        <v>#REF!</v>
      </c>
      <c r="EN3">
        <f ca="1">IF($FG$8="no",IF(ISNUMBER(CODE(EP3)),EN2+1,EN2),1)</f>
        <v>1</v>
      </c>
      <c r="EO3" t="str">
        <f t="shared" ref="EO3:EO48" si="35">IF($FG$8="No",IF(ISODD(ROW()),$G3&amp;" @ "&amp;$G4,EO2),FB2)</f>
        <v>Jazz @ Thunder</v>
      </c>
      <c r="EP3" t="str">
        <f ca="1">IF($FG$8="No",IFERROR(IF(ISODD(ROW()),VLOOKUP(EO3,$EA$3:$EC$33,2,0)&amp;" "&amp;VLOOKUP(EO3,$EA$3:$EC$33,3,0),VLOOKUP(EO3,$EF$3:$EG$33,2,0)),""),FC2)</f>
        <v>Jazz +2</v>
      </c>
      <c r="EQ3" s="19">
        <f ca="1">IF($FG$8="No",IFERROR(IF(ISODD(ROW()),VLOOKUP(EO3,$EA$3:$EE$33,4,0),VLOOKUP(EO3,$EF$3:$EI$33,3,0)),""),TEXT(FD2,"#"))</f>
        <v>0.57019539980692935</v>
      </c>
      <c r="ER3">
        <f ca="1">IF(ISNUMBER(CODE(ES3)),ER2+1,ER2)</f>
        <v>0</v>
      </c>
      <c r="ES3" s="19" t="str">
        <f ca="1">IF(ISNUMBER(CODE(ET3)),IF(ISODD(ROW()),$G3&amp;" @ "&amp;$G4,$G2&amp;" @ "&amp;$G3),"")</f>
        <v/>
      </c>
      <c r="ET3" s="19" t="str">
        <f ca="1">IF(ISBLANK(G3),"",IF(DT3&gt;0.625,G3&amp;" Moneyline ("&amp;#REF!&amp;")",""))</f>
        <v/>
      </c>
      <c r="EU3" s="1" t="str">
        <f ca="1">IF(ISNUMBER(CODE(ET3)),#REF!,"")</f>
        <v/>
      </c>
      <c r="EV3" s="1" t="str">
        <f ca="1">IF(ISNUMBER(CODE(EU3)),IF(EU3&lt;0,-100/EU3+1,EU3/100+1),"")</f>
        <v/>
      </c>
      <c r="EW3" s="3">
        <f ca="1">ROUND(IF(PRODUCT(EV4:EV48)-1&gt;1,(PRODUCT(EV4:EV48)-1)*100,-100/(PRODUCT(EV4:EV48)-1)),0)</f>
        <v>100</v>
      </c>
      <c r="EX3" s="1" t="e">
        <f ca="1">IF(EY3&lt;&gt;EY2,EX2+1,EX2)</f>
        <v>#N/A</v>
      </c>
      <c r="EY3" s="1" t="e">
        <f ca="1">IF(ER3=ER2,EY2,IF(ER3&gt;1,EY2&amp;CHAR(10)&amp;ES3,EY2))</f>
        <v>#N/A</v>
      </c>
      <c r="EZ3" s="3" t="e">
        <f ca="1">IF(ER3=ER2,EZ2,IF(ER3&gt;1,EZ2&amp;CHAR(10)&amp;ET3,EZ2))</f>
        <v>#N/A</v>
      </c>
      <c r="FA3" s="19"/>
      <c r="FB3" s="19"/>
      <c r="FC3" s="19"/>
      <c r="FD3" s="19"/>
      <c r="FE3" s="19"/>
      <c r="FF3" s="20" t="s">
        <v>231</v>
      </c>
      <c r="FG3" s="21">
        <v>20</v>
      </c>
    </row>
    <row r="4" spans="2:163" ht="15.75" thickBot="1" x14ac:dyDescent="0.3">
      <c r="G4" s="9" t="s">
        <v>187</v>
      </c>
      <c r="H4" s="10">
        <v>-2</v>
      </c>
      <c r="I4" s="10"/>
      <c r="J4" s="180">
        <f>IF(H4&lt;1,H5,H4)</f>
        <v>-2.5</v>
      </c>
      <c r="K4" s="12">
        <f>IF(ISBLANK($G4),"",INDEX(OLook[],MATCH($G4,OLook[Team],0),MATCH(K$2,OLook[#Headers],0)))</f>
        <v>85.8</v>
      </c>
      <c r="L4" s="12">
        <f>IF(ISBLANK($G4),"",INDEX(OLook[],MATCH($G4,OLook[Team],0),MATCH(L$2,OLook[#Headers],0)))</f>
        <v>0.47299999999999998</v>
      </c>
      <c r="M4" s="12">
        <f>IF(ISBLANK($G4),"",INDEX(OLook[],MATCH($G4,OLook[Team],0),MATCH(M$2,OLook[#Headers],0)))</f>
        <v>29.6</v>
      </c>
      <c r="N4" s="12">
        <f>IF(ISBLANK($G4),"",INDEX(OLook[],MATCH($G4,OLook[Team],0),MATCH(N$2,OLook[#Headers],0)))</f>
        <v>0.35499999999999998</v>
      </c>
      <c r="O4" s="12">
        <f>IF(ISBLANK($G4),"",INDEX(OLook[],MATCH($G4,OLook[Team],0),MATCH(O$2,OLook[#Headers],0)))</f>
        <v>25</v>
      </c>
      <c r="P4" s="12">
        <f>IF(ISBLANK($G4),"",INDEX(OLook[],MATCH($G4,OLook[Team],0),MATCH(P$2,OLook[#Headers],0)))</f>
        <v>0.79700000000000004</v>
      </c>
      <c r="Q4" s="12">
        <f>IF(ISBLANK($G4),"",INDEX(OLook[],MATCH($G4,OLook[Team],0),MATCH(Q$2,OLook[#Headers],0)))</f>
        <v>8.1</v>
      </c>
      <c r="R4" s="12">
        <f>IF(ISBLANK($G4),"",INDEX(OLook[],MATCH($G4,OLook[Team],0),MATCH(R$2,OLook[#Headers],0)))</f>
        <v>34.799999999999997</v>
      </c>
      <c r="S4" s="12">
        <f>IF(ISBLANK($G4),"",INDEX(OLook[],MATCH($G4,OLook[Team],0),MATCH(S$2,OLook[#Headers],0)))</f>
        <v>22</v>
      </c>
      <c r="T4" s="12">
        <f>IF(ISBLANK($G4),"",INDEX(OLook[],MATCH($G4,OLook[Team],0),MATCH(T$2,OLook[#Headers],0)))</f>
        <v>7.7</v>
      </c>
      <c r="U4" s="12">
        <f>IF(ISBLANK($G4),"",INDEX(OLook[],MATCH($G4,OLook[Team],0),MATCH(U$2,OLook[#Headers],0)))</f>
        <v>5.0999999999999996</v>
      </c>
      <c r="V4" s="12">
        <f>IF(ISBLANK($G4),"",INDEX(OLook[],MATCH($G4,OLook[Team],0),MATCH(V$2,OLook[#Headers],0)))</f>
        <v>13.6</v>
      </c>
      <c r="W4" s="12">
        <f>IF(ISBLANK($G4),"",INDEX(OLook[],MATCH($G4,OLook[Team],0),MATCH(W$2,OLook[#Headers],0)))</f>
        <v>19</v>
      </c>
      <c r="X4" s="12">
        <f>IF(ISBLANK($G4),"",INDEX(OLook[],MATCH($G4,OLook[Team],0),MATCH(X$2,OLook[#Headers],0)))</f>
        <v>0.53400000000000003</v>
      </c>
      <c r="Y4" s="12">
        <f>IF(ISBLANK($G4),"",INDEX(OLook[],MATCH($G4,OLook[Team],0),MATCH(Y$2,OLook[#Headers],0)))</f>
        <v>12.3</v>
      </c>
      <c r="Z4" s="12">
        <f>IF(ISBLANK($G4),"",INDEX(OLook[],MATCH($G4,OLook[Team],0),MATCH(Z$2,OLook[#Headers],0)))</f>
        <v>19.2</v>
      </c>
      <c r="AA4" s="12">
        <f>IF(ISBLANK($G4),"",INDEX(OLook[],MATCH($G4,OLook[Team],0),MATCH(AA$2,OLook[#Headers],0)))</f>
        <v>0.23300000000000001</v>
      </c>
      <c r="AB4" s="12">
        <f>IF(ISBLANK($G4),"",INDEX(OLook[],MATCH($G4,OLook[Team],0),MATCH(AB$2,OLook[#Headers],0)))</f>
        <v>2.78</v>
      </c>
      <c r="AC4" s="12">
        <f>IF(ISBLANK($G4),"",INDEX(OLook[],MATCH($G4,OLook[Team],0),MATCH(AC$2,OLook[#Headers],0)))</f>
        <v>98.6</v>
      </c>
      <c r="AD4" s="12">
        <f>IF(ISBLANK($G4),"",INDEX(OLook[],MATCH($G4,OLook[Team],0),MATCH(AD$2,OLook[#Headers],0)))</f>
        <v>-1.6100000000000279</v>
      </c>
      <c r="AE4" s="12">
        <f>IF(ISBLANK($G4),"",INDEX(OLook[],MATCH($G4,OLook[Team],0),MATCH(AE$2,OLook[#Headers],0)))</f>
        <v>3</v>
      </c>
      <c r="AF4" s="12">
        <f>IF(ISBLANK($G4),"",IF(ISODD(ROW()),INDEX(Scores!$B$2:'Scores'!$N$32,MATCH(G4,Scores!$C$2:$C$32,0),6),INDEX(Scores!$B$2:'Scores'!$N$32,MATCH(G4,Scores!$C$2:$C$32,0),10)))</f>
        <v>9.9867587192465077</v>
      </c>
      <c r="AG4" s="12">
        <f ca="1">IF(ISBLANK($G4),"",INDEX(Scores!$B$2:$P$32,MATCH($G4,Scores!$C$2:$C$32,0),MATCH(AG$2,Scores!$B$2:$P$2,0)))</f>
        <v>0</v>
      </c>
      <c r="AH4" s="11">
        <f>IF(ISBLANK($G4),"",INDEX(DLook[],MATCH($G4,DLook[Team],0),MATCH(AH$2,DLook[#Headers],0)))</f>
        <v>90.6</v>
      </c>
      <c r="AI4" s="11">
        <f>IF(ISBLANK($G4),"",INDEX(DLook[],MATCH($G4,DLook[Team],0),MATCH(AI$2,DLook[#Headers],0)))</f>
        <v>0.45600000000000002</v>
      </c>
      <c r="AJ4" s="11">
        <f>IF(ISBLANK($G4),"",INDEX(DLook[],MATCH($G4,DLook[Team],0),MATCH(AJ$2,DLook[#Headers],0)))</f>
        <v>33.4</v>
      </c>
      <c r="AK4" s="11">
        <f>IF(ISBLANK($G4),"",INDEX(DLook[],MATCH($G4,DLook[Team],0),MATCH(AK$2,DLook[#Headers],0)))</f>
        <v>0.34399999999999997</v>
      </c>
      <c r="AL4" s="11">
        <f>IF(ISBLANK($G4),"",INDEX(DLook[],MATCH($G4,DLook[Team],0),MATCH(AL$2,DLook[#Headers],0)))</f>
        <v>18.7</v>
      </c>
      <c r="AM4" s="11">
        <f>IF(ISBLANK($G4),"",INDEX(DLook[],MATCH($G4,DLook[Team],0),MATCH(AM$2,DLook[#Headers],0)))</f>
        <v>0.79500000000000004</v>
      </c>
      <c r="AN4" s="11">
        <f>IF(ISBLANK($G4),"",INDEX(DLook[],MATCH($G4,DLook[Team],0),MATCH(AN$2,DLook[#Headers],0)))</f>
        <v>10.5</v>
      </c>
      <c r="AO4" s="11">
        <f>IF(ISBLANK($G4),"",INDEX(DLook[],MATCH($G4,DLook[Team],0),MATCH(AO$2,DLook[#Headers],0)))</f>
        <v>34.200000000000003</v>
      </c>
      <c r="AP4" s="11">
        <f>IF(ISBLANK($G4),"",INDEX(DLook[],MATCH($G4,DLook[Team],0),MATCH(AP$2,DLook[#Headers],0)))</f>
        <v>23.2</v>
      </c>
      <c r="AQ4" s="11">
        <f>IF(ISBLANK($G4),"",INDEX(DLook[],MATCH($G4,DLook[Team],0),MATCH(AQ$2,DLook[#Headers],0)))</f>
        <v>6.8</v>
      </c>
      <c r="AR4" s="11">
        <f>IF(ISBLANK($G4),"",INDEX(DLook[],MATCH($G4,DLook[Team],0),MATCH(AR$2,DLook[#Headers],0)))</f>
        <v>4.0999999999999996</v>
      </c>
      <c r="AS4" s="11">
        <f>IF(ISBLANK($G4),"",INDEX(DLook[],MATCH($G4,DLook[Team],0),MATCH(AS$2,DLook[#Headers],0)))</f>
        <v>14.1</v>
      </c>
      <c r="AT4" s="11">
        <f>IF(ISBLANK($G4),"",INDEX(DLook[],MATCH($G4,DLook[Team],0),MATCH(AT$2,DLook[#Headers],0)))</f>
        <v>23</v>
      </c>
      <c r="AU4" s="11">
        <f>IF(ISBLANK($G4),"",INDEX(DLook[],MATCH($G4,DLook[Team],0),MATCH(AU$2,DLook[#Headers],0)))</f>
        <v>0.52</v>
      </c>
      <c r="AV4" s="11">
        <f>IF(ISBLANK($G4),"",INDEX(DLook[],MATCH($G4,DLook[Team],0),MATCH(AV$2,DLook[#Headers],0)))</f>
        <v>12.4</v>
      </c>
      <c r="AW4" s="11">
        <f>IF(ISBLANK($G4),"",INDEX(DLook[],MATCH($G4,DLook[Team],0),MATCH(AW$2,DLook[#Headers],0)))</f>
        <v>76.8</v>
      </c>
      <c r="AX4" s="11">
        <f>IF(ISBLANK($G4),"",INDEX(DLook[],MATCH($G4,DLook[Team],0),MATCH(AX$2,DLook[#Headers],0)))</f>
        <v>0.16400000000000001</v>
      </c>
      <c r="AY4" s="11">
        <f>IF(ISBLANK($G4),"",INDEX(DLook[],MATCH($G4,DLook[Team],0),MATCH(AY$2,DLook[#Headers],0)))</f>
        <v>5</v>
      </c>
      <c r="AZ4" s="14">
        <f t="shared" si="0"/>
        <v>88.737499999999997</v>
      </c>
      <c r="BA4" s="14">
        <f t="shared" si="1"/>
        <v>0.45987500000000003</v>
      </c>
      <c r="BB4" s="14">
        <f t="shared" si="2"/>
        <v>31.1</v>
      </c>
      <c r="BC4" s="14">
        <f t="shared" si="3"/>
        <v>0.35249999999999998</v>
      </c>
      <c r="BD4" s="14">
        <f t="shared" si="4"/>
        <v>22.625</v>
      </c>
      <c r="BE4" s="14">
        <f t="shared" si="5"/>
        <v>0.77950000000000008</v>
      </c>
      <c r="BF4" s="14">
        <f t="shared" si="6"/>
        <v>9.1624999999999996</v>
      </c>
      <c r="BG4" s="14">
        <f t="shared" si="7"/>
        <v>33.924999999999997</v>
      </c>
      <c r="BH4" s="14">
        <f t="shared" si="8"/>
        <v>21.6875</v>
      </c>
      <c r="BI4" s="14">
        <f t="shared" si="9"/>
        <v>7.8250000000000002</v>
      </c>
      <c r="BJ4" s="14">
        <f t="shared" si="10"/>
        <v>4.7874999999999996</v>
      </c>
      <c r="BK4" s="14">
        <f t="shared" si="11"/>
        <v>12.725</v>
      </c>
      <c r="BL4" s="14">
        <f t="shared" si="12"/>
        <v>20.1875</v>
      </c>
      <c r="BM4" s="14">
        <f t="shared" si="13"/>
        <v>0.52150000000000007</v>
      </c>
      <c r="BN4" s="14">
        <f t="shared" si="14"/>
        <v>11.425000000000001</v>
      </c>
      <c r="BO4" s="14">
        <f t="shared" si="15"/>
        <v>56.575000000000003</v>
      </c>
      <c r="BP4" s="14">
        <f t="shared" si="16"/>
        <v>0.199875</v>
      </c>
      <c r="BQ4" s="13">
        <f t="shared" si="17"/>
        <v>117.47127453298449</v>
      </c>
      <c r="BR4" s="13">
        <f t="shared" si="18"/>
        <v>108.17997174883661</v>
      </c>
      <c r="BS4" s="13">
        <f t="shared" si="19"/>
        <v>113.58102873515755</v>
      </c>
      <c r="BT4" s="13">
        <f t="shared" si="20"/>
        <v>98.5</v>
      </c>
      <c r="BU4" s="13">
        <f t="shared" ref="BU4:BU32" si="36">IF(ISBLANK($G4),"",IF(ISODD(ROW()),(AD4*2+AD5*3)/5,(AD4*3+AD3*2)/5))</f>
        <v>-1.6900000000000233</v>
      </c>
      <c r="BV4" s="13">
        <f t="shared" ref="BV4:BV32" si="37">IF(ISBLANK($G4),"",BT4*(1+(BU4/100)))</f>
        <v>96.835349999999977</v>
      </c>
      <c r="BW4" s="13">
        <f>IF(ISBLANK($G4),"",BS4*BV4/100)</f>
        <v>109.98658670929035</v>
      </c>
      <c r="BX4" s="13">
        <f t="shared" si="21"/>
        <v>-0.41000000000000014</v>
      </c>
      <c r="BY4" s="13">
        <f t="shared" ref="BY4:BY32" si="38">IF(ISBLANK($G4),"",IF(ISODD(ROW()),BW4-BW5,BW4-BW3))</f>
        <v>-5.5031486424468312E-2</v>
      </c>
      <c r="BZ4" s="13">
        <f t="shared" ref="BZ4:BZ32" si="39">IFERROR(IF(BX4&gt;0,BX4^0.9,-1*(-1*BX4)^0.9),"")</f>
        <v>-0.44823469662140958</v>
      </c>
      <c r="CA4" s="13">
        <f>IF(ISBLANK(B4),0,INDEX(Advanced_Table[],MATCH(B4,Advanced_Table[Player],0),MATCH("Scaled VORP",Advanced_Table[#Headers],0)))+IF(ISBLANK(C4),0,INDEX(Advanced_Table[],MATCH(C4,Advanced_Table[Player],0),MATCH("Scaled VORP",Advanced_Table[#Headers],0)))+IF(ISBLANK(D4),0,INDEX(Advanced_Table[],MATCH(D4,Advanced_Table[Player],0),MATCH("Scaled VORP",Advanced_Table[#Headers],0)))+IF(ISBLANK(E4),0,INDEX(Advanced_Table[],MATCH(E4,Advanced_Table[Player],0),MATCH("Scaled VORP",Advanced_Table[#Headers],0)))+IF(ISBLANK(F4),0,INDEX(Advanced_Table[],MATCH(F4,Advanced_Table[Player],0),MATCH("Scaled VORP",Advanced_Table[#Headers],0)))</f>
        <v>0</v>
      </c>
      <c r="CB4" s="13">
        <f t="shared" ref="CB4:CB32" ca="1" si="40">IFERROR(BW4-CA4+BZ4/2+0.05*BW4*AG4,"")</f>
        <v>109.76246936097965</v>
      </c>
      <c r="CC4" s="13">
        <f t="shared" si="22"/>
        <v>14.153009000422239</v>
      </c>
      <c r="CD4" s="14">
        <f>INDEX(Defense!$AB$3:$BA$8,2,MATCH(CD$2,Defense!$AB$3:$BA$3,0))</f>
        <v>1.1881973445510248</v>
      </c>
      <c r="CE4" s="14">
        <f>INDEX(Defense!$AB$3:$BA$8,2,MATCH(CE$2,Defense!$AB$3:$BA$3,0))</f>
        <v>20.37695032952751</v>
      </c>
      <c r="CF4" s="14">
        <f>INDEX(Defense!$AB$3:$BA$8,2,MATCH(CF$2,Defense!$AB$3:$BA$3,0))</f>
        <v>3.8108594084794688E-2</v>
      </c>
      <c r="CG4" s="14">
        <f>INDEX(Defense!$AB$3:$BA$8,2,MATCH(CG$2,Defense!$AB$3:$BA$3,0))</f>
        <v>0.82665533501354516</v>
      </c>
      <c r="CH4" s="14">
        <f>INDEX(Defense!$AB$3:$BA$8,2,MATCH(CH$2,Defense!$AB$3:$BA$3,0))</f>
        <v>0.96847375256109303</v>
      </c>
      <c r="CI4" s="14">
        <f>INDEX(Defense!$AB$3:$BA$8,2,MATCH(CI$2,Defense!$AB$3:$BA$3,0))</f>
        <v>24.899423599851655</v>
      </c>
      <c r="CJ4" s="14">
        <f>INDEX(Defense!$AB$3:$BA$8,2,MATCH(CJ$2,Defense!$AB$3:$BA$3,0))</f>
        <v>4.3333160259283868E-2</v>
      </c>
      <c r="CK4" s="14">
        <f>INDEX(Defense!$AB$3:$BA$8,2,MATCH(CK$2,Defense!$AB$3:$BA$3,0))</f>
        <v>4.3643719755598418E-3</v>
      </c>
      <c r="CL4" s="14">
        <f>INDEX(Defense!$AB$3:$BA$8,2,MATCH(CL$2,Defense!$AB$3:$BA$3,0))</f>
        <v>3.3980730825493605E-2</v>
      </c>
      <c r="CM4" s="14">
        <f>INDEX(Defense!$AB$3:$BA$8,2,MATCH(CM$2,Defense!$AB$3:$BA$3,0))</f>
        <v>2.2130116153199469E-2</v>
      </c>
      <c r="CN4" s="14">
        <f>INDEX(Defense!$AB$3:$BA$8,2,MATCH(CN$2,Defense!$AB$3:$BA$3,0))</f>
        <v>1.5770727592026978E-2</v>
      </c>
      <c r="CO4" s="14">
        <f>INDEX(Defense!$AB$3:$BA$8,2,MATCH(CO$2,Defense!$AB$3:$BA$3,0))</f>
        <v>3.4820867870809513E-2</v>
      </c>
      <c r="CP4" s="14">
        <f>INDEX(Defense!$AB$3:$BA$8,2,MATCH(CP$2,Defense!$AB$3:$BA$3,0))</f>
        <v>-8.5450857094943424E-4</v>
      </c>
      <c r="CQ4" s="14">
        <f>INDEX(Defense!$AB$3:$BA$8,2,MATCH(CQ$2,Defense!$AB$3:$BA$3,0))</f>
        <v>160.75587555196628</v>
      </c>
      <c r="CR4" s="14">
        <f>INDEX(Defense!$AB$3:$BA$8,2,MATCH(CR$2,Defense!$AB$3:$BA$3,0))</f>
        <v>0.15454953937048871</v>
      </c>
      <c r="CS4" s="14">
        <f>INDEX(Defense!$AB$3:$BA$8,2,MATCH(CS$2,Defense!$AB$3:$BA$3,0))</f>
        <v>0.10198746342122103</v>
      </c>
      <c r="CT4" s="14">
        <f>INDEX(Defense!$AB$3:$BA$8,2,MATCH(CT$2,Defense!$AB$3:$BA$3,0))</f>
        <v>-13.759669623776899</v>
      </c>
      <c r="CU4" s="14">
        <f>INDEX(Defense!$AB$3:$BA$8,2,MATCH(CU$2,Defense!$AB$3:$BA$3,0))</f>
        <v>-140.43646301959095</v>
      </c>
      <c r="CV4" s="15">
        <f>INDEX(Offense!$AB$3:$BA$8,2,MATCH(CV$2,Offense!$AB$3:$BA$3,0))</f>
        <v>0.94854285448896025</v>
      </c>
      <c r="CW4" s="15">
        <f>INDEX(Offense!$AB$3:$BA$8,2,MATCH(CW$2,Offense!$AB$3:$BA$3,0))</f>
        <v>85.640824181858136</v>
      </c>
      <c r="CX4" s="15">
        <f>INDEX(Offense!$AB$3:$BA$8,2,MATCH(CX$2,Offense!$AB$3:$BA$3,0))</f>
        <v>0.18969054669932336</v>
      </c>
      <c r="CY4" s="15">
        <f>INDEX(Offense!$AB$3:$BA$8,2,MATCH(CY$2,Offense!$AB$3:$BA$3,0))</f>
        <v>15.281981293875587</v>
      </c>
      <c r="CZ4" s="15">
        <f>INDEX(Offense!$AB$3:$BA$8,2,MATCH(CZ$2,Offense!$AB$3:$BA$3,0))</f>
        <v>8.6824407438745616E-2</v>
      </c>
      <c r="DA4" s="15">
        <f>INDEX(Offense!$AB$3:$BA$8,2,MATCH(DA$2,Offense!$AB$3:$BA$3,0))</f>
        <v>5.4421042890783919</v>
      </c>
      <c r="DB4" s="15">
        <f>INDEX(Offense!$AB$3:$BA$8,2,MATCH(DB$2,Offense!$AB$3:$BA$3,0))</f>
        <v>-0.20243279756818017</v>
      </c>
      <c r="DC4" s="15">
        <f>INDEX(Offense!$AB$3:$BA$8,2,MATCH(DC$2,Offense!$AB$3:$BA$3,0))</f>
        <v>-1.5058230699739127E-2</v>
      </c>
      <c r="DD4" s="15">
        <f>INDEX(Offense!$AB$3:$BA$8,2,MATCH(DD$2,Offense!$AB$3:$BA$3,0))</f>
        <v>1.816205347682766E-4</v>
      </c>
      <c r="DE4" s="15">
        <f>INDEX(Offense!$AB$3:$BA$8,2,MATCH(DE$2,Offense!$AB$3:$BA$3,0))</f>
        <v>-3.5192292427553826E-2</v>
      </c>
      <c r="DF4" s="15">
        <f>INDEX(Offense!$AB$3:$BA$8,2,MATCH(DF$2,Offense!$AB$3:$BA$3,0))</f>
        <v>-5.4876472195541252E-2</v>
      </c>
      <c r="DG4" s="15">
        <f>INDEX(Offense!$AB$3:$BA$8,2,MATCH(DG$2,Offense!$AB$3:$BA$3,0))</f>
        <v>9.8474663700154286E-2</v>
      </c>
      <c r="DH4" s="15">
        <f>INDEX(Offense!$AB$3:$BA$8,2,MATCH(DH$2,Offense!$AB$3:$BA$3,0))</f>
        <v>1.3645952114017732E-3</v>
      </c>
      <c r="DI4" s="15">
        <f>INDEX(Offense!$AB$3:$BA$8,2,MATCH(DI$2,Offense!$AB$3:$BA$3,0))</f>
        <v>84.693499827495899</v>
      </c>
      <c r="DJ4" s="15">
        <f>INDEX(Offense!$AB$3:$BA$8,2,MATCH(DJ$2,Offense!$AB$3:$BA$3,0))</f>
        <v>-0.41522539338692127</v>
      </c>
      <c r="DK4" s="15">
        <f>INDEX(Offense!$AB$3:$BA$8,2,MATCH(DK$2,Offense!$AB$3:$BA$3,0))</f>
        <v>0.19885166787903463</v>
      </c>
      <c r="DL4" s="15">
        <f>INDEX(Offense!$AB$3:$BA$8,2,MATCH(DL$2,Offense!$AB$3:$BA$3,0))</f>
        <v>65.336144739305752</v>
      </c>
      <c r="DM4" s="15">
        <f>INDEX(Offense!$AB$3:$BA$8,2,MATCH(DM$2,Offense!$AB$3:$BA$3,0))</f>
        <v>-85.690558012232202</v>
      </c>
      <c r="DN4">
        <f t="shared" si="23"/>
        <v>-2</v>
      </c>
      <c r="DO4">
        <f t="shared" ca="1" si="24"/>
        <v>0.50326618304586646</v>
      </c>
      <c r="DP4">
        <f t="shared" ca="1" si="25"/>
        <v>0.48581701915024267</v>
      </c>
      <c r="DQ4" t="e">
        <f>IF(#REF!=0,"",ROUND(IF(#REF!&lt;0,#REF!/(#REF!-100),1/(#REF!/100+1)),2))</f>
        <v>#REF!</v>
      </c>
      <c r="DR4">
        <f t="shared" ca="1" si="26"/>
        <v>0.42980460019307065</v>
      </c>
      <c r="DS4">
        <f t="shared" ca="1" si="27"/>
        <v>0.45029978933092041</v>
      </c>
      <c r="DT4" s="59">
        <f ca="1">DP4</f>
        <v>0.48581701915024267</v>
      </c>
      <c r="DU4" s="17">
        <f t="shared" ref="DU4:DU32" ca="1" si="41">IFERROR(ROUND(ROUND(DO4*2,0)/2,1),"")</f>
        <v>0.5</v>
      </c>
      <c r="DV4" s="177"/>
      <c r="DX4" t="str">
        <f t="shared" ca="1" si="28"/>
        <v>Jazz @ Thunder</v>
      </c>
      <c r="DY4" t="str">
        <f t="shared" ca="1" si="29"/>
        <v>Over 217.5</v>
      </c>
      <c r="DZ4" s="39">
        <f t="shared" ca="1" si="30"/>
        <v>0.54970021066907959</v>
      </c>
      <c r="EA4" t="str">
        <f t="shared" ref="EA4:EA33" ca="1" si="42">IF(ISNUMBER(CODE(EB4)),IF(ISODD(ROW()),$G4&amp;" @ "&amp;$G5,$G3&amp;" @ "&amp;$G4),"")</f>
        <v/>
      </c>
      <c r="EB4" t="str">
        <f t="shared" ca="1" si="31"/>
        <v/>
      </c>
      <c r="EC4" t="str">
        <f t="shared" ref="EC4:EC33" ca="1" si="43">IF(ISNUMBER(CODE(EB4)),IF(DN4&lt;0,DN4,"+"&amp;DN4),"")</f>
        <v/>
      </c>
      <c r="ED4" t="str">
        <f ca="1">IF(ISNUMBER(CODE(EB4)),DR4,"")</f>
        <v/>
      </c>
      <c r="EE4" t="str">
        <f t="shared" ca="1" si="32"/>
        <v/>
      </c>
      <c r="EF4" t="str">
        <f t="shared" ref="EF4:EF33" ca="1" si="44">IF(ISNUMBER(CODE(EG4)),IF(ISODD(ROW()),$G4&amp;" @ "&amp;$G5,$G3&amp;" @ "&amp;$G4),"")</f>
        <v/>
      </c>
      <c r="EG4" t="str">
        <f t="shared" ca="1" si="33"/>
        <v/>
      </c>
      <c r="EH4" t="str">
        <f t="shared" ref="EH4:EH33" ca="1" si="45">IF(ISNUMBER(CODE(EF4)),DS4,"")</f>
        <v/>
      </c>
      <c r="EI4" t="str">
        <f t="shared" ca="1" si="34"/>
        <v/>
      </c>
      <c r="EJ4">
        <f t="shared" ref="EJ4:EJ33" si="46">IF(ISNUMBER(CODE(EK4)),EJ3+1,EJ3)</f>
        <v>0</v>
      </c>
      <c r="EK4" t="str">
        <f t="shared" ref="EK4:EK33" si="47">IF(ISNUMBER(CODE(EL4)),IF(ISODD(ROW()),$G4&amp;" @ "&amp;$G5,$G3&amp;" @ "&amp;$G4),"")</f>
        <v/>
      </c>
      <c r="EL4" t="e">
        <f>IF(ISBLANK(G4),"",IF(DQ4&lt;0.5,IF(DP4&gt;0.5*$FG$7,G4&amp;" Moneyline (+"&amp;#REF!&amp;")",""),IF(DP4&gt;$FG$6*DQ4,G4&amp;" Moneyline ("&amp;#REF!&amp;")","")))</f>
        <v>#REF!</v>
      </c>
      <c r="EN4">
        <f t="shared" ref="EN4:EN48" ca="1" si="48">IF($FG$8="no",IF(ISNUMBER(CODE(EP4)),EN3+1,EN3),1)</f>
        <v>2</v>
      </c>
      <c r="EO4" t="str">
        <f t="shared" si="35"/>
        <v>Jazz @ Thunder</v>
      </c>
      <c r="EP4" t="str">
        <f t="shared" ref="EP4:EP48" ca="1" si="49">IF($FG$8="No",IFERROR(IF(ISODD(ROW()),VLOOKUP(EO4,$EA$3:$EC$33,2,0)&amp;" "&amp;VLOOKUP(EO4,$EA$3:$EC$33,3,0),VLOOKUP(EO4,$EF$3:$EG$33,2,0)),""),FC3)</f>
        <v>Over 217.5</v>
      </c>
      <c r="EQ4" s="19">
        <f t="shared" ref="EQ4:EQ48" ca="1" si="50">IF($FG$8="No",IFERROR(IF(ISODD(ROW()),VLOOKUP(EO4,$EA$3:$EE$33,4,0),VLOOKUP(EO4,$EF$3:$EI$33,3,0)),""),TEXT(FD3,"#"))</f>
        <v>0.54970021066907959</v>
      </c>
      <c r="ER4">
        <f t="shared" ref="ER4:ER48" ca="1" si="51">IF(ISNUMBER(CODE(ES4)),ER3+1,ER3)</f>
        <v>0</v>
      </c>
      <c r="ES4" s="19" t="str">
        <f t="shared" ref="ES4:ES48" ca="1" si="52">IF(ISNUMBER(CODE(ET4)),IF(ISODD(ROW()),$G4&amp;" @ "&amp;$G5,$G3&amp;" @ "&amp;$G4),"")</f>
        <v/>
      </c>
      <c r="ET4" s="19" t="str">
        <f ca="1">IF(ISBLANK(G4),"",IF(DT4&gt;0.625,G4&amp;" Moneyline ("&amp;#REF!&amp;")",""))</f>
        <v/>
      </c>
      <c r="EU4" s="1" t="str">
        <f ca="1">IF(ISNUMBER(CODE(ET4)),#REF!,"")</f>
        <v/>
      </c>
      <c r="EV4" s="1" t="str">
        <f t="shared" ref="EV4:EV48" ca="1" si="53">IF(ISNUMBER(CODE(EU4)),IF(EU4&lt;0,-100/EU4+1,EU4/100+1),"")</f>
        <v/>
      </c>
      <c r="EW4" s="3"/>
      <c r="EX4" s="1" t="e">
        <f t="shared" ref="EX4:EX48" ca="1" si="54">IF(EY4&lt;&gt;EY3,EX3+1,EX3)</f>
        <v>#N/A</v>
      </c>
      <c r="EY4" s="1" t="e">
        <f t="shared" ref="EY4:EY48" ca="1" si="55">IF(ER4=ER3,EY3,IF(ER4&gt;1,EY3&amp;CHAR(10)&amp;ES4,EY3))</f>
        <v>#N/A</v>
      </c>
      <c r="EZ4" s="3" t="e">
        <f t="shared" ref="EZ4:EZ48" ca="1" si="56">IF(ER4=ER3,EZ3,IF(ER4&gt;1,EZ3&amp;CHAR(10)&amp;ET4,EZ3))</f>
        <v>#N/A</v>
      </c>
      <c r="FA4" s="19"/>
      <c r="FB4" s="19"/>
      <c r="FC4" s="19"/>
      <c r="FD4" s="19"/>
      <c r="FE4" s="19"/>
      <c r="FF4" s="20" t="s">
        <v>232</v>
      </c>
      <c r="FG4" s="22">
        <v>0.505</v>
      </c>
    </row>
    <row r="5" spans="2:163" x14ac:dyDescent="0.25">
      <c r="G5" s="7" t="s">
        <v>182</v>
      </c>
      <c r="H5" s="8">
        <v>-2.5</v>
      </c>
      <c r="I5" s="8"/>
      <c r="J5" s="179">
        <f t="shared" ref="J5" si="57">IF(ISBLANK(G5),"",IF(I5&lt;1,I6,I5))</f>
        <v>218</v>
      </c>
      <c r="K5" s="12">
        <f>IF(ISBLANK($G5),"",INDEX(OLook[],MATCH($G5,OLook[Team],0),MATCH(K$2,OLook[#Headers],0)))</f>
        <v>90.7</v>
      </c>
      <c r="L5" s="12">
        <f>IF(ISBLANK($G5),"",INDEX(OLook[],MATCH($G5,OLook[Team],0),MATCH(L$2,OLook[#Headers],0)))</f>
        <v>0.47099999999999997</v>
      </c>
      <c r="M5" s="12">
        <f>IF(ISBLANK($G5),"",INDEX(OLook[],MATCH($G5,OLook[Team],0),MATCH(M$2,OLook[#Headers],0)))</f>
        <v>30.9</v>
      </c>
      <c r="N5" s="12">
        <f>IF(ISBLANK($G5),"",INDEX(OLook[],MATCH($G5,OLook[Team],0),MATCH(N$2,OLook[#Headers],0)))</f>
        <v>0.35799999999999998</v>
      </c>
      <c r="O5" s="12">
        <f>IF(ISBLANK($G5),"",INDEX(OLook[],MATCH($G5,OLook[Team],0),MATCH(O$2,OLook[#Headers],0)))</f>
        <v>21.1</v>
      </c>
      <c r="P5" s="12">
        <f>IF(ISBLANK($G5),"",INDEX(OLook[],MATCH($G5,OLook[Team],0),MATCH(P$2,OLook[#Headers],0)))</f>
        <v>0.77600000000000002</v>
      </c>
      <c r="Q5" s="12">
        <f>IF(ISBLANK($G5),"",INDEX(OLook[],MATCH($G5,OLook[Team],0),MATCH(Q$2,OLook[#Headers],0)))</f>
        <v>11.1</v>
      </c>
      <c r="R5" s="12">
        <f>IF(ISBLANK($G5),"",INDEX(OLook[],MATCH($G5,OLook[Team],0),MATCH(R$2,OLook[#Headers],0)))</f>
        <v>34.1</v>
      </c>
      <c r="S5" s="12">
        <f>IF(ISBLANK($G5),"",INDEX(OLook[],MATCH($G5,OLook[Team],0),MATCH(S$2,OLook[#Headers],0)))</f>
        <v>27.1</v>
      </c>
      <c r="T5" s="12">
        <f>IF(ISBLANK($G5),"",INDEX(OLook[],MATCH($G5,OLook[Team],0),MATCH(T$2,OLook[#Headers],0)))</f>
        <v>8.3000000000000007</v>
      </c>
      <c r="U5" s="12">
        <f>IF(ISBLANK($G5),"",INDEX(OLook[],MATCH($G5,OLook[Team],0),MATCH(U$2,OLook[#Headers],0)))</f>
        <v>4.7</v>
      </c>
      <c r="V5" s="12">
        <f>IF(ISBLANK($G5),"",INDEX(OLook[],MATCH($G5,OLook[Team],0),MATCH(V$2,OLook[#Headers],0)))</f>
        <v>13.9</v>
      </c>
      <c r="W5" s="12">
        <f>IF(ISBLANK($G5),"",INDEX(OLook[],MATCH($G5,OLook[Team],0),MATCH(W$2,OLook[#Headers],0)))</f>
        <v>20.399999999999999</v>
      </c>
      <c r="X5" s="12">
        <f>IF(ISBLANK($G5),"",INDEX(OLook[],MATCH($G5,OLook[Team],0),MATCH(X$2,OLook[#Headers],0)))</f>
        <v>0.53100000000000003</v>
      </c>
      <c r="Y5" s="12">
        <f>IF(ISBLANK($G5),"",INDEX(OLook[],MATCH($G5,OLook[Team],0),MATCH(Y$2,OLook[#Headers],0)))</f>
        <v>12.2</v>
      </c>
      <c r="Z5" s="12">
        <f>IF(ISBLANK($G5),"",INDEX(OLook[],MATCH($G5,OLook[Team],0),MATCH(Z$2,OLook[#Headers],0)))</f>
        <v>24.9</v>
      </c>
      <c r="AA5" s="12">
        <f>IF(ISBLANK($G5),"",INDEX(OLook[],MATCH($G5,OLook[Team],0),MATCH(AA$2,OLook[#Headers],0)))</f>
        <v>0.18</v>
      </c>
      <c r="AB5" s="12">
        <f>IF(ISBLANK($G5),"",INDEX(OLook[],MATCH($G5,OLook[Team],0),MATCH(AB$2,OLook[#Headers],0)))</f>
        <v>3.2</v>
      </c>
      <c r="AC5" s="12">
        <f>IF(ISBLANK($G5),"",INDEX(OLook[],MATCH($G5,OLook[Team],0),MATCH(AC$2,OLook[#Headers],0)))</f>
        <v>97.2</v>
      </c>
      <c r="AD5" s="12">
        <f>IF(ISBLANK($G5),"",INDEX(OLook[],MATCH($G5,OLook[Team],0),MATCH(AD$2,OLook[#Headers],0)))</f>
        <v>-3.0100000000000193</v>
      </c>
      <c r="AE5" s="12">
        <f>IF(ISBLANK($G5),"",INDEX(OLook[],MATCH($G5,OLook[Team],0),MATCH(AE$2,OLook[#Headers],0)))</f>
        <v>2</v>
      </c>
      <c r="AF5" s="12">
        <f>IF(ISBLANK($G5),"",IF(ISODD(ROW()),INDEX(Scores!$B$2:'Scores'!$N$32,MATCH(G5,Scores!$C$2:$C$32,0),6),INDEX(Scores!$B$2:'Scores'!$N$32,MATCH(G5,Scores!$C$2:$C$32,0),10)))</f>
        <v>7.4456363059177155</v>
      </c>
      <c r="AG5" s="12">
        <f ca="1">IF(ISBLANK($G5),"",INDEX(Scores!$B$2:$P$32,MATCH($G5,Scores!$C$2:$C$32,0),MATCH(AG$2,Scores!$B$2:$P$2,0)))</f>
        <v>0</v>
      </c>
      <c r="AH5" s="11">
        <f>IF(ISBLANK($G5),"",INDEX(DLook[],MATCH($G5,DLook[Team],0),MATCH(AH$2,DLook[#Headers],0)))</f>
        <v>87.8</v>
      </c>
      <c r="AI5" s="11">
        <f>IF(ISBLANK($G5),"",INDEX(DLook[],MATCH($G5,DLook[Team],0),MATCH(AI$2,DLook[#Headers],0)))</f>
        <v>0.45900000000000002</v>
      </c>
      <c r="AJ5" s="11">
        <f>IF(ISBLANK($G5),"",INDEX(DLook[],MATCH($G5,DLook[Team],0),MATCH(AJ$2,DLook[#Headers],0)))</f>
        <v>34.200000000000003</v>
      </c>
      <c r="AK5" s="11">
        <f>IF(ISBLANK($G5),"",INDEX(DLook[],MATCH($G5,DLook[Team],0),MATCH(AK$2,DLook[#Headers],0)))</f>
        <v>0.34599999999999997</v>
      </c>
      <c r="AL5" s="11">
        <f>IF(ISBLANK($G5),"",INDEX(DLook[],MATCH($G5,DLook[Team],0),MATCH(AL$2,DLook[#Headers],0)))</f>
        <v>22.5</v>
      </c>
      <c r="AM5" s="11">
        <f>IF(ISBLANK($G5),"",INDEX(DLook[],MATCH($G5,DLook[Team],0),MATCH(AM$2,DLook[#Headers],0)))</f>
        <v>0.75700000000000001</v>
      </c>
      <c r="AN5" s="11">
        <f>IF(ISBLANK($G5),"",INDEX(DLook[],MATCH($G5,DLook[Team],0),MATCH(AN$2,DLook[#Headers],0)))</f>
        <v>10.199999999999999</v>
      </c>
      <c r="AO5" s="11">
        <f>IF(ISBLANK($G5),"",INDEX(DLook[],MATCH($G5,DLook[Team],0),MATCH(AO$2,DLook[#Headers],0)))</f>
        <v>33.4</v>
      </c>
      <c r="AP5" s="11">
        <f>IF(ISBLANK($G5),"",INDEX(DLook[],MATCH($G5,DLook[Team],0),MATCH(AP$2,DLook[#Headers],0)))</f>
        <v>25.5</v>
      </c>
      <c r="AQ5" s="11">
        <f>IF(ISBLANK($G5),"",INDEX(DLook[],MATCH($G5,DLook[Team],0),MATCH(AQ$2,DLook[#Headers],0)))</f>
        <v>7.2</v>
      </c>
      <c r="AR5" s="11">
        <f>IF(ISBLANK($G5),"",INDEX(DLook[],MATCH($G5,DLook[Team],0),MATCH(AR$2,DLook[#Headers],0)))</f>
        <v>4.5999999999999996</v>
      </c>
      <c r="AS5" s="11">
        <f>IF(ISBLANK($G5),"",INDEX(DLook[],MATCH($G5,DLook[Team],0),MATCH(AS$2,DLook[#Headers],0)))</f>
        <v>14.6</v>
      </c>
      <c r="AT5" s="11">
        <f>IF(ISBLANK($G5),"",INDEX(DLook[],MATCH($G5,DLook[Team],0),MATCH(AT$2,DLook[#Headers],0)))</f>
        <v>20.5</v>
      </c>
      <c r="AU5" s="11">
        <f>IF(ISBLANK($G5),"",INDEX(DLook[],MATCH($G5,DLook[Team],0),MATCH(AU$2,DLook[#Headers],0)))</f>
        <v>0.52600000000000002</v>
      </c>
      <c r="AV5" s="11">
        <f>IF(ISBLANK($G5),"",INDEX(DLook[],MATCH($G5,DLook[Team],0),MATCH(AV$2,DLook[#Headers],0)))</f>
        <v>13</v>
      </c>
      <c r="AW5" s="11">
        <f>IF(ISBLANK($G5),"",INDEX(DLook[],MATCH($G5,DLook[Team],0),MATCH(AW$2,DLook[#Headers],0)))</f>
        <v>77.099999999999994</v>
      </c>
      <c r="AX5" s="11">
        <f>IF(ISBLANK($G5),"",INDEX(DLook[],MATCH($G5,DLook[Team],0),MATCH(AX$2,DLook[#Headers],0)))</f>
        <v>0.19400000000000001</v>
      </c>
      <c r="AY5" s="11">
        <f>IF(ISBLANK($G5),"",INDEX(DLook[],MATCH($G5,DLook[Team],0),MATCH(AY$2,DLook[#Headers],0)))</f>
        <v>5</v>
      </c>
      <c r="AZ5" s="14">
        <f t="shared" si="0"/>
        <v>91.179999999999993</v>
      </c>
      <c r="BA5" s="14">
        <f t="shared" si="1"/>
        <v>0.46080000000000004</v>
      </c>
      <c r="BB5" s="14">
        <f t="shared" si="2"/>
        <v>32.94</v>
      </c>
      <c r="BC5" s="14">
        <f t="shared" si="3"/>
        <v>0.35019999999999996</v>
      </c>
      <c r="BD5" s="14">
        <f t="shared" si="4"/>
        <v>20.98</v>
      </c>
      <c r="BE5" s="14">
        <f t="shared" si="5"/>
        <v>0.76459999999999995</v>
      </c>
      <c r="BF5" s="14">
        <f t="shared" si="6"/>
        <v>10.920000000000002</v>
      </c>
      <c r="BG5" s="14">
        <f t="shared" si="7"/>
        <v>34.46</v>
      </c>
      <c r="BH5" s="14">
        <f t="shared" si="8"/>
        <v>25.12</v>
      </c>
      <c r="BI5" s="14">
        <f t="shared" si="9"/>
        <v>7.58</v>
      </c>
      <c r="BJ5" s="14">
        <f t="shared" si="10"/>
        <v>4.2799999999999994</v>
      </c>
      <c r="BK5" s="14">
        <f t="shared" si="11"/>
        <v>12.879999999999999</v>
      </c>
      <c r="BL5" s="14">
        <f t="shared" si="12"/>
        <v>20.7</v>
      </c>
      <c r="BM5" s="14">
        <f t="shared" si="13"/>
        <v>0.52379999999999993</v>
      </c>
      <c r="BN5" s="14">
        <f t="shared" si="14"/>
        <v>11.360000000000001</v>
      </c>
      <c r="BO5" s="14">
        <f t="shared" si="15"/>
        <v>56.280000000000008</v>
      </c>
      <c r="BP5" s="14">
        <f t="shared" si="16"/>
        <v>0.17579999999999998</v>
      </c>
      <c r="BQ5" s="13">
        <f t="shared" si="17"/>
        <v>118.23665900233755</v>
      </c>
      <c r="BR5" s="13">
        <f t="shared" si="18"/>
        <v>110.42273583440286</v>
      </c>
      <c r="BS5" s="13">
        <f t="shared" si="19"/>
        <v>114.78931325894814</v>
      </c>
      <c r="BT5" s="13">
        <f t="shared" si="20"/>
        <v>98.15</v>
      </c>
      <c r="BU5" s="13">
        <f t="shared" si="36"/>
        <v>-1.8700000000000245</v>
      </c>
      <c r="BV5" s="13">
        <f t="shared" si="37"/>
        <v>96.314594999999983</v>
      </c>
      <c r="BW5" s="13">
        <f t="shared" ref="BW5:BW32" si="58">IF(ISBLANK($G5),"",BS5*BV5/100)</f>
        <v>110.55886216863719</v>
      </c>
      <c r="BX5" s="13">
        <f t="shared" si="21"/>
        <v>-2.4299999999999997</v>
      </c>
      <c r="BY5" s="13">
        <f t="shared" si="38"/>
        <v>-0.35212827022346005</v>
      </c>
      <c r="BZ5" s="13">
        <f t="shared" si="39"/>
        <v>-2.2235435824692771</v>
      </c>
      <c r="CA5" s="13">
        <f>IF(ISBLANK(B5),0,INDEX(Advanced_Table[],MATCH(B5,Advanced_Table[Player],0),MATCH("Scaled VORP",Advanced_Table[#Headers],0)))+IF(ISBLANK(C5),0,INDEX(Advanced_Table[],MATCH(C5,Advanced_Table[Player],0),MATCH("Scaled VORP",Advanced_Table[#Headers],0)))+IF(ISBLANK(D5),0,INDEX(Advanced_Table[],MATCH(D5,Advanced_Table[Player],0),MATCH("Scaled VORP",Advanced_Table[#Headers],0)))+IF(ISBLANK(E5),0,INDEX(Advanced_Table[],MATCH(E5,Advanced_Table[Player],0),MATCH("Scaled VORP",Advanced_Table[#Headers],0)))+IF(ISBLANK(F5),0,INDEX(Advanced_Table[],MATCH(F5,Advanced_Table[Player],0),MATCH("Scaled VORP",Advanced_Table[#Headers],0)))</f>
        <v>0</v>
      </c>
      <c r="CB5" s="13">
        <f t="shared" ca="1" si="40"/>
        <v>109.44709037740255</v>
      </c>
      <c r="CC5" s="13">
        <f t="shared" si="22"/>
        <v>14.416072047209024</v>
      </c>
      <c r="CD5" s="14">
        <f>INDEX(Defense!$AB$3:$BA$8,2,MATCH(CD$2,Defense!$AB$3:$BA$3,0))</f>
        <v>1.1881973445510248</v>
      </c>
      <c r="CE5" s="14">
        <f>INDEX(Defense!$AB$3:$BA$8,2,MATCH(CE$2,Defense!$AB$3:$BA$3,0))</f>
        <v>20.37695032952751</v>
      </c>
      <c r="CF5" s="14">
        <f>INDEX(Defense!$AB$3:$BA$8,2,MATCH(CF$2,Defense!$AB$3:$BA$3,0))</f>
        <v>3.8108594084794688E-2</v>
      </c>
      <c r="CG5" s="14">
        <f>INDEX(Defense!$AB$3:$BA$8,2,MATCH(CG$2,Defense!$AB$3:$BA$3,0))</f>
        <v>0.82665533501354516</v>
      </c>
      <c r="CH5" s="14">
        <f>INDEX(Defense!$AB$3:$BA$8,2,MATCH(CH$2,Defense!$AB$3:$BA$3,0))</f>
        <v>0.96847375256109303</v>
      </c>
      <c r="CI5" s="14">
        <f>INDEX(Defense!$AB$3:$BA$8,2,MATCH(CI$2,Defense!$AB$3:$BA$3,0))</f>
        <v>24.899423599851655</v>
      </c>
      <c r="CJ5" s="14">
        <f>INDEX(Defense!$AB$3:$BA$8,2,MATCH(CJ$2,Defense!$AB$3:$BA$3,0))</f>
        <v>4.3333160259283868E-2</v>
      </c>
      <c r="CK5" s="14">
        <f>INDEX(Defense!$AB$3:$BA$8,2,MATCH(CK$2,Defense!$AB$3:$BA$3,0))</f>
        <v>4.3643719755598418E-3</v>
      </c>
      <c r="CL5" s="14">
        <f>INDEX(Defense!$AB$3:$BA$8,2,MATCH(CL$2,Defense!$AB$3:$BA$3,0))</f>
        <v>3.3980730825493605E-2</v>
      </c>
      <c r="CM5" s="14">
        <f>INDEX(Defense!$AB$3:$BA$8,2,MATCH(CM$2,Defense!$AB$3:$BA$3,0))</f>
        <v>2.2130116153199469E-2</v>
      </c>
      <c r="CN5" s="14">
        <f>INDEX(Defense!$AB$3:$BA$8,2,MATCH(CN$2,Defense!$AB$3:$BA$3,0))</f>
        <v>1.5770727592026978E-2</v>
      </c>
      <c r="CO5" s="14">
        <f>INDEX(Defense!$AB$3:$BA$8,2,MATCH(CO$2,Defense!$AB$3:$BA$3,0))</f>
        <v>3.4820867870809513E-2</v>
      </c>
      <c r="CP5" s="14">
        <f>INDEX(Defense!$AB$3:$BA$8,2,MATCH(CP$2,Defense!$AB$3:$BA$3,0))</f>
        <v>-8.5450857094943424E-4</v>
      </c>
      <c r="CQ5" s="14">
        <f>INDEX(Defense!$AB$3:$BA$8,2,MATCH(CQ$2,Defense!$AB$3:$BA$3,0))</f>
        <v>160.75587555196628</v>
      </c>
      <c r="CR5" s="14">
        <f>INDEX(Defense!$AB$3:$BA$8,2,MATCH(CR$2,Defense!$AB$3:$BA$3,0))</f>
        <v>0.15454953937048871</v>
      </c>
      <c r="CS5" s="14">
        <f>INDEX(Defense!$AB$3:$BA$8,2,MATCH(CS$2,Defense!$AB$3:$BA$3,0))</f>
        <v>0.10198746342122103</v>
      </c>
      <c r="CT5" s="14">
        <f>INDEX(Defense!$AB$3:$BA$8,2,MATCH(CT$2,Defense!$AB$3:$BA$3,0))</f>
        <v>-13.759669623776899</v>
      </c>
      <c r="CU5" s="14">
        <f>INDEX(Defense!$AB$3:$BA$8,2,MATCH(CU$2,Defense!$AB$3:$BA$3,0))</f>
        <v>-140.43646301959095</v>
      </c>
      <c r="CV5" s="15">
        <f>INDEX(Offense!$AB$3:$BA$8,2,MATCH(CV$2,Offense!$AB$3:$BA$3,0))</f>
        <v>0.94854285448896025</v>
      </c>
      <c r="CW5" s="15">
        <f>INDEX(Offense!$AB$3:$BA$8,2,MATCH(CW$2,Offense!$AB$3:$BA$3,0))</f>
        <v>85.640824181858136</v>
      </c>
      <c r="CX5" s="15">
        <f>INDEX(Offense!$AB$3:$BA$8,2,MATCH(CX$2,Offense!$AB$3:$BA$3,0))</f>
        <v>0.18969054669932336</v>
      </c>
      <c r="CY5" s="15">
        <f>INDEX(Offense!$AB$3:$BA$8,2,MATCH(CY$2,Offense!$AB$3:$BA$3,0))</f>
        <v>15.281981293875587</v>
      </c>
      <c r="CZ5" s="15">
        <f>INDEX(Offense!$AB$3:$BA$8,2,MATCH(CZ$2,Offense!$AB$3:$BA$3,0))</f>
        <v>8.6824407438745616E-2</v>
      </c>
      <c r="DA5" s="15">
        <f>INDEX(Offense!$AB$3:$BA$8,2,MATCH(DA$2,Offense!$AB$3:$BA$3,0))</f>
        <v>5.4421042890783919</v>
      </c>
      <c r="DB5" s="15">
        <f>INDEX(Offense!$AB$3:$BA$8,2,MATCH(DB$2,Offense!$AB$3:$BA$3,0))</f>
        <v>-0.20243279756818017</v>
      </c>
      <c r="DC5" s="15">
        <f>INDEX(Offense!$AB$3:$BA$8,2,MATCH(DC$2,Offense!$AB$3:$BA$3,0))</f>
        <v>-1.5058230699739127E-2</v>
      </c>
      <c r="DD5" s="15">
        <f>INDEX(Offense!$AB$3:$BA$8,2,MATCH(DD$2,Offense!$AB$3:$BA$3,0))</f>
        <v>1.816205347682766E-4</v>
      </c>
      <c r="DE5" s="15">
        <f>INDEX(Offense!$AB$3:$BA$8,2,MATCH(DE$2,Offense!$AB$3:$BA$3,0))</f>
        <v>-3.5192292427553826E-2</v>
      </c>
      <c r="DF5" s="15">
        <f>INDEX(Offense!$AB$3:$BA$8,2,MATCH(DF$2,Offense!$AB$3:$BA$3,0))</f>
        <v>-5.4876472195541252E-2</v>
      </c>
      <c r="DG5" s="15">
        <f>INDEX(Offense!$AB$3:$BA$8,2,MATCH(DG$2,Offense!$AB$3:$BA$3,0))</f>
        <v>9.8474663700154286E-2</v>
      </c>
      <c r="DH5" s="15">
        <f>INDEX(Offense!$AB$3:$BA$8,2,MATCH(DH$2,Offense!$AB$3:$BA$3,0))</f>
        <v>1.3645952114017732E-3</v>
      </c>
      <c r="DI5" s="15">
        <f>INDEX(Offense!$AB$3:$BA$8,2,MATCH(DI$2,Offense!$AB$3:$BA$3,0))</f>
        <v>84.693499827495899</v>
      </c>
      <c r="DJ5" s="15">
        <f>INDEX(Offense!$AB$3:$BA$8,2,MATCH(DJ$2,Offense!$AB$3:$BA$3,0))</f>
        <v>-0.41522539338692127</v>
      </c>
      <c r="DK5" s="15">
        <f>INDEX(Offense!$AB$3:$BA$8,2,MATCH(DK$2,Offense!$AB$3:$BA$3,0))</f>
        <v>0.19885166787903463</v>
      </c>
      <c r="DL5" s="15">
        <f>INDEX(Offense!$AB$3:$BA$8,2,MATCH(DL$2,Offense!$AB$3:$BA$3,0))</f>
        <v>65.336144739305752</v>
      </c>
      <c r="DM5" s="15">
        <f>INDEX(Offense!$AB$3:$BA$8,2,MATCH(DM$2,Offense!$AB$3:$BA$3,0))</f>
        <v>-85.690558012232202</v>
      </c>
      <c r="DN5">
        <f t="shared" si="23"/>
        <v>-2.5</v>
      </c>
      <c r="DO5">
        <f t="shared" ca="1" si="24"/>
        <v>2.57567185269275</v>
      </c>
      <c r="DP5">
        <f t="shared" ca="1" si="25"/>
        <v>0.42909971352414561</v>
      </c>
      <c r="DQ5" t="e">
        <f>IF(#REF!=0,"",ROUND(IF(#REF!&lt;0,#REF!/(#REF!-100),1/(#REF!/100+1)),2))</f>
        <v>#REF!</v>
      </c>
      <c r="DR5">
        <f t="shared" ca="1" si="26"/>
        <v>0.36238754150455832</v>
      </c>
      <c r="DS5">
        <f t="shared" ca="1" si="27"/>
        <v>0.55849305993353604</v>
      </c>
      <c r="DT5" s="58">
        <f t="shared" ref="DT5:DT32" ca="1" si="59">DP5</f>
        <v>0.42909971352414561</v>
      </c>
      <c r="DU5" s="16">
        <f t="shared" ca="1" si="41"/>
        <v>2.5</v>
      </c>
      <c r="DV5" s="176">
        <f ca="1">IFERROR(IF(ISODD(ROW()),ROUND(CB5+CB6,0),ROUND(CB5+CB4,0)),"")</f>
        <v>221</v>
      </c>
      <c r="DX5" t="str">
        <f t="shared" ca="1" si="28"/>
        <v>Nuggets @ Mavericks</v>
      </c>
      <c r="DY5" t="str">
        <f t="shared" ca="1" si="29"/>
        <v>Mavericks +2.5</v>
      </c>
      <c r="DZ5" s="39">
        <f t="shared" ca="1" si="30"/>
        <v>0.63761245849544168</v>
      </c>
      <c r="EA5" t="str">
        <f t="shared" ca="1" si="42"/>
        <v/>
      </c>
      <c r="EB5" t="str">
        <f t="shared" ca="1" si="31"/>
        <v/>
      </c>
      <c r="EC5" t="str">
        <f t="shared" ca="1" si="43"/>
        <v/>
      </c>
      <c r="ED5" t="str">
        <f t="shared" ref="ED5:ED33" ca="1" si="60">IF(ISNUMBER(CODE(EB5)),DR5,"")</f>
        <v/>
      </c>
      <c r="EE5" t="str">
        <f t="shared" ca="1" si="32"/>
        <v/>
      </c>
      <c r="EF5" t="str">
        <f t="shared" ca="1" si="44"/>
        <v>Nuggets @ Mavericks</v>
      </c>
      <c r="EG5" t="str">
        <f t="shared" ca="1" si="33"/>
        <v>Over 218</v>
      </c>
      <c r="EH5">
        <f t="shared" ca="1" si="45"/>
        <v>0.55849305993353604</v>
      </c>
      <c r="EI5">
        <f t="shared" ca="1" si="34"/>
        <v>19.772085521626682</v>
      </c>
      <c r="EJ5">
        <f t="shared" si="46"/>
        <v>0</v>
      </c>
      <c r="EK5" t="str">
        <f t="shared" si="47"/>
        <v/>
      </c>
      <c r="EL5" t="e">
        <f>IF(ISBLANK(G5),"",IF(DQ5&lt;0.5,IF(DP5&gt;0.5*$FG$7,G5&amp;" Moneyline (+"&amp;#REF!&amp;")",""),IF(DP5&gt;$FG$6*DQ5,G5&amp;" Moneyline ("&amp;#REF!&amp;")","")))</f>
        <v>#REF!</v>
      </c>
      <c r="EN5">
        <f t="shared" ca="1" si="48"/>
        <v>3</v>
      </c>
      <c r="EO5" t="str">
        <f t="shared" si="35"/>
        <v>Nuggets @ Mavericks</v>
      </c>
      <c r="EP5" t="str">
        <f t="shared" ca="1" si="49"/>
        <v>Mavericks +2.5</v>
      </c>
      <c r="EQ5" s="19">
        <f t="shared" ca="1" si="50"/>
        <v>0.63761245849544168</v>
      </c>
      <c r="ER5">
        <f t="shared" ca="1" si="51"/>
        <v>0</v>
      </c>
      <c r="ES5" s="19" t="str">
        <f t="shared" ca="1" si="52"/>
        <v/>
      </c>
      <c r="ET5" s="19" t="str">
        <f ca="1">IF(ISBLANK(G5),"",IF(DT5&gt;0.625,G5&amp;" Moneyline ("&amp;#REF!&amp;")",""))</f>
        <v/>
      </c>
      <c r="EU5" s="1" t="str">
        <f ca="1">IF(ISNUMBER(CODE(ET5)),#REF!,"")</f>
        <v/>
      </c>
      <c r="EV5" s="1" t="str">
        <f t="shared" ca="1" si="53"/>
        <v/>
      </c>
      <c r="EW5" s="3"/>
      <c r="EX5" s="1" t="e">
        <f t="shared" ca="1" si="54"/>
        <v>#N/A</v>
      </c>
      <c r="EY5" s="1" t="e">
        <f t="shared" ca="1" si="55"/>
        <v>#N/A</v>
      </c>
      <c r="EZ5" s="3" t="e">
        <f t="shared" ca="1" si="56"/>
        <v>#N/A</v>
      </c>
      <c r="FA5" s="19"/>
      <c r="FB5" s="19"/>
      <c r="FC5" s="19"/>
      <c r="FD5" s="19"/>
      <c r="FE5" s="19"/>
      <c r="FF5" s="20" t="s">
        <v>233</v>
      </c>
      <c r="FG5" s="22">
        <v>0.505</v>
      </c>
    </row>
    <row r="6" spans="2:163" ht="15.75" thickBot="1" x14ac:dyDescent="0.3">
      <c r="G6" s="9" t="s">
        <v>177</v>
      </c>
      <c r="H6" s="10"/>
      <c r="I6" s="10">
        <v>218</v>
      </c>
      <c r="J6" s="180">
        <f t="shared" ref="J6" si="61">IF(H6&lt;1,H7,H6)</f>
        <v>-1.5</v>
      </c>
      <c r="K6" s="12">
        <f>IF(ISBLANK($G6),"",INDEX(OLook[],MATCH($G6,OLook[Team],0),MATCH(K$2,OLook[#Headers],0)))</f>
        <v>90.1</v>
      </c>
      <c r="L6" s="12">
        <f>IF(ISBLANK($G6),"",INDEX(OLook[],MATCH($G6,OLook[Team],0),MATCH(L$2,OLook[#Headers],0)))</f>
        <v>0.46300000000000002</v>
      </c>
      <c r="M6" s="12">
        <f>IF(ISBLANK($G6),"",INDEX(OLook[],MATCH($G6,OLook[Team],0),MATCH(M$2,OLook[#Headers],0)))</f>
        <v>41.7</v>
      </c>
      <c r="N6" s="12">
        <f>IF(ISBLANK($G6),"",INDEX(OLook[],MATCH($G6,OLook[Team],0),MATCH(N$2,OLook[#Headers],0)))</f>
        <v>0.37</v>
      </c>
      <c r="O6" s="12">
        <f>IF(ISBLANK($G6),"",INDEX(OLook[],MATCH($G6,OLook[Team],0),MATCH(O$2,OLook[#Headers],0)))</f>
        <v>23.2</v>
      </c>
      <c r="P6" s="12">
        <f>IF(ISBLANK($G6),"",INDEX(OLook[],MATCH($G6,OLook[Team],0),MATCH(P$2,OLook[#Headers],0)))</f>
        <v>0.77300000000000002</v>
      </c>
      <c r="Q6" s="12">
        <f>IF(ISBLANK($G6),"",INDEX(OLook[],MATCH($G6,OLook[Team],0),MATCH(Q$2,OLook[#Headers],0)))</f>
        <v>10.6</v>
      </c>
      <c r="R6" s="12">
        <f>IF(ISBLANK($G6),"",INDEX(OLook[],MATCH($G6,OLook[Team],0),MATCH(R$2,OLook[#Headers],0)))</f>
        <v>36.4</v>
      </c>
      <c r="S6" s="12">
        <f>IF(ISBLANK($G6),"",INDEX(OLook[],MATCH($G6,OLook[Team],0),MATCH(S$2,OLook[#Headers],0)))</f>
        <v>24.6</v>
      </c>
      <c r="T6" s="12">
        <f>IF(ISBLANK($G6),"",INDEX(OLook[],MATCH($G6,OLook[Team],0),MATCH(T$2,OLook[#Headers],0)))</f>
        <v>6.2</v>
      </c>
      <c r="U6" s="12">
        <f>IF(ISBLANK($G6),"",INDEX(OLook[],MATCH($G6,OLook[Team],0),MATCH(U$2,OLook[#Headers],0)))</f>
        <v>5</v>
      </c>
      <c r="V6" s="12">
        <f>IF(ISBLANK($G6),"",INDEX(OLook[],MATCH($G6,OLook[Team],0),MATCH(V$2,OLook[#Headers],0)))</f>
        <v>12.8</v>
      </c>
      <c r="W6" s="12">
        <f>IF(ISBLANK($G6),"",INDEX(OLook[],MATCH($G6,OLook[Team],0),MATCH(W$2,OLook[#Headers],0)))</f>
        <v>19.2</v>
      </c>
      <c r="X6" s="12">
        <f>IF(ISBLANK($G6),"",INDEX(OLook[],MATCH($G6,OLook[Team],0),MATCH(X$2,OLook[#Headers],0)))</f>
        <v>0.54800000000000004</v>
      </c>
      <c r="Y6" s="12">
        <f>IF(ISBLANK($G6),"",INDEX(OLook[],MATCH($G6,OLook[Team],0),MATCH(Y$2,OLook[#Headers],0)))</f>
        <v>11.4</v>
      </c>
      <c r="Z6" s="12">
        <f>IF(ISBLANK($G6),"",INDEX(OLook[],MATCH($G6,OLook[Team],0),MATCH(Z$2,OLook[#Headers],0)))</f>
        <v>23.4</v>
      </c>
      <c r="AA6" s="12">
        <f>IF(ISBLANK($G6),"",INDEX(OLook[],MATCH($G6,OLook[Team],0),MATCH(AA$2,OLook[#Headers],0)))</f>
        <v>0.19900000000000001</v>
      </c>
      <c r="AB6" s="12">
        <f>IF(ISBLANK($G6),"",INDEX(OLook[],MATCH($G6,OLook[Team],0),MATCH(AB$2,OLook[#Headers],0)))</f>
        <v>5.63</v>
      </c>
      <c r="AC6" s="12">
        <f>IF(ISBLANK($G6),"",INDEX(OLook[],MATCH($G6,OLook[Team],0),MATCH(AC$2,OLook[#Headers],0)))</f>
        <v>99.1</v>
      </c>
      <c r="AD6" s="12">
        <f>IF(ISBLANK($G6),"",INDEX(OLook[],MATCH($G6,OLook[Team],0),MATCH(AD$2,OLook[#Headers],0)))</f>
        <v>-1.1100000000000279</v>
      </c>
      <c r="AE6" s="12">
        <f>IF(ISBLANK($G6),"",INDEX(OLook[],MATCH($G6,OLook[Team],0),MATCH(AE$2,OLook[#Headers],0)))</f>
        <v>6</v>
      </c>
      <c r="AF6" s="12">
        <f>IF(ISBLANK($G6),"",IF(ISODD(ROW()),INDEX(Scores!$B$2:'Scores'!$N$32,MATCH(G6,Scores!$C$2:$C$32,0),6),INDEX(Scores!$B$2:'Scores'!$N$32,MATCH(G6,Scores!$C$2:$C$32,0),10)))</f>
        <v>12.344457593200334</v>
      </c>
      <c r="AG6" s="12">
        <f ca="1">IF(ISBLANK($G6),"",INDEX(Scores!$B$2:$P$32,MATCH($G6,Scores!$C$2:$C$32,0),MATCH(AG$2,Scores!$B$2:$P$2,0)))</f>
        <v>0</v>
      </c>
      <c r="AH6" s="11">
        <f>IF(ISBLANK($G6),"",INDEX(DLook[],MATCH($G6,DLook[Team],0),MATCH(AH$2,DLook[#Headers],0)))</f>
        <v>91.5</v>
      </c>
      <c r="AI6" s="11">
        <f>IF(ISBLANK($G6),"",INDEX(DLook[],MATCH($G6,DLook[Team],0),MATCH(AI$2,DLook[#Headers],0)))</f>
        <v>0.45400000000000001</v>
      </c>
      <c r="AJ6" s="11">
        <f>IF(ISBLANK($G6),"",INDEX(DLook[],MATCH($G6,DLook[Team],0),MATCH(AJ$2,DLook[#Headers],0)))</f>
        <v>34.299999999999997</v>
      </c>
      <c r="AK6" s="11">
        <f>IF(ISBLANK($G6),"",INDEX(DLook[],MATCH($G6,DLook[Team],0),MATCH(AK$2,DLook[#Headers],0)))</f>
        <v>0.34499999999999997</v>
      </c>
      <c r="AL6" s="11">
        <f>IF(ISBLANK($G6),"",INDEX(DLook[],MATCH($G6,DLook[Team],0),MATCH(AL$2,DLook[#Headers],0)))</f>
        <v>20.9</v>
      </c>
      <c r="AM6" s="11">
        <f>IF(ISBLANK($G6),"",INDEX(DLook[],MATCH($G6,DLook[Team],0),MATCH(AM$2,DLook[#Headers],0)))</f>
        <v>0.75700000000000001</v>
      </c>
      <c r="AN6" s="11">
        <f>IF(ISBLANK($G6),"",INDEX(DLook[],MATCH($G6,DLook[Team],0),MATCH(AN$2,DLook[#Headers],0)))</f>
        <v>10.8</v>
      </c>
      <c r="AO6" s="11">
        <f>IF(ISBLANK($G6),"",INDEX(DLook[],MATCH($G6,DLook[Team],0),MATCH(AO$2,DLook[#Headers],0)))</f>
        <v>34.700000000000003</v>
      </c>
      <c r="AP6" s="11">
        <f>IF(ISBLANK($G6),"",INDEX(DLook[],MATCH($G6,DLook[Team],0),MATCH(AP$2,DLook[#Headers],0)))</f>
        <v>23.8</v>
      </c>
      <c r="AQ6" s="11">
        <f>IF(ISBLANK($G6),"",INDEX(DLook[],MATCH($G6,DLook[Team],0),MATCH(AQ$2,DLook[#Headers],0)))</f>
        <v>7.1</v>
      </c>
      <c r="AR6" s="11">
        <f>IF(ISBLANK($G6),"",INDEX(DLook[],MATCH($G6,DLook[Team],0),MATCH(AR$2,DLook[#Headers],0)))</f>
        <v>4</v>
      </c>
      <c r="AS6" s="11">
        <f>IF(ISBLANK($G6),"",INDEX(DLook[],MATCH($G6,DLook[Team],0),MATCH(AS$2,DLook[#Headers],0)))</f>
        <v>12.2</v>
      </c>
      <c r="AT6" s="11">
        <f>IF(ISBLANK($G6),"",INDEX(DLook[],MATCH($G6,DLook[Team],0),MATCH(AT$2,DLook[#Headers],0)))</f>
        <v>20.9</v>
      </c>
      <c r="AU6" s="11">
        <f>IF(ISBLANK($G6),"",INDEX(DLook[],MATCH($G6,DLook[Team],0),MATCH(AU$2,DLook[#Headers],0)))</f>
        <v>0.51900000000000002</v>
      </c>
      <c r="AV6" s="11">
        <f>IF(ISBLANK($G6),"",INDEX(DLook[],MATCH($G6,DLook[Team],0),MATCH(AV$2,DLook[#Headers],0)))</f>
        <v>10.8</v>
      </c>
      <c r="AW6" s="11">
        <f>IF(ISBLANK($G6),"",INDEX(DLook[],MATCH($G6,DLook[Team],0),MATCH(AW$2,DLook[#Headers],0)))</f>
        <v>77.2</v>
      </c>
      <c r="AX6" s="11">
        <f>IF(ISBLANK($G6),"",INDEX(DLook[],MATCH($G6,DLook[Team],0),MATCH(AX$2,DLook[#Headers],0)))</f>
        <v>0.17299999999999999</v>
      </c>
      <c r="AY6" s="11">
        <f>IF(ISBLANK($G6),"",INDEX(DLook[],MATCH($G6,DLook[Team],0),MATCH(AY$2,DLook[#Headers],0)))</f>
        <v>3</v>
      </c>
      <c r="AZ6" s="14">
        <f t="shared" si="0"/>
        <v>89.054545454545448</v>
      </c>
      <c r="BA6" s="14">
        <f t="shared" si="1"/>
        <v>0.46118181818181819</v>
      </c>
      <c r="BB6" s="14">
        <f t="shared" si="2"/>
        <v>38.290909090909096</v>
      </c>
      <c r="BC6" s="14">
        <f t="shared" si="3"/>
        <v>0.35909090909090907</v>
      </c>
      <c r="BD6" s="14">
        <f t="shared" si="4"/>
        <v>22.881818181818179</v>
      </c>
      <c r="BE6" s="14">
        <f t="shared" si="5"/>
        <v>0.7657272727272727</v>
      </c>
      <c r="BF6" s="14">
        <f t="shared" si="6"/>
        <v>10.418181818181818</v>
      </c>
      <c r="BG6" s="14">
        <f t="shared" si="7"/>
        <v>35.036363636363632</v>
      </c>
      <c r="BH6" s="14">
        <f t="shared" si="8"/>
        <v>25.009090909090911</v>
      </c>
      <c r="BI6" s="14">
        <f t="shared" si="9"/>
        <v>6.6545454545454552</v>
      </c>
      <c r="BJ6" s="14">
        <f t="shared" si="10"/>
        <v>4.8181818181818183</v>
      </c>
      <c r="BK6" s="14">
        <f t="shared" si="11"/>
        <v>13.618181818181819</v>
      </c>
      <c r="BL6" s="14">
        <f t="shared" si="12"/>
        <v>19.790909090909089</v>
      </c>
      <c r="BM6" s="14">
        <f t="shared" si="13"/>
        <v>0.53800000000000003</v>
      </c>
      <c r="BN6" s="14">
        <f t="shared" si="14"/>
        <v>12.127272727272727</v>
      </c>
      <c r="BO6" s="14">
        <f t="shared" si="15"/>
        <v>47.809090909090905</v>
      </c>
      <c r="BP6" s="14">
        <f t="shared" si="16"/>
        <v>0.1967272727272727</v>
      </c>
      <c r="BQ6" s="13">
        <f t="shared" si="17"/>
        <v>118.30970186143767</v>
      </c>
      <c r="BR6" s="13">
        <f t="shared" si="18"/>
        <v>109.61829464386406</v>
      </c>
      <c r="BS6" s="13">
        <f t="shared" si="19"/>
        <v>115.15491545062373</v>
      </c>
      <c r="BT6" s="13">
        <f t="shared" si="20"/>
        <v>98.15</v>
      </c>
      <c r="BU6" s="13">
        <f t="shared" si="36"/>
        <v>-1.8700000000000245</v>
      </c>
      <c r="BV6" s="13">
        <f t="shared" si="37"/>
        <v>96.314594999999983</v>
      </c>
      <c r="BW6" s="13">
        <f t="shared" si="58"/>
        <v>110.91099043886065</v>
      </c>
      <c r="BX6" s="13">
        <f t="shared" si="21"/>
        <v>2.4299999999999997</v>
      </c>
      <c r="BY6" s="13">
        <f t="shared" si="38"/>
        <v>0.35212827022346005</v>
      </c>
      <c r="BZ6" s="13">
        <f t="shared" si="39"/>
        <v>2.2235435824692771</v>
      </c>
      <c r="CA6" s="13">
        <f>IF(ISBLANK(B6),0,INDEX(Advanced_Table[],MATCH(B6,Advanced_Table[Player],0),MATCH("Scaled VORP",Advanced_Table[#Headers],0)))+IF(ISBLANK(C6),0,INDEX(Advanced_Table[],MATCH(C6,Advanced_Table[Player],0),MATCH("Scaled VORP",Advanced_Table[#Headers],0)))+IF(ISBLANK(D6),0,INDEX(Advanced_Table[],MATCH(D6,Advanced_Table[Player],0),MATCH("Scaled VORP",Advanced_Table[#Headers],0)))+IF(ISBLANK(E6),0,INDEX(Advanced_Table[],MATCH(E6,Advanced_Table[Player],0),MATCH("Scaled VORP",Advanced_Table[#Headers],0)))+IF(ISBLANK(F6),0,INDEX(Advanced_Table[],MATCH(F6,Advanced_Table[Player],0),MATCH("Scaled VORP",Advanced_Table[#Headers],0)))</f>
        <v>0</v>
      </c>
      <c r="CB6" s="13">
        <f t="shared" ca="1" si="40"/>
        <v>112.0227622300953</v>
      </c>
      <c r="CC6" s="13">
        <f t="shared" si="22"/>
        <v>14.416072047209024</v>
      </c>
      <c r="CD6" s="14">
        <f>INDEX(Defense!$AB$3:$BA$8,2,MATCH(CD$2,Defense!$AB$3:$BA$3,0))</f>
        <v>1.1881973445510248</v>
      </c>
      <c r="CE6" s="14">
        <f>INDEX(Defense!$AB$3:$BA$8,2,MATCH(CE$2,Defense!$AB$3:$BA$3,0))</f>
        <v>20.37695032952751</v>
      </c>
      <c r="CF6" s="14">
        <f>INDEX(Defense!$AB$3:$BA$8,2,MATCH(CF$2,Defense!$AB$3:$BA$3,0))</f>
        <v>3.8108594084794688E-2</v>
      </c>
      <c r="CG6" s="14">
        <f>INDEX(Defense!$AB$3:$BA$8,2,MATCH(CG$2,Defense!$AB$3:$BA$3,0))</f>
        <v>0.82665533501354516</v>
      </c>
      <c r="CH6" s="14">
        <f>INDEX(Defense!$AB$3:$BA$8,2,MATCH(CH$2,Defense!$AB$3:$BA$3,0))</f>
        <v>0.96847375256109303</v>
      </c>
      <c r="CI6" s="14">
        <f>INDEX(Defense!$AB$3:$BA$8,2,MATCH(CI$2,Defense!$AB$3:$BA$3,0))</f>
        <v>24.899423599851655</v>
      </c>
      <c r="CJ6" s="14">
        <f>INDEX(Defense!$AB$3:$BA$8,2,MATCH(CJ$2,Defense!$AB$3:$BA$3,0))</f>
        <v>4.3333160259283868E-2</v>
      </c>
      <c r="CK6" s="14">
        <f>INDEX(Defense!$AB$3:$BA$8,2,MATCH(CK$2,Defense!$AB$3:$BA$3,0))</f>
        <v>4.3643719755598418E-3</v>
      </c>
      <c r="CL6" s="14">
        <f>INDEX(Defense!$AB$3:$BA$8,2,MATCH(CL$2,Defense!$AB$3:$BA$3,0))</f>
        <v>3.3980730825493605E-2</v>
      </c>
      <c r="CM6" s="14">
        <f>INDEX(Defense!$AB$3:$BA$8,2,MATCH(CM$2,Defense!$AB$3:$BA$3,0))</f>
        <v>2.2130116153199469E-2</v>
      </c>
      <c r="CN6" s="14">
        <f>INDEX(Defense!$AB$3:$BA$8,2,MATCH(CN$2,Defense!$AB$3:$BA$3,0))</f>
        <v>1.5770727592026978E-2</v>
      </c>
      <c r="CO6" s="14">
        <f>INDEX(Defense!$AB$3:$BA$8,2,MATCH(CO$2,Defense!$AB$3:$BA$3,0))</f>
        <v>3.4820867870809513E-2</v>
      </c>
      <c r="CP6" s="14">
        <f>INDEX(Defense!$AB$3:$BA$8,2,MATCH(CP$2,Defense!$AB$3:$BA$3,0))</f>
        <v>-8.5450857094943424E-4</v>
      </c>
      <c r="CQ6" s="14">
        <f>INDEX(Defense!$AB$3:$BA$8,2,MATCH(CQ$2,Defense!$AB$3:$BA$3,0))</f>
        <v>160.75587555196628</v>
      </c>
      <c r="CR6" s="14">
        <f>INDEX(Defense!$AB$3:$BA$8,2,MATCH(CR$2,Defense!$AB$3:$BA$3,0))</f>
        <v>0.15454953937048871</v>
      </c>
      <c r="CS6" s="14">
        <f>INDEX(Defense!$AB$3:$BA$8,2,MATCH(CS$2,Defense!$AB$3:$BA$3,0))</f>
        <v>0.10198746342122103</v>
      </c>
      <c r="CT6" s="14">
        <f>INDEX(Defense!$AB$3:$BA$8,2,MATCH(CT$2,Defense!$AB$3:$BA$3,0))</f>
        <v>-13.759669623776899</v>
      </c>
      <c r="CU6" s="14">
        <f>INDEX(Defense!$AB$3:$BA$8,2,MATCH(CU$2,Defense!$AB$3:$BA$3,0))</f>
        <v>-140.43646301959095</v>
      </c>
      <c r="CV6" s="15">
        <f>INDEX(Offense!$AB$3:$BA$8,2,MATCH(CV$2,Offense!$AB$3:$BA$3,0))</f>
        <v>0.94854285448896025</v>
      </c>
      <c r="CW6" s="15">
        <f>INDEX(Offense!$AB$3:$BA$8,2,MATCH(CW$2,Offense!$AB$3:$BA$3,0))</f>
        <v>85.640824181858136</v>
      </c>
      <c r="CX6" s="15">
        <f>INDEX(Offense!$AB$3:$BA$8,2,MATCH(CX$2,Offense!$AB$3:$BA$3,0))</f>
        <v>0.18969054669932336</v>
      </c>
      <c r="CY6" s="15">
        <f>INDEX(Offense!$AB$3:$BA$8,2,MATCH(CY$2,Offense!$AB$3:$BA$3,0))</f>
        <v>15.281981293875587</v>
      </c>
      <c r="CZ6" s="15">
        <f>INDEX(Offense!$AB$3:$BA$8,2,MATCH(CZ$2,Offense!$AB$3:$BA$3,0))</f>
        <v>8.6824407438745616E-2</v>
      </c>
      <c r="DA6" s="15">
        <f>INDEX(Offense!$AB$3:$BA$8,2,MATCH(DA$2,Offense!$AB$3:$BA$3,0))</f>
        <v>5.4421042890783919</v>
      </c>
      <c r="DB6" s="15">
        <f>INDEX(Offense!$AB$3:$BA$8,2,MATCH(DB$2,Offense!$AB$3:$BA$3,0))</f>
        <v>-0.20243279756818017</v>
      </c>
      <c r="DC6" s="15">
        <f>INDEX(Offense!$AB$3:$BA$8,2,MATCH(DC$2,Offense!$AB$3:$BA$3,0))</f>
        <v>-1.5058230699739127E-2</v>
      </c>
      <c r="DD6" s="15">
        <f>INDEX(Offense!$AB$3:$BA$8,2,MATCH(DD$2,Offense!$AB$3:$BA$3,0))</f>
        <v>1.816205347682766E-4</v>
      </c>
      <c r="DE6" s="15">
        <f>INDEX(Offense!$AB$3:$BA$8,2,MATCH(DE$2,Offense!$AB$3:$BA$3,0))</f>
        <v>-3.5192292427553826E-2</v>
      </c>
      <c r="DF6" s="15">
        <f>INDEX(Offense!$AB$3:$BA$8,2,MATCH(DF$2,Offense!$AB$3:$BA$3,0))</f>
        <v>-5.4876472195541252E-2</v>
      </c>
      <c r="DG6" s="15">
        <f>INDEX(Offense!$AB$3:$BA$8,2,MATCH(DG$2,Offense!$AB$3:$BA$3,0))</f>
        <v>9.8474663700154286E-2</v>
      </c>
      <c r="DH6" s="15">
        <f>INDEX(Offense!$AB$3:$BA$8,2,MATCH(DH$2,Offense!$AB$3:$BA$3,0))</f>
        <v>1.3645952114017732E-3</v>
      </c>
      <c r="DI6" s="15">
        <f>INDEX(Offense!$AB$3:$BA$8,2,MATCH(DI$2,Offense!$AB$3:$BA$3,0))</f>
        <v>84.693499827495899</v>
      </c>
      <c r="DJ6" s="15">
        <f>INDEX(Offense!$AB$3:$BA$8,2,MATCH(DJ$2,Offense!$AB$3:$BA$3,0))</f>
        <v>-0.41522539338692127</v>
      </c>
      <c r="DK6" s="15">
        <f>INDEX(Offense!$AB$3:$BA$8,2,MATCH(DK$2,Offense!$AB$3:$BA$3,0))</f>
        <v>0.19885166787903463</v>
      </c>
      <c r="DL6" s="15">
        <f>INDEX(Offense!$AB$3:$BA$8,2,MATCH(DL$2,Offense!$AB$3:$BA$3,0))</f>
        <v>65.336144739305752</v>
      </c>
      <c r="DM6" s="15">
        <f>INDEX(Offense!$AB$3:$BA$8,2,MATCH(DM$2,Offense!$AB$3:$BA$3,0))</f>
        <v>-85.690558012232202</v>
      </c>
      <c r="DN6">
        <f t="shared" si="23"/>
        <v>2.5</v>
      </c>
      <c r="DO6">
        <f t="shared" ca="1" si="24"/>
        <v>-2.57567185269275</v>
      </c>
      <c r="DP6">
        <f t="shared" ca="1" si="25"/>
        <v>0.57090028647585433</v>
      </c>
      <c r="DQ6" t="e">
        <f>IF(#REF!=0,"",ROUND(IF(#REF!&lt;0,#REF!/(#REF!-100),1/(#REF!/100+1)),2))</f>
        <v>#REF!</v>
      </c>
      <c r="DR6">
        <f t="shared" ca="1" si="26"/>
        <v>0.63761245849544168</v>
      </c>
      <c r="DS6">
        <f t="shared" ca="1" si="27"/>
        <v>0.44150694006646396</v>
      </c>
      <c r="DT6" s="59">
        <f t="shared" ca="1" si="59"/>
        <v>0.57090028647585433</v>
      </c>
      <c r="DU6" s="17">
        <f t="shared" ca="1" si="41"/>
        <v>-2.5</v>
      </c>
      <c r="DV6" s="177"/>
      <c r="DX6" t="str">
        <f t="shared" ca="1" si="28"/>
        <v>Nuggets @ Mavericks</v>
      </c>
      <c r="DY6" t="str">
        <f t="shared" ca="1" si="29"/>
        <v>Over 218</v>
      </c>
      <c r="DZ6" s="39">
        <f t="shared" ca="1" si="30"/>
        <v>0.55849305993353604</v>
      </c>
      <c r="EA6" t="str">
        <f t="shared" ca="1" si="42"/>
        <v>Nuggets @ Mavericks</v>
      </c>
      <c r="EB6" t="str">
        <f t="shared" ca="1" si="31"/>
        <v>Mavericks</v>
      </c>
      <c r="EC6" t="str">
        <f t="shared" ca="1" si="43"/>
        <v>+2.5</v>
      </c>
      <c r="ED6">
        <f t="shared" ca="1" si="60"/>
        <v>0.63761245849544168</v>
      </c>
      <c r="EE6">
        <f t="shared" ca="1" si="32"/>
        <v>21.65395995162352</v>
      </c>
      <c r="EF6" t="str">
        <f t="shared" ca="1" si="44"/>
        <v/>
      </c>
      <c r="EG6" t="str">
        <f t="shared" ca="1" si="33"/>
        <v/>
      </c>
      <c r="EH6" t="str">
        <f t="shared" ca="1" si="45"/>
        <v/>
      </c>
      <c r="EI6" t="str">
        <f t="shared" ca="1" si="34"/>
        <v/>
      </c>
      <c r="EJ6">
        <f t="shared" si="46"/>
        <v>0</v>
      </c>
      <c r="EK6" t="str">
        <f t="shared" si="47"/>
        <v/>
      </c>
      <c r="EL6" t="e">
        <f>IF(ISBLANK(G6),"",IF(DQ6&lt;0.5,IF(DP6&gt;0.5*$FG$7,G6&amp;" Moneyline (+"&amp;#REF!&amp;")",""),IF(DP6&gt;$FG$6*DQ6,G6&amp;" Moneyline ("&amp;#REF!&amp;")","")))</f>
        <v>#REF!</v>
      </c>
      <c r="EN6">
        <f t="shared" ca="1" si="48"/>
        <v>4</v>
      </c>
      <c r="EO6" t="str">
        <f t="shared" si="35"/>
        <v>Nuggets @ Mavericks</v>
      </c>
      <c r="EP6" t="str">
        <f t="shared" ca="1" si="49"/>
        <v>Over 218</v>
      </c>
      <c r="EQ6" s="19">
        <f t="shared" ca="1" si="50"/>
        <v>0.55849305993353604</v>
      </c>
      <c r="ER6">
        <f t="shared" ca="1" si="51"/>
        <v>0</v>
      </c>
      <c r="ES6" s="19" t="str">
        <f t="shared" ca="1" si="52"/>
        <v/>
      </c>
      <c r="ET6" s="19" t="str">
        <f ca="1">IF(ISBLANK(G6),"",IF(DT6&gt;0.625,G6&amp;" Moneyline ("&amp;#REF!&amp;")",""))</f>
        <v/>
      </c>
      <c r="EU6" s="1" t="str">
        <f ca="1">IF(ISNUMBER(CODE(ET6)),#REF!,"")</f>
        <v/>
      </c>
      <c r="EV6" s="1" t="str">
        <f t="shared" ca="1" si="53"/>
        <v/>
      </c>
      <c r="EW6" s="3"/>
      <c r="EX6" s="1" t="e">
        <f t="shared" ca="1" si="54"/>
        <v>#N/A</v>
      </c>
      <c r="EY6" s="1" t="e">
        <f t="shared" ca="1" si="55"/>
        <v>#N/A</v>
      </c>
      <c r="EZ6" s="3" t="e">
        <f t="shared" ca="1" si="56"/>
        <v>#N/A</v>
      </c>
      <c r="FA6" s="19"/>
      <c r="FB6" s="19"/>
      <c r="FC6" s="19"/>
      <c r="FD6" s="19"/>
      <c r="FE6" s="19"/>
      <c r="FF6" s="20" t="s">
        <v>234</v>
      </c>
      <c r="FG6" s="20">
        <v>1.3</v>
      </c>
    </row>
    <row r="7" spans="2:163" x14ac:dyDescent="0.25">
      <c r="G7" s="7" t="s">
        <v>189</v>
      </c>
      <c r="H7" s="8">
        <v>-1.5</v>
      </c>
      <c r="I7" s="8"/>
      <c r="J7" s="179">
        <f t="shared" ref="J7" si="62">IF(ISBLANK(G7),"",IF(I7&lt;1,I8,I7))</f>
        <v>232.5</v>
      </c>
      <c r="K7" s="12">
        <f>IF(ISBLANK($G7),"",INDEX(OLook[],MATCH($G7,OLook[Team],0),MATCH(K$2,OLook[#Headers],0)))</f>
        <v>87.9</v>
      </c>
      <c r="L7" s="12">
        <f>IF(ISBLANK($G7),"",INDEX(OLook[],MATCH($G7,OLook[Team],0),MATCH(L$2,OLook[#Headers],0)))</f>
        <v>0.46200000000000002</v>
      </c>
      <c r="M7" s="12">
        <f>IF(ISBLANK($G7),"",INDEX(OLook[],MATCH($G7,OLook[Team],0),MATCH(M$2,OLook[#Headers],0)))</f>
        <v>35.9</v>
      </c>
      <c r="N7" s="12">
        <f>IF(ISBLANK($G7),"",INDEX(OLook[],MATCH($G7,OLook[Team],0),MATCH(N$2,OLook[#Headers],0)))</f>
        <v>0.372</v>
      </c>
      <c r="O7" s="12">
        <f>IF(ISBLANK($G7),"",INDEX(OLook[],MATCH($G7,OLook[Team],0),MATCH(O$2,OLook[#Headers],0)))</f>
        <v>22.1</v>
      </c>
      <c r="P7" s="12">
        <f>IF(ISBLANK($G7),"",INDEX(OLook[],MATCH($G7,OLook[Team],0),MATCH(P$2,OLook[#Headers],0)))</f>
        <v>0.72899999999999998</v>
      </c>
      <c r="Q7" s="12">
        <f>IF(ISBLANK($G7),"",INDEX(OLook[],MATCH($G7,OLook[Team],0),MATCH(Q$2,OLook[#Headers],0)))</f>
        <v>10.7</v>
      </c>
      <c r="R7" s="12">
        <f>IF(ISBLANK($G7),"",INDEX(OLook[],MATCH($G7,OLook[Team],0),MATCH(R$2,OLook[#Headers],0)))</f>
        <v>34.1</v>
      </c>
      <c r="S7" s="12">
        <f>IF(ISBLANK($G7),"",INDEX(OLook[],MATCH($G7,OLook[Team],0),MATCH(S$2,OLook[#Headers],0)))</f>
        <v>25.7</v>
      </c>
      <c r="T7" s="12">
        <f>IF(ISBLANK($G7),"",INDEX(OLook[],MATCH($G7,OLook[Team],0),MATCH(T$2,OLook[#Headers],0)))</f>
        <v>7.2</v>
      </c>
      <c r="U7" s="12">
        <f>IF(ISBLANK($G7),"",INDEX(OLook[],MATCH($G7,OLook[Team],0),MATCH(U$2,OLook[#Headers],0)))</f>
        <v>4.9000000000000004</v>
      </c>
      <c r="V7" s="12">
        <f>IF(ISBLANK($G7),"",INDEX(OLook[],MATCH($G7,OLook[Team],0),MATCH(V$2,OLook[#Headers],0)))</f>
        <v>15.5</v>
      </c>
      <c r="W7" s="12">
        <f>IF(ISBLANK($G7),"",INDEX(OLook[],MATCH($G7,OLook[Team],0),MATCH(W$2,OLook[#Headers],0)))</f>
        <v>20</v>
      </c>
      <c r="X7" s="12">
        <f>IF(ISBLANK($G7),"",INDEX(OLook[],MATCH($G7,OLook[Team],0),MATCH(X$2,OLook[#Headers],0)))</f>
        <v>0.53800000000000003</v>
      </c>
      <c r="Y7" s="12">
        <f>IF(ISBLANK($G7),"",INDEX(OLook[],MATCH($G7,OLook[Team],0),MATCH(Y$2,OLook[#Headers],0)))</f>
        <v>13.7</v>
      </c>
      <c r="Z7" s="12">
        <f>IF(ISBLANK($G7),"",INDEX(OLook[],MATCH($G7,OLook[Team],0),MATCH(Z$2,OLook[#Headers],0)))</f>
        <v>24.3</v>
      </c>
      <c r="AA7" s="12">
        <f>IF(ISBLANK($G7),"",INDEX(OLook[],MATCH($G7,OLook[Team],0),MATCH(AA$2,OLook[#Headers],0)))</f>
        <v>0.183</v>
      </c>
      <c r="AB7" s="12">
        <f>IF(ISBLANK($G7),"",INDEX(OLook[],MATCH($G7,OLook[Team],0),MATCH(AB$2,OLook[#Headers],0)))</f>
        <v>0.28999999999999998</v>
      </c>
      <c r="AC7" s="12">
        <f>IF(ISBLANK($G7),"",INDEX(OLook[],MATCH($G7,OLook[Team],0),MATCH(AC$2,OLook[#Headers],0)))</f>
        <v>103.9</v>
      </c>
      <c r="AD7" s="12">
        <f>IF(ISBLANK($G7),"",INDEX(OLook[],MATCH($G7,OLook[Team],0),MATCH(AD$2,OLook[#Headers],0)))</f>
        <v>3.6899999999999835</v>
      </c>
      <c r="AE7" s="12">
        <f>IF(ISBLANK($G7),"",INDEX(OLook[],MATCH($G7,OLook[Team],0),MATCH(AE$2,OLook[#Headers],0)))</f>
        <v>5</v>
      </c>
      <c r="AF7" s="12">
        <f>IF(ISBLANK($G7),"",IF(ISODD(ROW()),INDEX(Scores!$B$2:'Scores'!$N$32,MATCH(G7,Scores!$C$2:$C$32,0),6),INDEX(Scores!$B$2:'Scores'!$N$32,MATCH(G7,Scores!$C$2:$C$32,0),10)))</f>
        <v>10.432387585965239</v>
      </c>
      <c r="AG7" s="12">
        <f ca="1">IF(ISBLANK($G7),"",INDEX(Scores!$B$2:$P$32,MATCH($G7,Scores!$C$2:$C$32,0),MATCH(AG$2,Scores!$B$2:$P$2,0)))</f>
        <v>0</v>
      </c>
      <c r="AH7" s="11">
        <f>IF(ISBLANK($G7),"",INDEX(DLook[],MATCH($G7,DLook[Team],0),MATCH(AH$2,DLook[#Headers],0)))</f>
        <v>87.9</v>
      </c>
      <c r="AI7" s="11">
        <f>IF(ISBLANK($G7),"",INDEX(DLook[],MATCH($G7,DLook[Team],0),MATCH(AI$2,DLook[#Headers],0)))</f>
        <v>0.46500000000000002</v>
      </c>
      <c r="AJ7" s="11">
        <f>IF(ISBLANK($G7),"",INDEX(DLook[],MATCH($G7,DLook[Team],0),MATCH(AJ$2,DLook[#Headers],0)))</f>
        <v>32.4</v>
      </c>
      <c r="AK7" s="11">
        <f>IF(ISBLANK($G7),"",INDEX(DLook[],MATCH($G7,DLook[Team],0),MATCH(AK$2,DLook[#Headers],0)))</f>
        <v>0.35499999999999998</v>
      </c>
      <c r="AL7" s="11">
        <f>IF(ISBLANK($G7),"",INDEX(DLook[],MATCH($G7,DLook[Team],0),MATCH(AL$2,DLook[#Headers],0)))</f>
        <v>23.3</v>
      </c>
      <c r="AM7" s="11">
        <f>IF(ISBLANK($G7),"",INDEX(DLook[],MATCH($G7,DLook[Team],0),MATCH(AM$2,DLook[#Headers],0)))</f>
        <v>0.78200000000000003</v>
      </c>
      <c r="AN7" s="11">
        <f>IF(ISBLANK($G7),"",INDEX(DLook[],MATCH($G7,DLook[Team],0),MATCH(AN$2,DLook[#Headers],0)))</f>
        <v>9.5</v>
      </c>
      <c r="AO7" s="11">
        <f>IF(ISBLANK($G7),"",INDEX(DLook[],MATCH($G7,DLook[Team],0),MATCH(AO$2,DLook[#Headers],0)))</f>
        <v>33.4</v>
      </c>
      <c r="AP7" s="11">
        <f>IF(ISBLANK($G7),"",INDEX(DLook[],MATCH($G7,DLook[Team],0),MATCH(AP$2,DLook[#Headers],0)))</f>
        <v>23.5</v>
      </c>
      <c r="AQ7" s="11">
        <f>IF(ISBLANK($G7),"",INDEX(DLook[],MATCH($G7,DLook[Team],0),MATCH(AQ$2,DLook[#Headers],0)))</f>
        <v>8.1999999999999993</v>
      </c>
      <c r="AR7" s="11">
        <f>IF(ISBLANK($G7),"",INDEX(DLook[],MATCH($G7,DLook[Team],0),MATCH(AR$2,DLook[#Headers],0)))</f>
        <v>4.5999999999999996</v>
      </c>
      <c r="AS7" s="11">
        <f>IF(ISBLANK($G7),"",INDEX(DLook[],MATCH($G7,DLook[Team],0),MATCH(AS$2,DLook[#Headers],0)))</f>
        <v>13.8</v>
      </c>
      <c r="AT7" s="11">
        <f>IF(ISBLANK($G7),"",INDEX(DLook[],MATCH($G7,DLook[Team],0),MATCH(AT$2,DLook[#Headers],0)))</f>
        <v>19.600000000000001</v>
      </c>
      <c r="AU7" s="11">
        <f>IF(ISBLANK($G7),"",INDEX(DLook[],MATCH($G7,DLook[Team],0),MATCH(AU$2,DLook[#Headers],0)))</f>
        <v>0.53100000000000003</v>
      </c>
      <c r="AV7" s="11">
        <f>IF(ISBLANK($G7),"",INDEX(DLook[],MATCH($G7,DLook[Team],0),MATCH(AV$2,DLook[#Headers],0)))</f>
        <v>12.3</v>
      </c>
      <c r="AW7" s="11">
        <f>IF(ISBLANK($G7),"",INDEX(DLook[],MATCH($G7,DLook[Team],0),MATCH(AW$2,DLook[#Headers],0)))</f>
        <v>78.099999999999994</v>
      </c>
      <c r="AX7" s="11">
        <f>IF(ISBLANK($G7),"",INDEX(DLook[],MATCH($G7,DLook[Team],0),MATCH(AX$2,DLook[#Headers],0)))</f>
        <v>0.20699999999999999</v>
      </c>
      <c r="AY7" s="11">
        <f>IF(ISBLANK($G7),"",INDEX(DLook[],MATCH($G7,DLook[Team],0),MATCH(AY$2,DLook[#Headers],0)))</f>
        <v>2</v>
      </c>
      <c r="AZ7" s="14">
        <f t="shared" si="0"/>
        <v>86.966666666666669</v>
      </c>
      <c r="BA7" s="14">
        <f t="shared" si="1"/>
        <v>0.46466666666666673</v>
      </c>
      <c r="BB7" s="14">
        <f t="shared" si="2"/>
        <v>35.411111111111111</v>
      </c>
      <c r="BC7" s="14">
        <f t="shared" si="3"/>
        <v>0.3644444444444444</v>
      </c>
      <c r="BD7" s="14">
        <f t="shared" si="4"/>
        <v>22.944444444444443</v>
      </c>
      <c r="BE7" s="14">
        <f t="shared" si="5"/>
        <v>0.75744444444444448</v>
      </c>
      <c r="BF7" s="14">
        <f t="shared" si="6"/>
        <v>9.9888888888888889</v>
      </c>
      <c r="BG7" s="14">
        <f t="shared" si="7"/>
        <v>34.366666666666667</v>
      </c>
      <c r="BH7" s="14">
        <f t="shared" si="8"/>
        <v>25.255555555555556</v>
      </c>
      <c r="BI7" s="14">
        <f t="shared" si="9"/>
        <v>7.5111111111111102</v>
      </c>
      <c r="BJ7" s="14">
        <f t="shared" si="10"/>
        <v>4.677777777777778</v>
      </c>
      <c r="BK7" s="14">
        <f t="shared" si="11"/>
        <v>15.366666666666667</v>
      </c>
      <c r="BL7" s="14">
        <f t="shared" si="12"/>
        <v>19.777777777777779</v>
      </c>
      <c r="BM7" s="14">
        <f t="shared" si="13"/>
        <v>0.53888888888888897</v>
      </c>
      <c r="BN7" s="14">
        <f t="shared" si="14"/>
        <v>13.655555555555557</v>
      </c>
      <c r="BO7" s="14">
        <f t="shared" si="15"/>
        <v>48.388888888888886</v>
      </c>
      <c r="BP7" s="14">
        <f t="shared" si="16"/>
        <v>0.20033333333333334</v>
      </c>
      <c r="BQ7" s="13">
        <f t="shared" si="17"/>
        <v>116.16196555573836</v>
      </c>
      <c r="BR7" s="13">
        <f t="shared" si="18"/>
        <v>107.6585744523052</v>
      </c>
      <c r="BS7" s="13">
        <f t="shared" si="19"/>
        <v>112.98322684295356</v>
      </c>
      <c r="BT7" s="13">
        <f t="shared" si="20"/>
        <v>101.15</v>
      </c>
      <c r="BU7" s="13">
        <f t="shared" si="36"/>
        <v>0.38999999999998353</v>
      </c>
      <c r="BV7" s="13">
        <f t="shared" si="37"/>
        <v>101.54448499999998</v>
      </c>
      <c r="BW7" s="13">
        <f t="shared" si="58"/>
        <v>114.72823583405892</v>
      </c>
      <c r="BX7" s="13">
        <f t="shared" si="21"/>
        <v>1.74</v>
      </c>
      <c r="BY7" s="13">
        <f t="shared" si="38"/>
        <v>0.21758760974601898</v>
      </c>
      <c r="BZ7" s="13">
        <f t="shared" si="39"/>
        <v>1.6462444485719296</v>
      </c>
      <c r="CA7" s="13">
        <f>IF(ISBLANK(B7),0,INDEX(Advanced_Table[],MATCH(B7,Advanced_Table[Player],0),MATCH("Scaled VORP",Advanced_Table[#Headers],0)))+IF(ISBLANK(C7),0,INDEX(Advanced_Table[],MATCH(C7,Advanced_Table[Player],0),MATCH("Scaled VORP",Advanced_Table[#Headers],0)))+IF(ISBLANK(D7),0,INDEX(Advanced_Table[],MATCH(D7,Advanced_Table[Player],0),MATCH("Scaled VORP",Advanced_Table[#Headers],0)))+IF(ISBLANK(E7),0,INDEX(Advanced_Table[],MATCH(E7,Advanced_Table[Player],0),MATCH("Scaled VORP",Advanced_Table[#Headers],0)))+IF(ISBLANK(F7),0,INDEX(Advanced_Table[],MATCH(F7,Advanced_Table[Player],0),MATCH("Scaled VORP",Advanced_Table[#Headers],0)))</f>
        <v>0</v>
      </c>
      <c r="CB7" s="13">
        <f t="shared" ca="1" si="40"/>
        <v>115.55135805834489</v>
      </c>
      <c r="CC7" s="13">
        <f t="shared" si="22"/>
        <v>14.94283764698592</v>
      </c>
      <c r="CD7" s="14">
        <f>INDEX(Defense!$AB$3:$BA$8,2,MATCH(CD$2,Defense!$AB$3:$BA$3,0))</f>
        <v>1.1881973445510248</v>
      </c>
      <c r="CE7" s="14">
        <f>INDEX(Defense!$AB$3:$BA$8,2,MATCH(CE$2,Defense!$AB$3:$BA$3,0))</f>
        <v>20.37695032952751</v>
      </c>
      <c r="CF7" s="14">
        <f>INDEX(Defense!$AB$3:$BA$8,2,MATCH(CF$2,Defense!$AB$3:$BA$3,0))</f>
        <v>3.8108594084794688E-2</v>
      </c>
      <c r="CG7" s="14">
        <f>INDEX(Defense!$AB$3:$BA$8,2,MATCH(CG$2,Defense!$AB$3:$BA$3,0))</f>
        <v>0.82665533501354516</v>
      </c>
      <c r="CH7" s="14">
        <f>INDEX(Defense!$AB$3:$BA$8,2,MATCH(CH$2,Defense!$AB$3:$BA$3,0))</f>
        <v>0.96847375256109303</v>
      </c>
      <c r="CI7" s="14">
        <f>INDEX(Defense!$AB$3:$BA$8,2,MATCH(CI$2,Defense!$AB$3:$BA$3,0))</f>
        <v>24.899423599851655</v>
      </c>
      <c r="CJ7" s="14">
        <f>INDEX(Defense!$AB$3:$BA$8,2,MATCH(CJ$2,Defense!$AB$3:$BA$3,0))</f>
        <v>4.3333160259283868E-2</v>
      </c>
      <c r="CK7" s="14">
        <f>INDEX(Defense!$AB$3:$BA$8,2,MATCH(CK$2,Defense!$AB$3:$BA$3,0))</f>
        <v>4.3643719755598418E-3</v>
      </c>
      <c r="CL7" s="14">
        <f>INDEX(Defense!$AB$3:$BA$8,2,MATCH(CL$2,Defense!$AB$3:$BA$3,0))</f>
        <v>3.3980730825493605E-2</v>
      </c>
      <c r="CM7" s="14">
        <f>INDEX(Defense!$AB$3:$BA$8,2,MATCH(CM$2,Defense!$AB$3:$BA$3,0))</f>
        <v>2.2130116153199469E-2</v>
      </c>
      <c r="CN7" s="14">
        <f>INDEX(Defense!$AB$3:$BA$8,2,MATCH(CN$2,Defense!$AB$3:$BA$3,0))</f>
        <v>1.5770727592026978E-2</v>
      </c>
      <c r="CO7" s="14">
        <f>INDEX(Defense!$AB$3:$BA$8,2,MATCH(CO$2,Defense!$AB$3:$BA$3,0))</f>
        <v>3.4820867870809513E-2</v>
      </c>
      <c r="CP7" s="14">
        <f>INDEX(Defense!$AB$3:$BA$8,2,MATCH(CP$2,Defense!$AB$3:$BA$3,0))</f>
        <v>-8.5450857094943424E-4</v>
      </c>
      <c r="CQ7" s="14">
        <f>INDEX(Defense!$AB$3:$BA$8,2,MATCH(CQ$2,Defense!$AB$3:$BA$3,0))</f>
        <v>160.75587555196628</v>
      </c>
      <c r="CR7" s="14">
        <f>INDEX(Defense!$AB$3:$BA$8,2,MATCH(CR$2,Defense!$AB$3:$BA$3,0))</f>
        <v>0.15454953937048871</v>
      </c>
      <c r="CS7" s="14">
        <f>INDEX(Defense!$AB$3:$BA$8,2,MATCH(CS$2,Defense!$AB$3:$BA$3,0))</f>
        <v>0.10198746342122103</v>
      </c>
      <c r="CT7" s="14">
        <f>INDEX(Defense!$AB$3:$BA$8,2,MATCH(CT$2,Defense!$AB$3:$BA$3,0))</f>
        <v>-13.759669623776899</v>
      </c>
      <c r="CU7" s="14">
        <f>INDEX(Defense!$AB$3:$BA$8,2,MATCH(CU$2,Defense!$AB$3:$BA$3,0))</f>
        <v>-140.43646301959095</v>
      </c>
      <c r="CV7" s="15">
        <f>INDEX(Offense!$AB$3:$BA$8,2,MATCH(CV$2,Offense!$AB$3:$BA$3,0))</f>
        <v>0.94854285448896025</v>
      </c>
      <c r="CW7" s="15">
        <f>INDEX(Offense!$AB$3:$BA$8,2,MATCH(CW$2,Offense!$AB$3:$BA$3,0))</f>
        <v>85.640824181858136</v>
      </c>
      <c r="CX7" s="15">
        <f>INDEX(Offense!$AB$3:$BA$8,2,MATCH(CX$2,Offense!$AB$3:$BA$3,0))</f>
        <v>0.18969054669932336</v>
      </c>
      <c r="CY7" s="15">
        <f>INDEX(Offense!$AB$3:$BA$8,2,MATCH(CY$2,Offense!$AB$3:$BA$3,0))</f>
        <v>15.281981293875587</v>
      </c>
      <c r="CZ7" s="15">
        <f>INDEX(Offense!$AB$3:$BA$8,2,MATCH(CZ$2,Offense!$AB$3:$BA$3,0))</f>
        <v>8.6824407438745616E-2</v>
      </c>
      <c r="DA7" s="15">
        <f>INDEX(Offense!$AB$3:$BA$8,2,MATCH(DA$2,Offense!$AB$3:$BA$3,0))</f>
        <v>5.4421042890783919</v>
      </c>
      <c r="DB7" s="15">
        <f>INDEX(Offense!$AB$3:$BA$8,2,MATCH(DB$2,Offense!$AB$3:$BA$3,0))</f>
        <v>-0.20243279756818017</v>
      </c>
      <c r="DC7" s="15">
        <f>INDEX(Offense!$AB$3:$BA$8,2,MATCH(DC$2,Offense!$AB$3:$BA$3,0))</f>
        <v>-1.5058230699739127E-2</v>
      </c>
      <c r="DD7" s="15">
        <f>INDEX(Offense!$AB$3:$BA$8,2,MATCH(DD$2,Offense!$AB$3:$BA$3,0))</f>
        <v>1.816205347682766E-4</v>
      </c>
      <c r="DE7" s="15">
        <f>INDEX(Offense!$AB$3:$BA$8,2,MATCH(DE$2,Offense!$AB$3:$BA$3,0))</f>
        <v>-3.5192292427553826E-2</v>
      </c>
      <c r="DF7" s="15">
        <f>INDEX(Offense!$AB$3:$BA$8,2,MATCH(DF$2,Offense!$AB$3:$BA$3,0))</f>
        <v>-5.4876472195541252E-2</v>
      </c>
      <c r="DG7" s="15">
        <f>INDEX(Offense!$AB$3:$BA$8,2,MATCH(DG$2,Offense!$AB$3:$BA$3,0))</f>
        <v>9.8474663700154286E-2</v>
      </c>
      <c r="DH7" s="15">
        <f>INDEX(Offense!$AB$3:$BA$8,2,MATCH(DH$2,Offense!$AB$3:$BA$3,0))</f>
        <v>1.3645952114017732E-3</v>
      </c>
      <c r="DI7" s="15">
        <f>INDEX(Offense!$AB$3:$BA$8,2,MATCH(DI$2,Offense!$AB$3:$BA$3,0))</f>
        <v>84.693499827495899</v>
      </c>
      <c r="DJ7" s="15">
        <f>INDEX(Offense!$AB$3:$BA$8,2,MATCH(DJ$2,Offense!$AB$3:$BA$3,0))</f>
        <v>-0.41522539338692127</v>
      </c>
      <c r="DK7" s="15">
        <f>INDEX(Offense!$AB$3:$BA$8,2,MATCH(DK$2,Offense!$AB$3:$BA$3,0))</f>
        <v>0.19885166787903463</v>
      </c>
      <c r="DL7" s="15">
        <f>INDEX(Offense!$AB$3:$BA$8,2,MATCH(DL$2,Offense!$AB$3:$BA$3,0))</f>
        <v>65.336144739305752</v>
      </c>
      <c r="DM7" s="15">
        <f>INDEX(Offense!$AB$3:$BA$8,2,MATCH(DM$2,Offense!$AB$3:$BA$3,0))</f>
        <v>-85.690558012232202</v>
      </c>
      <c r="DN7">
        <f t="shared" si="23"/>
        <v>-1.5</v>
      </c>
      <c r="DO7">
        <f t="shared" ca="1" si="24"/>
        <v>-1.8638320583179535</v>
      </c>
      <c r="DP7">
        <f t="shared" ca="1" si="25"/>
        <v>0.54963166258850193</v>
      </c>
      <c r="DQ7" t="e">
        <f>IF(#REF!=0,"",ROUND(IF(#REF!&lt;0,#REF!/(#REF!-100),1/(#REF!/100+1)),2))</f>
        <v>#REF!</v>
      </c>
      <c r="DR7">
        <f t="shared" ca="1" si="26"/>
        <v>0.50971258968345345</v>
      </c>
      <c r="DS7">
        <f t="shared" ca="1" si="27"/>
        <v>0.43422692473988467</v>
      </c>
      <c r="DT7" s="58">
        <f t="shared" ca="1" si="59"/>
        <v>0.54963166258850193</v>
      </c>
      <c r="DU7" s="16">
        <f t="shared" ca="1" si="41"/>
        <v>-2</v>
      </c>
      <c r="DV7" s="176">
        <f ca="1">IFERROR(IF(ISODD(ROW()),ROUND(CB7+CB8,0),ROUND(CB7+CB6,0)),"")</f>
        <v>229</v>
      </c>
      <c r="DX7" t="str">
        <f t="shared" ca="1" si="28"/>
        <v>Pelicans @ Kings</v>
      </c>
      <c r="DY7" t="str">
        <f t="shared" ca="1" si="29"/>
        <v>Pelicans -1.5</v>
      </c>
      <c r="DZ7" s="39">
        <f t="shared" ca="1" si="30"/>
        <v>0.50971258968345345</v>
      </c>
      <c r="EA7" t="str">
        <f t="shared" ca="1" si="42"/>
        <v>Pelicans @ Kings</v>
      </c>
      <c r="EB7" t="str">
        <f t="shared" ca="1" si="31"/>
        <v>Pelicans</v>
      </c>
      <c r="EC7">
        <f t="shared" ca="1" si="43"/>
        <v>-1.5</v>
      </c>
      <c r="ED7">
        <f t="shared" ca="1" si="60"/>
        <v>0.50971258968345345</v>
      </c>
      <c r="EE7">
        <f t="shared" ca="1" si="32"/>
        <v>17.310351855244875</v>
      </c>
      <c r="EF7" t="str">
        <f t="shared" ca="1" si="44"/>
        <v/>
      </c>
      <c r="EG7" t="str">
        <f t="shared" ca="1" si="33"/>
        <v/>
      </c>
      <c r="EH7" t="str">
        <f t="shared" ca="1" si="45"/>
        <v/>
      </c>
      <c r="EI7" t="str">
        <f t="shared" ca="1" si="34"/>
        <v/>
      </c>
      <c r="EJ7">
        <f t="shared" si="46"/>
        <v>0</v>
      </c>
      <c r="EK7" t="str">
        <f t="shared" si="47"/>
        <v/>
      </c>
      <c r="EL7" t="e">
        <f>IF(ISBLANK(G7),"",IF(DQ7&lt;0.5,IF(DP7&gt;0.5*$FG$7,G7&amp;" Moneyline (+"&amp;#REF!&amp;")",""),IF(DP7&gt;$FG$6*DQ7,G7&amp;" Moneyline ("&amp;#REF!&amp;")","")))</f>
        <v>#REF!</v>
      </c>
      <c r="EN7">
        <f t="shared" ca="1" si="48"/>
        <v>5</v>
      </c>
      <c r="EO7" t="str">
        <f t="shared" si="35"/>
        <v>Pelicans @ Kings</v>
      </c>
      <c r="EP7" t="str">
        <f t="shared" ca="1" si="49"/>
        <v>Pelicans -1.5</v>
      </c>
      <c r="EQ7" s="19">
        <f t="shared" ca="1" si="50"/>
        <v>0.50971258968345345</v>
      </c>
      <c r="ER7">
        <f t="shared" ca="1" si="51"/>
        <v>0</v>
      </c>
      <c r="ES7" s="19" t="str">
        <f t="shared" ca="1" si="52"/>
        <v/>
      </c>
      <c r="ET7" s="19" t="str">
        <f ca="1">IF(ISBLANK(G7),"",IF(DT7&gt;0.625,G7&amp;" Moneyline ("&amp;#REF!&amp;")",""))</f>
        <v/>
      </c>
      <c r="EU7" s="1" t="str">
        <f ca="1">IF(ISNUMBER(CODE(ET7)),#REF!,"")</f>
        <v/>
      </c>
      <c r="EV7" s="1" t="str">
        <f t="shared" ca="1" si="53"/>
        <v/>
      </c>
      <c r="EW7" s="3"/>
      <c r="EX7" s="1" t="e">
        <f t="shared" ca="1" si="54"/>
        <v>#N/A</v>
      </c>
      <c r="EY7" s="1" t="e">
        <f t="shared" ca="1" si="55"/>
        <v>#N/A</v>
      </c>
      <c r="EZ7" s="3" t="e">
        <f t="shared" ca="1" si="56"/>
        <v>#N/A</v>
      </c>
      <c r="FA7" s="19"/>
      <c r="FB7" s="19"/>
      <c r="FC7" s="19"/>
      <c r="FD7" s="19"/>
      <c r="FE7" s="19"/>
      <c r="FF7" s="20" t="s">
        <v>235</v>
      </c>
      <c r="FG7" s="20">
        <v>1.05</v>
      </c>
    </row>
    <row r="8" spans="2:163" ht="15.75" thickBot="1" x14ac:dyDescent="0.3">
      <c r="G8" s="9" t="s">
        <v>171</v>
      </c>
      <c r="H8" s="10"/>
      <c r="I8" s="10">
        <v>232.5</v>
      </c>
      <c r="J8" s="180">
        <f t="shared" ref="J8" si="63">IF(H8&lt;1,H9,H8)</f>
        <v>0</v>
      </c>
      <c r="K8" s="12">
        <f>IF(ISBLANK($G8),"",INDEX(OLook[],MATCH($G8,OLook[Team],0),MATCH(K$2,OLook[#Headers],0)))</f>
        <v>88.4</v>
      </c>
      <c r="L8" s="12">
        <f>IF(ISBLANK($G8),"",INDEX(OLook[],MATCH($G8,OLook[Team],0),MATCH(L$2,OLook[#Headers],0)))</f>
        <v>0.45900000000000002</v>
      </c>
      <c r="M8" s="12">
        <f>IF(ISBLANK($G8),"",INDEX(OLook[],MATCH($G8,OLook[Team],0),MATCH(M$2,OLook[#Headers],0)))</f>
        <v>34.9</v>
      </c>
      <c r="N8" s="12">
        <f>IF(ISBLANK($G8),"",INDEX(OLook[],MATCH($G8,OLook[Team],0),MATCH(N$2,OLook[#Headers],0)))</f>
        <v>0.36399999999999999</v>
      </c>
      <c r="O8" s="12">
        <f>IF(ISBLANK($G8),"",INDEX(OLook[],MATCH($G8,OLook[Team],0),MATCH(O$2,OLook[#Headers],0)))</f>
        <v>20.5</v>
      </c>
      <c r="P8" s="12">
        <f>IF(ISBLANK($G8),"",INDEX(OLook[],MATCH($G8,OLook[Team],0),MATCH(P$2,OLook[#Headers],0)))</f>
        <v>0.76900000000000002</v>
      </c>
      <c r="Q8" s="12">
        <f>IF(ISBLANK($G8),"",INDEX(OLook[],MATCH($G8,OLook[Team],0),MATCH(Q$2,OLook[#Headers],0)))</f>
        <v>9.6999999999999993</v>
      </c>
      <c r="R8" s="12">
        <f>IF(ISBLANK($G8),"",INDEX(OLook[],MATCH($G8,OLook[Team],0),MATCH(R$2,OLook[#Headers],0)))</f>
        <v>33.1</v>
      </c>
      <c r="S8" s="12">
        <f>IF(ISBLANK($G8),"",INDEX(OLook[],MATCH($G8,OLook[Team],0),MATCH(S$2,OLook[#Headers],0)))</f>
        <v>23.5</v>
      </c>
      <c r="T8" s="12">
        <f>IF(ISBLANK($G8),"",INDEX(OLook[],MATCH($G8,OLook[Team],0),MATCH(T$2,OLook[#Headers],0)))</f>
        <v>7.7</v>
      </c>
      <c r="U8" s="12">
        <f>IF(ISBLANK($G8),"",INDEX(OLook[],MATCH($G8,OLook[Team],0),MATCH(U$2,OLook[#Headers],0)))</f>
        <v>4.3</v>
      </c>
      <c r="V8" s="12">
        <f>IF(ISBLANK($G8),"",INDEX(OLook[],MATCH($G8,OLook[Team],0),MATCH(V$2,OLook[#Headers],0)))</f>
        <v>14.5</v>
      </c>
      <c r="W8" s="12">
        <f>IF(ISBLANK($G8),"",INDEX(OLook[],MATCH($G8,OLook[Team],0),MATCH(W$2,OLook[#Headers],0)))</f>
        <v>22</v>
      </c>
      <c r="X8" s="12">
        <f>IF(ISBLANK($G8),"",INDEX(OLook[],MATCH($G8,OLook[Team],0),MATCH(X$2,OLook[#Headers],0)))</f>
        <v>0.53100000000000003</v>
      </c>
      <c r="Y8" s="12">
        <f>IF(ISBLANK($G8),"",INDEX(OLook[],MATCH($G8,OLook[Team],0),MATCH(Y$2,OLook[#Headers],0)))</f>
        <v>13</v>
      </c>
      <c r="Z8" s="12">
        <f>IF(ISBLANK($G8),"",INDEX(OLook[],MATCH($G8,OLook[Team],0),MATCH(Z$2,OLook[#Headers],0)))</f>
        <v>21.8</v>
      </c>
      <c r="AA8" s="12">
        <f>IF(ISBLANK($G8),"",INDEX(OLook[],MATCH($G8,OLook[Team],0),MATCH(AA$2,OLook[#Headers],0)))</f>
        <v>0.17799999999999999</v>
      </c>
      <c r="AB8" s="12">
        <f>IF(ISBLANK($G8),"",INDEX(OLook[],MATCH($G8,OLook[Team],0),MATCH(AB$2,OLook[#Headers],0)))</f>
        <v>-1.45</v>
      </c>
      <c r="AC8" s="12">
        <f>IF(ISBLANK($G8),"",INDEX(OLook[],MATCH($G8,OLook[Team],0),MATCH(AC$2,OLook[#Headers],0)))</f>
        <v>98.4</v>
      </c>
      <c r="AD8" s="12">
        <f>IF(ISBLANK($G8),"",INDEX(OLook[],MATCH($G8,OLook[Team],0),MATCH(AD$2,OLook[#Headers],0)))</f>
        <v>-1.8100000000000165</v>
      </c>
      <c r="AE8" s="12">
        <f>IF(ISBLANK($G8),"",INDEX(OLook[],MATCH($G8,OLook[Team],0),MATCH(AE$2,OLook[#Headers],0)))</f>
        <v>2</v>
      </c>
      <c r="AF8" s="12">
        <f>IF(ISBLANK($G8),"",IF(ISODD(ROW()),INDEX(Scores!$B$2:'Scores'!$N$32,MATCH(G8,Scores!$C$2:$C$32,0),6),INDEX(Scores!$B$2:'Scores'!$N$32,MATCH(G8,Scores!$C$2:$C$32,0),10)))</f>
        <v>10.698302958898578</v>
      </c>
      <c r="AG8" s="12">
        <f ca="1">IF(ISBLANK($G8),"",INDEX(Scores!$B$2:$P$32,MATCH($G8,Scores!$C$2:$C$32,0),MATCH(AG$2,Scores!$B$2:$P$2,0)))</f>
        <v>0</v>
      </c>
      <c r="AH8" s="11">
        <f>IF(ISBLANK($G8),"",INDEX(DLook[],MATCH($G8,DLook[Team],0),MATCH(AH$2,DLook[#Headers],0)))</f>
        <v>85.8</v>
      </c>
      <c r="AI8" s="11">
        <f>IF(ISBLANK($G8),"",INDEX(DLook[],MATCH($G8,DLook[Team],0),MATCH(AI$2,DLook[#Headers],0)))</f>
        <v>0.46800000000000003</v>
      </c>
      <c r="AJ8" s="11">
        <f>IF(ISBLANK($G8),"",INDEX(DLook[],MATCH($G8,DLook[Team],0),MATCH(AJ$2,DLook[#Headers],0)))</f>
        <v>34.799999999999997</v>
      </c>
      <c r="AK8" s="11">
        <f>IF(ISBLANK($G8),"",INDEX(DLook[],MATCH($G8,DLook[Team],0),MATCH(AK$2,DLook[#Headers],0)))</f>
        <v>0.35499999999999998</v>
      </c>
      <c r="AL8" s="11">
        <f>IF(ISBLANK($G8),"",INDEX(DLook[],MATCH($G8,DLook[Team],0),MATCH(AL$2,DLook[#Headers],0)))</f>
        <v>24</v>
      </c>
      <c r="AM8" s="11">
        <f>IF(ISBLANK($G8),"",INDEX(DLook[],MATCH($G8,DLook[Team],0),MATCH(AM$2,DLook[#Headers],0)))</f>
        <v>0.79300000000000004</v>
      </c>
      <c r="AN8" s="11">
        <f>IF(ISBLANK($G8),"",INDEX(DLook[],MATCH($G8,DLook[Team],0),MATCH(AN$2,DLook[#Headers],0)))</f>
        <v>9.1</v>
      </c>
      <c r="AO8" s="11">
        <f>IF(ISBLANK($G8),"",INDEX(DLook[],MATCH($G8,DLook[Team],0),MATCH(AO$2,DLook[#Headers],0)))</f>
        <v>34.700000000000003</v>
      </c>
      <c r="AP8" s="11">
        <f>IF(ISBLANK($G8),"",INDEX(DLook[],MATCH($G8,DLook[Team],0),MATCH(AP$2,DLook[#Headers],0)))</f>
        <v>24.7</v>
      </c>
      <c r="AQ8" s="11">
        <f>IF(ISBLANK($G8),"",INDEX(DLook[],MATCH($G8,DLook[Team],0),MATCH(AQ$2,DLook[#Headers],0)))</f>
        <v>7.9</v>
      </c>
      <c r="AR8" s="11">
        <f>IF(ISBLANK($G8),"",INDEX(DLook[],MATCH($G8,DLook[Team],0),MATCH(AR$2,DLook[#Headers],0)))</f>
        <v>4.4000000000000004</v>
      </c>
      <c r="AS8" s="11">
        <f>IF(ISBLANK($G8),"",INDEX(DLook[],MATCH($G8,DLook[Team],0),MATCH(AS$2,DLook[#Headers],0)))</f>
        <v>15.2</v>
      </c>
      <c r="AT8" s="11">
        <f>IF(ISBLANK($G8),"",INDEX(DLook[],MATCH($G8,DLook[Team],0),MATCH(AT$2,DLook[#Headers],0)))</f>
        <v>19.5</v>
      </c>
      <c r="AU8" s="11">
        <f>IF(ISBLANK($G8),"",INDEX(DLook[],MATCH($G8,DLook[Team],0),MATCH(AU$2,DLook[#Headers],0)))</f>
        <v>0.54</v>
      </c>
      <c r="AV8" s="11">
        <f>IF(ISBLANK($G8),"",INDEX(DLook[],MATCH($G8,DLook[Team],0),MATCH(AV$2,DLook[#Headers],0)))</f>
        <v>13.6</v>
      </c>
      <c r="AW8" s="11">
        <f>IF(ISBLANK($G8),"",INDEX(DLook[],MATCH($G8,DLook[Team],0),MATCH(AW$2,DLook[#Headers],0)))</f>
        <v>78.5</v>
      </c>
      <c r="AX8" s="11">
        <f>IF(ISBLANK($G8),"",INDEX(DLook[],MATCH($G8,DLook[Team],0),MATCH(AX$2,DLook[#Headers],0)))</f>
        <v>0.222</v>
      </c>
      <c r="AY8" s="11">
        <f>IF(ISBLANK($G8),"",INDEX(DLook[],MATCH($G8,DLook[Team],0),MATCH(AY$2,DLook[#Headers],0)))</f>
        <v>4</v>
      </c>
      <c r="AZ8" s="14">
        <f t="shared" si="0"/>
        <v>88.15</v>
      </c>
      <c r="BA8" s="14">
        <f t="shared" si="1"/>
        <v>0.46200000000000002</v>
      </c>
      <c r="BB8" s="14">
        <f t="shared" si="2"/>
        <v>33.65</v>
      </c>
      <c r="BC8" s="14">
        <f t="shared" si="3"/>
        <v>0.35949999999999999</v>
      </c>
      <c r="BD8" s="14">
        <f t="shared" si="4"/>
        <v>21.9</v>
      </c>
      <c r="BE8" s="14">
        <f t="shared" si="5"/>
        <v>0.77550000000000008</v>
      </c>
      <c r="BF8" s="14">
        <f t="shared" si="6"/>
        <v>9.6</v>
      </c>
      <c r="BG8" s="14">
        <f t="shared" si="7"/>
        <v>33.25</v>
      </c>
      <c r="BH8" s="14">
        <f t="shared" si="8"/>
        <v>23.5</v>
      </c>
      <c r="BI8" s="14">
        <f t="shared" si="9"/>
        <v>7.9499999999999993</v>
      </c>
      <c r="BJ8" s="14">
        <f t="shared" si="10"/>
        <v>4.4499999999999993</v>
      </c>
      <c r="BK8" s="14">
        <f t="shared" si="11"/>
        <v>14.15</v>
      </c>
      <c r="BL8" s="14">
        <f t="shared" si="12"/>
        <v>20.8</v>
      </c>
      <c r="BM8" s="14">
        <f t="shared" si="13"/>
        <v>0.53100000000000003</v>
      </c>
      <c r="BN8" s="14">
        <f t="shared" si="14"/>
        <v>12.65</v>
      </c>
      <c r="BO8" s="14">
        <f t="shared" si="15"/>
        <v>49.949999999999996</v>
      </c>
      <c r="BP8" s="14">
        <f t="shared" si="16"/>
        <v>0.1925</v>
      </c>
      <c r="BQ8" s="13">
        <f t="shared" si="17"/>
        <v>116.17586490941869</v>
      </c>
      <c r="BR8" s="13">
        <f t="shared" si="18"/>
        <v>108.21511877377634</v>
      </c>
      <c r="BS8" s="13">
        <f t="shared" si="19"/>
        <v>112.76894872657331</v>
      </c>
      <c r="BT8" s="13">
        <f t="shared" si="20"/>
        <v>101.15</v>
      </c>
      <c r="BU8" s="13">
        <f t="shared" si="36"/>
        <v>0.38999999999998353</v>
      </c>
      <c r="BV8" s="13">
        <f t="shared" si="37"/>
        <v>101.54448499999998</v>
      </c>
      <c r="BW8" s="13">
        <f t="shared" si="58"/>
        <v>114.5106482243129</v>
      </c>
      <c r="BX8" s="13">
        <f t="shared" si="21"/>
        <v>-1.74</v>
      </c>
      <c r="BY8" s="13">
        <f t="shared" si="38"/>
        <v>-0.21758760974601898</v>
      </c>
      <c r="BZ8" s="13">
        <f t="shared" si="39"/>
        <v>-1.6462444485719296</v>
      </c>
      <c r="CA8" s="13">
        <f>IF(ISBLANK(B8),0,INDEX(Advanced_Table[],MATCH(B8,Advanced_Table[Player],0),MATCH("Scaled VORP",Advanced_Table[#Headers],0)))+IF(ISBLANK(C8),0,INDEX(Advanced_Table[],MATCH(C8,Advanced_Table[Player],0),MATCH("Scaled VORP",Advanced_Table[#Headers],0)))+IF(ISBLANK(D8),0,INDEX(Advanced_Table[],MATCH(D8,Advanced_Table[Player],0),MATCH("Scaled VORP",Advanced_Table[#Headers],0)))+IF(ISBLANK(E8),0,INDEX(Advanced_Table[],MATCH(E8,Advanced_Table[Player],0),MATCH("Scaled VORP",Advanced_Table[#Headers],0)))+IF(ISBLANK(F8),0,INDEX(Advanced_Table[],MATCH(F8,Advanced_Table[Player],0),MATCH("Scaled VORP",Advanced_Table[#Headers],0)))</f>
        <v>0</v>
      </c>
      <c r="CB8" s="13">
        <f t="shared" ca="1" si="40"/>
        <v>113.68752600002693</v>
      </c>
      <c r="CC8" s="13">
        <f t="shared" si="22"/>
        <v>14.94283764698592</v>
      </c>
      <c r="CD8" s="14">
        <f>INDEX(Defense!$AB$3:$BA$8,2,MATCH(CD$2,Defense!$AB$3:$BA$3,0))</f>
        <v>1.1881973445510248</v>
      </c>
      <c r="CE8" s="14">
        <f>INDEX(Defense!$AB$3:$BA$8,2,MATCH(CE$2,Defense!$AB$3:$BA$3,0))</f>
        <v>20.37695032952751</v>
      </c>
      <c r="CF8" s="14">
        <f>INDEX(Defense!$AB$3:$BA$8,2,MATCH(CF$2,Defense!$AB$3:$BA$3,0))</f>
        <v>3.8108594084794688E-2</v>
      </c>
      <c r="CG8" s="14">
        <f>INDEX(Defense!$AB$3:$BA$8,2,MATCH(CG$2,Defense!$AB$3:$BA$3,0))</f>
        <v>0.82665533501354516</v>
      </c>
      <c r="CH8" s="14">
        <f>INDEX(Defense!$AB$3:$BA$8,2,MATCH(CH$2,Defense!$AB$3:$BA$3,0))</f>
        <v>0.96847375256109303</v>
      </c>
      <c r="CI8" s="14">
        <f>INDEX(Defense!$AB$3:$BA$8,2,MATCH(CI$2,Defense!$AB$3:$BA$3,0))</f>
        <v>24.899423599851655</v>
      </c>
      <c r="CJ8" s="14">
        <f>INDEX(Defense!$AB$3:$BA$8,2,MATCH(CJ$2,Defense!$AB$3:$BA$3,0))</f>
        <v>4.3333160259283868E-2</v>
      </c>
      <c r="CK8" s="14">
        <f>INDEX(Defense!$AB$3:$BA$8,2,MATCH(CK$2,Defense!$AB$3:$BA$3,0))</f>
        <v>4.3643719755598418E-3</v>
      </c>
      <c r="CL8" s="14">
        <f>INDEX(Defense!$AB$3:$BA$8,2,MATCH(CL$2,Defense!$AB$3:$BA$3,0))</f>
        <v>3.3980730825493605E-2</v>
      </c>
      <c r="CM8" s="14">
        <f>INDEX(Defense!$AB$3:$BA$8,2,MATCH(CM$2,Defense!$AB$3:$BA$3,0))</f>
        <v>2.2130116153199469E-2</v>
      </c>
      <c r="CN8" s="14">
        <f>INDEX(Defense!$AB$3:$BA$8,2,MATCH(CN$2,Defense!$AB$3:$BA$3,0))</f>
        <v>1.5770727592026978E-2</v>
      </c>
      <c r="CO8" s="14">
        <f>INDEX(Defense!$AB$3:$BA$8,2,MATCH(CO$2,Defense!$AB$3:$BA$3,0))</f>
        <v>3.4820867870809513E-2</v>
      </c>
      <c r="CP8" s="14">
        <f>INDEX(Defense!$AB$3:$BA$8,2,MATCH(CP$2,Defense!$AB$3:$BA$3,0))</f>
        <v>-8.5450857094943424E-4</v>
      </c>
      <c r="CQ8" s="14">
        <f>INDEX(Defense!$AB$3:$BA$8,2,MATCH(CQ$2,Defense!$AB$3:$BA$3,0))</f>
        <v>160.75587555196628</v>
      </c>
      <c r="CR8" s="14">
        <f>INDEX(Defense!$AB$3:$BA$8,2,MATCH(CR$2,Defense!$AB$3:$BA$3,0))</f>
        <v>0.15454953937048871</v>
      </c>
      <c r="CS8" s="14">
        <f>INDEX(Defense!$AB$3:$BA$8,2,MATCH(CS$2,Defense!$AB$3:$BA$3,0))</f>
        <v>0.10198746342122103</v>
      </c>
      <c r="CT8" s="14">
        <f>INDEX(Defense!$AB$3:$BA$8,2,MATCH(CT$2,Defense!$AB$3:$BA$3,0))</f>
        <v>-13.759669623776899</v>
      </c>
      <c r="CU8" s="14">
        <f>INDEX(Defense!$AB$3:$BA$8,2,MATCH(CU$2,Defense!$AB$3:$BA$3,0))</f>
        <v>-140.43646301959095</v>
      </c>
      <c r="CV8" s="15">
        <f>INDEX(Offense!$AB$3:$BA$8,2,MATCH(CV$2,Offense!$AB$3:$BA$3,0))</f>
        <v>0.94854285448896025</v>
      </c>
      <c r="CW8" s="15">
        <f>INDEX(Offense!$AB$3:$BA$8,2,MATCH(CW$2,Offense!$AB$3:$BA$3,0))</f>
        <v>85.640824181858136</v>
      </c>
      <c r="CX8" s="15">
        <f>INDEX(Offense!$AB$3:$BA$8,2,MATCH(CX$2,Offense!$AB$3:$BA$3,0))</f>
        <v>0.18969054669932336</v>
      </c>
      <c r="CY8" s="15">
        <f>INDEX(Offense!$AB$3:$BA$8,2,MATCH(CY$2,Offense!$AB$3:$BA$3,0))</f>
        <v>15.281981293875587</v>
      </c>
      <c r="CZ8" s="15">
        <f>INDEX(Offense!$AB$3:$BA$8,2,MATCH(CZ$2,Offense!$AB$3:$BA$3,0))</f>
        <v>8.6824407438745616E-2</v>
      </c>
      <c r="DA8" s="15">
        <f>INDEX(Offense!$AB$3:$BA$8,2,MATCH(DA$2,Offense!$AB$3:$BA$3,0))</f>
        <v>5.4421042890783919</v>
      </c>
      <c r="DB8" s="15">
        <f>INDEX(Offense!$AB$3:$BA$8,2,MATCH(DB$2,Offense!$AB$3:$BA$3,0))</f>
        <v>-0.20243279756818017</v>
      </c>
      <c r="DC8" s="15">
        <f>INDEX(Offense!$AB$3:$BA$8,2,MATCH(DC$2,Offense!$AB$3:$BA$3,0))</f>
        <v>-1.5058230699739127E-2</v>
      </c>
      <c r="DD8" s="15">
        <f>INDEX(Offense!$AB$3:$BA$8,2,MATCH(DD$2,Offense!$AB$3:$BA$3,0))</f>
        <v>1.816205347682766E-4</v>
      </c>
      <c r="DE8" s="15">
        <f>INDEX(Offense!$AB$3:$BA$8,2,MATCH(DE$2,Offense!$AB$3:$BA$3,0))</f>
        <v>-3.5192292427553826E-2</v>
      </c>
      <c r="DF8" s="15">
        <f>INDEX(Offense!$AB$3:$BA$8,2,MATCH(DF$2,Offense!$AB$3:$BA$3,0))</f>
        <v>-5.4876472195541252E-2</v>
      </c>
      <c r="DG8" s="15">
        <f>INDEX(Offense!$AB$3:$BA$8,2,MATCH(DG$2,Offense!$AB$3:$BA$3,0))</f>
        <v>9.8474663700154286E-2</v>
      </c>
      <c r="DH8" s="15">
        <f>INDEX(Offense!$AB$3:$BA$8,2,MATCH(DH$2,Offense!$AB$3:$BA$3,0))</f>
        <v>1.3645952114017732E-3</v>
      </c>
      <c r="DI8" s="15">
        <f>INDEX(Offense!$AB$3:$BA$8,2,MATCH(DI$2,Offense!$AB$3:$BA$3,0))</f>
        <v>84.693499827495899</v>
      </c>
      <c r="DJ8" s="15">
        <f>INDEX(Offense!$AB$3:$BA$8,2,MATCH(DJ$2,Offense!$AB$3:$BA$3,0))</f>
        <v>-0.41522539338692127</v>
      </c>
      <c r="DK8" s="15">
        <f>INDEX(Offense!$AB$3:$BA$8,2,MATCH(DK$2,Offense!$AB$3:$BA$3,0))</f>
        <v>0.19885166787903463</v>
      </c>
      <c r="DL8" s="15">
        <f>INDEX(Offense!$AB$3:$BA$8,2,MATCH(DL$2,Offense!$AB$3:$BA$3,0))</f>
        <v>65.336144739305752</v>
      </c>
      <c r="DM8" s="15">
        <f>INDEX(Offense!$AB$3:$BA$8,2,MATCH(DM$2,Offense!$AB$3:$BA$3,0))</f>
        <v>-85.690558012232202</v>
      </c>
      <c r="DN8">
        <f t="shared" si="23"/>
        <v>1.5</v>
      </c>
      <c r="DO8">
        <f t="shared" ca="1" si="24"/>
        <v>1.8638320583179535</v>
      </c>
      <c r="DP8">
        <f t="shared" ca="1" si="25"/>
        <v>0.45036833741149807</v>
      </c>
      <c r="DQ8" t="e">
        <f>IF(#REF!=0,"",ROUND(IF(#REF!&lt;0,#REF!/(#REF!-100),1/(#REF!/100+1)),2))</f>
        <v>#REF!</v>
      </c>
      <c r="DR8">
        <f t="shared" ca="1" si="26"/>
        <v>0.49028741031654655</v>
      </c>
      <c r="DS8">
        <f t="shared" ca="1" si="27"/>
        <v>0.56577307526011533</v>
      </c>
      <c r="DT8" s="59">
        <f t="shared" ca="1" si="59"/>
        <v>0.45036833741149807</v>
      </c>
      <c r="DU8" s="17">
        <f t="shared" ca="1" si="41"/>
        <v>2</v>
      </c>
      <c r="DV8" s="177"/>
      <c r="DX8" t="str">
        <f t="shared" ca="1" si="28"/>
        <v>Pelicans @ Kings</v>
      </c>
      <c r="DY8" t="str">
        <f t="shared" ca="1" si="29"/>
        <v>Under 232.5</v>
      </c>
      <c r="DZ8" s="39">
        <f t="shared" ca="1" si="30"/>
        <v>0.56577307526011533</v>
      </c>
      <c r="EA8" t="str">
        <f t="shared" ca="1" si="42"/>
        <v/>
      </c>
      <c r="EB8" t="str">
        <f t="shared" ca="1" si="31"/>
        <v/>
      </c>
      <c r="EC8" t="str">
        <f t="shared" ca="1" si="43"/>
        <v/>
      </c>
      <c r="ED8" t="str">
        <f t="shared" ca="1" si="60"/>
        <v/>
      </c>
      <c r="EE8" t="str">
        <f t="shared" ca="1" si="32"/>
        <v/>
      </c>
      <c r="EF8" t="str">
        <f t="shared" ca="1" si="44"/>
        <v>Pelicans @ Kings</v>
      </c>
      <c r="EG8" t="str">
        <f t="shared" ca="1" si="33"/>
        <v>Under 232.5</v>
      </c>
      <c r="EH8">
        <f t="shared" ca="1" si="45"/>
        <v>0.56577307526011533</v>
      </c>
      <c r="EI8">
        <f t="shared" ca="1" si="34"/>
        <v>20.029816720028698</v>
      </c>
      <c r="EJ8">
        <f t="shared" si="46"/>
        <v>0</v>
      </c>
      <c r="EK8" t="str">
        <f t="shared" si="47"/>
        <v/>
      </c>
      <c r="EL8" t="e">
        <f>IF(ISBLANK(G8),"",IF(DQ8&lt;0.5,IF(DP8&gt;0.5*$FG$7,G8&amp;" Moneyline (+"&amp;#REF!&amp;")",""),IF(DP8&gt;$FG$6*DQ8,G8&amp;" Moneyline ("&amp;#REF!&amp;")","")))</f>
        <v>#REF!</v>
      </c>
      <c r="EN8">
        <f t="shared" ca="1" si="48"/>
        <v>6</v>
      </c>
      <c r="EO8" t="str">
        <f t="shared" si="35"/>
        <v>Pelicans @ Kings</v>
      </c>
      <c r="EP8" t="str">
        <f t="shared" ca="1" si="49"/>
        <v>Under 232.5</v>
      </c>
      <c r="EQ8" s="19">
        <f t="shared" ca="1" si="50"/>
        <v>0.56577307526011533</v>
      </c>
      <c r="ER8">
        <f t="shared" ca="1" si="51"/>
        <v>0</v>
      </c>
      <c r="ES8" s="19" t="str">
        <f t="shared" ca="1" si="52"/>
        <v/>
      </c>
      <c r="ET8" s="19" t="str">
        <f ca="1">IF(ISBLANK(G8),"",IF(DT8&gt;0.625,G8&amp;" Moneyline ("&amp;#REF!&amp;")",""))</f>
        <v/>
      </c>
      <c r="EU8" s="1" t="str">
        <f ca="1">IF(ISNUMBER(CODE(ET8)),#REF!,"")</f>
        <v/>
      </c>
      <c r="EV8" s="1" t="str">
        <f t="shared" ca="1" si="53"/>
        <v/>
      </c>
      <c r="EW8" s="3"/>
      <c r="EX8" s="1" t="e">
        <f t="shared" ca="1" si="54"/>
        <v>#N/A</v>
      </c>
      <c r="EY8" s="1" t="e">
        <f t="shared" ca="1" si="55"/>
        <v>#N/A</v>
      </c>
      <c r="EZ8" s="3" t="e">
        <f t="shared" ca="1" si="56"/>
        <v>#N/A</v>
      </c>
      <c r="FA8" s="19"/>
      <c r="FB8" s="19"/>
      <c r="FC8" s="19"/>
      <c r="FD8" s="19"/>
      <c r="FE8" s="19"/>
      <c r="FF8" s="20" t="s">
        <v>264</v>
      </c>
      <c r="FG8" s="20" t="s">
        <v>1081</v>
      </c>
    </row>
    <row r="9" spans="2:163" x14ac:dyDescent="0.25">
      <c r="B9" t="s">
        <v>687</v>
      </c>
      <c r="C9" t="s">
        <v>505</v>
      </c>
      <c r="D9" t="s">
        <v>556</v>
      </c>
      <c r="G9" s="7" t="s">
        <v>167</v>
      </c>
      <c r="H9" s="8"/>
      <c r="I9" s="8">
        <v>211.5</v>
      </c>
      <c r="J9" s="179">
        <f t="shared" ref="J9" si="64">IF(ISBLANK(G9),"",IF(I9&lt;1,I10,I9))</f>
        <v>211.5</v>
      </c>
      <c r="K9" s="12">
        <f>IF(ISBLANK($G9),"",INDEX(OLook[],MATCH($G9,OLook[Team],0),MATCH(K$2,OLook[#Headers],0)))</f>
        <v>87.2</v>
      </c>
      <c r="L9" s="12">
        <f>IF(ISBLANK($G9),"",INDEX(OLook[],MATCH($G9,OLook[Team],0),MATCH(L$2,OLook[#Headers],0)))</f>
        <v>0.45900000000000002</v>
      </c>
      <c r="M9" s="12">
        <f>IF(ISBLANK($G9),"",INDEX(OLook[],MATCH($G9,OLook[Team],0),MATCH(M$2,OLook[#Headers],0)))</f>
        <v>33.200000000000003</v>
      </c>
      <c r="N9" s="12">
        <f>IF(ISBLANK($G9),"",INDEX(OLook[],MATCH($G9,OLook[Team],0),MATCH(N$2,OLook[#Headers],0)))</f>
        <v>0.36799999999999999</v>
      </c>
      <c r="O9" s="12">
        <f>IF(ISBLANK($G9),"",INDEX(OLook[],MATCH($G9,OLook[Team],0),MATCH(O$2,OLook[#Headers],0)))</f>
        <v>22.7</v>
      </c>
      <c r="P9" s="12">
        <f>IF(ISBLANK($G9),"",INDEX(OLook[],MATCH($G9,OLook[Team],0),MATCH(P$2,OLook[#Headers],0)))</f>
        <v>0.74399999999999999</v>
      </c>
      <c r="Q9" s="12">
        <f>IF(ISBLANK($G9),"",INDEX(OLook[],MATCH($G9,OLook[Team],0),MATCH(Q$2,OLook[#Headers],0)))</f>
        <v>10</v>
      </c>
      <c r="R9" s="12">
        <f>IF(ISBLANK($G9),"",INDEX(OLook[],MATCH($G9,OLook[Team],0),MATCH(R$2,OLook[#Headers],0)))</f>
        <v>32.6</v>
      </c>
      <c r="S9" s="12">
        <f>IF(ISBLANK($G9),"",INDEX(OLook[],MATCH($G9,OLook[Team],0),MATCH(S$2,OLook[#Headers],0)))</f>
        <v>24.5</v>
      </c>
      <c r="T9" s="12">
        <f>IF(ISBLANK($G9),"",INDEX(OLook[],MATCH($G9,OLook[Team],0),MATCH(T$2,OLook[#Headers],0)))</f>
        <v>7.5</v>
      </c>
      <c r="U9" s="12">
        <f>IF(ISBLANK($G9),"",INDEX(OLook[],MATCH($G9,OLook[Team],0),MATCH(U$2,OLook[#Headers],0)))</f>
        <v>4.5999999999999996</v>
      </c>
      <c r="V9" s="12">
        <f>IF(ISBLANK($G9),"",INDEX(OLook[],MATCH($G9,OLook[Team],0),MATCH(V$2,OLook[#Headers],0)))</f>
        <v>15.6</v>
      </c>
      <c r="W9" s="12">
        <f>IF(ISBLANK($G9),"",INDEX(OLook[],MATCH($G9,OLook[Team],0),MATCH(W$2,OLook[#Headers],0)))</f>
        <v>19.899999999999999</v>
      </c>
      <c r="X9" s="12">
        <f>IF(ISBLANK($G9),"",INDEX(OLook[],MATCH($G9,OLook[Team],0),MATCH(X$2,OLook[#Headers],0)))</f>
        <v>0.52900000000000003</v>
      </c>
      <c r="Y9" s="12">
        <f>IF(ISBLANK($G9),"",INDEX(OLook[],MATCH($G9,OLook[Team],0),MATCH(Y$2,OLook[#Headers],0)))</f>
        <v>13.9</v>
      </c>
      <c r="Z9" s="12">
        <f>IF(ISBLANK($G9),"",INDEX(OLook[],MATCH($G9,OLook[Team],0),MATCH(Z$2,OLook[#Headers],0)))</f>
        <v>22.7</v>
      </c>
      <c r="AA9" s="12">
        <f>IF(ISBLANK($G9),"",INDEX(OLook[],MATCH($G9,OLook[Team],0),MATCH(AA$2,OLook[#Headers],0)))</f>
        <v>0.19400000000000001</v>
      </c>
      <c r="AB9" s="12">
        <f>IF(ISBLANK($G9),"",INDEX(OLook[],MATCH($G9,OLook[Team],0),MATCH(AB$2,OLook[#Headers],0)))</f>
        <v>-4.07</v>
      </c>
      <c r="AC9" s="12">
        <f>IF(ISBLANK($G9),"",INDEX(OLook[],MATCH($G9,OLook[Team],0),MATCH(AC$2,OLook[#Headers],0)))</f>
        <v>97.6</v>
      </c>
      <c r="AD9" s="12">
        <f>IF(ISBLANK($G9),"",INDEX(OLook[],MATCH($G9,OLook[Team],0),MATCH(AD$2,OLook[#Headers],0)))</f>
        <v>-2.6100000000000279</v>
      </c>
      <c r="AE9" s="12">
        <f>IF(ISBLANK($G9),"",INDEX(OLook[],MATCH($G9,OLook[Team],0),MATCH(AE$2,OLook[#Headers],0)))</f>
        <v>2</v>
      </c>
      <c r="AF9" s="12">
        <f>IF(ISBLANK($G9),"",IF(ISODD(ROW()),INDEX(Scores!$B$2:'Scores'!$N$32,MATCH(G9,Scores!$C$2:$C$32,0),6),INDEX(Scores!$B$2:'Scores'!$N$32,MATCH(G9,Scores!$C$2:$C$32,0),10)))</f>
        <v>11.251044900015065</v>
      </c>
      <c r="AG9" s="12">
        <f ca="1">IF(ISBLANK($G9),"",INDEX(Scores!$B$2:$P$32,MATCH($G9,Scores!$C$2:$C$32,0),MATCH(AG$2,Scores!$B$2:$P$2,0)))</f>
        <v>0</v>
      </c>
      <c r="AH9" s="11">
        <f>IF(ISBLANK($G9),"",INDEX(DLook[],MATCH($G9,DLook[Team],0),MATCH(AH$2,DLook[#Headers],0)))</f>
        <v>88.8</v>
      </c>
      <c r="AI9" s="11">
        <f>IF(ISBLANK($G9),"",INDEX(DLook[],MATCH($G9,DLook[Team],0),MATCH(AI$2,DLook[#Headers],0)))</f>
        <v>0.48</v>
      </c>
      <c r="AJ9" s="11">
        <f>IF(ISBLANK($G9),"",INDEX(DLook[],MATCH($G9,DLook[Team],0),MATCH(AJ$2,DLook[#Headers],0)))</f>
        <v>30</v>
      </c>
      <c r="AK9" s="11">
        <f>IF(ISBLANK($G9),"",INDEX(DLook[],MATCH($G9,DLook[Team],0),MATCH(AK$2,DLook[#Headers],0)))</f>
        <v>0.36</v>
      </c>
      <c r="AL9" s="11">
        <f>IF(ISBLANK($G9),"",INDEX(DLook[],MATCH($G9,DLook[Team],0),MATCH(AL$2,DLook[#Headers],0)))</f>
        <v>21.1</v>
      </c>
      <c r="AM9" s="11">
        <f>IF(ISBLANK($G9),"",INDEX(DLook[],MATCH($G9,DLook[Team],0),MATCH(AM$2,DLook[#Headers],0)))</f>
        <v>0.77700000000000002</v>
      </c>
      <c r="AN9" s="11">
        <f>IF(ISBLANK($G9),"",INDEX(DLook[],MATCH($G9,DLook[Team],0),MATCH(AN$2,DLook[#Headers],0)))</f>
        <v>10.199999999999999</v>
      </c>
      <c r="AO9" s="11">
        <f>IF(ISBLANK($G9),"",INDEX(DLook[],MATCH($G9,DLook[Team],0),MATCH(AO$2,DLook[#Headers],0)))</f>
        <v>33.9</v>
      </c>
      <c r="AP9" s="11">
        <f>IF(ISBLANK($G9),"",INDEX(DLook[],MATCH($G9,DLook[Team],0),MATCH(AP$2,DLook[#Headers],0)))</f>
        <v>25</v>
      </c>
      <c r="AQ9" s="11">
        <f>IF(ISBLANK($G9),"",INDEX(DLook[],MATCH($G9,DLook[Team],0),MATCH(AQ$2,DLook[#Headers],0)))</f>
        <v>8.4</v>
      </c>
      <c r="AR9" s="11">
        <f>IF(ISBLANK($G9),"",INDEX(DLook[],MATCH($G9,DLook[Team],0),MATCH(AR$2,DLook[#Headers],0)))</f>
        <v>5.7</v>
      </c>
      <c r="AS9" s="11">
        <f>IF(ISBLANK($G9),"",INDEX(DLook[],MATCH($G9,DLook[Team],0),MATCH(AS$2,DLook[#Headers],0)))</f>
        <v>14.2</v>
      </c>
      <c r="AT9" s="11">
        <f>IF(ISBLANK($G9),"",INDEX(DLook[],MATCH($G9,DLook[Team],0),MATCH(AT$2,DLook[#Headers],0)))</f>
        <v>20.2</v>
      </c>
      <c r="AU9" s="11">
        <f>IF(ISBLANK($G9),"",INDEX(DLook[],MATCH($G9,DLook[Team],0),MATCH(AU$2,DLook[#Headers],0)))</f>
        <v>0.54100000000000004</v>
      </c>
      <c r="AV9" s="11">
        <f>IF(ISBLANK($G9),"",INDEX(DLook[],MATCH($G9,DLook[Team],0),MATCH(AV$2,DLook[#Headers],0)))</f>
        <v>12.7</v>
      </c>
      <c r="AW9" s="11">
        <f>IF(ISBLANK($G9),"",INDEX(DLook[],MATCH($G9,DLook[Team],0),MATCH(AW$2,DLook[#Headers],0)))</f>
        <v>76.099999999999994</v>
      </c>
      <c r="AX9" s="11">
        <f>IF(ISBLANK($G9),"",INDEX(DLook[],MATCH($G9,DLook[Team],0),MATCH(AX$2,DLook[#Headers],0)))</f>
        <v>0.184</v>
      </c>
      <c r="AY9" s="11">
        <f>IF(ISBLANK($G9),"",INDEX(DLook[],MATCH($G9,DLook[Team],0),MATCH(AY$2,DLook[#Headers],0)))</f>
        <v>3</v>
      </c>
      <c r="AZ9" s="14">
        <f t="shared" si="0"/>
        <v>86.48571428571428</v>
      </c>
      <c r="BA9" s="14">
        <f t="shared" si="1"/>
        <v>0.46114285714285719</v>
      </c>
      <c r="BB9" s="14">
        <f t="shared" si="2"/>
        <v>30.2</v>
      </c>
      <c r="BC9" s="14">
        <f t="shared" si="3"/>
        <v>0.35800000000000004</v>
      </c>
      <c r="BD9" s="14">
        <f t="shared" si="4"/>
        <v>23.914285714285715</v>
      </c>
      <c r="BE9" s="14">
        <f t="shared" si="5"/>
        <v>0.74328571428571422</v>
      </c>
      <c r="BF9" s="14">
        <f t="shared" si="6"/>
        <v>9.0714285714285712</v>
      </c>
      <c r="BG9" s="14">
        <f t="shared" si="7"/>
        <v>33.385714285714286</v>
      </c>
      <c r="BH9" s="14">
        <f t="shared" si="8"/>
        <v>23.285714285714285</v>
      </c>
      <c r="BI9" s="14">
        <f t="shared" si="9"/>
        <v>7.1428571428571432</v>
      </c>
      <c r="BJ9" s="14">
        <f t="shared" si="10"/>
        <v>4.0999999999999996</v>
      </c>
      <c r="BK9" s="14">
        <f t="shared" si="11"/>
        <v>14.6</v>
      </c>
      <c r="BL9" s="14">
        <f t="shared" si="12"/>
        <v>20.25714285714286</v>
      </c>
      <c r="BM9" s="14">
        <f t="shared" si="13"/>
        <v>0.52400000000000002</v>
      </c>
      <c r="BN9" s="14">
        <f t="shared" si="14"/>
        <v>13.114285714285714</v>
      </c>
      <c r="BO9" s="14">
        <f t="shared" si="15"/>
        <v>63.842857142857142</v>
      </c>
      <c r="BP9" s="14">
        <f t="shared" si="16"/>
        <v>0.20614285714285716</v>
      </c>
      <c r="BQ9" s="13">
        <f t="shared" si="17"/>
        <v>116.91048670430504</v>
      </c>
      <c r="BR9" s="13">
        <f t="shared" si="18"/>
        <v>109.35535566172405</v>
      </c>
      <c r="BS9" s="13">
        <f t="shared" si="19"/>
        <v>112.8736348867285</v>
      </c>
      <c r="BT9" s="13">
        <f t="shared" si="20"/>
        <v>98.199999999999989</v>
      </c>
      <c r="BU9" s="13">
        <f t="shared" si="36"/>
        <v>-1.8900000000000261</v>
      </c>
      <c r="BV9" s="13">
        <f t="shared" si="37"/>
        <v>96.344019999999958</v>
      </c>
      <c r="BW9" s="13">
        <f t="shared" si="58"/>
        <v>108.74699736999662</v>
      </c>
      <c r="BX9" s="13">
        <f t="shared" si="21"/>
        <v>-6.12</v>
      </c>
      <c r="BY9" s="13">
        <f t="shared" si="38"/>
        <v>-1.4649956872066099</v>
      </c>
      <c r="BZ9" s="13">
        <f t="shared" si="39"/>
        <v>-5.1059467347539931</v>
      </c>
      <c r="CA9" s="13">
        <f>IF(ISBLANK(B9),0,INDEX(Advanced_Table[],MATCH(B9,Advanced_Table[Player],0),MATCH("Scaled VORP",Advanced_Table[#Headers],0)))+IF(ISBLANK(C9),0,INDEX(Advanced_Table[],MATCH(C9,Advanced_Table[Player],0),MATCH("Scaled VORP",Advanced_Table[#Headers],0)))+IF(ISBLANK(D9),0,INDEX(Advanced_Table[],MATCH(D9,Advanced_Table[Player],0),MATCH("Scaled VORP",Advanced_Table[#Headers],0)))+IF(ISBLANK(E9),0,INDEX(Advanced_Table[],MATCH(E9,Advanced_Table[Player],0),MATCH("Scaled VORP",Advanced_Table[#Headers],0)))+IF(ISBLANK(F9),0,INDEX(Advanced_Table[],MATCH(F9,Advanced_Table[Player],0),MATCH("Scaled VORP",Advanced_Table[#Headers],0)))</f>
        <v>4.2874285714285714</v>
      </c>
      <c r="CB9" s="13">
        <f t="shared" ca="1" si="40"/>
        <v>101.90659543119105</v>
      </c>
      <c r="CC9" s="13">
        <f t="shared" si="22"/>
        <v>15.907459224502388</v>
      </c>
      <c r="CD9" s="14">
        <f>INDEX(Defense!$AB$3:$BA$8,2,MATCH(CD$2,Defense!$AB$3:$BA$3,0))</f>
        <v>1.1881973445510248</v>
      </c>
      <c r="CE9" s="14">
        <f>INDEX(Defense!$AB$3:$BA$8,2,MATCH(CE$2,Defense!$AB$3:$BA$3,0))</f>
        <v>20.37695032952751</v>
      </c>
      <c r="CF9" s="14">
        <f>INDEX(Defense!$AB$3:$BA$8,2,MATCH(CF$2,Defense!$AB$3:$BA$3,0))</f>
        <v>3.8108594084794688E-2</v>
      </c>
      <c r="CG9" s="14">
        <f>INDEX(Defense!$AB$3:$BA$8,2,MATCH(CG$2,Defense!$AB$3:$BA$3,0))</f>
        <v>0.82665533501354516</v>
      </c>
      <c r="CH9" s="14">
        <f>INDEX(Defense!$AB$3:$BA$8,2,MATCH(CH$2,Defense!$AB$3:$BA$3,0))</f>
        <v>0.96847375256109303</v>
      </c>
      <c r="CI9" s="14">
        <f>INDEX(Defense!$AB$3:$BA$8,2,MATCH(CI$2,Defense!$AB$3:$BA$3,0))</f>
        <v>24.899423599851655</v>
      </c>
      <c r="CJ9" s="14">
        <f>INDEX(Defense!$AB$3:$BA$8,2,MATCH(CJ$2,Defense!$AB$3:$BA$3,0))</f>
        <v>4.3333160259283868E-2</v>
      </c>
      <c r="CK9" s="14">
        <f>INDEX(Defense!$AB$3:$BA$8,2,MATCH(CK$2,Defense!$AB$3:$BA$3,0))</f>
        <v>4.3643719755598418E-3</v>
      </c>
      <c r="CL9" s="14">
        <f>INDEX(Defense!$AB$3:$BA$8,2,MATCH(CL$2,Defense!$AB$3:$BA$3,0))</f>
        <v>3.3980730825493605E-2</v>
      </c>
      <c r="CM9" s="14">
        <f>INDEX(Defense!$AB$3:$BA$8,2,MATCH(CM$2,Defense!$AB$3:$BA$3,0))</f>
        <v>2.2130116153199469E-2</v>
      </c>
      <c r="CN9" s="14">
        <f>INDEX(Defense!$AB$3:$BA$8,2,MATCH(CN$2,Defense!$AB$3:$BA$3,0))</f>
        <v>1.5770727592026978E-2</v>
      </c>
      <c r="CO9" s="14">
        <f>INDEX(Defense!$AB$3:$BA$8,2,MATCH(CO$2,Defense!$AB$3:$BA$3,0))</f>
        <v>3.4820867870809513E-2</v>
      </c>
      <c r="CP9" s="14">
        <f>INDEX(Defense!$AB$3:$BA$8,2,MATCH(CP$2,Defense!$AB$3:$BA$3,0))</f>
        <v>-8.5450857094943424E-4</v>
      </c>
      <c r="CQ9" s="14">
        <f>INDEX(Defense!$AB$3:$BA$8,2,MATCH(CQ$2,Defense!$AB$3:$BA$3,0))</f>
        <v>160.75587555196628</v>
      </c>
      <c r="CR9" s="14">
        <f>INDEX(Defense!$AB$3:$BA$8,2,MATCH(CR$2,Defense!$AB$3:$BA$3,0))</f>
        <v>0.15454953937048871</v>
      </c>
      <c r="CS9" s="14">
        <f>INDEX(Defense!$AB$3:$BA$8,2,MATCH(CS$2,Defense!$AB$3:$BA$3,0))</f>
        <v>0.10198746342122103</v>
      </c>
      <c r="CT9" s="14">
        <f>INDEX(Defense!$AB$3:$BA$8,2,MATCH(CT$2,Defense!$AB$3:$BA$3,0))</f>
        <v>-13.759669623776899</v>
      </c>
      <c r="CU9" s="14">
        <f>INDEX(Defense!$AB$3:$BA$8,2,MATCH(CU$2,Defense!$AB$3:$BA$3,0))</f>
        <v>-140.43646301959095</v>
      </c>
      <c r="CV9" s="15">
        <f>INDEX(Offense!$AB$3:$BA$8,2,MATCH(CV$2,Offense!$AB$3:$BA$3,0))</f>
        <v>0.94854285448896025</v>
      </c>
      <c r="CW9" s="15">
        <f>INDEX(Offense!$AB$3:$BA$8,2,MATCH(CW$2,Offense!$AB$3:$BA$3,0))</f>
        <v>85.640824181858136</v>
      </c>
      <c r="CX9" s="15">
        <f>INDEX(Offense!$AB$3:$BA$8,2,MATCH(CX$2,Offense!$AB$3:$BA$3,0))</f>
        <v>0.18969054669932336</v>
      </c>
      <c r="CY9" s="15">
        <f>INDEX(Offense!$AB$3:$BA$8,2,MATCH(CY$2,Offense!$AB$3:$BA$3,0))</f>
        <v>15.281981293875587</v>
      </c>
      <c r="CZ9" s="15">
        <f>INDEX(Offense!$AB$3:$BA$8,2,MATCH(CZ$2,Offense!$AB$3:$BA$3,0))</f>
        <v>8.6824407438745616E-2</v>
      </c>
      <c r="DA9" s="15">
        <f>INDEX(Offense!$AB$3:$BA$8,2,MATCH(DA$2,Offense!$AB$3:$BA$3,0))</f>
        <v>5.4421042890783919</v>
      </c>
      <c r="DB9" s="15">
        <f>INDEX(Offense!$AB$3:$BA$8,2,MATCH(DB$2,Offense!$AB$3:$BA$3,0))</f>
        <v>-0.20243279756818017</v>
      </c>
      <c r="DC9" s="15">
        <f>INDEX(Offense!$AB$3:$BA$8,2,MATCH(DC$2,Offense!$AB$3:$BA$3,0))</f>
        <v>-1.5058230699739127E-2</v>
      </c>
      <c r="DD9" s="15">
        <f>INDEX(Offense!$AB$3:$BA$8,2,MATCH(DD$2,Offense!$AB$3:$BA$3,0))</f>
        <v>1.816205347682766E-4</v>
      </c>
      <c r="DE9" s="15">
        <f>INDEX(Offense!$AB$3:$BA$8,2,MATCH(DE$2,Offense!$AB$3:$BA$3,0))</f>
        <v>-3.5192292427553826E-2</v>
      </c>
      <c r="DF9" s="15">
        <f>INDEX(Offense!$AB$3:$BA$8,2,MATCH(DF$2,Offense!$AB$3:$BA$3,0))</f>
        <v>-5.4876472195541252E-2</v>
      </c>
      <c r="DG9" s="15">
        <f>INDEX(Offense!$AB$3:$BA$8,2,MATCH(DG$2,Offense!$AB$3:$BA$3,0))</f>
        <v>9.8474663700154286E-2</v>
      </c>
      <c r="DH9" s="15">
        <f>INDEX(Offense!$AB$3:$BA$8,2,MATCH(DH$2,Offense!$AB$3:$BA$3,0))</f>
        <v>1.3645952114017732E-3</v>
      </c>
      <c r="DI9" s="15">
        <f>INDEX(Offense!$AB$3:$BA$8,2,MATCH(DI$2,Offense!$AB$3:$BA$3,0))</f>
        <v>84.693499827495899</v>
      </c>
      <c r="DJ9" s="15">
        <f>INDEX(Offense!$AB$3:$BA$8,2,MATCH(DJ$2,Offense!$AB$3:$BA$3,0))</f>
        <v>-0.41522539338692127</v>
      </c>
      <c r="DK9" s="15">
        <f>INDEX(Offense!$AB$3:$BA$8,2,MATCH(DK$2,Offense!$AB$3:$BA$3,0))</f>
        <v>0.19885166787903463</v>
      </c>
      <c r="DL9" s="15">
        <f>INDEX(Offense!$AB$3:$BA$8,2,MATCH(DL$2,Offense!$AB$3:$BA$3,0))</f>
        <v>65.336144739305752</v>
      </c>
      <c r="DM9" s="15">
        <f>INDEX(Offense!$AB$3:$BA$8,2,MATCH(DM$2,Offense!$AB$3:$BA$3,0))</f>
        <v>-85.690558012232202</v>
      </c>
      <c r="DN9">
        <f t="shared" si="23"/>
        <v>11</v>
      </c>
      <c r="DO9">
        <f t="shared" ca="1" si="24"/>
        <v>6.4723244817612624</v>
      </c>
      <c r="DP9">
        <f t="shared" ca="1" si="25"/>
        <v>0.3420504299607795</v>
      </c>
      <c r="DQ9" t="e">
        <f>IF(#REF!=0,"",ROUND(IF(#REF!&lt;0,#REF!/(#REF!-100),1/(#REF!/100+1)),2))</f>
        <v>#REF!</v>
      </c>
      <c r="DR9">
        <f t="shared" ca="1" si="26"/>
        <v>0.61203463177364303</v>
      </c>
      <c r="DS9">
        <f t="shared" ca="1" si="27"/>
        <v>0.4734194596561041</v>
      </c>
      <c r="DT9" s="58">
        <f t="shared" ca="1" si="59"/>
        <v>0.3420504299607795</v>
      </c>
      <c r="DU9" s="16">
        <f t="shared" ca="1" si="41"/>
        <v>6.5</v>
      </c>
      <c r="DV9" s="176">
        <f ca="1">IFERROR(IF(ISODD(ROW()),ROUND(CB9+CB10,0),ROUND(CB9+CB8,0)),"")</f>
        <v>210</v>
      </c>
      <c r="DX9" t="str">
        <f t="shared" ca="1" si="28"/>
        <v>Pistons @ 76ers</v>
      </c>
      <c r="DY9" t="str">
        <f t="shared" ca="1" si="29"/>
        <v>Pistons +11</v>
      </c>
      <c r="DZ9" s="39">
        <f t="shared" ca="1" si="30"/>
        <v>0.61203463177364303</v>
      </c>
      <c r="EA9" t="str">
        <f t="shared" ca="1" si="42"/>
        <v>Pistons @ 76ers</v>
      </c>
      <c r="EB9" t="str">
        <f t="shared" ca="1" si="31"/>
        <v>Pistons</v>
      </c>
      <c r="EC9" t="str">
        <f t="shared" ca="1" si="43"/>
        <v>+11</v>
      </c>
      <c r="ED9">
        <f t="shared" ca="1" si="60"/>
        <v>0.61203463177364303</v>
      </c>
      <c r="EE9">
        <f t="shared" ca="1" si="32"/>
        <v>20.785311248004515</v>
      </c>
      <c r="EF9" t="str">
        <f t="shared" ca="1" si="44"/>
        <v/>
      </c>
      <c r="EG9" t="str">
        <f t="shared" ca="1" si="33"/>
        <v/>
      </c>
      <c r="EH9" t="str">
        <f t="shared" ca="1" si="45"/>
        <v/>
      </c>
      <c r="EI9" t="str">
        <f t="shared" ca="1" si="34"/>
        <v/>
      </c>
      <c r="EJ9">
        <f t="shared" si="46"/>
        <v>0</v>
      </c>
      <c r="EK9" t="str">
        <f t="shared" si="47"/>
        <v/>
      </c>
      <c r="EL9" t="e">
        <f>IF(ISBLANK(G9),"",IF(DQ9&lt;0.5,IF(DP9&gt;0.5*$FG$7,G9&amp;" Moneyline (+"&amp;#REF!&amp;")",""),IF(DP9&gt;$FG$6*DQ9,G9&amp;" Moneyline ("&amp;#REF!&amp;")","")))</f>
        <v>#REF!</v>
      </c>
      <c r="EN9">
        <f t="shared" ca="1" si="48"/>
        <v>7</v>
      </c>
      <c r="EO9" t="str">
        <f t="shared" si="35"/>
        <v>Pistons @ 76ers</v>
      </c>
      <c r="EP9" t="str">
        <f t="shared" ca="1" si="49"/>
        <v>Pistons +11</v>
      </c>
      <c r="EQ9" s="19">
        <f t="shared" ca="1" si="50"/>
        <v>0.61203463177364303</v>
      </c>
      <c r="ER9">
        <f t="shared" ca="1" si="51"/>
        <v>0</v>
      </c>
      <c r="ES9" s="19" t="str">
        <f t="shared" ca="1" si="52"/>
        <v/>
      </c>
      <c r="ET9" s="19" t="str">
        <f ca="1">IF(ISBLANK(G9),"",IF(DT9&gt;0.625,G9&amp;" Moneyline ("&amp;#REF!&amp;")",""))</f>
        <v/>
      </c>
      <c r="EU9" s="1" t="str">
        <f ca="1">IF(ISNUMBER(CODE(ET9)),#REF!,"")</f>
        <v/>
      </c>
      <c r="EV9" s="1" t="str">
        <f t="shared" ca="1" si="53"/>
        <v/>
      </c>
      <c r="EW9" s="3"/>
      <c r="EX9" s="1" t="e">
        <f t="shared" ca="1" si="54"/>
        <v>#N/A</v>
      </c>
      <c r="EY9" s="1" t="e">
        <f t="shared" ca="1" si="55"/>
        <v>#N/A</v>
      </c>
      <c r="EZ9" s="3" t="e">
        <f t="shared" ca="1" si="56"/>
        <v>#N/A</v>
      </c>
      <c r="FA9" s="19"/>
      <c r="FB9" s="19"/>
      <c r="FC9" s="19"/>
      <c r="FD9" s="19"/>
      <c r="FE9" s="19"/>
    </row>
    <row r="10" spans="2:163" ht="15.75" thickBot="1" x14ac:dyDescent="0.3">
      <c r="B10" t="s">
        <v>447</v>
      </c>
      <c r="G10" s="9" t="s">
        <v>178</v>
      </c>
      <c r="H10" s="10">
        <v>-11</v>
      </c>
      <c r="I10" s="10"/>
      <c r="J10" s="180">
        <f t="shared" ref="J10" si="65">IF(H10&lt;1,H11,H10)</f>
        <v>0</v>
      </c>
      <c r="K10" s="12">
        <f>IF(ISBLANK($G10),"",INDEX(OLook[],MATCH($G10,OLook[Team],0),MATCH(K$2,OLook[#Headers],0)))</f>
        <v>88.4</v>
      </c>
      <c r="L10" s="12">
        <f>IF(ISBLANK($G10),"",INDEX(OLook[],MATCH($G10,OLook[Team],0),MATCH(L$2,OLook[#Headers],0)))</f>
        <v>0.46400000000000002</v>
      </c>
      <c r="M10" s="12">
        <f>IF(ISBLANK($G10),"",INDEX(OLook[],MATCH($G10,OLook[Team],0),MATCH(M$2,OLook[#Headers],0)))</f>
        <v>31.8</v>
      </c>
      <c r="N10" s="12">
        <f>IF(ISBLANK($G10),"",INDEX(OLook[],MATCH($G10,OLook[Team],0),MATCH(N$2,OLook[#Headers],0)))</f>
        <v>0.36099999999999999</v>
      </c>
      <c r="O10" s="12">
        <f>IF(ISBLANK($G10),"",INDEX(OLook[],MATCH($G10,OLook[Team],0),MATCH(O$2,OLook[#Headers],0)))</f>
        <v>22.1</v>
      </c>
      <c r="P10" s="12">
        <f>IF(ISBLANK($G10),"",INDEX(OLook[],MATCH($G10,OLook[Team],0),MATCH(P$2,OLook[#Headers],0)))</f>
        <v>0.751</v>
      </c>
      <c r="Q10" s="12">
        <f>IF(ISBLANK($G10),"",INDEX(OLook[],MATCH($G10,OLook[Team],0),MATCH(Q$2,OLook[#Headers],0)))</f>
        <v>10.4</v>
      </c>
      <c r="R10" s="12">
        <f>IF(ISBLANK($G10),"",INDEX(OLook[],MATCH($G10,OLook[Team],0),MATCH(R$2,OLook[#Headers],0)))</f>
        <v>35.299999999999997</v>
      </c>
      <c r="S10" s="12">
        <f>IF(ISBLANK($G10),"",INDEX(OLook[],MATCH($G10,OLook[Team],0),MATCH(S$2,OLook[#Headers],0)))</f>
        <v>26</v>
      </c>
      <c r="T10" s="12">
        <f>IF(ISBLANK($G10),"",INDEX(OLook[],MATCH($G10,OLook[Team],0),MATCH(T$2,OLook[#Headers],0)))</f>
        <v>8.1999999999999993</v>
      </c>
      <c r="U10" s="12">
        <f>IF(ISBLANK($G10),"",INDEX(OLook[],MATCH($G10,OLook[Team],0),MATCH(U$2,OLook[#Headers],0)))</f>
        <v>5.4</v>
      </c>
      <c r="V10" s="12">
        <f>IF(ISBLANK($G10),"",INDEX(OLook[],MATCH($G10,OLook[Team],0),MATCH(V$2,OLook[#Headers],0)))</f>
        <v>14.3</v>
      </c>
      <c r="W10" s="12">
        <f>IF(ISBLANK($G10),"",INDEX(OLook[],MATCH($G10,OLook[Team],0),MATCH(W$2,OLook[#Headers],0)))</f>
        <v>20.8</v>
      </c>
      <c r="X10" s="12">
        <f>IF(ISBLANK($G10),"",INDEX(OLook[],MATCH($G10,OLook[Team],0),MATCH(X$2,OLook[#Headers],0)))</f>
        <v>0.52900000000000003</v>
      </c>
      <c r="Y10" s="12">
        <f>IF(ISBLANK($G10),"",INDEX(OLook[],MATCH($G10,OLook[Team],0),MATCH(Y$2,OLook[#Headers],0)))</f>
        <v>12.7</v>
      </c>
      <c r="Z10" s="12">
        <f>IF(ISBLANK($G10),"",INDEX(OLook[],MATCH($G10,OLook[Team],0),MATCH(Z$2,OLook[#Headers],0)))</f>
        <v>23.6</v>
      </c>
      <c r="AA10" s="12">
        <f>IF(ISBLANK($G10),"",INDEX(OLook[],MATCH($G10,OLook[Team],0),MATCH(AA$2,OLook[#Headers],0)))</f>
        <v>0.187</v>
      </c>
      <c r="AB10" s="12">
        <f>IF(ISBLANK($G10),"",INDEX(OLook[],MATCH($G10,OLook[Team],0),MATCH(AB$2,OLook[#Headers],0)))</f>
        <v>2.0499999999999998</v>
      </c>
      <c r="AC10" s="12">
        <f>IF(ISBLANK($G10),"",INDEX(OLook[],MATCH($G10,OLook[Team],0),MATCH(AC$2,OLook[#Headers],0)))</f>
        <v>98.8</v>
      </c>
      <c r="AD10" s="12">
        <f>IF(ISBLANK($G10),"",INDEX(OLook[],MATCH($G10,OLook[Team],0),MATCH(AD$2,OLook[#Headers],0)))</f>
        <v>-1.410000000000025</v>
      </c>
      <c r="AE10" s="12">
        <f>IF(ISBLANK($G10),"",INDEX(OLook[],MATCH($G10,OLook[Team],0),MATCH(AE$2,OLook[#Headers],0)))</f>
        <v>2</v>
      </c>
      <c r="AF10" s="12">
        <f>IF(ISBLANK($G10),"",IF(ISODD(ROW()),INDEX(Scores!$B$2:'Scores'!$N$32,MATCH(G10,Scores!$C$2:$C$32,0),6),INDEX(Scores!$B$2:'Scores'!$N$32,MATCH(G10,Scores!$C$2:$C$32,0),10)))</f>
        <v>11.245498994577833</v>
      </c>
      <c r="AG10" s="12">
        <f ca="1">IF(ISBLANK($G10),"",INDEX(Scores!$B$2:$P$32,MATCH($G10,Scores!$C$2:$C$32,0),MATCH(AG$2,Scores!$B$2:$P$2,0)))</f>
        <v>0</v>
      </c>
      <c r="AH10" s="11">
        <f>IF(ISBLANK($G10),"",INDEX(DLook[],MATCH($G10,DLook[Team],0),MATCH(AH$2,DLook[#Headers],0)))</f>
        <v>86.2</v>
      </c>
      <c r="AI10" s="11">
        <f>IF(ISBLANK($G10),"",INDEX(DLook[],MATCH($G10,DLook[Team],0),MATCH(AI$2,DLook[#Headers],0)))</f>
        <v>0.46200000000000002</v>
      </c>
      <c r="AJ10" s="11">
        <f>IF(ISBLANK($G10),"",INDEX(DLook[],MATCH($G10,DLook[Team],0),MATCH(AJ$2,DLook[#Headers],0)))</f>
        <v>29</v>
      </c>
      <c r="AK10" s="11">
        <f>IF(ISBLANK($G10),"",INDEX(DLook[],MATCH($G10,DLook[Team],0),MATCH(AK$2,DLook[#Headers],0)))</f>
        <v>0.35399999999999998</v>
      </c>
      <c r="AL10" s="11">
        <f>IF(ISBLANK($G10),"",INDEX(DLook[],MATCH($G10,DLook[Team],0),MATCH(AL$2,DLook[#Headers],0)))</f>
        <v>24.4</v>
      </c>
      <c r="AM10" s="11">
        <f>IF(ISBLANK($G10),"",INDEX(DLook[],MATCH($G10,DLook[Team],0),MATCH(AM$2,DLook[#Headers],0)))</f>
        <v>0.74299999999999999</v>
      </c>
      <c r="AN10" s="11">
        <f>IF(ISBLANK($G10),"",INDEX(DLook[],MATCH($G10,DLook[Team],0),MATCH(AN$2,DLook[#Headers],0)))</f>
        <v>8.6999999999999993</v>
      </c>
      <c r="AO10" s="11">
        <f>IF(ISBLANK($G10),"",INDEX(DLook[],MATCH($G10,DLook[Team],0),MATCH(AO$2,DLook[#Headers],0)))</f>
        <v>33.700000000000003</v>
      </c>
      <c r="AP10" s="11">
        <f>IF(ISBLANK($G10),"",INDEX(DLook[],MATCH($G10,DLook[Team],0),MATCH(AP$2,DLook[#Headers],0)))</f>
        <v>22.8</v>
      </c>
      <c r="AQ10" s="11">
        <f>IF(ISBLANK($G10),"",INDEX(DLook[],MATCH($G10,DLook[Team],0),MATCH(AQ$2,DLook[#Headers],0)))</f>
        <v>7</v>
      </c>
      <c r="AR10" s="11">
        <f>IF(ISBLANK($G10),"",INDEX(DLook[],MATCH($G10,DLook[Team],0),MATCH(AR$2,DLook[#Headers],0)))</f>
        <v>3.9</v>
      </c>
      <c r="AS10" s="11">
        <f>IF(ISBLANK($G10),"",INDEX(DLook[],MATCH($G10,DLook[Team],0),MATCH(AS$2,DLook[#Headers],0)))</f>
        <v>14.2</v>
      </c>
      <c r="AT10" s="11">
        <f>IF(ISBLANK($G10),"",INDEX(DLook[],MATCH($G10,DLook[Team],0),MATCH(AT$2,DLook[#Headers],0)))</f>
        <v>20.399999999999999</v>
      </c>
      <c r="AU10" s="11">
        <f>IF(ISBLANK($G10),"",INDEX(DLook[],MATCH($G10,DLook[Team],0),MATCH(AU$2,DLook[#Headers],0)))</f>
        <v>0.52200000000000002</v>
      </c>
      <c r="AV10" s="11">
        <f>IF(ISBLANK($G10),"",INDEX(DLook[],MATCH($G10,DLook[Team],0),MATCH(AV$2,DLook[#Headers],0)))</f>
        <v>12.8</v>
      </c>
      <c r="AW10" s="11">
        <f>IF(ISBLANK($G10),"",INDEX(DLook[],MATCH($G10,DLook[Team],0),MATCH(AW$2,DLook[#Headers],0)))</f>
        <v>80.3</v>
      </c>
      <c r="AX10" s="11">
        <f>IF(ISBLANK($G10),"",INDEX(DLook[],MATCH($G10,DLook[Team],0),MATCH(AX$2,DLook[#Headers],0)))</f>
        <v>0.21099999999999999</v>
      </c>
      <c r="AY10" s="11">
        <f>IF(ISBLANK($G10),"",INDEX(DLook[],MATCH($G10,DLook[Team],0),MATCH(AY$2,DLook[#Headers],0)))</f>
        <v>5</v>
      </c>
      <c r="AZ10" s="14">
        <f t="shared" si="0"/>
        <v>88.64</v>
      </c>
      <c r="BA10" s="14">
        <f t="shared" si="1"/>
        <v>0.47359999999999997</v>
      </c>
      <c r="BB10" s="14">
        <f t="shared" si="2"/>
        <v>30.72</v>
      </c>
      <c r="BC10" s="14">
        <f t="shared" si="3"/>
        <v>0.3604</v>
      </c>
      <c r="BD10" s="14">
        <f t="shared" si="4"/>
        <v>21.5</v>
      </c>
      <c r="BE10" s="14">
        <f t="shared" si="5"/>
        <v>0.76660000000000006</v>
      </c>
      <c r="BF10" s="14">
        <f t="shared" si="6"/>
        <v>10.28</v>
      </c>
      <c r="BG10" s="14">
        <f t="shared" si="7"/>
        <v>34.459999999999994</v>
      </c>
      <c r="BH10" s="14">
        <f t="shared" si="8"/>
        <v>25.4</v>
      </c>
      <c r="BI10" s="14">
        <f t="shared" si="9"/>
        <v>8.32</v>
      </c>
      <c r="BJ10" s="14">
        <f t="shared" si="10"/>
        <v>5.58</v>
      </c>
      <c r="BK10" s="14">
        <f t="shared" si="11"/>
        <v>14.239999999999998</v>
      </c>
      <c r="BL10" s="14">
        <f t="shared" si="12"/>
        <v>20.439999999999998</v>
      </c>
      <c r="BM10" s="14">
        <f t="shared" si="13"/>
        <v>0.53620000000000001</v>
      </c>
      <c r="BN10" s="14">
        <f t="shared" si="14"/>
        <v>12.7</v>
      </c>
      <c r="BO10" s="14">
        <f t="shared" si="15"/>
        <v>55.1</v>
      </c>
      <c r="BP10" s="14">
        <f t="shared" si="16"/>
        <v>0.1852</v>
      </c>
      <c r="BQ10" s="13">
        <f t="shared" si="17"/>
        <v>117.75346784242944</v>
      </c>
      <c r="BR10" s="13">
        <f t="shared" si="18"/>
        <v>106.81835716036366</v>
      </c>
      <c r="BS10" s="13">
        <f t="shared" si="19"/>
        <v>114.39422297014728</v>
      </c>
      <c r="BT10" s="13">
        <f t="shared" si="20"/>
        <v>98.199999999999989</v>
      </c>
      <c r="BU10" s="13">
        <f t="shared" si="36"/>
        <v>-1.8900000000000261</v>
      </c>
      <c r="BV10" s="13">
        <f t="shared" si="37"/>
        <v>96.344019999999958</v>
      </c>
      <c r="BW10" s="13">
        <f t="shared" si="58"/>
        <v>110.21199305720323</v>
      </c>
      <c r="BX10" s="13">
        <f t="shared" si="21"/>
        <v>6.12</v>
      </c>
      <c r="BY10" s="13">
        <f t="shared" si="38"/>
        <v>1.4649956872066099</v>
      </c>
      <c r="BZ10" s="13">
        <f t="shared" si="39"/>
        <v>5.1059467347539931</v>
      </c>
      <c r="CA10" s="13">
        <f>IF(ISBLANK(B10),0,INDEX(Advanced_Table[],MATCH(B10,Advanced_Table[Player],0),MATCH("Scaled VORP",Advanced_Table[#Headers],0)))+IF(ISBLANK(C10),0,INDEX(Advanced_Table[],MATCH(C10,Advanced_Table[Player],0),MATCH("Scaled VORP",Advanced_Table[#Headers],0)))+IF(ISBLANK(D10),0,INDEX(Advanced_Table[],MATCH(D10,Advanced_Table[Player],0),MATCH("Scaled VORP",Advanced_Table[#Headers],0)))+IF(ISBLANK(E10),0,INDEX(Advanced_Table[],MATCH(E10,Advanced_Table[Player],0),MATCH("Scaled VORP",Advanced_Table[#Headers],0)))+IF(ISBLANK(F10),0,INDEX(Advanced_Table[],MATCH(F10,Advanced_Table[Player],0),MATCH("Scaled VORP",Advanced_Table[#Headers],0)))</f>
        <v>4.3860465116279066</v>
      </c>
      <c r="CB10" s="13">
        <f t="shared" ca="1" si="40"/>
        <v>108.37891991295231</v>
      </c>
      <c r="CC10" s="13">
        <f t="shared" si="22"/>
        <v>15.907459224502388</v>
      </c>
      <c r="CD10" s="14">
        <f>INDEX(Defense!$AB$3:$BA$8,2,MATCH(CD$2,Defense!$AB$3:$BA$3,0))</f>
        <v>1.1881973445510248</v>
      </c>
      <c r="CE10" s="14">
        <f>INDEX(Defense!$AB$3:$BA$8,2,MATCH(CE$2,Defense!$AB$3:$BA$3,0))</f>
        <v>20.37695032952751</v>
      </c>
      <c r="CF10" s="14">
        <f>INDEX(Defense!$AB$3:$BA$8,2,MATCH(CF$2,Defense!$AB$3:$BA$3,0))</f>
        <v>3.8108594084794688E-2</v>
      </c>
      <c r="CG10" s="14">
        <f>INDEX(Defense!$AB$3:$BA$8,2,MATCH(CG$2,Defense!$AB$3:$BA$3,0))</f>
        <v>0.82665533501354516</v>
      </c>
      <c r="CH10" s="14">
        <f>INDEX(Defense!$AB$3:$BA$8,2,MATCH(CH$2,Defense!$AB$3:$BA$3,0))</f>
        <v>0.96847375256109303</v>
      </c>
      <c r="CI10" s="14">
        <f>INDEX(Defense!$AB$3:$BA$8,2,MATCH(CI$2,Defense!$AB$3:$BA$3,0))</f>
        <v>24.899423599851655</v>
      </c>
      <c r="CJ10" s="14">
        <f>INDEX(Defense!$AB$3:$BA$8,2,MATCH(CJ$2,Defense!$AB$3:$BA$3,0))</f>
        <v>4.3333160259283868E-2</v>
      </c>
      <c r="CK10" s="14">
        <f>INDEX(Defense!$AB$3:$BA$8,2,MATCH(CK$2,Defense!$AB$3:$BA$3,0))</f>
        <v>4.3643719755598418E-3</v>
      </c>
      <c r="CL10" s="14">
        <f>INDEX(Defense!$AB$3:$BA$8,2,MATCH(CL$2,Defense!$AB$3:$BA$3,0))</f>
        <v>3.3980730825493605E-2</v>
      </c>
      <c r="CM10" s="14">
        <f>INDEX(Defense!$AB$3:$BA$8,2,MATCH(CM$2,Defense!$AB$3:$BA$3,0))</f>
        <v>2.2130116153199469E-2</v>
      </c>
      <c r="CN10" s="14">
        <f>INDEX(Defense!$AB$3:$BA$8,2,MATCH(CN$2,Defense!$AB$3:$BA$3,0))</f>
        <v>1.5770727592026978E-2</v>
      </c>
      <c r="CO10" s="14">
        <f>INDEX(Defense!$AB$3:$BA$8,2,MATCH(CO$2,Defense!$AB$3:$BA$3,0))</f>
        <v>3.4820867870809513E-2</v>
      </c>
      <c r="CP10" s="14">
        <f>INDEX(Defense!$AB$3:$BA$8,2,MATCH(CP$2,Defense!$AB$3:$BA$3,0))</f>
        <v>-8.5450857094943424E-4</v>
      </c>
      <c r="CQ10" s="14">
        <f>INDEX(Defense!$AB$3:$BA$8,2,MATCH(CQ$2,Defense!$AB$3:$BA$3,0))</f>
        <v>160.75587555196628</v>
      </c>
      <c r="CR10" s="14">
        <f>INDEX(Defense!$AB$3:$BA$8,2,MATCH(CR$2,Defense!$AB$3:$BA$3,0))</f>
        <v>0.15454953937048871</v>
      </c>
      <c r="CS10" s="14">
        <f>INDEX(Defense!$AB$3:$BA$8,2,MATCH(CS$2,Defense!$AB$3:$BA$3,0))</f>
        <v>0.10198746342122103</v>
      </c>
      <c r="CT10" s="14">
        <f>INDEX(Defense!$AB$3:$BA$8,2,MATCH(CT$2,Defense!$AB$3:$BA$3,0))</f>
        <v>-13.759669623776899</v>
      </c>
      <c r="CU10" s="14">
        <f>INDEX(Defense!$AB$3:$BA$8,2,MATCH(CU$2,Defense!$AB$3:$BA$3,0))</f>
        <v>-140.43646301959095</v>
      </c>
      <c r="CV10" s="15">
        <f>INDEX(Offense!$AB$3:$BA$8,2,MATCH(CV$2,Offense!$AB$3:$BA$3,0))</f>
        <v>0.94854285448896025</v>
      </c>
      <c r="CW10" s="15">
        <f>INDEX(Offense!$AB$3:$BA$8,2,MATCH(CW$2,Offense!$AB$3:$BA$3,0))</f>
        <v>85.640824181858136</v>
      </c>
      <c r="CX10" s="15">
        <f>INDEX(Offense!$AB$3:$BA$8,2,MATCH(CX$2,Offense!$AB$3:$BA$3,0))</f>
        <v>0.18969054669932336</v>
      </c>
      <c r="CY10" s="15">
        <f>INDEX(Offense!$AB$3:$BA$8,2,MATCH(CY$2,Offense!$AB$3:$BA$3,0))</f>
        <v>15.281981293875587</v>
      </c>
      <c r="CZ10" s="15">
        <f>INDEX(Offense!$AB$3:$BA$8,2,MATCH(CZ$2,Offense!$AB$3:$BA$3,0))</f>
        <v>8.6824407438745616E-2</v>
      </c>
      <c r="DA10" s="15">
        <f>INDEX(Offense!$AB$3:$BA$8,2,MATCH(DA$2,Offense!$AB$3:$BA$3,0))</f>
        <v>5.4421042890783919</v>
      </c>
      <c r="DB10" s="15">
        <f>INDEX(Offense!$AB$3:$BA$8,2,MATCH(DB$2,Offense!$AB$3:$BA$3,0))</f>
        <v>-0.20243279756818017</v>
      </c>
      <c r="DC10" s="15">
        <f>INDEX(Offense!$AB$3:$BA$8,2,MATCH(DC$2,Offense!$AB$3:$BA$3,0))</f>
        <v>-1.5058230699739127E-2</v>
      </c>
      <c r="DD10" s="15">
        <f>INDEX(Offense!$AB$3:$BA$8,2,MATCH(DD$2,Offense!$AB$3:$BA$3,0))</f>
        <v>1.816205347682766E-4</v>
      </c>
      <c r="DE10" s="15">
        <f>INDEX(Offense!$AB$3:$BA$8,2,MATCH(DE$2,Offense!$AB$3:$BA$3,0))</f>
        <v>-3.5192292427553826E-2</v>
      </c>
      <c r="DF10" s="15">
        <f>INDEX(Offense!$AB$3:$BA$8,2,MATCH(DF$2,Offense!$AB$3:$BA$3,0))</f>
        <v>-5.4876472195541252E-2</v>
      </c>
      <c r="DG10" s="15">
        <f>INDEX(Offense!$AB$3:$BA$8,2,MATCH(DG$2,Offense!$AB$3:$BA$3,0))</f>
        <v>9.8474663700154286E-2</v>
      </c>
      <c r="DH10" s="15">
        <f>INDEX(Offense!$AB$3:$BA$8,2,MATCH(DH$2,Offense!$AB$3:$BA$3,0))</f>
        <v>1.3645952114017732E-3</v>
      </c>
      <c r="DI10" s="15">
        <f>INDEX(Offense!$AB$3:$BA$8,2,MATCH(DI$2,Offense!$AB$3:$BA$3,0))</f>
        <v>84.693499827495899</v>
      </c>
      <c r="DJ10" s="15">
        <f>INDEX(Offense!$AB$3:$BA$8,2,MATCH(DJ$2,Offense!$AB$3:$BA$3,0))</f>
        <v>-0.41522539338692127</v>
      </c>
      <c r="DK10" s="15">
        <f>INDEX(Offense!$AB$3:$BA$8,2,MATCH(DK$2,Offense!$AB$3:$BA$3,0))</f>
        <v>0.19885166787903463</v>
      </c>
      <c r="DL10" s="15">
        <f>INDEX(Offense!$AB$3:$BA$8,2,MATCH(DL$2,Offense!$AB$3:$BA$3,0))</f>
        <v>65.336144739305752</v>
      </c>
      <c r="DM10" s="15">
        <f>INDEX(Offense!$AB$3:$BA$8,2,MATCH(DM$2,Offense!$AB$3:$BA$3,0))</f>
        <v>-85.690558012232202</v>
      </c>
      <c r="DN10">
        <f t="shared" si="23"/>
        <v>-11</v>
      </c>
      <c r="DO10">
        <f t="shared" ca="1" si="24"/>
        <v>-6.4723244817612624</v>
      </c>
      <c r="DP10">
        <f t="shared" ca="1" si="25"/>
        <v>0.6579495700392205</v>
      </c>
      <c r="DQ10" t="e">
        <f>IF(#REF!=0,"",ROUND(IF(#REF!&lt;0,#REF!/(#REF!-100),1/(#REF!/100+1)),2))</f>
        <v>#REF!</v>
      </c>
      <c r="DR10">
        <f t="shared" ca="1" si="26"/>
        <v>0.38796536822635697</v>
      </c>
      <c r="DS10">
        <f t="shared" ca="1" si="27"/>
        <v>0.5265805403438959</v>
      </c>
      <c r="DT10" s="59">
        <f t="shared" ca="1" si="59"/>
        <v>0.6579495700392205</v>
      </c>
      <c r="DU10" s="17">
        <f t="shared" ca="1" si="41"/>
        <v>-6.5</v>
      </c>
      <c r="DV10" s="177"/>
      <c r="DX10" t="str">
        <f t="shared" ca="1" si="28"/>
        <v>Pistons @ 76ers</v>
      </c>
      <c r="DY10" t="str">
        <f t="shared" ca="1" si="29"/>
        <v>Under 211.5</v>
      </c>
      <c r="DZ10" s="39">
        <f t="shared" ca="1" si="30"/>
        <v>0.5265805403438959</v>
      </c>
      <c r="EA10" t="str">
        <f t="shared" ca="1" si="42"/>
        <v/>
      </c>
      <c r="EB10" t="str">
        <f t="shared" ca="1" si="31"/>
        <v/>
      </c>
      <c r="EC10" t="str">
        <f t="shared" ca="1" si="43"/>
        <v/>
      </c>
      <c r="ED10" t="str">
        <f t="shared" ca="1" si="60"/>
        <v/>
      </c>
      <c r="EE10" t="str">
        <f t="shared" ca="1" si="32"/>
        <v/>
      </c>
      <c r="EF10" t="str">
        <f t="shared" ca="1" si="44"/>
        <v>Pistons @ 76ers</v>
      </c>
      <c r="EG10" t="str">
        <f t="shared" ca="1" si="33"/>
        <v>Under 211.5</v>
      </c>
      <c r="EH10">
        <f t="shared" ca="1" si="45"/>
        <v>0.5265805403438959</v>
      </c>
      <c r="EI10">
        <f t="shared" ca="1" si="34"/>
        <v>18.642300548807071</v>
      </c>
      <c r="EJ10">
        <f t="shared" si="46"/>
        <v>0</v>
      </c>
      <c r="EK10" t="str">
        <f t="shared" si="47"/>
        <v/>
      </c>
      <c r="EL10" t="e">
        <f>IF(ISBLANK(G10),"",IF(DQ10&lt;0.5,IF(DP10&gt;0.5*$FG$7,G10&amp;" Moneyline (+"&amp;#REF!&amp;")",""),IF(DP10&gt;$FG$6*DQ10,G10&amp;" Moneyline ("&amp;#REF!&amp;")","")))</f>
        <v>#REF!</v>
      </c>
      <c r="EN10">
        <f t="shared" ca="1" si="48"/>
        <v>8</v>
      </c>
      <c r="EO10" t="str">
        <f t="shared" si="35"/>
        <v>Pistons @ 76ers</v>
      </c>
      <c r="EP10" t="str">
        <f t="shared" ca="1" si="49"/>
        <v>Under 211.5</v>
      </c>
      <c r="EQ10" s="19">
        <f t="shared" ca="1" si="50"/>
        <v>0.5265805403438959</v>
      </c>
      <c r="ER10">
        <f t="shared" ca="1" si="51"/>
        <v>0</v>
      </c>
      <c r="ES10" s="19" t="str">
        <f t="shared" ca="1" si="52"/>
        <v/>
      </c>
      <c r="ET10" s="19" t="e">
        <f ca="1">IF(ISBLANK(G10),"",IF(DT10&gt;0.625,G10&amp;" Moneyline ("&amp;#REF!&amp;")",""))</f>
        <v>#REF!</v>
      </c>
      <c r="EU10" s="1" t="str">
        <f ca="1">IF(ISNUMBER(CODE(ET10)),#REF!,"")</f>
        <v/>
      </c>
      <c r="EV10" s="1" t="str">
        <f t="shared" ca="1" si="53"/>
        <v/>
      </c>
      <c r="EW10" s="3"/>
      <c r="EX10" s="1" t="e">
        <f t="shared" ca="1" si="54"/>
        <v>#N/A</v>
      </c>
      <c r="EY10" s="1" t="e">
        <f t="shared" ca="1" si="55"/>
        <v>#N/A</v>
      </c>
      <c r="EZ10" s="3" t="e">
        <f t="shared" ca="1" si="56"/>
        <v>#N/A</v>
      </c>
      <c r="FA10" s="19"/>
      <c r="FB10" s="19"/>
      <c r="FC10" s="19"/>
      <c r="FD10" s="19"/>
      <c r="FE10" s="19"/>
    </row>
    <row r="11" spans="2:163" x14ac:dyDescent="0.25">
      <c r="G11" s="7" t="s">
        <v>188</v>
      </c>
      <c r="H11" s="8"/>
      <c r="I11" s="8">
        <v>232.5</v>
      </c>
      <c r="J11" s="179">
        <f t="shared" ref="J11" si="66">IF(ISBLANK(G11),"",IF(I11&lt;1,I12,I11))</f>
        <v>232.5</v>
      </c>
      <c r="K11" s="12">
        <f>IF(ISBLANK($G11),"",INDEX(OLook[],MATCH($G11,OLook[Team],0),MATCH(K$2,OLook[#Headers],0)))</f>
        <v>90.1</v>
      </c>
      <c r="L11" s="12">
        <f>IF(ISBLANK($G11),"",INDEX(OLook[],MATCH($G11,OLook[Team],0),MATCH(L$2,OLook[#Headers],0)))</f>
        <v>0.44600000000000001</v>
      </c>
      <c r="M11" s="12">
        <f>IF(ISBLANK($G11),"",INDEX(OLook[],MATCH($G11,OLook[Team],0),MATCH(M$2,OLook[#Headers],0)))</f>
        <v>28.6</v>
      </c>
      <c r="N11" s="12">
        <f>IF(ISBLANK($G11),"",INDEX(OLook[],MATCH($G11,OLook[Team],0),MATCH(N$2,OLook[#Headers],0)))</f>
        <v>0.33600000000000002</v>
      </c>
      <c r="O11" s="12">
        <f>IF(ISBLANK($G11),"",INDEX(OLook[],MATCH($G11,OLook[Team],0),MATCH(O$2,OLook[#Headers],0)))</f>
        <v>23.5</v>
      </c>
      <c r="P11" s="12">
        <f>IF(ISBLANK($G11),"",INDEX(OLook[],MATCH($G11,OLook[Team],0),MATCH(P$2,OLook[#Headers],0)))</f>
        <v>0.69299999999999995</v>
      </c>
      <c r="Q11" s="12">
        <f>IF(ISBLANK($G11),"",INDEX(OLook[],MATCH($G11,OLook[Team],0),MATCH(Q$2,OLook[#Headers],0)))</f>
        <v>12.2</v>
      </c>
      <c r="R11" s="12">
        <f>IF(ISBLANK($G11),"",INDEX(OLook[],MATCH($G11,OLook[Team],0),MATCH(R$2,OLook[#Headers],0)))</f>
        <v>34.700000000000003</v>
      </c>
      <c r="S11" s="12">
        <f>IF(ISBLANK($G11),"",INDEX(OLook[],MATCH($G11,OLook[Team],0),MATCH(S$2,OLook[#Headers],0)))</f>
        <v>22.1</v>
      </c>
      <c r="T11" s="12">
        <f>IF(ISBLANK($G11),"",INDEX(OLook[],MATCH($G11,OLook[Team],0),MATCH(T$2,OLook[#Headers],0)))</f>
        <v>7.6</v>
      </c>
      <c r="U11" s="12">
        <f>IF(ISBLANK($G11),"",INDEX(OLook[],MATCH($G11,OLook[Team],0),MATCH(U$2,OLook[#Headers],0)))</f>
        <v>4.7</v>
      </c>
      <c r="V11" s="12">
        <f>IF(ISBLANK($G11),"",INDEX(OLook[],MATCH($G11,OLook[Team],0),MATCH(V$2,OLook[#Headers],0)))</f>
        <v>14.5</v>
      </c>
      <c r="W11" s="12">
        <f>IF(ISBLANK($G11),"",INDEX(OLook[],MATCH($G11,OLook[Team],0),MATCH(W$2,OLook[#Headers],0)))</f>
        <v>22.4</v>
      </c>
      <c r="X11" s="12">
        <f>IF(ISBLANK($G11),"",INDEX(OLook[],MATCH($G11,OLook[Team],0),MATCH(X$2,OLook[#Headers],0)))</f>
        <v>0.499</v>
      </c>
      <c r="Y11" s="12">
        <f>IF(ISBLANK($G11),"",INDEX(OLook[],MATCH($G11,OLook[Team],0),MATCH(Y$2,OLook[#Headers],0)))</f>
        <v>12.6</v>
      </c>
      <c r="Z11" s="12">
        <f>IF(ISBLANK($G11),"",INDEX(OLook[],MATCH($G11,OLook[Team],0),MATCH(Z$2,OLook[#Headers],0)))</f>
        <v>26</v>
      </c>
      <c r="AA11" s="12">
        <f>IF(ISBLANK($G11),"",INDEX(OLook[],MATCH($G11,OLook[Team],0),MATCH(AA$2,OLook[#Headers],0)))</f>
        <v>0.18099999999999999</v>
      </c>
      <c r="AB11" s="12">
        <f>IF(ISBLANK($G11),"",INDEX(OLook[],MATCH($G11,OLook[Team],0),MATCH(AB$2,OLook[#Headers],0)))</f>
        <v>-6.63</v>
      </c>
      <c r="AC11" s="12">
        <f>IF(ISBLANK($G11),"",INDEX(OLook[],MATCH($G11,OLook[Team],0),MATCH(AC$2,OLook[#Headers],0)))</f>
        <v>98.5</v>
      </c>
      <c r="AD11" s="12">
        <f>IF(ISBLANK($G11),"",INDEX(OLook[],MATCH($G11,OLook[Team],0),MATCH(AD$2,OLook[#Headers],0)))</f>
        <v>-1.7100000000000222</v>
      </c>
      <c r="AE11" s="12">
        <f>IF(ISBLANK($G11),"",INDEX(OLook[],MATCH($G11,OLook[Team],0),MATCH(AE$2,OLook[#Headers],0)))</f>
        <v>1</v>
      </c>
      <c r="AF11" s="12">
        <f>IF(ISBLANK($G11),"",IF(ISODD(ROW()),INDEX(Scores!$B$2:'Scores'!$N$32,MATCH(G11,Scores!$C$2:$C$32,0),6),INDEX(Scores!$B$2:'Scores'!$N$32,MATCH(G11,Scores!$C$2:$C$32,0),10)))</f>
        <v>12.53628334076731</v>
      </c>
      <c r="AG11" s="12">
        <f ca="1">IF(ISBLANK($G11),"",INDEX(Scores!$B$2:$P$32,MATCH($G11,Scores!$C$2:$C$32,0),MATCH(AG$2,Scores!$B$2:$P$2,0)))</f>
        <v>0</v>
      </c>
      <c r="AH11" s="11">
        <f>IF(ISBLANK($G11),"",INDEX(DLook[],MATCH($G11,DLook[Team],0),MATCH(AH$2,DLook[#Headers],0)))</f>
        <v>86.5</v>
      </c>
      <c r="AI11" s="11">
        <f>IF(ISBLANK($G11),"",INDEX(DLook[],MATCH($G11,DLook[Team],0),MATCH(AI$2,DLook[#Headers],0)))</f>
        <v>0.46400000000000002</v>
      </c>
      <c r="AJ11" s="11">
        <f>IF(ISBLANK($G11),"",INDEX(DLook[],MATCH($G11,DLook[Team],0),MATCH(AJ$2,DLook[#Headers],0)))</f>
        <v>35.1</v>
      </c>
      <c r="AK11" s="11">
        <f>IF(ISBLANK($G11),"",INDEX(DLook[],MATCH($G11,DLook[Team],0),MATCH(AK$2,DLook[#Headers],0)))</f>
        <v>0.38200000000000001</v>
      </c>
      <c r="AL11" s="11">
        <f>IF(ISBLANK($G11),"",INDEX(DLook[],MATCH($G11,DLook[Team],0),MATCH(AL$2,DLook[#Headers],0)))</f>
        <v>25.9</v>
      </c>
      <c r="AM11" s="11">
        <f>IF(ISBLANK($G11),"",INDEX(DLook[],MATCH($G11,DLook[Team],0),MATCH(AM$2,DLook[#Headers],0)))</f>
        <v>0.748</v>
      </c>
      <c r="AN11" s="11">
        <f>IF(ISBLANK($G11),"",INDEX(DLook[],MATCH($G11,DLook[Team],0),MATCH(AN$2,DLook[#Headers],0)))</f>
        <v>9.6</v>
      </c>
      <c r="AO11" s="11">
        <f>IF(ISBLANK($G11),"",INDEX(DLook[],MATCH($G11,DLook[Team],0),MATCH(AO$2,DLook[#Headers],0)))</f>
        <v>34.9</v>
      </c>
      <c r="AP11" s="11">
        <f>IF(ISBLANK($G11),"",INDEX(DLook[],MATCH($G11,DLook[Team],0),MATCH(AP$2,DLook[#Headers],0)))</f>
        <v>24.5</v>
      </c>
      <c r="AQ11" s="11">
        <f>IF(ISBLANK($G11),"",INDEX(DLook[],MATCH($G11,DLook[Team],0),MATCH(AQ$2,DLook[#Headers],0)))</f>
        <v>7.3</v>
      </c>
      <c r="AR11" s="11">
        <f>IF(ISBLANK($G11),"",INDEX(DLook[],MATCH($G11,DLook[Team],0),MATCH(AR$2,DLook[#Headers],0)))</f>
        <v>5.0999999999999996</v>
      </c>
      <c r="AS11" s="11">
        <f>IF(ISBLANK($G11),"",INDEX(DLook[],MATCH($G11,DLook[Team],0),MATCH(AS$2,DLook[#Headers],0)))</f>
        <v>13.8</v>
      </c>
      <c r="AT11" s="11">
        <f>IF(ISBLANK($G11),"",INDEX(DLook[],MATCH($G11,DLook[Team],0),MATCH(AT$2,DLook[#Headers],0)))</f>
        <v>19.899999999999999</v>
      </c>
      <c r="AU11" s="11">
        <f>IF(ISBLANK($G11),"",INDEX(DLook[],MATCH($G11,DLook[Team],0),MATCH(AU$2,DLook[#Headers],0)))</f>
        <v>0.54100000000000004</v>
      </c>
      <c r="AV11" s="11">
        <f>IF(ISBLANK($G11),"",INDEX(DLook[],MATCH($G11,DLook[Team],0),MATCH(AV$2,DLook[#Headers],0)))</f>
        <v>12.4</v>
      </c>
      <c r="AW11" s="11">
        <f>IF(ISBLANK($G11),"",INDEX(DLook[],MATCH($G11,DLook[Team],0),MATCH(AW$2,DLook[#Headers],0)))</f>
        <v>78.400000000000006</v>
      </c>
      <c r="AX11" s="11">
        <f>IF(ISBLANK($G11),"",INDEX(DLook[],MATCH($G11,DLook[Team],0),MATCH(AX$2,DLook[#Headers],0)))</f>
        <v>0.224</v>
      </c>
      <c r="AY11" s="11">
        <f>IF(ISBLANK($G11),"",INDEX(DLook[],MATCH($G11,DLook[Team],0),MATCH(AY$2,DLook[#Headers],0)))</f>
        <v>3</v>
      </c>
      <c r="AZ11" s="14">
        <f t="shared" si="0"/>
        <v>88.6</v>
      </c>
      <c r="BA11" s="14">
        <f t="shared" si="1"/>
        <v>0.46150000000000002</v>
      </c>
      <c r="BB11" s="14">
        <f t="shared" si="2"/>
        <v>30.05</v>
      </c>
      <c r="BC11" s="14">
        <f t="shared" si="3"/>
        <v>0.34950000000000003</v>
      </c>
      <c r="BD11" s="14">
        <f t="shared" si="4"/>
        <v>24.9</v>
      </c>
      <c r="BE11" s="14">
        <f t="shared" si="5"/>
        <v>0.73249999999999993</v>
      </c>
      <c r="BF11" s="14">
        <f t="shared" si="6"/>
        <v>11.5</v>
      </c>
      <c r="BG11" s="14">
        <f t="shared" si="7"/>
        <v>34.549999999999997</v>
      </c>
      <c r="BH11" s="14">
        <f t="shared" si="8"/>
        <v>23</v>
      </c>
      <c r="BI11" s="14">
        <f t="shared" si="9"/>
        <v>8.0500000000000007</v>
      </c>
      <c r="BJ11" s="14">
        <f t="shared" si="10"/>
        <v>5.4</v>
      </c>
      <c r="BK11" s="14">
        <f t="shared" si="11"/>
        <v>14.5</v>
      </c>
      <c r="BL11" s="14">
        <f t="shared" si="12"/>
        <v>21.25</v>
      </c>
      <c r="BM11" s="14">
        <f t="shared" si="13"/>
        <v>0.52049999999999996</v>
      </c>
      <c r="BN11" s="14">
        <f t="shared" si="14"/>
        <v>12.7</v>
      </c>
      <c r="BO11" s="14">
        <f t="shared" si="15"/>
        <v>50.4</v>
      </c>
      <c r="BP11" s="14">
        <f t="shared" si="16"/>
        <v>0.20700000000000002</v>
      </c>
      <c r="BQ11" s="13">
        <f t="shared" si="17"/>
        <v>115.45259956683984</v>
      </c>
      <c r="BR11" s="13">
        <f t="shared" si="18"/>
        <v>105.59105500650503</v>
      </c>
      <c r="BS11" s="13">
        <f t="shared" si="19"/>
        <v>112.52697876652951</v>
      </c>
      <c r="BT11" s="13">
        <f t="shared" si="20"/>
        <v>100.75</v>
      </c>
      <c r="BU11" s="13">
        <f t="shared" si="36"/>
        <v>0.98999999999997779</v>
      </c>
      <c r="BV11" s="13">
        <f t="shared" si="37"/>
        <v>101.74742499999998</v>
      </c>
      <c r="BW11" s="13">
        <f t="shared" si="58"/>
        <v>114.49330332524052</v>
      </c>
      <c r="BX11" s="13">
        <f t="shared" si="21"/>
        <v>0.87999999999999989</v>
      </c>
      <c r="BY11" s="13">
        <f t="shared" si="38"/>
        <v>2.2614096594127489</v>
      </c>
      <c r="BZ11" s="13">
        <f t="shared" si="39"/>
        <v>0.89132154608899983</v>
      </c>
      <c r="CA11" s="13">
        <f>IF(ISBLANK(B11),0,INDEX(Advanced_Table[],MATCH(B11,Advanced_Table[Player],0),MATCH("Scaled VORP",Advanced_Table[#Headers],0)))+IF(ISBLANK(C11),0,INDEX(Advanced_Table[],MATCH(C11,Advanced_Table[Player],0),MATCH("Scaled VORP",Advanced_Table[#Headers],0)))+IF(ISBLANK(D11),0,INDEX(Advanced_Table[],MATCH(D11,Advanced_Table[Player],0),MATCH("Scaled VORP",Advanced_Table[#Headers],0)))+IF(ISBLANK(E11),0,INDEX(Advanced_Table[],MATCH(E11,Advanced_Table[Player],0),MATCH("Scaled VORP",Advanced_Table[#Headers],0)))+IF(ISBLANK(F11),0,INDEX(Advanced_Table[],MATCH(F11,Advanced_Table[Player],0),MATCH("Scaled VORP",Advanced_Table[#Headers],0)))</f>
        <v>0</v>
      </c>
      <c r="CB11" s="13">
        <f t="shared" ca="1" si="40"/>
        <v>114.93896409828501</v>
      </c>
      <c r="CC11" s="13">
        <f t="shared" si="22"/>
        <v>16.715451949746903</v>
      </c>
      <c r="CD11" s="14">
        <f>INDEX(Defense!$AB$3:$BA$8,2,MATCH(CD$2,Defense!$AB$3:$BA$3,0))</f>
        <v>1.1881973445510248</v>
      </c>
      <c r="CE11" s="14">
        <f>INDEX(Defense!$AB$3:$BA$8,2,MATCH(CE$2,Defense!$AB$3:$BA$3,0))</f>
        <v>20.37695032952751</v>
      </c>
      <c r="CF11" s="14">
        <f>INDEX(Defense!$AB$3:$BA$8,2,MATCH(CF$2,Defense!$AB$3:$BA$3,0))</f>
        <v>3.8108594084794688E-2</v>
      </c>
      <c r="CG11" s="14">
        <f>INDEX(Defense!$AB$3:$BA$8,2,MATCH(CG$2,Defense!$AB$3:$BA$3,0))</f>
        <v>0.82665533501354516</v>
      </c>
      <c r="CH11" s="14">
        <f>INDEX(Defense!$AB$3:$BA$8,2,MATCH(CH$2,Defense!$AB$3:$BA$3,0))</f>
        <v>0.96847375256109303</v>
      </c>
      <c r="CI11" s="14">
        <f>INDEX(Defense!$AB$3:$BA$8,2,MATCH(CI$2,Defense!$AB$3:$BA$3,0))</f>
        <v>24.899423599851655</v>
      </c>
      <c r="CJ11" s="14">
        <f>INDEX(Defense!$AB$3:$BA$8,2,MATCH(CJ$2,Defense!$AB$3:$BA$3,0))</f>
        <v>4.3333160259283868E-2</v>
      </c>
      <c r="CK11" s="14">
        <f>INDEX(Defense!$AB$3:$BA$8,2,MATCH(CK$2,Defense!$AB$3:$BA$3,0))</f>
        <v>4.3643719755598418E-3</v>
      </c>
      <c r="CL11" s="14">
        <f>INDEX(Defense!$AB$3:$BA$8,2,MATCH(CL$2,Defense!$AB$3:$BA$3,0))</f>
        <v>3.3980730825493605E-2</v>
      </c>
      <c r="CM11" s="14">
        <f>INDEX(Defense!$AB$3:$BA$8,2,MATCH(CM$2,Defense!$AB$3:$BA$3,0))</f>
        <v>2.2130116153199469E-2</v>
      </c>
      <c r="CN11" s="14">
        <f>INDEX(Defense!$AB$3:$BA$8,2,MATCH(CN$2,Defense!$AB$3:$BA$3,0))</f>
        <v>1.5770727592026978E-2</v>
      </c>
      <c r="CO11" s="14">
        <f>INDEX(Defense!$AB$3:$BA$8,2,MATCH(CO$2,Defense!$AB$3:$BA$3,0))</f>
        <v>3.4820867870809513E-2</v>
      </c>
      <c r="CP11" s="14">
        <f>INDEX(Defense!$AB$3:$BA$8,2,MATCH(CP$2,Defense!$AB$3:$BA$3,0))</f>
        <v>-8.5450857094943424E-4</v>
      </c>
      <c r="CQ11" s="14">
        <f>INDEX(Defense!$AB$3:$BA$8,2,MATCH(CQ$2,Defense!$AB$3:$BA$3,0))</f>
        <v>160.75587555196628</v>
      </c>
      <c r="CR11" s="14">
        <f>INDEX(Defense!$AB$3:$BA$8,2,MATCH(CR$2,Defense!$AB$3:$BA$3,0))</f>
        <v>0.15454953937048871</v>
      </c>
      <c r="CS11" s="14">
        <f>INDEX(Defense!$AB$3:$BA$8,2,MATCH(CS$2,Defense!$AB$3:$BA$3,0))</f>
        <v>0.10198746342122103</v>
      </c>
      <c r="CT11" s="14">
        <f>INDEX(Defense!$AB$3:$BA$8,2,MATCH(CT$2,Defense!$AB$3:$BA$3,0))</f>
        <v>-13.759669623776899</v>
      </c>
      <c r="CU11" s="14">
        <f>INDEX(Defense!$AB$3:$BA$8,2,MATCH(CU$2,Defense!$AB$3:$BA$3,0))</f>
        <v>-140.43646301959095</v>
      </c>
      <c r="CV11" s="15">
        <f>INDEX(Offense!$AB$3:$BA$8,2,MATCH(CV$2,Offense!$AB$3:$BA$3,0))</f>
        <v>0.94854285448896025</v>
      </c>
      <c r="CW11" s="15">
        <f>INDEX(Offense!$AB$3:$BA$8,2,MATCH(CW$2,Offense!$AB$3:$BA$3,0))</f>
        <v>85.640824181858136</v>
      </c>
      <c r="CX11" s="15">
        <f>INDEX(Offense!$AB$3:$BA$8,2,MATCH(CX$2,Offense!$AB$3:$BA$3,0))</f>
        <v>0.18969054669932336</v>
      </c>
      <c r="CY11" s="15">
        <f>INDEX(Offense!$AB$3:$BA$8,2,MATCH(CY$2,Offense!$AB$3:$BA$3,0))</f>
        <v>15.281981293875587</v>
      </c>
      <c r="CZ11" s="15">
        <f>INDEX(Offense!$AB$3:$BA$8,2,MATCH(CZ$2,Offense!$AB$3:$BA$3,0))</f>
        <v>8.6824407438745616E-2</v>
      </c>
      <c r="DA11" s="15">
        <f>INDEX(Offense!$AB$3:$BA$8,2,MATCH(DA$2,Offense!$AB$3:$BA$3,0))</f>
        <v>5.4421042890783919</v>
      </c>
      <c r="DB11" s="15">
        <f>INDEX(Offense!$AB$3:$BA$8,2,MATCH(DB$2,Offense!$AB$3:$BA$3,0))</f>
        <v>-0.20243279756818017</v>
      </c>
      <c r="DC11" s="15">
        <f>INDEX(Offense!$AB$3:$BA$8,2,MATCH(DC$2,Offense!$AB$3:$BA$3,0))</f>
        <v>-1.5058230699739127E-2</v>
      </c>
      <c r="DD11" s="15">
        <f>INDEX(Offense!$AB$3:$BA$8,2,MATCH(DD$2,Offense!$AB$3:$BA$3,0))</f>
        <v>1.816205347682766E-4</v>
      </c>
      <c r="DE11" s="15">
        <f>INDEX(Offense!$AB$3:$BA$8,2,MATCH(DE$2,Offense!$AB$3:$BA$3,0))</f>
        <v>-3.5192292427553826E-2</v>
      </c>
      <c r="DF11" s="15">
        <f>INDEX(Offense!$AB$3:$BA$8,2,MATCH(DF$2,Offense!$AB$3:$BA$3,0))</f>
        <v>-5.4876472195541252E-2</v>
      </c>
      <c r="DG11" s="15">
        <f>INDEX(Offense!$AB$3:$BA$8,2,MATCH(DG$2,Offense!$AB$3:$BA$3,0))</f>
        <v>9.8474663700154286E-2</v>
      </c>
      <c r="DH11" s="15">
        <f>INDEX(Offense!$AB$3:$BA$8,2,MATCH(DH$2,Offense!$AB$3:$BA$3,0))</f>
        <v>1.3645952114017732E-3</v>
      </c>
      <c r="DI11" s="15">
        <f>INDEX(Offense!$AB$3:$BA$8,2,MATCH(DI$2,Offense!$AB$3:$BA$3,0))</f>
        <v>84.693499827495899</v>
      </c>
      <c r="DJ11" s="15">
        <f>INDEX(Offense!$AB$3:$BA$8,2,MATCH(DJ$2,Offense!$AB$3:$BA$3,0))</f>
        <v>-0.41522539338692127</v>
      </c>
      <c r="DK11" s="15">
        <f>INDEX(Offense!$AB$3:$BA$8,2,MATCH(DK$2,Offense!$AB$3:$BA$3,0))</f>
        <v>0.19885166787903463</v>
      </c>
      <c r="DL11" s="15">
        <f>INDEX(Offense!$AB$3:$BA$8,2,MATCH(DL$2,Offense!$AB$3:$BA$3,0))</f>
        <v>65.336144739305752</v>
      </c>
      <c r="DM11" s="15">
        <f>INDEX(Offense!$AB$3:$BA$8,2,MATCH(DM$2,Offense!$AB$3:$BA$3,0))</f>
        <v>-85.690558012232202</v>
      </c>
      <c r="DN11">
        <f t="shared" si="23"/>
        <v>4.5</v>
      </c>
      <c r="DO11">
        <f t="shared" ca="1" si="24"/>
        <v>-3.1527312055017376</v>
      </c>
      <c r="DP11">
        <f t="shared" ca="1" si="25"/>
        <v>0.57480145168721042</v>
      </c>
      <c r="DQ11" t="e">
        <f>IF(#REF!=0,"",ROUND(IF(#REF!&lt;0,#REF!/(#REF!-100),1/(#REF!/100+1)),2))</f>
        <v>#REF!</v>
      </c>
      <c r="DR11">
        <f t="shared" ca="1" si="26"/>
        <v>0.67646047098535078</v>
      </c>
      <c r="DS11">
        <f t="shared" ca="1" si="27"/>
        <v>0.40801108435031896</v>
      </c>
      <c r="DT11" s="58">
        <f t="shared" ca="1" si="59"/>
        <v>0.57480145168721042</v>
      </c>
      <c r="DU11" s="16">
        <f t="shared" ca="1" si="41"/>
        <v>-3</v>
      </c>
      <c r="DV11" s="176">
        <f ca="1">IFERROR(IF(ISODD(ROW()),ROUND(CB11+CB12,0),ROUND(CB11+CB10,0)),"")</f>
        <v>227</v>
      </c>
      <c r="DX11" t="str">
        <f t="shared" ca="1" si="28"/>
        <v>Knicks @ Hawks</v>
      </c>
      <c r="DY11" t="str">
        <f t="shared" ca="1" si="29"/>
        <v>Knicks +4.5</v>
      </c>
      <c r="DZ11" s="39">
        <f t="shared" ca="1" si="30"/>
        <v>0.67646047098535078</v>
      </c>
      <c r="EA11" t="str">
        <f t="shared" ca="1" si="42"/>
        <v>Knicks @ Hawks</v>
      </c>
      <c r="EB11" t="str">
        <f t="shared" ca="1" si="31"/>
        <v>Knicks</v>
      </c>
      <c r="EC11" t="str">
        <f t="shared" ca="1" si="43"/>
        <v>+4.5</v>
      </c>
      <c r="ED11">
        <f t="shared" ca="1" si="60"/>
        <v>0.67646047098535078</v>
      </c>
      <c r="EE11">
        <f t="shared" ca="1" si="32"/>
        <v>22.973277501725434</v>
      </c>
      <c r="EF11" t="str">
        <f t="shared" ca="1" si="44"/>
        <v/>
      </c>
      <c r="EG11" t="str">
        <f t="shared" ca="1" si="33"/>
        <v/>
      </c>
      <c r="EH11" t="str">
        <f t="shared" ca="1" si="45"/>
        <v/>
      </c>
      <c r="EI11" t="str">
        <f t="shared" ca="1" si="34"/>
        <v/>
      </c>
      <c r="EJ11">
        <f t="shared" si="46"/>
        <v>0</v>
      </c>
      <c r="EK11" t="str">
        <f t="shared" si="47"/>
        <v/>
      </c>
      <c r="EL11" t="e">
        <f>IF(ISBLANK(G11),"",IF(DQ11&lt;0.5,IF(DP11&gt;0.5*$FG$7,G11&amp;" Moneyline (+"&amp;#REF!&amp;")",""),IF(DP11&gt;$FG$6*DQ11,G11&amp;" Moneyline ("&amp;#REF!&amp;")","")))</f>
        <v>#REF!</v>
      </c>
      <c r="EN11">
        <f t="shared" ca="1" si="48"/>
        <v>9</v>
      </c>
      <c r="EO11" t="str">
        <f t="shared" si="35"/>
        <v>Knicks @ Hawks</v>
      </c>
      <c r="EP11" t="str">
        <f t="shared" ca="1" si="49"/>
        <v>Knicks +4.5</v>
      </c>
      <c r="EQ11" s="19">
        <f t="shared" ca="1" si="50"/>
        <v>0.67646047098535078</v>
      </c>
      <c r="ER11">
        <f t="shared" ca="1" si="51"/>
        <v>0</v>
      </c>
      <c r="ES11" s="19" t="str">
        <f t="shared" ca="1" si="52"/>
        <v/>
      </c>
      <c r="ET11" s="19" t="str">
        <f ca="1">IF(ISBLANK(G11),"",IF(DT11&gt;0.625,G11&amp;" Moneyline ("&amp;#REF!&amp;")",""))</f>
        <v/>
      </c>
      <c r="EU11" s="1" t="str">
        <f ca="1">IF(ISNUMBER(CODE(ET11)),#REF!,"")</f>
        <v/>
      </c>
      <c r="EV11" s="1" t="str">
        <f t="shared" ca="1" si="53"/>
        <v/>
      </c>
      <c r="EW11" s="3"/>
      <c r="EX11" s="1" t="e">
        <f t="shared" ca="1" si="54"/>
        <v>#N/A</v>
      </c>
      <c r="EY11" s="1" t="e">
        <f t="shared" ca="1" si="55"/>
        <v>#N/A</v>
      </c>
      <c r="EZ11" s="3" t="e">
        <f t="shared" ca="1" si="56"/>
        <v>#N/A</v>
      </c>
      <c r="FA11" s="19"/>
      <c r="FB11" s="19"/>
      <c r="FC11" s="19"/>
      <c r="FD11" s="19"/>
      <c r="FE11" s="19"/>
    </row>
    <row r="12" spans="2:163" ht="15.75" thickBot="1" x14ac:dyDescent="0.3">
      <c r="G12" s="9" t="s">
        <v>184</v>
      </c>
      <c r="H12" s="10">
        <v>-4.5</v>
      </c>
      <c r="I12" s="10"/>
      <c r="J12" s="180">
        <f t="shared" ref="J12" si="67">IF(H12&lt;1,H13,H12)</f>
        <v>0</v>
      </c>
      <c r="K12" s="12">
        <f>IF(ISBLANK($G12),"",INDEX(OLook[],MATCH($G12,OLook[Team],0),MATCH(K$2,OLook[#Headers],0)))</f>
        <v>86.7</v>
      </c>
      <c r="L12" s="12">
        <f>IF(ISBLANK($G12),"",INDEX(OLook[],MATCH($G12,OLook[Team],0),MATCH(L$2,OLook[#Headers],0)))</f>
        <v>0.44900000000000001</v>
      </c>
      <c r="M12" s="12">
        <f>IF(ISBLANK($G12),"",INDEX(OLook[],MATCH($G12,OLook[Team],0),MATCH(M$2,OLook[#Headers],0)))</f>
        <v>34.6</v>
      </c>
      <c r="N12" s="12">
        <f>IF(ISBLANK($G12),"",INDEX(OLook[],MATCH($G12,OLook[Team],0),MATCH(N$2,OLook[#Headers],0)))</f>
        <v>0.33300000000000002</v>
      </c>
      <c r="O12" s="12">
        <f>IF(ISBLANK($G12),"",INDEX(OLook[],MATCH($G12,OLook[Team],0),MATCH(O$2,OLook[#Headers],0)))</f>
        <v>22.4</v>
      </c>
      <c r="P12" s="12">
        <f>IF(ISBLANK($G12),"",INDEX(OLook[],MATCH($G12,OLook[Team],0),MATCH(P$2,OLook[#Headers],0)))</f>
        <v>0.79</v>
      </c>
      <c r="Q12" s="12">
        <f>IF(ISBLANK($G12),"",INDEX(OLook[],MATCH($G12,OLook[Team],0),MATCH(Q$2,OLook[#Headers],0)))</f>
        <v>9.4</v>
      </c>
      <c r="R12" s="12">
        <f>IF(ISBLANK($G12),"",INDEX(OLook[],MATCH($G12,OLook[Team],0),MATCH(R$2,OLook[#Headers],0)))</f>
        <v>32</v>
      </c>
      <c r="S12" s="12">
        <f>IF(ISBLANK($G12),"",INDEX(OLook[],MATCH($G12,OLook[Team],0),MATCH(S$2,OLook[#Headers],0)))</f>
        <v>23</v>
      </c>
      <c r="T12" s="12">
        <f>IF(ISBLANK($G12),"",INDEX(OLook[],MATCH($G12,OLook[Team],0),MATCH(T$2,OLook[#Headers],0)))</f>
        <v>7.5</v>
      </c>
      <c r="U12" s="12">
        <f>IF(ISBLANK($G12),"",INDEX(OLook[],MATCH($G12,OLook[Team],0),MATCH(U$2,OLook[#Headers],0)))</f>
        <v>4.9000000000000004</v>
      </c>
      <c r="V12" s="12">
        <f>IF(ISBLANK($G12),"",INDEX(OLook[],MATCH($G12,OLook[Team],0),MATCH(V$2,OLook[#Headers],0)))</f>
        <v>15.6</v>
      </c>
      <c r="W12" s="12">
        <f>IF(ISBLANK($G12),"",INDEX(OLook[],MATCH($G12,OLook[Team],0),MATCH(W$2,OLook[#Headers],0)))</f>
        <v>22.2</v>
      </c>
      <c r="X12" s="12">
        <f>IF(ISBLANK($G12),"",INDEX(OLook[],MATCH($G12,OLook[Team],0),MATCH(X$2,OLook[#Headers],0)))</f>
        <v>0.51500000000000001</v>
      </c>
      <c r="Y12" s="12">
        <f>IF(ISBLANK($G12),"",INDEX(OLook[],MATCH($G12,OLook[Team],0),MATCH(Y$2,OLook[#Headers],0)))</f>
        <v>13.9</v>
      </c>
      <c r="Z12" s="12">
        <f>IF(ISBLANK($G12),"",INDEX(OLook[],MATCH($G12,OLook[Team],0),MATCH(Z$2,OLook[#Headers],0)))</f>
        <v>21.5</v>
      </c>
      <c r="AA12" s="12">
        <f>IF(ISBLANK($G12),"",INDEX(OLook[],MATCH($G12,OLook[Team],0),MATCH(AA$2,OLook[#Headers],0)))</f>
        <v>0.20399999999999999</v>
      </c>
      <c r="AB12" s="12">
        <f>IF(ISBLANK($G12),"",INDEX(OLook[],MATCH($G12,OLook[Team],0),MATCH(AB$2,OLook[#Headers],0)))</f>
        <v>-7.51</v>
      </c>
      <c r="AC12" s="12">
        <f>IF(ISBLANK($G12),"",INDEX(OLook[],MATCH($G12,OLook[Team],0),MATCH(AC$2,OLook[#Headers],0)))</f>
        <v>103</v>
      </c>
      <c r="AD12" s="12">
        <f>IF(ISBLANK($G12),"",INDEX(OLook[],MATCH($G12,OLook[Team],0),MATCH(AD$2,OLook[#Headers],0)))</f>
        <v>2.7899999999999778</v>
      </c>
      <c r="AE12" s="12">
        <f>IF(ISBLANK($G12),"",INDEX(OLook[],MATCH($G12,OLook[Team],0),MATCH(AE$2,OLook[#Headers],0)))</f>
        <v>5</v>
      </c>
      <c r="AF12" s="12">
        <f>IF(ISBLANK($G12),"",IF(ISODD(ROW()),INDEX(Scores!$B$2:'Scores'!$N$32,MATCH(G12,Scores!$C$2:$C$32,0),6),INDEX(Scores!$B$2:'Scores'!$N$32,MATCH(G12,Scores!$C$2:$C$32,0),10)))</f>
        <v>11.056578760371471</v>
      </c>
      <c r="AG12" s="12">
        <f ca="1">IF(ISBLANK($G12),"",INDEX(Scores!$B$2:$P$32,MATCH($G12,Scores!$C$2:$C$32,0),MATCH(AG$2,Scores!$B$2:$P$2,0)))</f>
        <v>0</v>
      </c>
      <c r="AH12" s="11">
        <f>IF(ISBLANK($G12),"",INDEX(DLook[],MATCH($G12,DLook[Team],0),MATCH(AH$2,DLook[#Headers],0)))</f>
        <v>87.1</v>
      </c>
      <c r="AI12" s="11">
        <f>IF(ISBLANK($G12),"",INDEX(DLook[],MATCH($G12,DLook[Team],0),MATCH(AI$2,DLook[#Headers],0)))</f>
        <v>0.47699999999999998</v>
      </c>
      <c r="AJ12" s="11">
        <f>IF(ISBLANK($G12),"",INDEX(DLook[],MATCH($G12,DLook[Team],0),MATCH(AJ$2,DLook[#Headers],0)))</f>
        <v>31.5</v>
      </c>
      <c r="AK12" s="11">
        <f>IF(ISBLANK($G12),"",INDEX(DLook[],MATCH($G12,DLook[Team],0),MATCH(AK$2,DLook[#Headers],0)))</f>
        <v>0.36299999999999999</v>
      </c>
      <c r="AL12" s="11">
        <f>IF(ISBLANK($G12),"",INDEX(DLook[],MATCH($G12,DLook[Team],0),MATCH(AL$2,DLook[#Headers],0)))</f>
        <v>26.3</v>
      </c>
      <c r="AM12" s="11">
        <f>IF(ISBLANK($G12),"",INDEX(DLook[],MATCH($G12,DLook[Team],0),MATCH(AM$2,DLook[#Headers],0)))</f>
        <v>0.77200000000000002</v>
      </c>
      <c r="AN12" s="11">
        <f>IF(ISBLANK($G12),"",INDEX(DLook[],MATCH($G12,DLook[Team],0),MATCH(AN$2,DLook[#Headers],0)))</f>
        <v>10.8</v>
      </c>
      <c r="AO12" s="11">
        <f>IF(ISBLANK($G12),"",INDEX(DLook[],MATCH($G12,DLook[Team],0),MATCH(AO$2,DLook[#Headers],0)))</f>
        <v>34.4</v>
      </c>
      <c r="AP12" s="11">
        <f>IF(ISBLANK($G12),"",INDEX(DLook[],MATCH($G12,DLook[Team],0),MATCH(AP$2,DLook[#Headers],0)))</f>
        <v>23.9</v>
      </c>
      <c r="AQ12" s="11">
        <f>IF(ISBLANK($G12),"",INDEX(DLook[],MATCH($G12,DLook[Team],0),MATCH(AQ$2,DLook[#Headers],0)))</f>
        <v>8.5</v>
      </c>
      <c r="AR12" s="11">
        <f>IF(ISBLANK($G12),"",INDEX(DLook[],MATCH($G12,DLook[Team],0),MATCH(AR$2,DLook[#Headers],0)))</f>
        <v>6.1</v>
      </c>
      <c r="AS12" s="11">
        <f>IF(ISBLANK($G12),"",INDEX(DLook[],MATCH($G12,DLook[Team],0),MATCH(AS$2,DLook[#Headers],0)))</f>
        <v>14.5</v>
      </c>
      <c r="AT12" s="11">
        <f>IF(ISBLANK($G12),"",INDEX(DLook[],MATCH($G12,DLook[Team],0),MATCH(AT$2,DLook[#Headers],0)))</f>
        <v>20.100000000000001</v>
      </c>
      <c r="AU12" s="11">
        <f>IF(ISBLANK($G12),"",INDEX(DLook[],MATCH($G12,DLook[Team],0),MATCH(AU$2,DLook[#Headers],0)))</f>
        <v>0.54200000000000004</v>
      </c>
      <c r="AV12" s="11">
        <f>IF(ISBLANK($G12),"",INDEX(DLook[],MATCH($G12,DLook[Team],0),MATCH(AV$2,DLook[#Headers],0)))</f>
        <v>12.8</v>
      </c>
      <c r="AW12" s="11">
        <f>IF(ISBLANK($G12),"",INDEX(DLook[],MATCH($G12,DLook[Team],0),MATCH(AW$2,DLook[#Headers],0)))</f>
        <v>74.8</v>
      </c>
      <c r="AX12" s="11">
        <f>IF(ISBLANK($G12),"",INDEX(DLook[],MATCH($G12,DLook[Team],0),MATCH(AX$2,DLook[#Headers],0)))</f>
        <v>0.23300000000000001</v>
      </c>
      <c r="AY12" s="11">
        <f>IF(ISBLANK($G12),"",INDEX(DLook[],MATCH($G12,DLook[Team],0),MATCH(AY$2,DLook[#Headers],0)))</f>
        <v>1</v>
      </c>
      <c r="AZ12" s="14">
        <f t="shared" si="0"/>
        <v>86.625</v>
      </c>
      <c r="BA12" s="14">
        <f t="shared" si="1"/>
        <v>0.45462500000000006</v>
      </c>
      <c r="BB12" s="14">
        <f t="shared" si="2"/>
        <v>34.787500000000001</v>
      </c>
      <c r="BC12" s="14">
        <f t="shared" si="3"/>
        <v>0.35137499999999999</v>
      </c>
      <c r="BD12" s="14">
        <f t="shared" si="4"/>
        <v>23.712499999999999</v>
      </c>
      <c r="BE12" s="14">
        <f t="shared" si="5"/>
        <v>0.77424999999999999</v>
      </c>
      <c r="BF12" s="14">
        <f t="shared" si="6"/>
        <v>9.4749999999999996</v>
      </c>
      <c r="BG12" s="14">
        <f t="shared" si="7"/>
        <v>33.087499999999999</v>
      </c>
      <c r="BH12" s="14">
        <f t="shared" si="8"/>
        <v>23.5625</v>
      </c>
      <c r="BI12" s="14">
        <f t="shared" si="9"/>
        <v>7.4249999999999998</v>
      </c>
      <c r="BJ12" s="14">
        <f t="shared" si="10"/>
        <v>4.9749999999999996</v>
      </c>
      <c r="BK12" s="14">
        <f t="shared" si="11"/>
        <v>14.925000000000001</v>
      </c>
      <c r="BL12" s="14">
        <f t="shared" si="12"/>
        <v>21.337499999999999</v>
      </c>
      <c r="BM12" s="14">
        <f t="shared" si="13"/>
        <v>0.52475000000000005</v>
      </c>
      <c r="BN12" s="14">
        <f t="shared" si="14"/>
        <v>13.3375</v>
      </c>
      <c r="BO12" s="14">
        <f t="shared" si="15"/>
        <v>42.837500000000006</v>
      </c>
      <c r="BP12" s="14">
        <f t="shared" si="16"/>
        <v>0.21150000000000002</v>
      </c>
      <c r="BQ12" s="13">
        <f t="shared" si="17"/>
        <v>113.44664146872648</v>
      </c>
      <c r="BR12" s="13">
        <f t="shared" si="18"/>
        <v>108.13854756606403</v>
      </c>
      <c r="BS12" s="13">
        <f t="shared" si="19"/>
        <v>110.3044068838379</v>
      </c>
      <c r="BT12" s="13">
        <f t="shared" si="20"/>
        <v>100.75</v>
      </c>
      <c r="BU12" s="13">
        <f t="shared" si="36"/>
        <v>0.98999999999997779</v>
      </c>
      <c r="BV12" s="13">
        <f t="shared" si="37"/>
        <v>101.74742499999998</v>
      </c>
      <c r="BW12" s="13">
        <f t="shared" si="58"/>
        <v>112.23189366582777</v>
      </c>
      <c r="BX12" s="13">
        <f t="shared" si="21"/>
        <v>-0.87999999999999989</v>
      </c>
      <c r="BY12" s="13">
        <f t="shared" si="38"/>
        <v>-2.2614096594127489</v>
      </c>
      <c r="BZ12" s="13">
        <f t="shared" si="39"/>
        <v>-0.89132154608899983</v>
      </c>
      <c r="CA12" s="13">
        <f>IF(ISBLANK(B12),0,INDEX(Advanced_Table[],MATCH(B12,Advanced_Table[Player],0),MATCH("Scaled VORP",Advanced_Table[#Headers],0)))+IF(ISBLANK(C12),0,INDEX(Advanced_Table[],MATCH(C12,Advanced_Table[Player],0),MATCH("Scaled VORP",Advanced_Table[#Headers],0)))+IF(ISBLANK(D12),0,INDEX(Advanced_Table[],MATCH(D12,Advanced_Table[Player],0),MATCH("Scaled VORP",Advanced_Table[#Headers],0)))+IF(ISBLANK(E12),0,INDEX(Advanced_Table[],MATCH(E12,Advanced_Table[Player],0),MATCH("Scaled VORP",Advanced_Table[#Headers],0)))+IF(ISBLANK(F12),0,INDEX(Advanced_Table[],MATCH(F12,Advanced_Table[Player],0),MATCH("Scaled VORP",Advanced_Table[#Headers],0)))</f>
        <v>0</v>
      </c>
      <c r="CB12" s="13">
        <f t="shared" ca="1" si="40"/>
        <v>111.78623289278327</v>
      </c>
      <c r="CC12" s="13">
        <f t="shared" si="22"/>
        <v>16.715451949746903</v>
      </c>
      <c r="CD12" s="14">
        <f>INDEX(Defense!$AB$3:$BA$8,2,MATCH(CD$2,Defense!$AB$3:$BA$3,0))</f>
        <v>1.1881973445510248</v>
      </c>
      <c r="CE12" s="14">
        <f>INDEX(Defense!$AB$3:$BA$8,2,MATCH(CE$2,Defense!$AB$3:$BA$3,0))</f>
        <v>20.37695032952751</v>
      </c>
      <c r="CF12" s="14">
        <f>INDEX(Defense!$AB$3:$BA$8,2,MATCH(CF$2,Defense!$AB$3:$BA$3,0))</f>
        <v>3.8108594084794688E-2</v>
      </c>
      <c r="CG12" s="14">
        <f>INDEX(Defense!$AB$3:$BA$8,2,MATCH(CG$2,Defense!$AB$3:$BA$3,0))</f>
        <v>0.82665533501354516</v>
      </c>
      <c r="CH12" s="14">
        <f>INDEX(Defense!$AB$3:$BA$8,2,MATCH(CH$2,Defense!$AB$3:$BA$3,0))</f>
        <v>0.96847375256109303</v>
      </c>
      <c r="CI12" s="14">
        <f>INDEX(Defense!$AB$3:$BA$8,2,MATCH(CI$2,Defense!$AB$3:$BA$3,0))</f>
        <v>24.899423599851655</v>
      </c>
      <c r="CJ12" s="14">
        <f>INDEX(Defense!$AB$3:$BA$8,2,MATCH(CJ$2,Defense!$AB$3:$BA$3,0))</f>
        <v>4.3333160259283868E-2</v>
      </c>
      <c r="CK12" s="14">
        <f>INDEX(Defense!$AB$3:$BA$8,2,MATCH(CK$2,Defense!$AB$3:$BA$3,0))</f>
        <v>4.3643719755598418E-3</v>
      </c>
      <c r="CL12" s="14">
        <f>INDEX(Defense!$AB$3:$BA$8,2,MATCH(CL$2,Defense!$AB$3:$BA$3,0))</f>
        <v>3.3980730825493605E-2</v>
      </c>
      <c r="CM12" s="14">
        <f>INDEX(Defense!$AB$3:$BA$8,2,MATCH(CM$2,Defense!$AB$3:$BA$3,0))</f>
        <v>2.2130116153199469E-2</v>
      </c>
      <c r="CN12" s="14">
        <f>INDEX(Defense!$AB$3:$BA$8,2,MATCH(CN$2,Defense!$AB$3:$BA$3,0))</f>
        <v>1.5770727592026978E-2</v>
      </c>
      <c r="CO12" s="14">
        <f>INDEX(Defense!$AB$3:$BA$8,2,MATCH(CO$2,Defense!$AB$3:$BA$3,0))</f>
        <v>3.4820867870809513E-2</v>
      </c>
      <c r="CP12" s="14">
        <f>INDEX(Defense!$AB$3:$BA$8,2,MATCH(CP$2,Defense!$AB$3:$BA$3,0))</f>
        <v>-8.5450857094943424E-4</v>
      </c>
      <c r="CQ12" s="14">
        <f>INDEX(Defense!$AB$3:$BA$8,2,MATCH(CQ$2,Defense!$AB$3:$BA$3,0))</f>
        <v>160.75587555196628</v>
      </c>
      <c r="CR12" s="14">
        <f>INDEX(Defense!$AB$3:$BA$8,2,MATCH(CR$2,Defense!$AB$3:$BA$3,0))</f>
        <v>0.15454953937048871</v>
      </c>
      <c r="CS12" s="14">
        <f>INDEX(Defense!$AB$3:$BA$8,2,MATCH(CS$2,Defense!$AB$3:$BA$3,0))</f>
        <v>0.10198746342122103</v>
      </c>
      <c r="CT12" s="14">
        <f>INDEX(Defense!$AB$3:$BA$8,2,MATCH(CT$2,Defense!$AB$3:$BA$3,0))</f>
        <v>-13.759669623776899</v>
      </c>
      <c r="CU12" s="14">
        <f>INDEX(Defense!$AB$3:$BA$8,2,MATCH(CU$2,Defense!$AB$3:$BA$3,0))</f>
        <v>-140.43646301959095</v>
      </c>
      <c r="CV12" s="15">
        <f>INDEX(Offense!$AB$3:$BA$8,2,MATCH(CV$2,Offense!$AB$3:$BA$3,0))</f>
        <v>0.94854285448896025</v>
      </c>
      <c r="CW12" s="15">
        <f>INDEX(Offense!$AB$3:$BA$8,2,MATCH(CW$2,Offense!$AB$3:$BA$3,0))</f>
        <v>85.640824181858136</v>
      </c>
      <c r="CX12" s="15">
        <f>INDEX(Offense!$AB$3:$BA$8,2,MATCH(CX$2,Offense!$AB$3:$BA$3,0))</f>
        <v>0.18969054669932336</v>
      </c>
      <c r="CY12" s="15">
        <f>INDEX(Offense!$AB$3:$BA$8,2,MATCH(CY$2,Offense!$AB$3:$BA$3,0))</f>
        <v>15.281981293875587</v>
      </c>
      <c r="CZ12" s="15">
        <f>INDEX(Offense!$AB$3:$BA$8,2,MATCH(CZ$2,Offense!$AB$3:$BA$3,0))</f>
        <v>8.6824407438745616E-2</v>
      </c>
      <c r="DA12" s="15">
        <f>INDEX(Offense!$AB$3:$BA$8,2,MATCH(DA$2,Offense!$AB$3:$BA$3,0))</f>
        <v>5.4421042890783919</v>
      </c>
      <c r="DB12" s="15">
        <f>INDEX(Offense!$AB$3:$BA$8,2,MATCH(DB$2,Offense!$AB$3:$BA$3,0))</f>
        <v>-0.20243279756818017</v>
      </c>
      <c r="DC12" s="15">
        <f>INDEX(Offense!$AB$3:$BA$8,2,MATCH(DC$2,Offense!$AB$3:$BA$3,0))</f>
        <v>-1.5058230699739127E-2</v>
      </c>
      <c r="DD12" s="15">
        <f>INDEX(Offense!$AB$3:$BA$8,2,MATCH(DD$2,Offense!$AB$3:$BA$3,0))</f>
        <v>1.816205347682766E-4</v>
      </c>
      <c r="DE12" s="15">
        <f>INDEX(Offense!$AB$3:$BA$8,2,MATCH(DE$2,Offense!$AB$3:$BA$3,0))</f>
        <v>-3.5192292427553826E-2</v>
      </c>
      <c r="DF12" s="15">
        <f>INDEX(Offense!$AB$3:$BA$8,2,MATCH(DF$2,Offense!$AB$3:$BA$3,0))</f>
        <v>-5.4876472195541252E-2</v>
      </c>
      <c r="DG12" s="15">
        <f>INDEX(Offense!$AB$3:$BA$8,2,MATCH(DG$2,Offense!$AB$3:$BA$3,0))</f>
        <v>9.8474663700154286E-2</v>
      </c>
      <c r="DH12" s="15">
        <f>INDEX(Offense!$AB$3:$BA$8,2,MATCH(DH$2,Offense!$AB$3:$BA$3,0))</f>
        <v>1.3645952114017732E-3</v>
      </c>
      <c r="DI12" s="15">
        <f>INDEX(Offense!$AB$3:$BA$8,2,MATCH(DI$2,Offense!$AB$3:$BA$3,0))</f>
        <v>84.693499827495899</v>
      </c>
      <c r="DJ12" s="15">
        <f>INDEX(Offense!$AB$3:$BA$8,2,MATCH(DJ$2,Offense!$AB$3:$BA$3,0))</f>
        <v>-0.41522539338692127</v>
      </c>
      <c r="DK12" s="15">
        <f>INDEX(Offense!$AB$3:$BA$8,2,MATCH(DK$2,Offense!$AB$3:$BA$3,0))</f>
        <v>0.19885166787903463</v>
      </c>
      <c r="DL12" s="15">
        <f>INDEX(Offense!$AB$3:$BA$8,2,MATCH(DL$2,Offense!$AB$3:$BA$3,0))</f>
        <v>65.336144739305752</v>
      </c>
      <c r="DM12" s="15">
        <f>INDEX(Offense!$AB$3:$BA$8,2,MATCH(DM$2,Offense!$AB$3:$BA$3,0))</f>
        <v>-85.690558012232202</v>
      </c>
      <c r="DN12">
        <f t="shared" si="23"/>
        <v>-4.5</v>
      </c>
      <c r="DO12">
        <f t="shared" ca="1" si="24"/>
        <v>3.1527312055017376</v>
      </c>
      <c r="DP12">
        <f t="shared" ca="1" si="25"/>
        <v>0.42519854831278958</v>
      </c>
      <c r="DQ12" t="e">
        <f>IF(#REF!=0,"",ROUND(IF(#REF!&lt;0,#REF!/(#REF!-100),1/(#REF!/100+1)),2))</f>
        <v>#REF!</v>
      </c>
      <c r="DR12">
        <f t="shared" ca="1" si="26"/>
        <v>0.32353952901464922</v>
      </c>
      <c r="DS12">
        <f t="shared" ca="1" si="27"/>
        <v>0.59198891564968104</v>
      </c>
      <c r="DT12" s="59">
        <f t="shared" ca="1" si="59"/>
        <v>0.42519854831278958</v>
      </c>
      <c r="DU12" s="17">
        <f t="shared" ca="1" si="41"/>
        <v>3</v>
      </c>
      <c r="DV12" s="177"/>
      <c r="DX12" t="str">
        <f t="shared" ca="1" si="28"/>
        <v>Knicks @ Hawks</v>
      </c>
      <c r="DY12" t="str">
        <f t="shared" ca="1" si="29"/>
        <v>Under 232.5</v>
      </c>
      <c r="DZ12" s="39">
        <f t="shared" ca="1" si="30"/>
        <v>0.59198891564968104</v>
      </c>
      <c r="EA12" t="str">
        <f t="shared" ca="1" si="42"/>
        <v/>
      </c>
      <c r="EB12" t="str">
        <f t="shared" ca="1" si="31"/>
        <v/>
      </c>
      <c r="EC12" t="str">
        <f t="shared" ca="1" si="43"/>
        <v/>
      </c>
      <c r="ED12" t="str">
        <f t="shared" ca="1" si="60"/>
        <v/>
      </c>
      <c r="EE12" t="str">
        <f t="shared" ca="1" si="32"/>
        <v/>
      </c>
      <c r="EF12" t="str">
        <f t="shared" ca="1" si="44"/>
        <v>Knicks @ Hawks</v>
      </c>
      <c r="EG12" t="str">
        <f t="shared" ca="1" si="33"/>
        <v>Under 232.5</v>
      </c>
      <c r="EH12">
        <f t="shared" ca="1" si="45"/>
        <v>0.59198891564968104</v>
      </c>
      <c r="EI12">
        <f t="shared" ca="1" si="34"/>
        <v>20.957924650797779</v>
      </c>
      <c r="EJ12">
        <f t="shared" si="46"/>
        <v>0</v>
      </c>
      <c r="EK12" t="str">
        <f t="shared" si="47"/>
        <v/>
      </c>
      <c r="EL12" t="e">
        <f>IF(ISBLANK(G12),"",IF(DQ12&lt;0.5,IF(DP12&gt;0.5*$FG$7,G12&amp;" Moneyline (+"&amp;#REF!&amp;")",""),IF(DP12&gt;$FG$6*DQ12,G12&amp;" Moneyline ("&amp;#REF!&amp;")","")))</f>
        <v>#REF!</v>
      </c>
      <c r="EN12">
        <f t="shared" ca="1" si="48"/>
        <v>10</v>
      </c>
      <c r="EO12" t="str">
        <f t="shared" si="35"/>
        <v>Knicks @ Hawks</v>
      </c>
      <c r="EP12" t="str">
        <f t="shared" ca="1" si="49"/>
        <v>Under 232.5</v>
      </c>
      <c r="EQ12" s="19">
        <f t="shared" ca="1" si="50"/>
        <v>0.59198891564968104</v>
      </c>
      <c r="ER12">
        <f t="shared" ca="1" si="51"/>
        <v>0</v>
      </c>
      <c r="ES12" s="19" t="str">
        <f t="shared" ca="1" si="52"/>
        <v/>
      </c>
      <c r="ET12" s="19" t="str">
        <f ca="1">IF(ISBLANK(G12),"",IF(DT12&gt;0.625,G12&amp;" Moneyline ("&amp;#REF!&amp;")",""))</f>
        <v/>
      </c>
      <c r="EU12" s="1" t="str">
        <f ca="1">IF(ISNUMBER(CODE(ET12)),#REF!,"")</f>
        <v/>
      </c>
      <c r="EV12" s="1" t="str">
        <f t="shared" ca="1" si="53"/>
        <v/>
      </c>
      <c r="EW12" s="3"/>
      <c r="EX12" s="1" t="e">
        <f t="shared" ca="1" si="54"/>
        <v>#N/A</v>
      </c>
      <c r="EY12" s="1" t="e">
        <f t="shared" ca="1" si="55"/>
        <v>#N/A</v>
      </c>
      <c r="EZ12" s="3" t="e">
        <f t="shared" ca="1" si="56"/>
        <v>#N/A</v>
      </c>
      <c r="FA12" s="19"/>
      <c r="FB12" s="19"/>
      <c r="FC12" s="19"/>
      <c r="FD12" s="19"/>
      <c r="FE12" s="19"/>
    </row>
    <row r="13" spans="2:163" x14ac:dyDescent="0.25">
      <c r="G13" s="7" t="s">
        <v>166</v>
      </c>
      <c r="H13" s="8"/>
      <c r="I13" s="8">
        <v>211.5</v>
      </c>
      <c r="J13" s="179">
        <f t="shared" ref="J13" si="68">IF(ISBLANK(G13),"",IF(I13&lt;1,I14,I13))</f>
        <v>211.5</v>
      </c>
      <c r="K13" s="12">
        <f>IF(ISBLANK($G13),"",INDEX(OLook[],MATCH($G13,OLook[Team],0),MATCH(K$2,OLook[#Headers],0)))</f>
        <v>88.8</v>
      </c>
      <c r="L13" s="12">
        <f>IF(ISBLANK($G13),"",INDEX(OLook[],MATCH($G13,OLook[Team],0),MATCH(L$2,OLook[#Headers],0)))</f>
        <v>0.434</v>
      </c>
      <c r="M13" s="12">
        <f>IF(ISBLANK($G13),"",INDEX(OLook[],MATCH($G13,OLook[Team],0),MATCH(M$2,OLook[#Headers],0)))</f>
        <v>35.4</v>
      </c>
      <c r="N13" s="12">
        <f>IF(ISBLANK($G13),"",INDEX(OLook[],MATCH($G13,OLook[Team],0),MATCH(N$2,OLook[#Headers],0)))</f>
        <v>0.35</v>
      </c>
      <c r="O13" s="12">
        <f>IF(ISBLANK($G13),"",INDEX(OLook[],MATCH($G13,OLook[Team],0),MATCH(O$2,OLook[#Headers],0)))</f>
        <v>22.3</v>
      </c>
      <c r="P13" s="12">
        <f>IF(ISBLANK($G13),"",INDEX(OLook[],MATCH($G13,OLook[Team],0),MATCH(P$2,OLook[#Headers],0)))</f>
        <v>0.747</v>
      </c>
      <c r="Q13" s="12">
        <f>IF(ISBLANK($G13),"",INDEX(OLook[],MATCH($G13,OLook[Team],0),MATCH(Q$2,OLook[#Headers],0)))</f>
        <v>11.3</v>
      </c>
      <c r="R13" s="12">
        <f>IF(ISBLANK($G13),"",INDEX(OLook[],MATCH($G13,OLook[Team],0),MATCH(R$2,OLook[#Headers],0)))</f>
        <v>32.799999999999997</v>
      </c>
      <c r="S13" s="12">
        <f>IF(ISBLANK($G13),"",INDEX(OLook[],MATCH($G13,OLook[Team],0),MATCH(S$2,OLook[#Headers],0)))</f>
        <v>24.7</v>
      </c>
      <c r="T13" s="12">
        <f>IF(ISBLANK($G13),"",INDEX(OLook[],MATCH($G13,OLook[Team],0),MATCH(T$2,OLook[#Headers],0)))</f>
        <v>6.8</v>
      </c>
      <c r="U13" s="12">
        <f>IF(ISBLANK($G13),"",INDEX(OLook[],MATCH($G13,OLook[Team],0),MATCH(U$2,OLook[#Headers],0)))</f>
        <v>4.3</v>
      </c>
      <c r="V13" s="12">
        <f>IF(ISBLANK($G13),"",INDEX(OLook[],MATCH($G13,OLook[Team],0),MATCH(V$2,OLook[#Headers],0)))</f>
        <v>15.1</v>
      </c>
      <c r="W13" s="12">
        <f>IF(ISBLANK($G13),"",INDEX(OLook[],MATCH($G13,OLook[Team],0),MATCH(W$2,OLook[#Headers],0)))</f>
        <v>19.600000000000001</v>
      </c>
      <c r="X13" s="12">
        <f>IF(ISBLANK($G13),"",INDEX(OLook[],MATCH($G13,OLook[Team],0),MATCH(X$2,OLook[#Headers],0)))</f>
        <v>0.504</v>
      </c>
      <c r="Y13" s="12">
        <f>IF(ISBLANK($G13),"",INDEX(OLook[],MATCH($G13,OLook[Team],0),MATCH(Y$2,OLook[#Headers],0)))</f>
        <v>13.3</v>
      </c>
      <c r="Z13" s="12">
        <f>IF(ISBLANK($G13),"",INDEX(OLook[],MATCH($G13,OLook[Team],0),MATCH(Z$2,OLook[#Headers],0)))</f>
        <v>23.7</v>
      </c>
      <c r="AA13" s="12">
        <f>IF(ISBLANK($G13),"",INDEX(OLook[],MATCH($G13,OLook[Team],0),MATCH(AA$2,OLook[#Headers],0)))</f>
        <v>0.188</v>
      </c>
      <c r="AB13" s="12">
        <f>IF(ISBLANK($G13),"",INDEX(OLook[],MATCH($G13,OLook[Team],0),MATCH(AB$2,OLook[#Headers],0)))</f>
        <v>-7.2</v>
      </c>
      <c r="AC13" s="12">
        <f>IF(ISBLANK($G13),"",INDEX(OLook[],MATCH($G13,OLook[Team],0),MATCH(AC$2,OLook[#Headers],0)))</f>
        <v>95.9</v>
      </c>
      <c r="AD13" s="12">
        <f>IF(ISBLANK($G13),"",INDEX(OLook[],MATCH($G13,OLook[Team],0),MATCH(AD$2,OLook[#Headers],0)))</f>
        <v>-4.3100000000000165</v>
      </c>
      <c r="AE13" s="12">
        <f>IF(ISBLANK($G13),"",INDEX(OLook[],MATCH($G13,OLook[Team],0),MATCH(AE$2,OLook[#Headers],0)))</f>
        <v>1</v>
      </c>
      <c r="AF13" s="12">
        <f>IF(ISBLANK($G13),"",IF(ISODD(ROW()),INDEX(Scores!$B$2:'Scores'!$N$32,MATCH(G13,Scores!$C$2:$C$32,0),6),INDEX(Scores!$B$2:'Scores'!$N$32,MATCH(G13,Scores!$C$2:$C$32,0),10)))</f>
        <v>9.8315817649043638</v>
      </c>
      <c r="AG13" s="12">
        <f ca="1">IF(ISBLANK($G13),"",INDEX(Scores!$B$2:$P$32,MATCH($G13,Scores!$C$2:$C$32,0),MATCH(AG$2,Scores!$B$2:$P$2,0)))</f>
        <v>0</v>
      </c>
      <c r="AH13" s="11">
        <f>IF(ISBLANK($G13),"",INDEX(DLook[],MATCH($G13,DLook[Team],0),MATCH(AH$2,DLook[#Headers],0)))</f>
        <v>90.4</v>
      </c>
      <c r="AI13" s="11">
        <f>IF(ISBLANK($G13),"",INDEX(DLook[],MATCH($G13,DLook[Team],0),MATCH(AI$2,DLook[#Headers],0)))</f>
        <v>0.47599999999999998</v>
      </c>
      <c r="AJ13" s="11">
        <f>IF(ISBLANK($G13),"",INDEX(DLook[],MATCH($G13,DLook[Team],0),MATCH(AJ$2,DLook[#Headers],0)))</f>
        <v>36.1</v>
      </c>
      <c r="AK13" s="11">
        <f>IF(ISBLANK($G13),"",INDEX(DLook[],MATCH($G13,DLook[Team],0),MATCH(AK$2,DLook[#Headers],0)))</f>
        <v>0.35299999999999998</v>
      </c>
      <c r="AL13" s="11">
        <f>IF(ISBLANK($G13),"",INDEX(DLook[],MATCH($G13,DLook[Team],0),MATCH(AL$2,DLook[#Headers],0)))</f>
        <v>19.2</v>
      </c>
      <c r="AM13" s="11">
        <f>IF(ISBLANK($G13),"",INDEX(DLook[],MATCH($G13,DLook[Team],0),MATCH(AM$2,DLook[#Headers],0)))</f>
        <v>0.75700000000000001</v>
      </c>
      <c r="AN13" s="11">
        <f>IF(ISBLANK($G13),"",INDEX(DLook[],MATCH($G13,DLook[Team],0),MATCH(AN$2,DLook[#Headers],0)))</f>
        <v>11.3</v>
      </c>
      <c r="AO13" s="11">
        <f>IF(ISBLANK($G13),"",INDEX(DLook[],MATCH($G13,DLook[Team],0),MATCH(AO$2,DLook[#Headers],0)))</f>
        <v>36.299999999999997</v>
      </c>
      <c r="AP13" s="11">
        <f>IF(ISBLANK($G13),"",INDEX(DLook[],MATCH($G13,DLook[Team],0),MATCH(AP$2,DLook[#Headers],0)))</f>
        <v>27.4</v>
      </c>
      <c r="AQ13" s="11">
        <f>IF(ISBLANK($G13),"",INDEX(DLook[],MATCH($G13,DLook[Team],0),MATCH(AQ$2,DLook[#Headers],0)))</f>
        <v>8.3000000000000007</v>
      </c>
      <c r="AR13" s="11">
        <f>IF(ISBLANK($G13),"",INDEX(DLook[],MATCH($G13,DLook[Team],0),MATCH(AR$2,DLook[#Headers],0)))</f>
        <v>5.2</v>
      </c>
      <c r="AS13" s="11">
        <f>IF(ISBLANK($G13),"",INDEX(DLook[],MATCH($G13,DLook[Team],0),MATCH(AS$2,DLook[#Headers],0)))</f>
        <v>14.9</v>
      </c>
      <c r="AT13" s="11">
        <f>IF(ISBLANK($G13),"",INDEX(DLook[],MATCH($G13,DLook[Team],0),MATCH(AT$2,DLook[#Headers],0)))</f>
        <v>21.3</v>
      </c>
      <c r="AU13" s="11">
        <f>IF(ISBLANK($G13),"",INDEX(DLook[],MATCH($G13,DLook[Team],0),MATCH(AU$2,DLook[#Headers],0)))</f>
        <v>0.54600000000000004</v>
      </c>
      <c r="AV13" s="11">
        <f>IF(ISBLANK($G13),"",INDEX(DLook[],MATCH($G13,DLook[Team],0),MATCH(AV$2,DLook[#Headers],0)))</f>
        <v>13.1</v>
      </c>
      <c r="AW13" s="11">
        <f>IF(ISBLANK($G13),"",INDEX(DLook[],MATCH($G13,DLook[Team],0),MATCH(AW$2,DLook[#Headers],0)))</f>
        <v>74.3</v>
      </c>
      <c r="AX13" s="11">
        <f>IF(ISBLANK($G13),"",INDEX(DLook[],MATCH($G13,DLook[Team],0),MATCH(AX$2,DLook[#Headers],0)))</f>
        <v>0.161</v>
      </c>
      <c r="AY13" s="11">
        <f>IF(ISBLANK($G13),"",INDEX(DLook[],MATCH($G13,DLook[Team],0),MATCH(AY$2,DLook[#Headers],0)))</f>
        <v>4</v>
      </c>
      <c r="AZ13" s="14">
        <f t="shared" si="0"/>
        <v>87.55</v>
      </c>
      <c r="BA13" s="14">
        <f t="shared" si="1"/>
        <v>0.44483333333333336</v>
      </c>
      <c r="BB13" s="14">
        <f t="shared" si="2"/>
        <v>37.733333333333334</v>
      </c>
      <c r="BC13" s="14">
        <f t="shared" si="3"/>
        <v>0.34499999999999997</v>
      </c>
      <c r="BD13" s="14">
        <f t="shared" si="4"/>
        <v>23.216666666666669</v>
      </c>
      <c r="BE13" s="14">
        <f t="shared" si="5"/>
        <v>0.77116666666666667</v>
      </c>
      <c r="BF13" s="14">
        <f t="shared" si="6"/>
        <v>9.4666666666666668</v>
      </c>
      <c r="BG13" s="14">
        <f t="shared" si="7"/>
        <v>33.050000000000004</v>
      </c>
      <c r="BH13" s="14">
        <f t="shared" si="8"/>
        <v>24.866666666666664</v>
      </c>
      <c r="BI13" s="14">
        <f t="shared" si="9"/>
        <v>7.4666666666666659</v>
      </c>
      <c r="BJ13" s="14">
        <f t="shared" si="10"/>
        <v>4.2166666666666668</v>
      </c>
      <c r="BK13" s="14">
        <f t="shared" si="11"/>
        <v>13.933333333333332</v>
      </c>
      <c r="BL13" s="14">
        <f t="shared" si="12"/>
        <v>21.433333333333334</v>
      </c>
      <c r="BM13" s="14">
        <f t="shared" si="13"/>
        <v>0.51900000000000002</v>
      </c>
      <c r="BN13" s="14">
        <f t="shared" si="14"/>
        <v>12.466666666666667</v>
      </c>
      <c r="BO13" s="14">
        <f t="shared" si="15"/>
        <v>70.61666666666666</v>
      </c>
      <c r="BP13" s="14">
        <f t="shared" si="16"/>
        <v>0.20466666666666666</v>
      </c>
      <c r="BQ13" s="13">
        <f t="shared" si="17"/>
        <v>118.78420904298974</v>
      </c>
      <c r="BR13" s="13">
        <f t="shared" si="18"/>
        <v>110.53326455291011</v>
      </c>
      <c r="BS13" s="13">
        <f t="shared" si="19"/>
        <v>114.43332137330295</v>
      </c>
      <c r="BT13" s="13">
        <f t="shared" si="20"/>
        <v>97.050000000000011</v>
      </c>
      <c r="BU13" s="13">
        <f t="shared" si="36"/>
        <v>-2.9300000000000184</v>
      </c>
      <c r="BV13" s="13">
        <f t="shared" si="37"/>
        <v>94.206434999999985</v>
      </c>
      <c r="BW13" s="13">
        <f t="shared" si="58"/>
        <v>107.80355251788173</v>
      </c>
      <c r="BX13" s="13">
        <f t="shared" si="21"/>
        <v>-10.07</v>
      </c>
      <c r="BY13" s="13">
        <f t="shared" si="38"/>
        <v>-0.91683790126849374</v>
      </c>
      <c r="BZ13" s="13">
        <f t="shared" si="39"/>
        <v>-7.9933075558833808</v>
      </c>
      <c r="CA13" s="13">
        <f>IF(ISBLANK(B13),0,INDEX(Advanced_Table[],MATCH(B13,Advanced_Table[Player],0),MATCH("Scaled VORP",Advanced_Table[#Headers],0)))+IF(ISBLANK(C13),0,INDEX(Advanced_Table[],MATCH(C13,Advanced_Table[Player],0),MATCH("Scaled VORP",Advanced_Table[#Headers],0)))+IF(ISBLANK(D13),0,INDEX(Advanced_Table[],MATCH(D13,Advanced_Table[Player],0),MATCH("Scaled VORP",Advanced_Table[#Headers],0)))+IF(ISBLANK(E13),0,INDEX(Advanced_Table[],MATCH(E13,Advanced_Table[Player],0),MATCH("Scaled VORP",Advanced_Table[#Headers],0)))+IF(ISBLANK(F13),0,INDEX(Advanced_Table[],MATCH(F13,Advanced_Table[Player],0),MATCH("Scaled VORP",Advanced_Table[#Headers],0)))</f>
        <v>0</v>
      </c>
      <c r="CB13" s="13">
        <f t="shared" ca="1" si="40"/>
        <v>103.80689873994004</v>
      </c>
      <c r="CC13" s="13">
        <f t="shared" si="22"/>
        <v>15.827507700203466</v>
      </c>
      <c r="CD13" s="14">
        <f>INDEX(Defense!$AB$3:$BA$8,2,MATCH(CD$2,Defense!$AB$3:$BA$3,0))</f>
        <v>1.1881973445510248</v>
      </c>
      <c r="CE13" s="14">
        <f>INDEX(Defense!$AB$3:$BA$8,2,MATCH(CE$2,Defense!$AB$3:$BA$3,0))</f>
        <v>20.37695032952751</v>
      </c>
      <c r="CF13" s="14">
        <f>INDEX(Defense!$AB$3:$BA$8,2,MATCH(CF$2,Defense!$AB$3:$BA$3,0))</f>
        <v>3.8108594084794688E-2</v>
      </c>
      <c r="CG13" s="14">
        <f>INDEX(Defense!$AB$3:$BA$8,2,MATCH(CG$2,Defense!$AB$3:$BA$3,0))</f>
        <v>0.82665533501354516</v>
      </c>
      <c r="CH13" s="14">
        <f>INDEX(Defense!$AB$3:$BA$8,2,MATCH(CH$2,Defense!$AB$3:$BA$3,0))</f>
        <v>0.96847375256109303</v>
      </c>
      <c r="CI13" s="14">
        <f>INDEX(Defense!$AB$3:$BA$8,2,MATCH(CI$2,Defense!$AB$3:$BA$3,0))</f>
        <v>24.899423599851655</v>
      </c>
      <c r="CJ13" s="14">
        <f>INDEX(Defense!$AB$3:$BA$8,2,MATCH(CJ$2,Defense!$AB$3:$BA$3,0))</f>
        <v>4.3333160259283868E-2</v>
      </c>
      <c r="CK13" s="14">
        <f>INDEX(Defense!$AB$3:$BA$8,2,MATCH(CK$2,Defense!$AB$3:$BA$3,0))</f>
        <v>4.3643719755598418E-3</v>
      </c>
      <c r="CL13" s="14">
        <f>INDEX(Defense!$AB$3:$BA$8,2,MATCH(CL$2,Defense!$AB$3:$BA$3,0))</f>
        <v>3.3980730825493605E-2</v>
      </c>
      <c r="CM13" s="14">
        <f>INDEX(Defense!$AB$3:$BA$8,2,MATCH(CM$2,Defense!$AB$3:$BA$3,0))</f>
        <v>2.2130116153199469E-2</v>
      </c>
      <c r="CN13" s="14">
        <f>INDEX(Defense!$AB$3:$BA$8,2,MATCH(CN$2,Defense!$AB$3:$BA$3,0))</f>
        <v>1.5770727592026978E-2</v>
      </c>
      <c r="CO13" s="14">
        <f>INDEX(Defense!$AB$3:$BA$8,2,MATCH(CO$2,Defense!$AB$3:$BA$3,0))</f>
        <v>3.4820867870809513E-2</v>
      </c>
      <c r="CP13" s="14">
        <f>INDEX(Defense!$AB$3:$BA$8,2,MATCH(CP$2,Defense!$AB$3:$BA$3,0))</f>
        <v>-8.5450857094943424E-4</v>
      </c>
      <c r="CQ13" s="14">
        <f>INDEX(Defense!$AB$3:$BA$8,2,MATCH(CQ$2,Defense!$AB$3:$BA$3,0))</f>
        <v>160.75587555196628</v>
      </c>
      <c r="CR13" s="14">
        <f>INDEX(Defense!$AB$3:$BA$8,2,MATCH(CR$2,Defense!$AB$3:$BA$3,0))</f>
        <v>0.15454953937048871</v>
      </c>
      <c r="CS13" s="14">
        <f>INDEX(Defense!$AB$3:$BA$8,2,MATCH(CS$2,Defense!$AB$3:$BA$3,0))</f>
        <v>0.10198746342122103</v>
      </c>
      <c r="CT13" s="14">
        <f>INDEX(Defense!$AB$3:$BA$8,2,MATCH(CT$2,Defense!$AB$3:$BA$3,0))</f>
        <v>-13.759669623776899</v>
      </c>
      <c r="CU13" s="14">
        <f>INDEX(Defense!$AB$3:$BA$8,2,MATCH(CU$2,Defense!$AB$3:$BA$3,0))</f>
        <v>-140.43646301959095</v>
      </c>
      <c r="CV13" s="15">
        <f>INDEX(Offense!$AB$3:$BA$8,2,MATCH(CV$2,Offense!$AB$3:$BA$3,0))</f>
        <v>0.94854285448896025</v>
      </c>
      <c r="CW13" s="15">
        <f>INDEX(Offense!$AB$3:$BA$8,2,MATCH(CW$2,Offense!$AB$3:$BA$3,0))</f>
        <v>85.640824181858136</v>
      </c>
      <c r="CX13" s="15">
        <f>INDEX(Offense!$AB$3:$BA$8,2,MATCH(CX$2,Offense!$AB$3:$BA$3,0))</f>
        <v>0.18969054669932336</v>
      </c>
      <c r="CY13" s="15">
        <f>INDEX(Offense!$AB$3:$BA$8,2,MATCH(CY$2,Offense!$AB$3:$BA$3,0))</f>
        <v>15.281981293875587</v>
      </c>
      <c r="CZ13" s="15">
        <f>INDEX(Offense!$AB$3:$BA$8,2,MATCH(CZ$2,Offense!$AB$3:$BA$3,0))</f>
        <v>8.6824407438745616E-2</v>
      </c>
      <c r="DA13" s="15">
        <f>INDEX(Offense!$AB$3:$BA$8,2,MATCH(DA$2,Offense!$AB$3:$BA$3,0))</f>
        <v>5.4421042890783919</v>
      </c>
      <c r="DB13" s="15">
        <f>INDEX(Offense!$AB$3:$BA$8,2,MATCH(DB$2,Offense!$AB$3:$BA$3,0))</f>
        <v>-0.20243279756818017</v>
      </c>
      <c r="DC13" s="15">
        <f>INDEX(Offense!$AB$3:$BA$8,2,MATCH(DC$2,Offense!$AB$3:$BA$3,0))</f>
        <v>-1.5058230699739127E-2</v>
      </c>
      <c r="DD13" s="15">
        <f>INDEX(Offense!$AB$3:$BA$8,2,MATCH(DD$2,Offense!$AB$3:$BA$3,0))</f>
        <v>1.816205347682766E-4</v>
      </c>
      <c r="DE13" s="15">
        <f>INDEX(Offense!$AB$3:$BA$8,2,MATCH(DE$2,Offense!$AB$3:$BA$3,0))</f>
        <v>-3.5192292427553826E-2</v>
      </c>
      <c r="DF13" s="15">
        <f>INDEX(Offense!$AB$3:$BA$8,2,MATCH(DF$2,Offense!$AB$3:$BA$3,0))</f>
        <v>-5.4876472195541252E-2</v>
      </c>
      <c r="DG13" s="15">
        <f>INDEX(Offense!$AB$3:$BA$8,2,MATCH(DG$2,Offense!$AB$3:$BA$3,0))</f>
        <v>9.8474663700154286E-2</v>
      </c>
      <c r="DH13" s="15">
        <f>INDEX(Offense!$AB$3:$BA$8,2,MATCH(DH$2,Offense!$AB$3:$BA$3,0))</f>
        <v>1.3645952114017732E-3</v>
      </c>
      <c r="DI13" s="15">
        <f>INDEX(Offense!$AB$3:$BA$8,2,MATCH(DI$2,Offense!$AB$3:$BA$3,0))</f>
        <v>84.693499827495899</v>
      </c>
      <c r="DJ13" s="15">
        <f>INDEX(Offense!$AB$3:$BA$8,2,MATCH(DJ$2,Offense!$AB$3:$BA$3,0))</f>
        <v>-0.41522539338692127</v>
      </c>
      <c r="DK13" s="15">
        <f>INDEX(Offense!$AB$3:$BA$8,2,MATCH(DK$2,Offense!$AB$3:$BA$3,0))</f>
        <v>0.19885166787903463</v>
      </c>
      <c r="DL13" s="15">
        <f>INDEX(Offense!$AB$3:$BA$8,2,MATCH(DL$2,Offense!$AB$3:$BA$3,0))</f>
        <v>65.336144739305752</v>
      </c>
      <c r="DM13" s="15">
        <f>INDEX(Offense!$AB$3:$BA$8,2,MATCH(DM$2,Offense!$AB$3:$BA$3,0))</f>
        <v>-85.690558012232202</v>
      </c>
      <c r="DN13">
        <f t="shared" si="23"/>
        <v>10</v>
      </c>
      <c r="DO13">
        <f t="shared" ca="1" si="24"/>
        <v>8.9101454571518701</v>
      </c>
      <c r="DP13">
        <f t="shared" ca="1" si="25"/>
        <v>0.28673339025734351</v>
      </c>
      <c r="DQ13" t="e">
        <f>IF(#REF!=0,"",ROUND(IF(#REF!&lt;0,#REF!/(#REF!-100),1/(#REF!/100+1)),2))</f>
        <v>#REF!</v>
      </c>
      <c r="DR13">
        <f t="shared" ca="1" si="26"/>
        <v>0.52744877589056682</v>
      </c>
      <c r="DS13">
        <f t="shared" ca="1" si="27"/>
        <v>0.59704933415369199</v>
      </c>
      <c r="DT13" s="58">
        <f t="shared" ca="1" si="59"/>
        <v>0.28673339025734351</v>
      </c>
      <c r="DU13" s="16">
        <f t="shared" ca="1" si="41"/>
        <v>9</v>
      </c>
      <c r="DV13" s="176">
        <f ca="1">IFERROR(IF(ISODD(ROW()),ROUND(CB13+CB14,0),ROUND(CB13+CB12,0)),"")</f>
        <v>217</v>
      </c>
      <c r="DX13" t="str">
        <f t="shared" ca="1" si="28"/>
        <v>Hornets @ Heat</v>
      </c>
      <c r="DY13" t="str">
        <f t="shared" ca="1" si="29"/>
        <v>Hornets +10</v>
      </c>
      <c r="DZ13" s="39">
        <f t="shared" ca="1" si="30"/>
        <v>0.52744877589056682</v>
      </c>
      <c r="EA13" t="str">
        <f t="shared" ca="1" si="42"/>
        <v>Hornets @ Heat</v>
      </c>
      <c r="EB13" t="str">
        <f t="shared" ca="1" si="31"/>
        <v>Hornets</v>
      </c>
      <c r="EC13" t="str">
        <f t="shared" ca="1" si="43"/>
        <v>+10</v>
      </c>
      <c r="ED13">
        <f t="shared" ca="1" si="60"/>
        <v>0.52744877589056682</v>
      </c>
      <c r="EE13">
        <f t="shared" ca="1" si="32"/>
        <v>17.912690565391195</v>
      </c>
      <c r="EF13" t="str">
        <f t="shared" ca="1" si="44"/>
        <v>Hornets @ Heat</v>
      </c>
      <c r="EG13" t="str">
        <f t="shared" ca="1" si="33"/>
        <v>Over 211.5</v>
      </c>
      <c r="EH13">
        <f t="shared" ca="1" si="45"/>
        <v>0.59704933415369199</v>
      </c>
      <c r="EI13">
        <f t="shared" ca="1" si="34"/>
        <v>21.13707643371955</v>
      </c>
      <c r="EJ13">
        <f t="shared" si="46"/>
        <v>0</v>
      </c>
      <c r="EK13" t="str">
        <f t="shared" si="47"/>
        <v/>
      </c>
      <c r="EL13" t="e">
        <f>IF(ISBLANK(G13),"",IF(DQ13&lt;0.5,IF(DP13&gt;0.5*$FG$7,G13&amp;" Moneyline (+"&amp;#REF!&amp;")",""),IF(DP13&gt;$FG$6*DQ13,G13&amp;" Moneyline ("&amp;#REF!&amp;")","")))</f>
        <v>#REF!</v>
      </c>
      <c r="EN13">
        <f t="shared" ca="1" si="48"/>
        <v>11</v>
      </c>
      <c r="EO13" t="str">
        <f t="shared" si="35"/>
        <v>Hornets @ Heat</v>
      </c>
      <c r="EP13" t="str">
        <f t="shared" ca="1" si="49"/>
        <v>Hornets +10</v>
      </c>
      <c r="EQ13" s="19">
        <f t="shared" ca="1" si="50"/>
        <v>0.52744877589056682</v>
      </c>
      <c r="ER13">
        <f t="shared" ca="1" si="51"/>
        <v>0</v>
      </c>
      <c r="ES13" s="19" t="str">
        <f t="shared" ca="1" si="52"/>
        <v/>
      </c>
      <c r="ET13" s="19" t="str">
        <f ca="1">IF(ISBLANK(G13),"",IF(DT13&gt;0.625,G13&amp;" Moneyline ("&amp;#REF!&amp;")",""))</f>
        <v/>
      </c>
      <c r="EU13" s="1" t="str">
        <f ca="1">IF(ISNUMBER(CODE(ET13)),#REF!,"")</f>
        <v/>
      </c>
      <c r="EV13" s="1" t="str">
        <f t="shared" ca="1" si="53"/>
        <v/>
      </c>
      <c r="EW13" s="3"/>
      <c r="EX13" s="1" t="e">
        <f t="shared" ca="1" si="54"/>
        <v>#N/A</v>
      </c>
      <c r="EY13" s="1" t="e">
        <f t="shared" ca="1" si="55"/>
        <v>#N/A</v>
      </c>
      <c r="EZ13" s="3" t="e">
        <f t="shared" ca="1" si="56"/>
        <v>#N/A</v>
      </c>
      <c r="FA13" s="19"/>
      <c r="FB13" s="19"/>
      <c r="FC13" s="19"/>
      <c r="FD13" s="19"/>
      <c r="FE13" s="19"/>
    </row>
    <row r="14" spans="2:163" ht="15.75" thickBot="1" x14ac:dyDescent="0.3">
      <c r="G14" s="9" t="s">
        <v>175</v>
      </c>
      <c r="H14" s="10">
        <v>-10</v>
      </c>
      <c r="I14" s="10"/>
      <c r="J14" s="180">
        <f t="shared" ref="J14" si="69">IF(H14&lt;1,H15,H14)</f>
        <v>0</v>
      </c>
      <c r="K14" s="12">
        <f>IF(ISBLANK($G14),"",INDEX(OLook[],MATCH($G14,OLook[Team],0),MATCH(K$2,OLook[#Headers],0)))</f>
        <v>84.7</v>
      </c>
      <c r="L14" s="12">
        <f>IF(ISBLANK($G14),"",INDEX(OLook[],MATCH($G14,OLook[Team],0),MATCH(L$2,OLook[#Headers],0)))</f>
        <v>0.47</v>
      </c>
      <c r="M14" s="12">
        <f>IF(ISBLANK($G14),"",INDEX(OLook[],MATCH($G14,OLook[Team],0),MATCH(M$2,OLook[#Headers],0)))</f>
        <v>34.799999999999997</v>
      </c>
      <c r="N14" s="12">
        <f>IF(ISBLANK($G14),"",INDEX(OLook[],MATCH($G14,OLook[Team],0),MATCH(N$2,OLook[#Headers],0)))</f>
        <v>0.38400000000000001</v>
      </c>
      <c r="O14" s="12">
        <f>IF(ISBLANK($G14),"",INDEX(OLook[],MATCH($G14,OLook[Team],0),MATCH(O$2,OLook[#Headers],0)))</f>
        <v>25.5</v>
      </c>
      <c r="P14" s="12">
        <f>IF(ISBLANK($G14),"",INDEX(OLook[],MATCH($G14,OLook[Team],0),MATCH(P$2,OLook[#Headers],0)))</f>
        <v>0.77800000000000002</v>
      </c>
      <c r="Q14" s="12">
        <f>IF(ISBLANK($G14),"",INDEX(OLook[],MATCH($G14,OLook[Team],0),MATCH(Q$2,OLook[#Headers],0)))</f>
        <v>8.5</v>
      </c>
      <c r="R14" s="12">
        <f>IF(ISBLANK($G14),"",INDEX(OLook[],MATCH($G14,OLook[Team],0),MATCH(R$2,OLook[#Headers],0)))</f>
        <v>36.299999999999997</v>
      </c>
      <c r="S14" s="12">
        <f>IF(ISBLANK($G14),"",INDEX(OLook[],MATCH($G14,OLook[Team],0),MATCH(S$2,OLook[#Headers],0)))</f>
        <v>26</v>
      </c>
      <c r="T14" s="12">
        <f>IF(ISBLANK($G14),"",INDEX(OLook[],MATCH($G14,OLook[Team],0),MATCH(T$2,OLook[#Headers],0)))</f>
        <v>7.4</v>
      </c>
      <c r="U14" s="12">
        <f>IF(ISBLANK($G14),"",INDEX(OLook[],MATCH($G14,OLook[Team],0),MATCH(U$2,OLook[#Headers],0)))</f>
        <v>4.5</v>
      </c>
      <c r="V14" s="12">
        <f>IF(ISBLANK($G14),"",INDEX(OLook[],MATCH($G14,OLook[Team],0),MATCH(V$2,OLook[#Headers],0)))</f>
        <v>15</v>
      </c>
      <c r="W14" s="12">
        <f>IF(ISBLANK($G14),"",INDEX(OLook[],MATCH($G14,OLook[Team],0),MATCH(W$2,OLook[#Headers],0)))</f>
        <v>20.5</v>
      </c>
      <c r="X14" s="12">
        <f>IF(ISBLANK($G14),"",INDEX(OLook[],MATCH($G14,OLook[Team],0),MATCH(X$2,OLook[#Headers],0)))</f>
        <v>0.54900000000000004</v>
      </c>
      <c r="Y14" s="12">
        <f>IF(ISBLANK($G14),"",INDEX(OLook[],MATCH($G14,OLook[Team],0),MATCH(Y$2,OLook[#Headers],0)))</f>
        <v>13.5</v>
      </c>
      <c r="Z14" s="12">
        <f>IF(ISBLANK($G14),"",INDEX(OLook[],MATCH($G14,OLook[Team],0),MATCH(Z$2,OLook[#Headers],0)))</f>
        <v>20.5</v>
      </c>
      <c r="AA14" s="12">
        <f>IF(ISBLANK($G14),"",INDEX(OLook[],MATCH($G14,OLook[Team],0),MATCH(AA$2,OLook[#Headers],0)))</f>
        <v>0.23400000000000001</v>
      </c>
      <c r="AB14" s="12">
        <f>IF(ISBLANK($G14),"",INDEX(OLook[],MATCH($G14,OLook[Team],0),MATCH(AB$2,OLook[#Headers],0)))</f>
        <v>2.87</v>
      </c>
      <c r="AC14" s="12">
        <f>IF(ISBLANK($G14),"",INDEX(OLook[],MATCH($G14,OLook[Team],0),MATCH(AC$2,OLook[#Headers],0)))</f>
        <v>98.2</v>
      </c>
      <c r="AD14" s="12">
        <f>IF(ISBLANK($G14),"",INDEX(OLook[],MATCH($G14,OLook[Team],0),MATCH(AD$2,OLook[#Headers],0)))</f>
        <v>-2.0100000000000193</v>
      </c>
      <c r="AE14" s="12">
        <f>IF(ISBLANK($G14),"",INDEX(OLook[],MATCH($G14,OLook[Team],0),MATCH(AE$2,OLook[#Headers],0)))</f>
        <v>3</v>
      </c>
      <c r="AF14" s="12">
        <f>IF(ISBLANK($G14),"",IF(ISODD(ROW()),INDEX(Scores!$B$2:'Scores'!$N$32,MATCH(G14,Scores!$C$2:$C$32,0),6),INDEX(Scores!$B$2:'Scores'!$N$32,MATCH(G14,Scores!$C$2:$C$32,0),10)))</f>
        <v>12.403628501370072</v>
      </c>
      <c r="AG14" s="12">
        <f ca="1">IF(ISBLANK($G14),"",INDEX(Scores!$B$2:$P$32,MATCH($G14,Scores!$C$2:$C$32,0),MATCH(AG$2,Scores!$B$2:$P$2,0)))</f>
        <v>0</v>
      </c>
      <c r="AH14" s="11">
        <f>IF(ISBLANK($G14),"",INDEX(DLook[],MATCH($G14,DLook[Team],0),MATCH(AH$2,DLook[#Headers],0)))</f>
        <v>87.3</v>
      </c>
      <c r="AI14" s="11">
        <f>IF(ISBLANK($G14),"",INDEX(DLook[],MATCH($G14,DLook[Team],0),MATCH(AI$2,DLook[#Headers],0)))</f>
        <v>0.44700000000000001</v>
      </c>
      <c r="AJ14" s="11">
        <f>IF(ISBLANK($G14),"",INDEX(DLook[],MATCH($G14,DLook[Team],0),MATCH(AJ$2,DLook[#Headers],0)))</f>
        <v>38.200000000000003</v>
      </c>
      <c r="AK14" s="11">
        <f>IF(ISBLANK($G14),"",INDEX(DLook[],MATCH($G14,DLook[Team],0),MATCH(AK$2,DLook[#Headers],0)))</f>
        <v>0.34399999999999997</v>
      </c>
      <c r="AL14" s="11">
        <f>IF(ISBLANK($G14),"",INDEX(DLook[],MATCH($G14,DLook[Team],0),MATCH(AL$2,DLook[#Headers],0)))</f>
        <v>23.4</v>
      </c>
      <c r="AM14" s="11">
        <f>IF(ISBLANK($G14),"",INDEX(DLook[],MATCH($G14,DLook[Team],0),MATCH(AM$2,DLook[#Headers],0)))</f>
        <v>0.77600000000000002</v>
      </c>
      <c r="AN14" s="11">
        <f>IF(ISBLANK($G14),"",INDEX(DLook[],MATCH($G14,DLook[Team],0),MATCH(AN$2,DLook[#Headers],0)))</f>
        <v>9.1</v>
      </c>
      <c r="AO14" s="11">
        <f>IF(ISBLANK($G14),"",INDEX(DLook[],MATCH($G14,DLook[Team],0),MATCH(AO$2,DLook[#Headers],0)))</f>
        <v>33.1</v>
      </c>
      <c r="AP14" s="11">
        <f>IF(ISBLANK($G14),"",INDEX(DLook[],MATCH($G14,DLook[Team],0),MATCH(AP$2,DLook[#Headers],0)))</f>
        <v>24.9</v>
      </c>
      <c r="AQ14" s="11">
        <f>IF(ISBLANK($G14),"",INDEX(DLook[],MATCH($G14,DLook[Team],0),MATCH(AQ$2,DLook[#Headers],0)))</f>
        <v>7.6</v>
      </c>
      <c r="AR14" s="11">
        <f>IF(ISBLANK($G14),"",INDEX(DLook[],MATCH($G14,DLook[Team],0),MATCH(AR$2,DLook[#Headers],0)))</f>
        <v>4.2</v>
      </c>
      <c r="AS14" s="11">
        <f>IF(ISBLANK($G14),"",INDEX(DLook[],MATCH($G14,DLook[Team],0),MATCH(AS$2,DLook[#Headers],0)))</f>
        <v>13.7</v>
      </c>
      <c r="AT14" s="11">
        <f>IF(ISBLANK($G14),"",INDEX(DLook[],MATCH($G14,DLook[Team],0),MATCH(AT$2,DLook[#Headers],0)))</f>
        <v>21.8</v>
      </c>
      <c r="AU14" s="11">
        <f>IF(ISBLANK($G14),"",INDEX(DLook[],MATCH($G14,DLook[Team],0),MATCH(AU$2,DLook[#Headers],0)))</f>
        <v>0.52200000000000002</v>
      </c>
      <c r="AV14" s="11">
        <f>IF(ISBLANK($G14),"",INDEX(DLook[],MATCH($G14,DLook[Team],0),MATCH(AV$2,DLook[#Headers],0)))</f>
        <v>12.3</v>
      </c>
      <c r="AW14" s="11">
        <f>IF(ISBLANK($G14),"",INDEX(DLook[],MATCH($G14,DLook[Team],0),MATCH(AW$2,DLook[#Headers],0)))</f>
        <v>80</v>
      </c>
      <c r="AX14" s="11">
        <f>IF(ISBLANK($G14),"",INDEX(DLook[],MATCH($G14,DLook[Team],0),MATCH(AX$2,DLook[#Headers],0)))</f>
        <v>0.20799999999999999</v>
      </c>
      <c r="AY14" s="11">
        <f>IF(ISBLANK($G14),"",INDEX(DLook[],MATCH($G14,DLook[Team],0),MATCH(AY$2,DLook[#Headers],0)))</f>
        <v>5</v>
      </c>
      <c r="AZ14" s="14">
        <f t="shared" si="0"/>
        <v>87.95714285714287</v>
      </c>
      <c r="BA14" s="14">
        <f t="shared" si="1"/>
        <v>0.47342857142857142</v>
      </c>
      <c r="BB14" s="14">
        <f t="shared" si="2"/>
        <v>35.542857142857144</v>
      </c>
      <c r="BC14" s="14">
        <f t="shared" si="3"/>
        <v>0.36628571428571427</v>
      </c>
      <c r="BD14" s="14">
        <f t="shared" si="4"/>
        <v>21.900000000000002</v>
      </c>
      <c r="BE14" s="14">
        <f t="shared" si="5"/>
        <v>0.76600000000000001</v>
      </c>
      <c r="BF14" s="14">
        <f t="shared" si="6"/>
        <v>10.1</v>
      </c>
      <c r="BG14" s="14">
        <f t="shared" si="7"/>
        <v>36.299999999999997</v>
      </c>
      <c r="BH14" s="14">
        <f t="shared" si="8"/>
        <v>26.8</v>
      </c>
      <c r="BI14" s="14">
        <f t="shared" si="9"/>
        <v>7.9142857142857155</v>
      </c>
      <c r="BJ14" s="14">
        <f t="shared" si="10"/>
        <v>4.8999999999999995</v>
      </c>
      <c r="BK14" s="14">
        <f t="shared" si="11"/>
        <v>14.942857142857141</v>
      </c>
      <c r="BL14" s="14">
        <f t="shared" si="12"/>
        <v>20.957142857142856</v>
      </c>
      <c r="BM14" s="14">
        <f t="shared" si="13"/>
        <v>0.54728571428571438</v>
      </c>
      <c r="BN14" s="14">
        <f t="shared" si="14"/>
        <v>13.271428571428572</v>
      </c>
      <c r="BO14" s="14">
        <f t="shared" si="15"/>
        <v>51.24285714285714</v>
      </c>
      <c r="BP14" s="14">
        <f t="shared" si="16"/>
        <v>0.19228571428571431</v>
      </c>
      <c r="BQ14" s="13">
        <f t="shared" si="17"/>
        <v>118.65539618637183</v>
      </c>
      <c r="BR14" s="13">
        <f t="shared" si="18"/>
        <v>107.90698986877277</v>
      </c>
      <c r="BS14" s="13">
        <f t="shared" si="19"/>
        <v>115.40654353298714</v>
      </c>
      <c r="BT14" s="13">
        <f t="shared" si="20"/>
        <v>97.050000000000011</v>
      </c>
      <c r="BU14" s="13">
        <f t="shared" si="36"/>
        <v>-2.9300000000000184</v>
      </c>
      <c r="BV14" s="13">
        <f t="shared" si="37"/>
        <v>94.206434999999985</v>
      </c>
      <c r="BW14" s="13">
        <f t="shared" si="58"/>
        <v>108.72039041915022</v>
      </c>
      <c r="BX14" s="13">
        <f t="shared" si="21"/>
        <v>10.07</v>
      </c>
      <c r="BY14" s="13">
        <f t="shared" si="38"/>
        <v>0.91683790126849374</v>
      </c>
      <c r="BZ14" s="13">
        <f t="shared" si="39"/>
        <v>7.9933075558833808</v>
      </c>
      <c r="CA14" s="13">
        <f>IF(ISBLANK(B14),0,INDEX(Advanced_Table[],MATCH(B14,Advanced_Table[Player],0),MATCH("Scaled VORP",Advanced_Table[#Headers],0)))+IF(ISBLANK(C14),0,INDEX(Advanced_Table[],MATCH(C14,Advanced_Table[Player],0),MATCH("Scaled VORP",Advanced_Table[#Headers],0)))+IF(ISBLANK(D14),0,INDEX(Advanced_Table[],MATCH(D14,Advanced_Table[Player],0),MATCH("Scaled VORP",Advanced_Table[#Headers],0)))+IF(ISBLANK(E14),0,INDEX(Advanced_Table[],MATCH(E14,Advanced_Table[Player],0),MATCH("Scaled VORP",Advanced_Table[#Headers],0)))+IF(ISBLANK(F14),0,INDEX(Advanced_Table[],MATCH(F14,Advanced_Table[Player],0),MATCH("Scaled VORP",Advanced_Table[#Headers],0)))</f>
        <v>0</v>
      </c>
      <c r="CB14" s="13">
        <f t="shared" ca="1" si="40"/>
        <v>112.71704419709191</v>
      </c>
      <c r="CC14" s="13">
        <f t="shared" si="22"/>
        <v>15.827507700203466</v>
      </c>
      <c r="CD14" s="14">
        <f>INDEX(Defense!$AB$3:$BA$8,2,MATCH(CD$2,Defense!$AB$3:$BA$3,0))</f>
        <v>1.1881973445510248</v>
      </c>
      <c r="CE14" s="14">
        <f>INDEX(Defense!$AB$3:$BA$8,2,MATCH(CE$2,Defense!$AB$3:$BA$3,0))</f>
        <v>20.37695032952751</v>
      </c>
      <c r="CF14" s="14">
        <f>INDEX(Defense!$AB$3:$BA$8,2,MATCH(CF$2,Defense!$AB$3:$BA$3,0))</f>
        <v>3.8108594084794688E-2</v>
      </c>
      <c r="CG14" s="14">
        <f>INDEX(Defense!$AB$3:$BA$8,2,MATCH(CG$2,Defense!$AB$3:$BA$3,0))</f>
        <v>0.82665533501354516</v>
      </c>
      <c r="CH14" s="14">
        <f>INDEX(Defense!$AB$3:$BA$8,2,MATCH(CH$2,Defense!$AB$3:$BA$3,0))</f>
        <v>0.96847375256109303</v>
      </c>
      <c r="CI14" s="14">
        <f>INDEX(Defense!$AB$3:$BA$8,2,MATCH(CI$2,Defense!$AB$3:$BA$3,0))</f>
        <v>24.899423599851655</v>
      </c>
      <c r="CJ14" s="14">
        <f>INDEX(Defense!$AB$3:$BA$8,2,MATCH(CJ$2,Defense!$AB$3:$BA$3,0))</f>
        <v>4.3333160259283868E-2</v>
      </c>
      <c r="CK14" s="14">
        <f>INDEX(Defense!$AB$3:$BA$8,2,MATCH(CK$2,Defense!$AB$3:$BA$3,0))</f>
        <v>4.3643719755598418E-3</v>
      </c>
      <c r="CL14" s="14">
        <f>INDEX(Defense!$AB$3:$BA$8,2,MATCH(CL$2,Defense!$AB$3:$BA$3,0))</f>
        <v>3.3980730825493605E-2</v>
      </c>
      <c r="CM14" s="14">
        <f>INDEX(Defense!$AB$3:$BA$8,2,MATCH(CM$2,Defense!$AB$3:$BA$3,0))</f>
        <v>2.2130116153199469E-2</v>
      </c>
      <c r="CN14" s="14">
        <f>INDEX(Defense!$AB$3:$BA$8,2,MATCH(CN$2,Defense!$AB$3:$BA$3,0))</f>
        <v>1.5770727592026978E-2</v>
      </c>
      <c r="CO14" s="14">
        <f>INDEX(Defense!$AB$3:$BA$8,2,MATCH(CO$2,Defense!$AB$3:$BA$3,0))</f>
        <v>3.4820867870809513E-2</v>
      </c>
      <c r="CP14" s="14">
        <f>INDEX(Defense!$AB$3:$BA$8,2,MATCH(CP$2,Defense!$AB$3:$BA$3,0))</f>
        <v>-8.5450857094943424E-4</v>
      </c>
      <c r="CQ14" s="14">
        <f>INDEX(Defense!$AB$3:$BA$8,2,MATCH(CQ$2,Defense!$AB$3:$BA$3,0))</f>
        <v>160.75587555196628</v>
      </c>
      <c r="CR14" s="14">
        <f>INDEX(Defense!$AB$3:$BA$8,2,MATCH(CR$2,Defense!$AB$3:$BA$3,0))</f>
        <v>0.15454953937048871</v>
      </c>
      <c r="CS14" s="14">
        <f>INDEX(Defense!$AB$3:$BA$8,2,MATCH(CS$2,Defense!$AB$3:$BA$3,0))</f>
        <v>0.10198746342122103</v>
      </c>
      <c r="CT14" s="14">
        <f>INDEX(Defense!$AB$3:$BA$8,2,MATCH(CT$2,Defense!$AB$3:$BA$3,0))</f>
        <v>-13.759669623776899</v>
      </c>
      <c r="CU14" s="14">
        <f>INDEX(Defense!$AB$3:$BA$8,2,MATCH(CU$2,Defense!$AB$3:$BA$3,0))</f>
        <v>-140.43646301959095</v>
      </c>
      <c r="CV14" s="15">
        <f>INDEX(Offense!$AB$3:$BA$8,2,MATCH(CV$2,Offense!$AB$3:$BA$3,0))</f>
        <v>0.94854285448896025</v>
      </c>
      <c r="CW14" s="15">
        <f>INDEX(Offense!$AB$3:$BA$8,2,MATCH(CW$2,Offense!$AB$3:$BA$3,0))</f>
        <v>85.640824181858136</v>
      </c>
      <c r="CX14" s="15">
        <f>INDEX(Offense!$AB$3:$BA$8,2,MATCH(CX$2,Offense!$AB$3:$BA$3,0))</f>
        <v>0.18969054669932336</v>
      </c>
      <c r="CY14" s="15">
        <f>INDEX(Offense!$AB$3:$BA$8,2,MATCH(CY$2,Offense!$AB$3:$BA$3,0))</f>
        <v>15.281981293875587</v>
      </c>
      <c r="CZ14" s="15">
        <f>INDEX(Offense!$AB$3:$BA$8,2,MATCH(CZ$2,Offense!$AB$3:$BA$3,0))</f>
        <v>8.6824407438745616E-2</v>
      </c>
      <c r="DA14" s="15">
        <f>INDEX(Offense!$AB$3:$BA$8,2,MATCH(DA$2,Offense!$AB$3:$BA$3,0))</f>
        <v>5.4421042890783919</v>
      </c>
      <c r="DB14" s="15">
        <f>INDEX(Offense!$AB$3:$BA$8,2,MATCH(DB$2,Offense!$AB$3:$BA$3,0))</f>
        <v>-0.20243279756818017</v>
      </c>
      <c r="DC14" s="15">
        <f>INDEX(Offense!$AB$3:$BA$8,2,MATCH(DC$2,Offense!$AB$3:$BA$3,0))</f>
        <v>-1.5058230699739127E-2</v>
      </c>
      <c r="DD14" s="15">
        <f>INDEX(Offense!$AB$3:$BA$8,2,MATCH(DD$2,Offense!$AB$3:$BA$3,0))</f>
        <v>1.816205347682766E-4</v>
      </c>
      <c r="DE14" s="15">
        <f>INDEX(Offense!$AB$3:$BA$8,2,MATCH(DE$2,Offense!$AB$3:$BA$3,0))</f>
        <v>-3.5192292427553826E-2</v>
      </c>
      <c r="DF14" s="15">
        <f>INDEX(Offense!$AB$3:$BA$8,2,MATCH(DF$2,Offense!$AB$3:$BA$3,0))</f>
        <v>-5.4876472195541252E-2</v>
      </c>
      <c r="DG14" s="15">
        <f>INDEX(Offense!$AB$3:$BA$8,2,MATCH(DG$2,Offense!$AB$3:$BA$3,0))</f>
        <v>9.8474663700154286E-2</v>
      </c>
      <c r="DH14" s="15">
        <f>INDEX(Offense!$AB$3:$BA$8,2,MATCH(DH$2,Offense!$AB$3:$BA$3,0))</f>
        <v>1.3645952114017732E-3</v>
      </c>
      <c r="DI14" s="15">
        <f>INDEX(Offense!$AB$3:$BA$8,2,MATCH(DI$2,Offense!$AB$3:$BA$3,0))</f>
        <v>84.693499827495899</v>
      </c>
      <c r="DJ14" s="15">
        <f>INDEX(Offense!$AB$3:$BA$8,2,MATCH(DJ$2,Offense!$AB$3:$BA$3,0))</f>
        <v>-0.41522539338692127</v>
      </c>
      <c r="DK14" s="15">
        <f>INDEX(Offense!$AB$3:$BA$8,2,MATCH(DK$2,Offense!$AB$3:$BA$3,0))</f>
        <v>0.19885166787903463</v>
      </c>
      <c r="DL14" s="15">
        <f>INDEX(Offense!$AB$3:$BA$8,2,MATCH(DL$2,Offense!$AB$3:$BA$3,0))</f>
        <v>65.336144739305752</v>
      </c>
      <c r="DM14" s="15">
        <f>INDEX(Offense!$AB$3:$BA$8,2,MATCH(DM$2,Offense!$AB$3:$BA$3,0))</f>
        <v>-85.690558012232202</v>
      </c>
      <c r="DN14">
        <f t="shared" si="23"/>
        <v>-10</v>
      </c>
      <c r="DO14">
        <f t="shared" ca="1" si="24"/>
        <v>-8.9101454571518701</v>
      </c>
      <c r="DP14">
        <f t="shared" ca="1" si="25"/>
        <v>0.71326660974265654</v>
      </c>
      <c r="DQ14" t="e">
        <f>IF(#REF!=0,"",ROUND(IF(#REF!&lt;0,#REF!/(#REF!-100),1/(#REF!/100+1)),2))</f>
        <v>#REF!</v>
      </c>
      <c r="DR14">
        <f t="shared" ca="1" si="26"/>
        <v>0.47255122410943312</v>
      </c>
      <c r="DS14">
        <f t="shared" ca="1" si="27"/>
        <v>0.40295066584630801</v>
      </c>
      <c r="DT14" s="59">
        <f t="shared" ca="1" si="59"/>
        <v>0.71326660974265654</v>
      </c>
      <c r="DU14" s="17">
        <f t="shared" ca="1" si="41"/>
        <v>-9</v>
      </c>
      <c r="DV14" s="177"/>
      <c r="DX14" t="str">
        <f t="shared" ca="1" si="28"/>
        <v>Hornets @ Heat</v>
      </c>
      <c r="DY14" t="str">
        <f t="shared" ca="1" si="29"/>
        <v>Over 211.5</v>
      </c>
      <c r="DZ14" s="39">
        <f t="shared" ca="1" si="30"/>
        <v>0.59704933415369199</v>
      </c>
      <c r="EA14" t="str">
        <f t="shared" ca="1" si="42"/>
        <v/>
      </c>
      <c r="EB14" t="str">
        <f t="shared" ca="1" si="31"/>
        <v/>
      </c>
      <c r="EC14" t="str">
        <f t="shared" ca="1" si="43"/>
        <v/>
      </c>
      <c r="ED14" t="str">
        <f t="shared" ca="1" si="60"/>
        <v/>
      </c>
      <c r="EE14" t="str">
        <f t="shared" ca="1" si="32"/>
        <v/>
      </c>
      <c r="EF14" t="str">
        <f t="shared" ca="1" si="44"/>
        <v/>
      </c>
      <c r="EG14" t="str">
        <f t="shared" ca="1" si="33"/>
        <v/>
      </c>
      <c r="EH14" t="str">
        <f t="shared" ca="1" si="45"/>
        <v/>
      </c>
      <c r="EI14" t="str">
        <f t="shared" ca="1" si="34"/>
        <v/>
      </c>
      <c r="EJ14">
        <f t="shared" si="46"/>
        <v>0</v>
      </c>
      <c r="EK14" t="str">
        <f t="shared" si="47"/>
        <v/>
      </c>
      <c r="EL14" t="e">
        <f>IF(ISBLANK(G14),"",IF(DQ14&lt;0.5,IF(DP14&gt;0.5*$FG$7,G14&amp;" Moneyline (+"&amp;#REF!&amp;")",""),IF(DP14&gt;$FG$6*DQ14,G14&amp;" Moneyline ("&amp;#REF!&amp;")","")))</f>
        <v>#REF!</v>
      </c>
      <c r="EN14">
        <f t="shared" ca="1" si="48"/>
        <v>12</v>
      </c>
      <c r="EO14" t="str">
        <f t="shared" si="35"/>
        <v>Hornets @ Heat</v>
      </c>
      <c r="EP14" t="str">
        <f t="shared" ca="1" si="49"/>
        <v>Over 211.5</v>
      </c>
      <c r="EQ14" s="19">
        <f t="shared" ca="1" si="50"/>
        <v>0.59704933415369199</v>
      </c>
      <c r="ER14">
        <f t="shared" ca="1" si="51"/>
        <v>0</v>
      </c>
      <c r="ES14" s="19" t="str">
        <f t="shared" ca="1" si="52"/>
        <v/>
      </c>
      <c r="ET14" s="19" t="e">
        <f ca="1">IF(ISBLANK(G14),"",IF(DT14&gt;0.625,G14&amp;" Moneyline ("&amp;#REF!&amp;")",""))</f>
        <v>#REF!</v>
      </c>
      <c r="EU14" s="1" t="str">
        <f ca="1">IF(ISNUMBER(CODE(ET14)),#REF!,"")</f>
        <v/>
      </c>
      <c r="EV14" s="1" t="str">
        <f t="shared" ca="1" si="53"/>
        <v/>
      </c>
      <c r="EW14" s="3"/>
      <c r="EX14" s="1" t="e">
        <f t="shared" ca="1" si="54"/>
        <v>#N/A</v>
      </c>
      <c r="EY14" s="1" t="e">
        <f t="shared" ca="1" si="55"/>
        <v>#N/A</v>
      </c>
      <c r="EZ14" s="3" t="e">
        <f t="shared" ca="1" si="56"/>
        <v>#N/A</v>
      </c>
      <c r="FA14" s="19"/>
      <c r="FB14" s="19"/>
      <c r="FC14" s="19"/>
      <c r="FD14" s="19"/>
      <c r="FE14" s="19"/>
    </row>
    <row r="15" spans="2:163" x14ac:dyDescent="0.25">
      <c r="G15" s="7"/>
      <c r="H15" s="8"/>
      <c r="I15" s="8">
        <v>233</v>
      </c>
      <c r="J15" s="179" t="str">
        <f t="shared" ref="J15" si="70">IF(ISBLANK(G15),"",IF(I15&lt;1,I16,I15))</f>
        <v/>
      </c>
      <c r="K15" s="12" t="str">
        <f>IF(ISBLANK($G15),"",INDEX(OLook[],MATCH($G15,OLook[Team],0),MATCH(K$2,OLook[#Headers],0)))</f>
        <v/>
      </c>
      <c r="L15" s="12" t="str">
        <f>IF(ISBLANK($G15),"",INDEX(OLook[],MATCH($G15,OLook[Team],0),MATCH(L$2,OLook[#Headers],0)))</f>
        <v/>
      </c>
      <c r="M15" s="12" t="str">
        <f>IF(ISBLANK($G15),"",INDEX(OLook[],MATCH($G15,OLook[Team],0),MATCH(M$2,OLook[#Headers],0)))</f>
        <v/>
      </c>
      <c r="N15" s="12" t="str">
        <f>IF(ISBLANK($G15),"",INDEX(OLook[],MATCH($G15,OLook[Team],0),MATCH(N$2,OLook[#Headers],0)))</f>
        <v/>
      </c>
      <c r="O15" s="12" t="str">
        <f>IF(ISBLANK($G15),"",INDEX(OLook[],MATCH($G15,OLook[Team],0),MATCH(O$2,OLook[#Headers],0)))</f>
        <v/>
      </c>
      <c r="P15" s="12" t="str">
        <f>IF(ISBLANK($G15),"",INDEX(OLook[],MATCH($G15,OLook[Team],0),MATCH(P$2,OLook[#Headers],0)))</f>
        <v/>
      </c>
      <c r="Q15" s="12" t="str">
        <f>IF(ISBLANK($G15),"",INDEX(OLook[],MATCH($G15,OLook[Team],0),MATCH(Q$2,OLook[#Headers],0)))</f>
        <v/>
      </c>
      <c r="R15" s="12" t="str">
        <f>IF(ISBLANK($G15),"",INDEX(OLook[],MATCH($G15,OLook[Team],0),MATCH(R$2,OLook[#Headers],0)))</f>
        <v/>
      </c>
      <c r="S15" s="12" t="str">
        <f>IF(ISBLANK($G15),"",INDEX(OLook[],MATCH($G15,OLook[Team],0),MATCH(S$2,OLook[#Headers],0)))</f>
        <v/>
      </c>
      <c r="T15" s="12" t="str">
        <f>IF(ISBLANK($G15),"",INDEX(OLook[],MATCH($G15,OLook[Team],0),MATCH(T$2,OLook[#Headers],0)))</f>
        <v/>
      </c>
      <c r="U15" s="12" t="str">
        <f>IF(ISBLANK($G15),"",INDEX(OLook[],MATCH($G15,OLook[Team],0),MATCH(U$2,OLook[#Headers],0)))</f>
        <v/>
      </c>
      <c r="V15" s="12" t="str">
        <f>IF(ISBLANK($G15),"",INDEX(OLook[],MATCH($G15,OLook[Team],0),MATCH(V$2,OLook[#Headers],0)))</f>
        <v/>
      </c>
      <c r="W15" s="12" t="str">
        <f>IF(ISBLANK($G15),"",INDEX(OLook[],MATCH($G15,OLook[Team],0),MATCH(W$2,OLook[#Headers],0)))</f>
        <v/>
      </c>
      <c r="X15" s="12" t="str">
        <f>IF(ISBLANK($G15),"",INDEX(OLook[],MATCH($G15,OLook[Team],0),MATCH(X$2,OLook[#Headers],0)))</f>
        <v/>
      </c>
      <c r="Y15" s="12" t="str">
        <f>IF(ISBLANK($G15),"",INDEX(OLook[],MATCH($G15,OLook[Team],0),MATCH(Y$2,OLook[#Headers],0)))</f>
        <v/>
      </c>
      <c r="Z15" s="12" t="str">
        <f>IF(ISBLANK($G15),"",INDEX(OLook[],MATCH($G15,OLook[Team],0),MATCH(Z$2,OLook[#Headers],0)))</f>
        <v/>
      </c>
      <c r="AA15" s="12" t="str">
        <f>IF(ISBLANK($G15),"",INDEX(OLook[],MATCH($G15,OLook[Team],0),MATCH(AA$2,OLook[#Headers],0)))</f>
        <v/>
      </c>
      <c r="AB15" s="12" t="str">
        <f>IF(ISBLANK($G15),"",INDEX(OLook[],MATCH($G15,OLook[Team],0),MATCH(AB$2,OLook[#Headers],0)))</f>
        <v/>
      </c>
      <c r="AC15" s="12" t="str">
        <f>IF(ISBLANK($G15),"",INDEX(OLook[],MATCH($G15,OLook[Team],0),MATCH(AC$2,OLook[#Headers],0)))</f>
        <v/>
      </c>
      <c r="AD15" s="12" t="str">
        <f>IF(ISBLANK($G15),"",INDEX(OLook[],MATCH($G15,OLook[Team],0),MATCH(AD$2,OLook[#Headers],0)))</f>
        <v/>
      </c>
      <c r="AE15" s="12" t="str">
        <f>IF(ISBLANK($G15),"",INDEX(OLook[],MATCH($G15,OLook[Team],0),MATCH(AE$2,OLook[#Headers],0)))</f>
        <v/>
      </c>
      <c r="AF15" s="12" t="str">
        <f>IF(ISBLANK($G15),"",IF(ISODD(ROW()),INDEX(Scores!$B$2:'Scores'!$N$32,MATCH(G15,Scores!$C$2:$C$32,0),6),INDEX(Scores!$B$2:'Scores'!$N$32,MATCH(G15,Scores!$C$2:$C$32,0),10)))</f>
        <v/>
      </c>
      <c r="AG15" s="12" t="str">
        <f>IF(ISBLANK($G15),"",INDEX(Scores!$B$2:$P$32,MATCH($G15,Scores!$C$2:$C$32,0),MATCH(AG$2,Scores!$B$2:$P$2,0)))</f>
        <v/>
      </c>
      <c r="AH15" s="11" t="str">
        <f>IF(ISBLANK($G15),"",INDEX(DLook[],MATCH($G15,DLook[Team],0),MATCH(AH$2,DLook[#Headers],0)))</f>
        <v/>
      </c>
      <c r="AI15" s="11" t="str">
        <f>IF(ISBLANK($G15),"",INDEX(DLook[],MATCH($G15,DLook[Team],0),MATCH(AI$2,DLook[#Headers],0)))</f>
        <v/>
      </c>
      <c r="AJ15" s="11" t="str">
        <f>IF(ISBLANK($G15),"",INDEX(DLook[],MATCH($G15,DLook[Team],0),MATCH(AJ$2,DLook[#Headers],0)))</f>
        <v/>
      </c>
      <c r="AK15" s="11" t="str">
        <f>IF(ISBLANK($G15),"",INDEX(DLook[],MATCH($G15,DLook[Team],0),MATCH(AK$2,DLook[#Headers],0)))</f>
        <v/>
      </c>
      <c r="AL15" s="11" t="str">
        <f>IF(ISBLANK($G15),"",INDEX(DLook[],MATCH($G15,DLook[Team],0),MATCH(AL$2,DLook[#Headers],0)))</f>
        <v/>
      </c>
      <c r="AM15" s="11" t="str">
        <f>IF(ISBLANK($G15),"",INDEX(DLook[],MATCH($G15,DLook[Team],0),MATCH(AM$2,DLook[#Headers],0)))</f>
        <v/>
      </c>
      <c r="AN15" s="11" t="str">
        <f>IF(ISBLANK($G15),"",INDEX(DLook[],MATCH($G15,DLook[Team],0),MATCH(AN$2,DLook[#Headers],0)))</f>
        <v/>
      </c>
      <c r="AO15" s="11" t="str">
        <f>IF(ISBLANK($G15),"",INDEX(DLook[],MATCH($G15,DLook[Team],0),MATCH(AO$2,DLook[#Headers],0)))</f>
        <v/>
      </c>
      <c r="AP15" s="11" t="str">
        <f>IF(ISBLANK($G15),"",INDEX(DLook[],MATCH($G15,DLook[Team],0),MATCH(AP$2,DLook[#Headers],0)))</f>
        <v/>
      </c>
      <c r="AQ15" s="11" t="str">
        <f>IF(ISBLANK($G15),"",INDEX(DLook[],MATCH($G15,DLook[Team],0),MATCH(AQ$2,DLook[#Headers],0)))</f>
        <v/>
      </c>
      <c r="AR15" s="11" t="str">
        <f>IF(ISBLANK($G15),"",INDEX(DLook[],MATCH($G15,DLook[Team],0),MATCH(AR$2,DLook[#Headers],0)))</f>
        <v/>
      </c>
      <c r="AS15" s="11" t="str">
        <f>IF(ISBLANK($G15),"",INDEX(DLook[],MATCH($G15,DLook[Team],0),MATCH(AS$2,DLook[#Headers],0)))</f>
        <v/>
      </c>
      <c r="AT15" s="11" t="str">
        <f>IF(ISBLANK($G15),"",INDEX(DLook[],MATCH($G15,DLook[Team],0),MATCH(AT$2,DLook[#Headers],0)))</f>
        <v/>
      </c>
      <c r="AU15" s="11" t="str">
        <f>IF(ISBLANK($G15),"",INDEX(DLook[],MATCH($G15,DLook[Team],0),MATCH(AU$2,DLook[#Headers],0)))</f>
        <v/>
      </c>
      <c r="AV15" s="11" t="str">
        <f>IF(ISBLANK($G15),"",INDEX(DLook[],MATCH($G15,DLook[Team],0),MATCH(AV$2,DLook[#Headers],0)))</f>
        <v/>
      </c>
      <c r="AW15" s="11" t="str">
        <f>IF(ISBLANK($G15),"",INDEX(DLook[],MATCH($G15,DLook[Team],0),MATCH(AW$2,DLook[#Headers],0)))</f>
        <v/>
      </c>
      <c r="AX15" s="11" t="str">
        <f>IF(ISBLANK($G15),"",INDEX(DLook[],MATCH($G15,DLook[Team],0),MATCH(AX$2,DLook[#Headers],0)))</f>
        <v/>
      </c>
      <c r="AY15" s="11" t="str">
        <f>IF(ISBLANK($G15),"",INDEX(DLook[],MATCH($G15,DLook[Team],0),MATCH(AY$2,DLook[#Headers],0)))</f>
        <v/>
      </c>
      <c r="AZ15" s="14" t="str">
        <f t="shared" si="0"/>
        <v/>
      </c>
      <c r="BA15" s="14" t="str">
        <f t="shared" si="1"/>
        <v/>
      </c>
      <c r="BB15" s="14" t="str">
        <f t="shared" si="2"/>
        <v/>
      </c>
      <c r="BC15" s="14" t="str">
        <f t="shared" si="3"/>
        <v/>
      </c>
      <c r="BD15" s="14" t="str">
        <f t="shared" si="4"/>
        <v/>
      </c>
      <c r="BE15" s="14" t="str">
        <f t="shared" si="5"/>
        <v/>
      </c>
      <c r="BF15" s="14" t="str">
        <f t="shared" si="6"/>
        <v/>
      </c>
      <c r="BG15" s="14" t="str">
        <f t="shared" si="7"/>
        <v/>
      </c>
      <c r="BH15" s="14" t="str">
        <f t="shared" si="8"/>
        <v/>
      </c>
      <c r="BI15" s="14" t="str">
        <f t="shared" si="9"/>
        <v/>
      </c>
      <c r="BJ15" s="14" t="str">
        <f t="shared" si="10"/>
        <v/>
      </c>
      <c r="BK15" s="14" t="str">
        <f t="shared" si="11"/>
        <v/>
      </c>
      <c r="BL15" s="14" t="str">
        <f t="shared" si="12"/>
        <v/>
      </c>
      <c r="BM15" s="14" t="str">
        <f t="shared" si="13"/>
        <v/>
      </c>
      <c r="BN15" s="14" t="str">
        <f t="shared" si="14"/>
        <v/>
      </c>
      <c r="BO15" s="14" t="str">
        <f t="shared" si="15"/>
        <v/>
      </c>
      <c r="BP15" s="14" t="str">
        <f t="shared" si="16"/>
        <v/>
      </c>
      <c r="BQ15" s="13" t="str">
        <f t="shared" si="17"/>
        <v/>
      </c>
      <c r="BR15" s="13" t="str">
        <f t="shared" si="18"/>
        <v/>
      </c>
      <c r="BS15" s="13" t="str">
        <f t="shared" si="19"/>
        <v/>
      </c>
      <c r="BT15" s="13" t="str">
        <f t="shared" si="20"/>
        <v/>
      </c>
      <c r="BU15" s="13" t="str">
        <f t="shared" si="36"/>
        <v/>
      </c>
      <c r="BV15" s="13" t="str">
        <f t="shared" si="37"/>
        <v/>
      </c>
      <c r="BW15" s="13" t="str">
        <f t="shared" si="58"/>
        <v/>
      </c>
      <c r="BX15" s="13" t="str">
        <f t="shared" si="21"/>
        <v/>
      </c>
      <c r="BY15" s="13" t="str">
        <f t="shared" si="38"/>
        <v/>
      </c>
      <c r="BZ15" s="13" t="str">
        <f t="shared" si="39"/>
        <v/>
      </c>
      <c r="CA15" s="13">
        <f>IF(ISBLANK(B15),0,INDEX(Advanced_Table[],MATCH(B15,Advanced_Table[Player],0),MATCH("Scaled VORP",Advanced_Table[#Headers],0)))+IF(ISBLANK(C15),0,INDEX(Advanced_Table[],MATCH(C15,Advanced_Table[Player],0),MATCH("Scaled VORP",Advanced_Table[#Headers],0)))+IF(ISBLANK(D15),0,INDEX(Advanced_Table[],MATCH(D15,Advanced_Table[Player],0),MATCH("Scaled VORP",Advanced_Table[#Headers],0)))+IF(ISBLANK(E15),0,INDEX(Advanced_Table[],MATCH(E15,Advanced_Table[Player],0),MATCH("Scaled VORP",Advanced_Table[#Headers],0)))+IF(ISBLANK(F15),0,INDEX(Advanced_Table[],MATCH(F15,Advanced_Table[Player],0),MATCH("Scaled VORP",Advanced_Table[#Headers],0)))</f>
        <v>0</v>
      </c>
      <c r="CB15" s="13" t="str">
        <f t="shared" si="40"/>
        <v/>
      </c>
      <c r="CC15" s="13" t="str">
        <f t="shared" si="22"/>
        <v/>
      </c>
      <c r="CD15" s="14">
        <f>INDEX(Defense!$AB$3:$BA$8,2,MATCH(CD$2,Defense!$AB$3:$BA$3,0))</f>
        <v>1.1881973445510248</v>
      </c>
      <c r="CE15" s="14">
        <f>INDEX(Defense!$AB$3:$BA$8,2,MATCH(CE$2,Defense!$AB$3:$BA$3,0))</f>
        <v>20.37695032952751</v>
      </c>
      <c r="CF15" s="14">
        <f>INDEX(Defense!$AB$3:$BA$8,2,MATCH(CF$2,Defense!$AB$3:$BA$3,0))</f>
        <v>3.8108594084794688E-2</v>
      </c>
      <c r="CG15" s="14">
        <f>INDEX(Defense!$AB$3:$BA$8,2,MATCH(CG$2,Defense!$AB$3:$BA$3,0))</f>
        <v>0.82665533501354516</v>
      </c>
      <c r="CH15" s="14">
        <f>INDEX(Defense!$AB$3:$BA$8,2,MATCH(CH$2,Defense!$AB$3:$BA$3,0))</f>
        <v>0.96847375256109303</v>
      </c>
      <c r="CI15" s="14">
        <f>INDEX(Defense!$AB$3:$BA$8,2,MATCH(CI$2,Defense!$AB$3:$BA$3,0))</f>
        <v>24.899423599851655</v>
      </c>
      <c r="CJ15" s="14">
        <f>INDEX(Defense!$AB$3:$BA$8,2,MATCH(CJ$2,Defense!$AB$3:$BA$3,0))</f>
        <v>4.3333160259283868E-2</v>
      </c>
      <c r="CK15" s="14">
        <f>INDEX(Defense!$AB$3:$BA$8,2,MATCH(CK$2,Defense!$AB$3:$BA$3,0))</f>
        <v>4.3643719755598418E-3</v>
      </c>
      <c r="CL15" s="14">
        <f>INDEX(Defense!$AB$3:$BA$8,2,MATCH(CL$2,Defense!$AB$3:$BA$3,0))</f>
        <v>3.3980730825493605E-2</v>
      </c>
      <c r="CM15" s="14">
        <f>INDEX(Defense!$AB$3:$BA$8,2,MATCH(CM$2,Defense!$AB$3:$BA$3,0))</f>
        <v>2.2130116153199469E-2</v>
      </c>
      <c r="CN15" s="14">
        <f>INDEX(Defense!$AB$3:$BA$8,2,MATCH(CN$2,Defense!$AB$3:$BA$3,0))</f>
        <v>1.5770727592026978E-2</v>
      </c>
      <c r="CO15" s="14">
        <f>INDEX(Defense!$AB$3:$BA$8,2,MATCH(CO$2,Defense!$AB$3:$BA$3,0))</f>
        <v>3.4820867870809513E-2</v>
      </c>
      <c r="CP15" s="14">
        <f>INDEX(Defense!$AB$3:$BA$8,2,MATCH(CP$2,Defense!$AB$3:$BA$3,0))</f>
        <v>-8.5450857094943424E-4</v>
      </c>
      <c r="CQ15" s="14">
        <f>INDEX(Defense!$AB$3:$BA$8,2,MATCH(CQ$2,Defense!$AB$3:$BA$3,0))</f>
        <v>160.75587555196628</v>
      </c>
      <c r="CR15" s="14">
        <f>INDEX(Defense!$AB$3:$BA$8,2,MATCH(CR$2,Defense!$AB$3:$BA$3,0))</f>
        <v>0.15454953937048871</v>
      </c>
      <c r="CS15" s="14">
        <f>INDEX(Defense!$AB$3:$BA$8,2,MATCH(CS$2,Defense!$AB$3:$BA$3,0))</f>
        <v>0.10198746342122103</v>
      </c>
      <c r="CT15" s="14">
        <f>INDEX(Defense!$AB$3:$BA$8,2,MATCH(CT$2,Defense!$AB$3:$BA$3,0))</f>
        <v>-13.759669623776899</v>
      </c>
      <c r="CU15" s="14">
        <f>INDEX(Defense!$AB$3:$BA$8,2,MATCH(CU$2,Defense!$AB$3:$BA$3,0))</f>
        <v>-140.43646301959095</v>
      </c>
      <c r="CV15" s="15">
        <f>INDEX(Offense!$AB$3:$BA$8,2,MATCH(CV$2,Offense!$AB$3:$BA$3,0))</f>
        <v>0.94854285448896025</v>
      </c>
      <c r="CW15" s="15">
        <f>INDEX(Offense!$AB$3:$BA$8,2,MATCH(CW$2,Offense!$AB$3:$BA$3,0))</f>
        <v>85.640824181858136</v>
      </c>
      <c r="CX15" s="15">
        <f>INDEX(Offense!$AB$3:$BA$8,2,MATCH(CX$2,Offense!$AB$3:$BA$3,0))</f>
        <v>0.18969054669932336</v>
      </c>
      <c r="CY15" s="15">
        <f>INDEX(Offense!$AB$3:$BA$8,2,MATCH(CY$2,Offense!$AB$3:$BA$3,0))</f>
        <v>15.281981293875587</v>
      </c>
      <c r="CZ15" s="15">
        <f>INDEX(Offense!$AB$3:$BA$8,2,MATCH(CZ$2,Offense!$AB$3:$BA$3,0))</f>
        <v>8.6824407438745616E-2</v>
      </c>
      <c r="DA15" s="15">
        <f>INDEX(Offense!$AB$3:$BA$8,2,MATCH(DA$2,Offense!$AB$3:$BA$3,0))</f>
        <v>5.4421042890783919</v>
      </c>
      <c r="DB15" s="15">
        <f>INDEX(Offense!$AB$3:$BA$8,2,MATCH(DB$2,Offense!$AB$3:$BA$3,0))</f>
        <v>-0.20243279756818017</v>
      </c>
      <c r="DC15" s="15">
        <f>INDEX(Offense!$AB$3:$BA$8,2,MATCH(DC$2,Offense!$AB$3:$BA$3,0))</f>
        <v>-1.5058230699739127E-2</v>
      </c>
      <c r="DD15" s="15">
        <f>INDEX(Offense!$AB$3:$BA$8,2,MATCH(DD$2,Offense!$AB$3:$BA$3,0))</f>
        <v>1.816205347682766E-4</v>
      </c>
      <c r="DE15" s="15">
        <f>INDEX(Offense!$AB$3:$BA$8,2,MATCH(DE$2,Offense!$AB$3:$BA$3,0))</f>
        <v>-3.5192292427553826E-2</v>
      </c>
      <c r="DF15" s="15">
        <f>INDEX(Offense!$AB$3:$BA$8,2,MATCH(DF$2,Offense!$AB$3:$BA$3,0))</f>
        <v>-5.4876472195541252E-2</v>
      </c>
      <c r="DG15" s="15">
        <f>INDEX(Offense!$AB$3:$BA$8,2,MATCH(DG$2,Offense!$AB$3:$BA$3,0))</f>
        <v>9.8474663700154286E-2</v>
      </c>
      <c r="DH15" s="15">
        <f>INDEX(Offense!$AB$3:$BA$8,2,MATCH(DH$2,Offense!$AB$3:$BA$3,0))</f>
        <v>1.3645952114017732E-3</v>
      </c>
      <c r="DI15" s="15">
        <f>INDEX(Offense!$AB$3:$BA$8,2,MATCH(DI$2,Offense!$AB$3:$BA$3,0))</f>
        <v>84.693499827495899</v>
      </c>
      <c r="DJ15" s="15">
        <f>INDEX(Offense!$AB$3:$BA$8,2,MATCH(DJ$2,Offense!$AB$3:$BA$3,0))</f>
        <v>-0.41522539338692127</v>
      </c>
      <c r="DK15" s="15">
        <f>INDEX(Offense!$AB$3:$BA$8,2,MATCH(DK$2,Offense!$AB$3:$BA$3,0))</f>
        <v>0.19885166787903463</v>
      </c>
      <c r="DL15" s="15">
        <f>INDEX(Offense!$AB$3:$BA$8,2,MATCH(DL$2,Offense!$AB$3:$BA$3,0))</f>
        <v>65.336144739305752</v>
      </c>
      <c r="DM15" s="15">
        <f>INDEX(Offense!$AB$3:$BA$8,2,MATCH(DM$2,Offense!$AB$3:$BA$3,0))</f>
        <v>-85.690558012232202</v>
      </c>
      <c r="DN15">
        <f t="shared" si="23"/>
        <v>0</v>
      </c>
      <c r="DO15" t="str">
        <f t="shared" si="24"/>
        <v/>
      </c>
      <c r="DP15" t="str">
        <f t="shared" si="25"/>
        <v/>
      </c>
      <c r="DQ15" t="e">
        <f>IF(#REF!=0,"",ROUND(IF(#REF!&lt;0,#REF!/(#REF!-100),1/(#REF!/100+1)),2))</f>
        <v>#REF!</v>
      </c>
      <c r="DR15" t="str">
        <f t="shared" si="26"/>
        <v/>
      </c>
      <c r="DS15" t="e">
        <f t="shared" si="27"/>
        <v>#VALUE!</v>
      </c>
      <c r="DT15" s="58" t="str">
        <f t="shared" si="59"/>
        <v/>
      </c>
      <c r="DU15" s="16" t="str">
        <f t="shared" si="41"/>
        <v/>
      </c>
      <c r="DV15" s="176" t="str">
        <f>IFERROR(IF(ISODD(ROW()),ROUND(CB15+CB16,0),ROUND(CB15+CB14,0)),"")</f>
        <v/>
      </c>
      <c r="DX15" t="str">
        <f t="shared" ca="1" si="28"/>
        <v/>
      </c>
      <c r="DY15" t="str">
        <f t="shared" ca="1" si="29"/>
        <v/>
      </c>
      <c r="DZ15" s="39" t="str">
        <f t="shared" ca="1" si="30"/>
        <v/>
      </c>
      <c r="EA15" t="str">
        <f t="shared" si="42"/>
        <v/>
      </c>
      <c r="EB15" t="str">
        <f t="shared" si="31"/>
        <v/>
      </c>
      <c r="EC15" t="str">
        <f t="shared" si="43"/>
        <v/>
      </c>
      <c r="ED15" t="str">
        <f t="shared" si="60"/>
        <v/>
      </c>
      <c r="EE15" t="str">
        <f t="shared" si="32"/>
        <v/>
      </c>
      <c r="EF15" t="str">
        <f t="shared" si="44"/>
        <v/>
      </c>
      <c r="EG15" t="str">
        <f t="shared" si="33"/>
        <v/>
      </c>
      <c r="EH15" t="str">
        <f t="shared" si="45"/>
        <v/>
      </c>
      <c r="EI15" t="str">
        <f t="shared" si="34"/>
        <v/>
      </c>
      <c r="EJ15">
        <f t="shared" si="46"/>
        <v>0</v>
      </c>
      <c r="EK15" t="str">
        <f t="shared" si="47"/>
        <v/>
      </c>
      <c r="EL15" t="str">
        <f>IF(ISBLANK(G15),"",IF(DQ15&lt;0.5,IF(DP15&gt;0.5*$FG$7,G15&amp;" Moneyline (+"&amp;#REF!&amp;")",""),IF(DP15&gt;$FG$6*DQ15,G15&amp;" Moneyline ("&amp;#REF!&amp;")","")))</f>
        <v/>
      </c>
      <c r="EN15">
        <f t="shared" ca="1" si="48"/>
        <v>12</v>
      </c>
      <c r="EO15" t="str">
        <f t="shared" si="35"/>
        <v xml:space="preserve"> @ </v>
      </c>
      <c r="EP15" t="str">
        <f t="shared" ca="1" si="49"/>
        <v/>
      </c>
      <c r="EQ15" s="19" t="str">
        <f t="shared" ca="1" si="50"/>
        <v/>
      </c>
      <c r="ER15">
        <f t="shared" ca="1" si="51"/>
        <v>0</v>
      </c>
      <c r="ES15" s="19" t="str">
        <f t="shared" si="52"/>
        <v/>
      </c>
      <c r="ET15" s="19" t="str">
        <f>IF(ISBLANK(G15),"",IF(DT15&gt;0.625,G15&amp;" Moneyline ("&amp;#REF!&amp;")",""))</f>
        <v/>
      </c>
      <c r="EU15" s="1" t="str">
        <f>IF(ISNUMBER(CODE(ET15)),#REF!,"")</f>
        <v/>
      </c>
      <c r="EV15" s="1" t="str">
        <f t="shared" si="53"/>
        <v/>
      </c>
      <c r="EW15" s="3"/>
      <c r="EX15" s="1" t="e">
        <f t="shared" ca="1" si="54"/>
        <v>#N/A</v>
      </c>
      <c r="EY15" s="1" t="e">
        <f t="shared" ca="1" si="55"/>
        <v>#N/A</v>
      </c>
      <c r="EZ15" s="3" t="e">
        <f t="shared" ca="1" si="56"/>
        <v>#N/A</v>
      </c>
      <c r="FA15" s="19"/>
      <c r="FB15" s="19"/>
      <c r="FC15" s="19"/>
      <c r="FD15" s="19"/>
      <c r="FE15" s="19"/>
    </row>
    <row r="16" spans="2:163" ht="15.75" thickBot="1" x14ac:dyDescent="0.3">
      <c r="G16" s="9"/>
      <c r="H16" s="10"/>
      <c r="I16" s="10"/>
      <c r="J16" s="180">
        <f t="shared" ref="J16" si="71">IF(H16&lt;1,H17,H16)</f>
        <v>0</v>
      </c>
      <c r="K16" s="12" t="str">
        <f>IF(ISBLANK($G16),"",INDEX(OLook[],MATCH($G16,OLook[Team],0),MATCH(K$2,OLook[#Headers],0)))</f>
        <v/>
      </c>
      <c r="L16" s="12" t="str">
        <f>IF(ISBLANK($G16),"",INDEX(OLook[],MATCH($G16,OLook[Team],0),MATCH(L$2,OLook[#Headers],0)))</f>
        <v/>
      </c>
      <c r="M16" s="12" t="str">
        <f>IF(ISBLANK($G16),"",INDEX(OLook[],MATCH($G16,OLook[Team],0),MATCH(M$2,OLook[#Headers],0)))</f>
        <v/>
      </c>
      <c r="N16" s="12" t="str">
        <f>IF(ISBLANK($G16),"",INDEX(OLook[],MATCH($G16,OLook[Team],0),MATCH(N$2,OLook[#Headers],0)))</f>
        <v/>
      </c>
      <c r="O16" s="12" t="str">
        <f>IF(ISBLANK($G16),"",INDEX(OLook[],MATCH($G16,OLook[Team],0),MATCH(O$2,OLook[#Headers],0)))</f>
        <v/>
      </c>
      <c r="P16" s="12" t="str">
        <f>IF(ISBLANK($G16),"",INDEX(OLook[],MATCH($G16,OLook[Team],0),MATCH(P$2,OLook[#Headers],0)))</f>
        <v/>
      </c>
      <c r="Q16" s="12" t="str">
        <f>IF(ISBLANK($G16),"",INDEX(OLook[],MATCH($G16,OLook[Team],0),MATCH(Q$2,OLook[#Headers],0)))</f>
        <v/>
      </c>
      <c r="R16" s="12" t="str">
        <f>IF(ISBLANK($G16),"",INDEX(OLook[],MATCH($G16,OLook[Team],0),MATCH(R$2,OLook[#Headers],0)))</f>
        <v/>
      </c>
      <c r="S16" s="12" t="str">
        <f>IF(ISBLANK($G16),"",INDEX(OLook[],MATCH($G16,OLook[Team],0),MATCH(S$2,OLook[#Headers],0)))</f>
        <v/>
      </c>
      <c r="T16" s="12" t="str">
        <f>IF(ISBLANK($G16),"",INDEX(OLook[],MATCH($G16,OLook[Team],0),MATCH(T$2,OLook[#Headers],0)))</f>
        <v/>
      </c>
      <c r="U16" s="12" t="str">
        <f>IF(ISBLANK($G16),"",INDEX(OLook[],MATCH($G16,OLook[Team],0),MATCH(U$2,OLook[#Headers],0)))</f>
        <v/>
      </c>
      <c r="V16" s="12" t="str">
        <f>IF(ISBLANK($G16),"",INDEX(OLook[],MATCH($G16,OLook[Team],0),MATCH(V$2,OLook[#Headers],0)))</f>
        <v/>
      </c>
      <c r="W16" s="12" t="str">
        <f>IF(ISBLANK($G16),"",INDEX(OLook[],MATCH($G16,OLook[Team],0),MATCH(W$2,OLook[#Headers],0)))</f>
        <v/>
      </c>
      <c r="X16" s="12" t="str">
        <f>IF(ISBLANK($G16),"",INDEX(OLook[],MATCH($G16,OLook[Team],0),MATCH(X$2,OLook[#Headers],0)))</f>
        <v/>
      </c>
      <c r="Y16" s="12" t="str">
        <f>IF(ISBLANK($G16),"",INDEX(OLook[],MATCH($G16,OLook[Team],0),MATCH(Y$2,OLook[#Headers],0)))</f>
        <v/>
      </c>
      <c r="Z16" s="12" t="str">
        <f>IF(ISBLANK($G16),"",INDEX(OLook[],MATCH($G16,OLook[Team],0),MATCH(Z$2,OLook[#Headers],0)))</f>
        <v/>
      </c>
      <c r="AA16" s="12" t="str">
        <f>IF(ISBLANK($G16),"",INDEX(OLook[],MATCH($G16,OLook[Team],0),MATCH(AA$2,OLook[#Headers],0)))</f>
        <v/>
      </c>
      <c r="AB16" s="12" t="str">
        <f>IF(ISBLANK($G16),"",INDEX(OLook[],MATCH($G16,OLook[Team],0),MATCH(AB$2,OLook[#Headers],0)))</f>
        <v/>
      </c>
      <c r="AC16" s="12" t="str">
        <f>IF(ISBLANK($G16),"",INDEX(OLook[],MATCH($G16,OLook[Team],0),MATCH(AC$2,OLook[#Headers],0)))</f>
        <v/>
      </c>
      <c r="AD16" s="12" t="str">
        <f>IF(ISBLANK($G16),"",INDEX(OLook[],MATCH($G16,OLook[Team],0),MATCH(AD$2,OLook[#Headers],0)))</f>
        <v/>
      </c>
      <c r="AE16" s="12" t="str">
        <f>IF(ISBLANK($G16),"",INDEX(OLook[],MATCH($G16,OLook[Team],0),MATCH(AE$2,OLook[#Headers],0)))</f>
        <v/>
      </c>
      <c r="AF16" s="12" t="str">
        <f>IF(ISBLANK($G16),"",IF(ISODD(ROW()),INDEX(Scores!$B$2:'Scores'!$N$32,MATCH(G16,Scores!$C$2:$C$32,0),6),INDEX(Scores!$B$2:'Scores'!$N$32,MATCH(G16,Scores!$C$2:$C$32,0),10)))</f>
        <v/>
      </c>
      <c r="AG16" s="12" t="str">
        <f>IF(ISBLANK($G16),"",INDEX(Scores!$B$2:$P$32,MATCH($G16,Scores!$C$2:$C$32,0),MATCH(AG$2,Scores!$B$2:$P$2,0)))</f>
        <v/>
      </c>
      <c r="AH16" s="11" t="str">
        <f>IF(ISBLANK($G16),"",INDEX(DLook[],MATCH($G16,DLook[Team],0),MATCH(AH$2,DLook[#Headers],0)))</f>
        <v/>
      </c>
      <c r="AI16" s="11" t="str">
        <f>IF(ISBLANK($G16),"",INDEX(DLook[],MATCH($G16,DLook[Team],0),MATCH(AI$2,DLook[#Headers],0)))</f>
        <v/>
      </c>
      <c r="AJ16" s="11" t="str">
        <f>IF(ISBLANK($G16),"",INDEX(DLook[],MATCH($G16,DLook[Team],0),MATCH(AJ$2,DLook[#Headers],0)))</f>
        <v/>
      </c>
      <c r="AK16" s="11" t="str">
        <f>IF(ISBLANK($G16),"",INDEX(DLook[],MATCH($G16,DLook[Team],0),MATCH(AK$2,DLook[#Headers],0)))</f>
        <v/>
      </c>
      <c r="AL16" s="11" t="str">
        <f>IF(ISBLANK($G16),"",INDEX(DLook[],MATCH($G16,DLook[Team],0),MATCH(AL$2,DLook[#Headers],0)))</f>
        <v/>
      </c>
      <c r="AM16" s="11" t="str">
        <f>IF(ISBLANK($G16),"",INDEX(DLook[],MATCH($G16,DLook[Team],0),MATCH(AM$2,DLook[#Headers],0)))</f>
        <v/>
      </c>
      <c r="AN16" s="11" t="str">
        <f>IF(ISBLANK($G16),"",INDEX(DLook[],MATCH($G16,DLook[Team],0),MATCH(AN$2,DLook[#Headers],0)))</f>
        <v/>
      </c>
      <c r="AO16" s="11" t="str">
        <f>IF(ISBLANK($G16),"",INDEX(DLook[],MATCH($G16,DLook[Team],0),MATCH(AO$2,DLook[#Headers],0)))</f>
        <v/>
      </c>
      <c r="AP16" s="11" t="str">
        <f>IF(ISBLANK($G16),"",INDEX(DLook[],MATCH($G16,DLook[Team],0),MATCH(AP$2,DLook[#Headers],0)))</f>
        <v/>
      </c>
      <c r="AQ16" s="11" t="str">
        <f>IF(ISBLANK($G16),"",INDEX(DLook[],MATCH($G16,DLook[Team],0),MATCH(AQ$2,DLook[#Headers],0)))</f>
        <v/>
      </c>
      <c r="AR16" s="11" t="str">
        <f>IF(ISBLANK($G16),"",INDEX(DLook[],MATCH($G16,DLook[Team],0),MATCH(AR$2,DLook[#Headers],0)))</f>
        <v/>
      </c>
      <c r="AS16" s="11" t="str">
        <f>IF(ISBLANK($G16),"",INDEX(DLook[],MATCH($G16,DLook[Team],0),MATCH(AS$2,DLook[#Headers],0)))</f>
        <v/>
      </c>
      <c r="AT16" s="11" t="str">
        <f>IF(ISBLANK($G16),"",INDEX(DLook[],MATCH($G16,DLook[Team],0),MATCH(AT$2,DLook[#Headers],0)))</f>
        <v/>
      </c>
      <c r="AU16" s="11" t="str">
        <f>IF(ISBLANK($G16),"",INDEX(DLook[],MATCH($G16,DLook[Team],0),MATCH(AU$2,DLook[#Headers],0)))</f>
        <v/>
      </c>
      <c r="AV16" s="11" t="str">
        <f>IF(ISBLANK($G16),"",INDEX(DLook[],MATCH($G16,DLook[Team],0),MATCH(AV$2,DLook[#Headers],0)))</f>
        <v/>
      </c>
      <c r="AW16" s="11" t="str">
        <f>IF(ISBLANK($G16),"",INDEX(DLook[],MATCH($G16,DLook[Team],0),MATCH(AW$2,DLook[#Headers],0)))</f>
        <v/>
      </c>
      <c r="AX16" s="11" t="str">
        <f>IF(ISBLANK($G16),"",INDEX(DLook[],MATCH($G16,DLook[Team],0),MATCH(AX$2,DLook[#Headers],0)))</f>
        <v/>
      </c>
      <c r="AY16" s="11" t="str">
        <f>IF(ISBLANK($G16),"",INDEX(DLook[],MATCH($G16,DLook[Team],0),MATCH(AY$2,DLook[#Headers],0)))</f>
        <v/>
      </c>
      <c r="AZ16" s="14" t="str">
        <f t="shared" si="0"/>
        <v/>
      </c>
      <c r="BA16" s="14" t="str">
        <f t="shared" si="1"/>
        <v/>
      </c>
      <c r="BB16" s="14" t="str">
        <f t="shared" si="2"/>
        <v/>
      </c>
      <c r="BC16" s="14" t="str">
        <f t="shared" si="3"/>
        <v/>
      </c>
      <c r="BD16" s="14" t="str">
        <f t="shared" si="4"/>
        <v/>
      </c>
      <c r="BE16" s="14" t="str">
        <f t="shared" si="5"/>
        <v/>
      </c>
      <c r="BF16" s="14" t="str">
        <f t="shared" si="6"/>
        <v/>
      </c>
      <c r="BG16" s="14" t="str">
        <f t="shared" si="7"/>
        <v/>
      </c>
      <c r="BH16" s="14" t="str">
        <f t="shared" si="8"/>
        <v/>
      </c>
      <c r="BI16" s="14" t="str">
        <f t="shared" si="9"/>
        <v/>
      </c>
      <c r="BJ16" s="14" t="str">
        <f t="shared" si="10"/>
        <v/>
      </c>
      <c r="BK16" s="14" t="str">
        <f t="shared" si="11"/>
        <v/>
      </c>
      <c r="BL16" s="14" t="str">
        <f t="shared" si="12"/>
        <v/>
      </c>
      <c r="BM16" s="14" t="str">
        <f t="shared" si="13"/>
        <v/>
      </c>
      <c r="BN16" s="14" t="str">
        <f t="shared" si="14"/>
        <v/>
      </c>
      <c r="BO16" s="14" t="str">
        <f t="shared" si="15"/>
        <v/>
      </c>
      <c r="BP16" s="14" t="str">
        <f t="shared" si="16"/>
        <v/>
      </c>
      <c r="BQ16" s="13" t="str">
        <f t="shared" si="17"/>
        <v/>
      </c>
      <c r="BR16" s="13" t="str">
        <f t="shared" si="18"/>
        <v/>
      </c>
      <c r="BS16" s="13" t="str">
        <f t="shared" si="19"/>
        <v/>
      </c>
      <c r="BT16" s="13" t="str">
        <f t="shared" si="20"/>
        <v/>
      </c>
      <c r="BU16" s="13" t="str">
        <f t="shared" si="36"/>
        <v/>
      </c>
      <c r="BV16" s="13" t="str">
        <f t="shared" si="37"/>
        <v/>
      </c>
      <c r="BW16" s="13" t="str">
        <f t="shared" si="58"/>
        <v/>
      </c>
      <c r="BX16" s="13" t="str">
        <f t="shared" si="21"/>
        <v/>
      </c>
      <c r="BY16" s="13" t="str">
        <f t="shared" si="38"/>
        <v/>
      </c>
      <c r="BZ16" s="13" t="str">
        <f t="shared" si="39"/>
        <v/>
      </c>
      <c r="CA16" s="13">
        <f>IF(ISBLANK(B16),0,INDEX(Advanced_Table[],MATCH(B16,Advanced_Table[Player],0),MATCH("Scaled VORP",Advanced_Table[#Headers],0)))+IF(ISBLANK(C16),0,INDEX(Advanced_Table[],MATCH(C16,Advanced_Table[Player],0),MATCH("Scaled VORP",Advanced_Table[#Headers],0)))+IF(ISBLANK(D16),0,INDEX(Advanced_Table[],MATCH(D16,Advanced_Table[Player],0),MATCH("Scaled VORP",Advanced_Table[#Headers],0)))+IF(ISBLANK(E16),0,INDEX(Advanced_Table[],MATCH(E16,Advanced_Table[Player],0),MATCH("Scaled VORP",Advanced_Table[#Headers],0)))+IF(ISBLANK(F16),0,INDEX(Advanced_Table[],MATCH(F16,Advanced_Table[Player],0),MATCH("Scaled VORP",Advanced_Table[#Headers],0)))</f>
        <v>0</v>
      </c>
      <c r="CB16" s="13" t="str">
        <f t="shared" si="40"/>
        <v/>
      </c>
      <c r="CC16" s="13" t="str">
        <f t="shared" si="22"/>
        <v/>
      </c>
      <c r="CD16" s="14">
        <f>INDEX(Defense!$AB$3:$BA$8,2,MATCH(CD$2,Defense!$AB$3:$BA$3,0))</f>
        <v>1.1881973445510248</v>
      </c>
      <c r="CE16" s="14">
        <f>INDEX(Defense!$AB$3:$BA$8,2,MATCH(CE$2,Defense!$AB$3:$BA$3,0))</f>
        <v>20.37695032952751</v>
      </c>
      <c r="CF16" s="14">
        <f>INDEX(Defense!$AB$3:$BA$8,2,MATCH(CF$2,Defense!$AB$3:$BA$3,0))</f>
        <v>3.8108594084794688E-2</v>
      </c>
      <c r="CG16" s="14">
        <f>INDEX(Defense!$AB$3:$BA$8,2,MATCH(CG$2,Defense!$AB$3:$BA$3,0))</f>
        <v>0.82665533501354516</v>
      </c>
      <c r="CH16" s="14">
        <f>INDEX(Defense!$AB$3:$BA$8,2,MATCH(CH$2,Defense!$AB$3:$BA$3,0))</f>
        <v>0.96847375256109303</v>
      </c>
      <c r="CI16" s="14">
        <f>INDEX(Defense!$AB$3:$BA$8,2,MATCH(CI$2,Defense!$AB$3:$BA$3,0))</f>
        <v>24.899423599851655</v>
      </c>
      <c r="CJ16" s="14">
        <f>INDEX(Defense!$AB$3:$BA$8,2,MATCH(CJ$2,Defense!$AB$3:$BA$3,0))</f>
        <v>4.3333160259283868E-2</v>
      </c>
      <c r="CK16" s="14">
        <f>INDEX(Defense!$AB$3:$BA$8,2,MATCH(CK$2,Defense!$AB$3:$BA$3,0))</f>
        <v>4.3643719755598418E-3</v>
      </c>
      <c r="CL16" s="14">
        <f>INDEX(Defense!$AB$3:$BA$8,2,MATCH(CL$2,Defense!$AB$3:$BA$3,0))</f>
        <v>3.3980730825493605E-2</v>
      </c>
      <c r="CM16" s="14">
        <f>INDEX(Defense!$AB$3:$BA$8,2,MATCH(CM$2,Defense!$AB$3:$BA$3,0))</f>
        <v>2.2130116153199469E-2</v>
      </c>
      <c r="CN16" s="14">
        <f>INDEX(Defense!$AB$3:$BA$8,2,MATCH(CN$2,Defense!$AB$3:$BA$3,0))</f>
        <v>1.5770727592026978E-2</v>
      </c>
      <c r="CO16" s="14">
        <f>INDEX(Defense!$AB$3:$BA$8,2,MATCH(CO$2,Defense!$AB$3:$BA$3,0))</f>
        <v>3.4820867870809513E-2</v>
      </c>
      <c r="CP16" s="14">
        <f>INDEX(Defense!$AB$3:$BA$8,2,MATCH(CP$2,Defense!$AB$3:$BA$3,0))</f>
        <v>-8.5450857094943424E-4</v>
      </c>
      <c r="CQ16" s="14">
        <f>INDEX(Defense!$AB$3:$BA$8,2,MATCH(CQ$2,Defense!$AB$3:$BA$3,0))</f>
        <v>160.75587555196628</v>
      </c>
      <c r="CR16" s="14">
        <f>INDEX(Defense!$AB$3:$BA$8,2,MATCH(CR$2,Defense!$AB$3:$BA$3,0))</f>
        <v>0.15454953937048871</v>
      </c>
      <c r="CS16" s="14">
        <f>INDEX(Defense!$AB$3:$BA$8,2,MATCH(CS$2,Defense!$AB$3:$BA$3,0))</f>
        <v>0.10198746342122103</v>
      </c>
      <c r="CT16" s="14">
        <f>INDEX(Defense!$AB$3:$BA$8,2,MATCH(CT$2,Defense!$AB$3:$BA$3,0))</f>
        <v>-13.759669623776899</v>
      </c>
      <c r="CU16" s="14">
        <f>INDEX(Defense!$AB$3:$BA$8,2,MATCH(CU$2,Defense!$AB$3:$BA$3,0))</f>
        <v>-140.43646301959095</v>
      </c>
      <c r="CV16" s="15">
        <f>INDEX(Offense!$AB$3:$BA$8,2,MATCH(CV$2,Offense!$AB$3:$BA$3,0))</f>
        <v>0.94854285448896025</v>
      </c>
      <c r="CW16" s="15">
        <f>INDEX(Offense!$AB$3:$BA$8,2,MATCH(CW$2,Offense!$AB$3:$BA$3,0))</f>
        <v>85.640824181858136</v>
      </c>
      <c r="CX16" s="15">
        <f>INDEX(Offense!$AB$3:$BA$8,2,MATCH(CX$2,Offense!$AB$3:$BA$3,0))</f>
        <v>0.18969054669932336</v>
      </c>
      <c r="CY16" s="15">
        <f>INDEX(Offense!$AB$3:$BA$8,2,MATCH(CY$2,Offense!$AB$3:$BA$3,0))</f>
        <v>15.281981293875587</v>
      </c>
      <c r="CZ16" s="15">
        <f>INDEX(Offense!$AB$3:$BA$8,2,MATCH(CZ$2,Offense!$AB$3:$BA$3,0))</f>
        <v>8.6824407438745616E-2</v>
      </c>
      <c r="DA16" s="15">
        <f>INDEX(Offense!$AB$3:$BA$8,2,MATCH(DA$2,Offense!$AB$3:$BA$3,0))</f>
        <v>5.4421042890783919</v>
      </c>
      <c r="DB16" s="15">
        <f>INDEX(Offense!$AB$3:$BA$8,2,MATCH(DB$2,Offense!$AB$3:$BA$3,0))</f>
        <v>-0.20243279756818017</v>
      </c>
      <c r="DC16" s="15">
        <f>INDEX(Offense!$AB$3:$BA$8,2,MATCH(DC$2,Offense!$AB$3:$BA$3,0))</f>
        <v>-1.5058230699739127E-2</v>
      </c>
      <c r="DD16" s="15">
        <f>INDEX(Offense!$AB$3:$BA$8,2,MATCH(DD$2,Offense!$AB$3:$BA$3,0))</f>
        <v>1.816205347682766E-4</v>
      </c>
      <c r="DE16" s="15">
        <f>INDEX(Offense!$AB$3:$BA$8,2,MATCH(DE$2,Offense!$AB$3:$BA$3,0))</f>
        <v>-3.5192292427553826E-2</v>
      </c>
      <c r="DF16" s="15">
        <f>INDEX(Offense!$AB$3:$BA$8,2,MATCH(DF$2,Offense!$AB$3:$BA$3,0))</f>
        <v>-5.4876472195541252E-2</v>
      </c>
      <c r="DG16" s="15">
        <f>INDEX(Offense!$AB$3:$BA$8,2,MATCH(DG$2,Offense!$AB$3:$BA$3,0))</f>
        <v>9.8474663700154286E-2</v>
      </c>
      <c r="DH16" s="15">
        <f>INDEX(Offense!$AB$3:$BA$8,2,MATCH(DH$2,Offense!$AB$3:$BA$3,0))</f>
        <v>1.3645952114017732E-3</v>
      </c>
      <c r="DI16" s="15">
        <f>INDEX(Offense!$AB$3:$BA$8,2,MATCH(DI$2,Offense!$AB$3:$BA$3,0))</f>
        <v>84.693499827495899</v>
      </c>
      <c r="DJ16" s="15">
        <f>INDEX(Offense!$AB$3:$BA$8,2,MATCH(DJ$2,Offense!$AB$3:$BA$3,0))</f>
        <v>-0.41522539338692127</v>
      </c>
      <c r="DK16" s="15">
        <f>INDEX(Offense!$AB$3:$BA$8,2,MATCH(DK$2,Offense!$AB$3:$BA$3,0))</f>
        <v>0.19885166787903463</v>
      </c>
      <c r="DL16" s="15">
        <f>INDEX(Offense!$AB$3:$BA$8,2,MATCH(DL$2,Offense!$AB$3:$BA$3,0))</f>
        <v>65.336144739305752</v>
      </c>
      <c r="DM16" s="15">
        <f>INDEX(Offense!$AB$3:$BA$8,2,MATCH(DM$2,Offense!$AB$3:$BA$3,0))</f>
        <v>-85.690558012232202</v>
      </c>
      <c r="DN16">
        <f t="shared" si="23"/>
        <v>0</v>
      </c>
      <c r="DO16" t="str">
        <f t="shared" si="24"/>
        <v/>
      </c>
      <c r="DP16" t="str">
        <f t="shared" si="25"/>
        <v/>
      </c>
      <c r="DQ16" t="e">
        <f>IF(#REF!=0,"",ROUND(IF(#REF!&lt;0,#REF!/(#REF!-100),1/(#REF!/100+1)),2))</f>
        <v>#REF!</v>
      </c>
      <c r="DR16" t="str">
        <f t="shared" si="26"/>
        <v/>
      </c>
      <c r="DS16" t="e">
        <f t="shared" si="27"/>
        <v>#VALUE!</v>
      </c>
      <c r="DT16" s="59" t="str">
        <f t="shared" si="59"/>
        <v/>
      </c>
      <c r="DU16" s="17" t="str">
        <f t="shared" si="41"/>
        <v/>
      </c>
      <c r="DV16" s="177"/>
      <c r="DX16" t="str">
        <f t="shared" ca="1" si="28"/>
        <v/>
      </c>
      <c r="DY16" t="str">
        <f t="shared" ca="1" si="29"/>
        <v/>
      </c>
      <c r="DZ16" s="39" t="str">
        <f t="shared" ca="1" si="30"/>
        <v/>
      </c>
      <c r="EA16" t="str">
        <f t="shared" si="42"/>
        <v/>
      </c>
      <c r="EB16" t="str">
        <f t="shared" si="31"/>
        <v/>
      </c>
      <c r="EC16" t="str">
        <f t="shared" si="43"/>
        <v/>
      </c>
      <c r="ED16" t="str">
        <f t="shared" si="60"/>
        <v/>
      </c>
      <c r="EE16" t="str">
        <f t="shared" si="32"/>
        <v/>
      </c>
      <c r="EF16" t="str">
        <f t="shared" si="44"/>
        <v/>
      </c>
      <c r="EG16" t="str">
        <f t="shared" si="33"/>
        <v/>
      </c>
      <c r="EH16" t="str">
        <f t="shared" si="45"/>
        <v/>
      </c>
      <c r="EI16" t="str">
        <f t="shared" si="34"/>
        <v/>
      </c>
      <c r="EJ16">
        <f t="shared" si="46"/>
        <v>0</v>
      </c>
      <c r="EK16" t="str">
        <f t="shared" si="47"/>
        <v/>
      </c>
      <c r="EL16" t="str">
        <f>IF(ISBLANK(G16),"",IF(DQ16&lt;0.5,IF(DP16&gt;0.5*$FG$7,G16&amp;" Moneyline (+"&amp;#REF!&amp;")",""),IF(DP16&gt;$FG$6*DQ16,G16&amp;" Moneyline ("&amp;#REF!&amp;")","")))</f>
        <v/>
      </c>
      <c r="EN16">
        <f t="shared" ca="1" si="48"/>
        <v>12</v>
      </c>
      <c r="EO16" t="str">
        <f t="shared" si="35"/>
        <v xml:space="preserve"> @ </v>
      </c>
      <c r="EP16" t="str">
        <f t="shared" ca="1" si="49"/>
        <v/>
      </c>
      <c r="EQ16" s="19" t="str">
        <f t="shared" ca="1" si="50"/>
        <v/>
      </c>
      <c r="ER16">
        <f t="shared" ca="1" si="51"/>
        <v>0</v>
      </c>
      <c r="ES16" s="19" t="str">
        <f t="shared" si="52"/>
        <v/>
      </c>
      <c r="ET16" s="19" t="str">
        <f>IF(ISBLANK(G16),"",IF(DT16&gt;0.625,G16&amp;" Moneyline ("&amp;#REF!&amp;")",""))</f>
        <v/>
      </c>
      <c r="EU16" s="1" t="str">
        <f>IF(ISNUMBER(CODE(ET16)),#REF!,"")</f>
        <v/>
      </c>
      <c r="EV16" s="1" t="str">
        <f t="shared" si="53"/>
        <v/>
      </c>
      <c r="EW16" s="3"/>
      <c r="EX16" s="1" t="e">
        <f t="shared" ca="1" si="54"/>
        <v>#N/A</v>
      </c>
      <c r="EY16" s="1" t="e">
        <f t="shared" ca="1" si="55"/>
        <v>#N/A</v>
      </c>
      <c r="EZ16" s="3" t="e">
        <f t="shared" ca="1" si="56"/>
        <v>#N/A</v>
      </c>
      <c r="FA16" s="19"/>
      <c r="FB16" s="19"/>
      <c r="FC16" s="19"/>
      <c r="FD16" s="19"/>
      <c r="FE16" s="19"/>
    </row>
    <row r="17" spans="7:161" x14ac:dyDescent="0.25">
      <c r="G17" s="7"/>
      <c r="H17" s="8"/>
      <c r="I17" s="8"/>
      <c r="J17" s="179" t="str">
        <f t="shared" ref="J17" si="72">IF(ISBLANK(G17),"",IF(I17&lt;1,I18,I17))</f>
        <v/>
      </c>
      <c r="K17" s="12" t="str">
        <f>IF(ISBLANK($G17),"",INDEX(OLook[],MATCH($G17,OLook[Team],0),MATCH(K$2,OLook[#Headers],0)))</f>
        <v/>
      </c>
      <c r="L17" s="12" t="str">
        <f>IF(ISBLANK($G17),"",INDEX(OLook[],MATCH($G17,OLook[Team],0),MATCH(L$2,OLook[#Headers],0)))</f>
        <v/>
      </c>
      <c r="M17" s="12" t="str">
        <f>IF(ISBLANK($G17),"",INDEX(OLook[],MATCH($G17,OLook[Team],0),MATCH(M$2,OLook[#Headers],0)))</f>
        <v/>
      </c>
      <c r="N17" s="12" t="str">
        <f>IF(ISBLANK($G17),"",INDEX(OLook[],MATCH($G17,OLook[Team],0),MATCH(N$2,OLook[#Headers],0)))</f>
        <v/>
      </c>
      <c r="O17" s="12" t="str">
        <f>IF(ISBLANK($G17),"",INDEX(OLook[],MATCH($G17,OLook[Team],0),MATCH(O$2,OLook[#Headers],0)))</f>
        <v/>
      </c>
      <c r="P17" s="12" t="str">
        <f>IF(ISBLANK($G17),"",INDEX(OLook[],MATCH($G17,OLook[Team],0),MATCH(P$2,OLook[#Headers],0)))</f>
        <v/>
      </c>
      <c r="Q17" s="12" t="str">
        <f>IF(ISBLANK($G17),"",INDEX(OLook[],MATCH($G17,OLook[Team],0),MATCH(Q$2,OLook[#Headers],0)))</f>
        <v/>
      </c>
      <c r="R17" s="12" t="str">
        <f>IF(ISBLANK($G17),"",INDEX(OLook[],MATCH($G17,OLook[Team],0),MATCH(R$2,OLook[#Headers],0)))</f>
        <v/>
      </c>
      <c r="S17" s="12" t="str">
        <f>IF(ISBLANK($G17),"",INDEX(OLook[],MATCH($G17,OLook[Team],0),MATCH(S$2,OLook[#Headers],0)))</f>
        <v/>
      </c>
      <c r="T17" s="12" t="str">
        <f>IF(ISBLANK($G17),"",INDEX(OLook[],MATCH($G17,OLook[Team],0),MATCH(T$2,OLook[#Headers],0)))</f>
        <v/>
      </c>
      <c r="U17" s="12" t="str">
        <f>IF(ISBLANK($G17),"",INDEX(OLook[],MATCH($G17,OLook[Team],0),MATCH(U$2,OLook[#Headers],0)))</f>
        <v/>
      </c>
      <c r="V17" s="12" t="str">
        <f>IF(ISBLANK($G17),"",INDEX(OLook[],MATCH($G17,OLook[Team],0),MATCH(V$2,OLook[#Headers],0)))</f>
        <v/>
      </c>
      <c r="W17" s="12" t="str">
        <f>IF(ISBLANK($G17),"",INDEX(OLook[],MATCH($G17,OLook[Team],0),MATCH(W$2,OLook[#Headers],0)))</f>
        <v/>
      </c>
      <c r="X17" s="12" t="str">
        <f>IF(ISBLANK($G17),"",INDEX(OLook[],MATCH($G17,OLook[Team],0),MATCH(X$2,OLook[#Headers],0)))</f>
        <v/>
      </c>
      <c r="Y17" s="12" t="str">
        <f>IF(ISBLANK($G17),"",INDEX(OLook[],MATCH($G17,OLook[Team],0),MATCH(Y$2,OLook[#Headers],0)))</f>
        <v/>
      </c>
      <c r="Z17" s="12" t="str">
        <f>IF(ISBLANK($G17),"",INDEX(OLook[],MATCH($G17,OLook[Team],0),MATCH(Z$2,OLook[#Headers],0)))</f>
        <v/>
      </c>
      <c r="AA17" s="12" t="str">
        <f>IF(ISBLANK($G17),"",INDEX(OLook[],MATCH($G17,OLook[Team],0),MATCH(AA$2,OLook[#Headers],0)))</f>
        <v/>
      </c>
      <c r="AB17" s="12" t="str">
        <f>IF(ISBLANK($G17),"",INDEX(OLook[],MATCH($G17,OLook[Team],0),MATCH(AB$2,OLook[#Headers],0)))</f>
        <v/>
      </c>
      <c r="AC17" s="12" t="str">
        <f>IF(ISBLANK($G17),"",INDEX(OLook[],MATCH($G17,OLook[Team],0),MATCH(AC$2,OLook[#Headers],0)))</f>
        <v/>
      </c>
      <c r="AD17" s="12" t="str">
        <f>IF(ISBLANK($G17),"",INDEX(OLook[],MATCH($G17,OLook[Team],0),MATCH(AD$2,OLook[#Headers],0)))</f>
        <v/>
      </c>
      <c r="AE17" s="12" t="str">
        <f>IF(ISBLANK($G17),"",INDEX(OLook[],MATCH($G17,OLook[Team],0),MATCH(AE$2,OLook[#Headers],0)))</f>
        <v/>
      </c>
      <c r="AF17" s="12" t="str">
        <f>IF(ISBLANK($G17),"",IF(ISODD(ROW()),INDEX(Scores!$B$2:'Scores'!$N$32,MATCH(G17,Scores!$C$2:$C$32,0),6),INDEX(Scores!$B$2:'Scores'!$N$32,MATCH(G17,Scores!$C$2:$C$32,0),10)))</f>
        <v/>
      </c>
      <c r="AG17" s="12" t="str">
        <f>IF(ISBLANK($G17),"",INDEX(Scores!$B$2:$P$32,MATCH($G17,Scores!$C$2:$C$32,0),MATCH(AG$2,Scores!$B$2:$P$2,0)))</f>
        <v/>
      </c>
      <c r="AH17" s="11" t="str">
        <f>IF(ISBLANK($G17),"",INDEX(DLook[],MATCH($G17,DLook[Team],0),MATCH(AH$2,DLook[#Headers],0)))</f>
        <v/>
      </c>
      <c r="AI17" s="11" t="str">
        <f>IF(ISBLANK($G17),"",INDEX(DLook[],MATCH($G17,DLook[Team],0),MATCH(AI$2,DLook[#Headers],0)))</f>
        <v/>
      </c>
      <c r="AJ17" s="11" t="str">
        <f>IF(ISBLANK($G17),"",INDEX(DLook[],MATCH($G17,DLook[Team],0),MATCH(AJ$2,DLook[#Headers],0)))</f>
        <v/>
      </c>
      <c r="AK17" s="11" t="str">
        <f>IF(ISBLANK($G17),"",INDEX(DLook[],MATCH($G17,DLook[Team],0),MATCH(AK$2,DLook[#Headers],0)))</f>
        <v/>
      </c>
      <c r="AL17" s="11" t="str">
        <f>IF(ISBLANK($G17),"",INDEX(DLook[],MATCH($G17,DLook[Team],0),MATCH(AL$2,DLook[#Headers],0)))</f>
        <v/>
      </c>
      <c r="AM17" s="11" t="str">
        <f>IF(ISBLANK($G17),"",INDEX(DLook[],MATCH($G17,DLook[Team],0),MATCH(AM$2,DLook[#Headers],0)))</f>
        <v/>
      </c>
      <c r="AN17" s="11" t="str">
        <f>IF(ISBLANK($G17),"",INDEX(DLook[],MATCH($G17,DLook[Team],0),MATCH(AN$2,DLook[#Headers],0)))</f>
        <v/>
      </c>
      <c r="AO17" s="11" t="str">
        <f>IF(ISBLANK($G17),"",INDEX(DLook[],MATCH($G17,DLook[Team],0),MATCH(AO$2,DLook[#Headers],0)))</f>
        <v/>
      </c>
      <c r="AP17" s="11" t="str">
        <f>IF(ISBLANK($G17),"",INDEX(DLook[],MATCH($G17,DLook[Team],0),MATCH(AP$2,DLook[#Headers],0)))</f>
        <v/>
      </c>
      <c r="AQ17" s="11" t="str">
        <f>IF(ISBLANK($G17),"",INDEX(DLook[],MATCH($G17,DLook[Team],0),MATCH(AQ$2,DLook[#Headers],0)))</f>
        <v/>
      </c>
      <c r="AR17" s="11" t="str">
        <f>IF(ISBLANK($G17),"",INDEX(DLook[],MATCH($G17,DLook[Team],0),MATCH(AR$2,DLook[#Headers],0)))</f>
        <v/>
      </c>
      <c r="AS17" s="11" t="str">
        <f>IF(ISBLANK($G17),"",INDEX(DLook[],MATCH($G17,DLook[Team],0),MATCH(AS$2,DLook[#Headers],0)))</f>
        <v/>
      </c>
      <c r="AT17" s="11" t="str">
        <f>IF(ISBLANK($G17),"",INDEX(DLook[],MATCH($G17,DLook[Team],0),MATCH(AT$2,DLook[#Headers],0)))</f>
        <v/>
      </c>
      <c r="AU17" s="11" t="str">
        <f>IF(ISBLANK($G17),"",INDEX(DLook[],MATCH($G17,DLook[Team],0),MATCH(AU$2,DLook[#Headers],0)))</f>
        <v/>
      </c>
      <c r="AV17" s="11" t="str">
        <f>IF(ISBLANK($G17),"",INDEX(DLook[],MATCH($G17,DLook[Team],0),MATCH(AV$2,DLook[#Headers],0)))</f>
        <v/>
      </c>
      <c r="AW17" s="11" t="str">
        <f>IF(ISBLANK($G17),"",INDEX(DLook[],MATCH($G17,DLook[Team],0),MATCH(AW$2,DLook[#Headers],0)))</f>
        <v/>
      </c>
      <c r="AX17" s="11" t="str">
        <f>IF(ISBLANK($G17),"",INDEX(DLook[],MATCH($G17,DLook[Team],0),MATCH(AX$2,DLook[#Headers],0)))</f>
        <v/>
      </c>
      <c r="AY17" s="11" t="str">
        <f>IF(ISBLANK($G17),"",INDEX(DLook[],MATCH($G17,DLook[Team],0),MATCH(AY$2,DLook[#Headers],0)))</f>
        <v/>
      </c>
      <c r="AZ17" s="14" t="str">
        <f t="shared" si="0"/>
        <v/>
      </c>
      <c r="BA17" s="14" t="str">
        <f t="shared" si="1"/>
        <v/>
      </c>
      <c r="BB17" s="14" t="str">
        <f t="shared" si="2"/>
        <v/>
      </c>
      <c r="BC17" s="14" t="str">
        <f t="shared" si="3"/>
        <v/>
      </c>
      <c r="BD17" s="14" t="str">
        <f t="shared" si="4"/>
        <v/>
      </c>
      <c r="BE17" s="14" t="str">
        <f t="shared" si="5"/>
        <v/>
      </c>
      <c r="BF17" s="14" t="str">
        <f t="shared" si="6"/>
        <v/>
      </c>
      <c r="BG17" s="14" t="str">
        <f t="shared" si="7"/>
        <v/>
      </c>
      <c r="BH17" s="14" t="str">
        <f t="shared" si="8"/>
        <v/>
      </c>
      <c r="BI17" s="14" t="str">
        <f t="shared" si="9"/>
        <v/>
      </c>
      <c r="BJ17" s="14" t="str">
        <f t="shared" si="10"/>
        <v/>
      </c>
      <c r="BK17" s="14" t="str">
        <f t="shared" si="11"/>
        <v/>
      </c>
      <c r="BL17" s="14" t="str">
        <f t="shared" si="12"/>
        <v/>
      </c>
      <c r="BM17" s="14" t="str">
        <f t="shared" si="13"/>
        <v/>
      </c>
      <c r="BN17" s="14" t="str">
        <f t="shared" si="14"/>
        <v/>
      </c>
      <c r="BO17" s="14" t="str">
        <f t="shared" si="15"/>
        <v/>
      </c>
      <c r="BP17" s="14" t="str">
        <f t="shared" si="16"/>
        <v/>
      </c>
      <c r="BQ17" s="13" t="str">
        <f t="shared" si="17"/>
        <v/>
      </c>
      <c r="BR17" s="13" t="str">
        <f t="shared" si="18"/>
        <v/>
      </c>
      <c r="BS17" s="13" t="str">
        <f t="shared" si="19"/>
        <v/>
      </c>
      <c r="BT17" s="13" t="str">
        <f t="shared" si="20"/>
        <v/>
      </c>
      <c r="BU17" s="13" t="str">
        <f t="shared" si="36"/>
        <v/>
      </c>
      <c r="BV17" s="13" t="str">
        <f t="shared" si="37"/>
        <v/>
      </c>
      <c r="BW17" s="13" t="str">
        <f t="shared" si="58"/>
        <v/>
      </c>
      <c r="BX17" s="13" t="str">
        <f t="shared" si="21"/>
        <v/>
      </c>
      <c r="BY17" s="13" t="str">
        <f t="shared" si="38"/>
        <v/>
      </c>
      <c r="BZ17" s="13" t="str">
        <f t="shared" si="39"/>
        <v/>
      </c>
      <c r="CA17" s="13">
        <f>IF(ISBLANK(B17),0,INDEX(Advanced_Table[],MATCH(B17,Advanced_Table[Player],0),MATCH("Scaled VORP",Advanced_Table[#Headers],0)))+IF(ISBLANK(C17),0,INDEX(Advanced_Table[],MATCH(C17,Advanced_Table[Player],0),MATCH("Scaled VORP",Advanced_Table[#Headers],0)))+IF(ISBLANK(D17),0,INDEX(Advanced_Table[],MATCH(D17,Advanced_Table[Player],0),MATCH("Scaled VORP",Advanced_Table[#Headers],0)))+IF(ISBLANK(E17),0,INDEX(Advanced_Table[],MATCH(E17,Advanced_Table[Player],0),MATCH("Scaled VORP",Advanced_Table[#Headers],0)))+IF(ISBLANK(F17),0,INDEX(Advanced_Table[],MATCH(F17,Advanced_Table[Player],0),MATCH("Scaled VORP",Advanced_Table[#Headers],0)))</f>
        <v>0</v>
      </c>
      <c r="CB17" s="13" t="str">
        <f t="shared" si="40"/>
        <v/>
      </c>
      <c r="CC17" s="13" t="str">
        <f t="shared" si="22"/>
        <v/>
      </c>
      <c r="CD17" s="14">
        <f>INDEX(Defense!$AB$3:$BA$8,2,MATCH(CD$2,Defense!$AB$3:$BA$3,0))</f>
        <v>1.1881973445510248</v>
      </c>
      <c r="CE17" s="14">
        <f>INDEX(Defense!$AB$3:$BA$8,2,MATCH(CE$2,Defense!$AB$3:$BA$3,0))</f>
        <v>20.37695032952751</v>
      </c>
      <c r="CF17" s="14">
        <f>INDEX(Defense!$AB$3:$BA$8,2,MATCH(CF$2,Defense!$AB$3:$BA$3,0))</f>
        <v>3.8108594084794688E-2</v>
      </c>
      <c r="CG17" s="14">
        <f>INDEX(Defense!$AB$3:$BA$8,2,MATCH(CG$2,Defense!$AB$3:$BA$3,0))</f>
        <v>0.82665533501354516</v>
      </c>
      <c r="CH17" s="14">
        <f>INDEX(Defense!$AB$3:$BA$8,2,MATCH(CH$2,Defense!$AB$3:$BA$3,0))</f>
        <v>0.96847375256109303</v>
      </c>
      <c r="CI17" s="14">
        <f>INDEX(Defense!$AB$3:$BA$8,2,MATCH(CI$2,Defense!$AB$3:$BA$3,0))</f>
        <v>24.899423599851655</v>
      </c>
      <c r="CJ17" s="14">
        <f>INDEX(Defense!$AB$3:$BA$8,2,MATCH(CJ$2,Defense!$AB$3:$BA$3,0))</f>
        <v>4.3333160259283868E-2</v>
      </c>
      <c r="CK17" s="14">
        <f>INDEX(Defense!$AB$3:$BA$8,2,MATCH(CK$2,Defense!$AB$3:$BA$3,0))</f>
        <v>4.3643719755598418E-3</v>
      </c>
      <c r="CL17" s="14">
        <f>INDEX(Defense!$AB$3:$BA$8,2,MATCH(CL$2,Defense!$AB$3:$BA$3,0))</f>
        <v>3.3980730825493605E-2</v>
      </c>
      <c r="CM17" s="14">
        <f>INDEX(Defense!$AB$3:$BA$8,2,MATCH(CM$2,Defense!$AB$3:$BA$3,0))</f>
        <v>2.2130116153199469E-2</v>
      </c>
      <c r="CN17" s="14">
        <f>INDEX(Defense!$AB$3:$BA$8,2,MATCH(CN$2,Defense!$AB$3:$BA$3,0))</f>
        <v>1.5770727592026978E-2</v>
      </c>
      <c r="CO17" s="14">
        <f>INDEX(Defense!$AB$3:$BA$8,2,MATCH(CO$2,Defense!$AB$3:$BA$3,0))</f>
        <v>3.4820867870809513E-2</v>
      </c>
      <c r="CP17" s="14">
        <f>INDEX(Defense!$AB$3:$BA$8,2,MATCH(CP$2,Defense!$AB$3:$BA$3,0))</f>
        <v>-8.5450857094943424E-4</v>
      </c>
      <c r="CQ17" s="14">
        <f>INDEX(Defense!$AB$3:$BA$8,2,MATCH(CQ$2,Defense!$AB$3:$BA$3,0))</f>
        <v>160.75587555196628</v>
      </c>
      <c r="CR17" s="14">
        <f>INDEX(Defense!$AB$3:$BA$8,2,MATCH(CR$2,Defense!$AB$3:$BA$3,0))</f>
        <v>0.15454953937048871</v>
      </c>
      <c r="CS17" s="14">
        <f>INDEX(Defense!$AB$3:$BA$8,2,MATCH(CS$2,Defense!$AB$3:$BA$3,0))</f>
        <v>0.10198746342122103</v>
      </c>
      <c r="CT17" s="14">
        <f>INDEX(Defense!$AB$3:$BA$8,2,MATCH(CT$2,Defense!$AB$3:$BA$3,0))</f>
        <v>-13.759669623776899</v>
      </c>
      <c r="CU17" s="14">
        <f>INDEX(Defense!$AB$3:$BA$8,2,MATCH(CU$2,Defense!$AB$3:$BA$3,0))</f>
        <v>-140.43646301959095</v>
      </c>
      <c r="CV17" s="15">
        <f>INDEX(Offense!$AB$3:$BA$8,2,MATCH(CV$2,Offense!$AB$3:$BA$3,0))</f>
        <v>0.94854285448896025</v>
      </c>
      <c r="CW17" s="15">
        <f>INDEX(Offense!$AB$3:$BA$8,2,MATCH(CW$2,Offense!$AB$3:$BA$3,0))</f>
        <v>85.640824181858136</v>
      </c>
      <c r="CX17" s="15">
        <f>INDEX(Offense!$AB$3:$BA$8,2,MATCH(CX$2,Offense!$AB$3:$BA$3,0))</f>
        <v>0.18969054669932336</v>
      </c>
      <c r="CY17" s="15">
        <f>INDEX(Offense!$AB$3:$BA$8,2,MATCH(CY$2,Offense!$AB$3:$BA$3,0))</f>
        <v>15.281981293875587</v>
      </c>
      <c r="CZ17" s="15">
        <f>INDEX(Offense!$AB$3:$BA$8,2,MATCH(CZ$2,Offense!$AB$3:$BA$3,0))</f>
        <v>8.6824407438745616E-2</v>
      </c>
      <c r="DA17" s="15">
        <f>INDEX(Offense!$AB$3:$BA$8,2,MATCH(DA$2,Offense!$AB$3:$BA$3,0))</f>
        <v>5.4421042890783919</v>
      </c>
      <c r="DB17" s="15">
        <f>INDEX(Offense!$AB$3:$BA$8,2,MATCH(DB$2,Offense!$AB$3:$BA$3,0))</f>
        <v>-0.20243279756818017</v>
      </c>
      <c r="DC17" s="15">
        <f>INDEX(Offense!$AB$3:$BA$8,2,MATCH(DC$2,Offense!$AB$3:$BA$3,0))</f>
        <v>-1.5058230699739127E-2</v>
      </c>
      <c r="DD17" s="15">
        <f>INDEX(Offense!$AB$3:$BA$8,2,MATCH(DD$2,Offense!$AB$3:$BA$3,0))</f>
        <v>1.816205347682766E-4</v>
      </c>
      <c r="DE17" s="15">
        <f>INDEX(Offense!$AB$3:$BA$8,2,MATCH(DE$2,Offense!$AB$3:$BA$3,0))</f>
        <v>-3.5192292427553826E-2</v>
      </c>
      <c r="DF17" s="15">
        <f>INDEX(Offense!$AB$3:$BA$8,2,MATCH(DF$2,Offense!$AB$3:$BA$3,0))</f>
        <v>-5.4876472195541252E-2</v>
      </c>
      <c r="DG17" s="15">
        <f>INDEX(Offense!$AB$3:$BA$8,2,MATCH(DG$2,Offense!$AB$3:$BA$3,0))</f>
        <v>9.8474663700154286E-2</v>
      </c>
      <c r="DH17" s="15">
        <f>INDEX(Offense!$AB$3:$BA$8,2,MATCH(DH$2,Offense!$AB$3:$BA$3,0))</f>
        <v>1.3645952114017732E-3</v>
      </c>
      <c r="DI17" s="15">
        <f>INDEX(Offense!$AB$3:$BA$8,2,MATCH(DI$2,Offense!$AB$3:$BA$3,0))</f>
        <v>84.693499827495899</v>
      </c>
      <c r="DJ17" s="15">
        <f>INDEX(Offense!$AB$3:$BA$8,2,MATCH(DJ$2,Offense!$AB$3:$BA$3,0))</f>
        <v>-0.41522539338692127</v>
      </c>
      <c r="DK17" s="15">
        <f>INDEX(Offense!$AB$3:$BA$8,2,MATCH(DK$2,Offense!$AB$3:$BA$3,0))</f>
        <v>0.19885166787903463</v>
      </c>
      <c r="DL17" s="15">
        <f>INDEX(Offense!$AB$3:$BA$8,2,MATCH(DL$2,Offense!$AB$3:$BA$3,0))</f>
        <v>65.336144739305752</v>
      </c>
      <c r="DM17" s="15">
        <f>INDEX(Offense!$AB$3:$BA$8,2,MATCH(DM$2,Offense!$AB$3:$BA$3,0))</f>
        <v>-85.690558012232202</v>
      </c>
      <c r="DN17">
        <f t="shared" si="23"/>
        <v>0</v>
      </c>
      <c r="DO17" t="str">
        <f t="shared" si="24"/>
        <v/>
      </c>
      <c r="DP17" t="str">
        <f t="shared" si="25"/>
        <v/>
      </c>
      <c r="DQ17" t="e">
        <f>IF(#REF!=0,"",ROUND(IF(#REF!&lt;0,#REF!/(#REF!-100),1/(#REF!/100+1)),2))</f>
        <v>#REF!</v>
      </c>
      <c r="DR17" t="str">
        <f t="shared" si="26"/>
        <v/>
      </c>
      <c r="DS17" t="e">
        <f t="shared" si="27"/>
        <v>#VALUE!</v>
      </c>
      <c r="DT17" s="58" t="str">
        <f t="shared" si="59"/>
        <v/>
      </c>
      <c r="DU17" s="16" t="str">
        <f t="shared" si="41"/>
        <v/>
      </c>
      <c r="DV17" s="176" t="str">
        <f>IFERROR(IF(ISODD(ROW()),ROUND(CB17+CB18,0),ROUND(CB17+CB16,0)),"")</f>
        <v/>
      </c>
      <c r="DX17" t="str">
        <f t="shared" ca="1" si="28"/>
        <v/>
      </c>
      <c r="DY17" t="str">
        <f t="shared" ca="1" si="29"/>
        <v/>
      </c>
      <c r="DZ17" s="39" t="str">
        <f t="shared" ca="1" si="30"/>
        <v/>
      </c>
      <c r="EA17" t="str">
        <f t="shared" si="42"/>
        <v/>
      </c>
      <c r="EB17" t="str">
        <f t="shared" si="31"/>
        <v/>
      </c>
      <c r="EC17" t="str">
        <f t="shared" si="43"/>
        <v/>
      </c>
      <c r="ED17" t="str">
        <f t="shared" si="60"/>
        <v/>
      </c>
      <c r="EE17" t="str">
        <f t="shared" si="32"/>
        <v/>
      </c>
      <c r="EF17" t="str">
        <f t="shared" si="44"/>
        <v/>
      </c>
      <c r="EG17" t="str">
        <f t="shared" si="33"/>
        <v/>
      </c>
      <c r="EH17" t="str">
        <f t="shared" si="45"/>
        <v/>
      </c>
      <c r="EI17" t="str">
        <f t="shared" si="34"/>
        <v/>
      </c>
      <c r="EJ17">
        <f t="shared" si="46"/>
        <v>0</v>
      </c>
      <c r="EK17" t="str">
        <f t="shared" si="47"/>
        <v/>
      </c>
      <c r="EL17" t="str">
        <f>IF(ISBLANK(G17),"",IF(DQ17&lt;0.5,IF(DP17&gt;0.5*$FG$7,G17&amp;" Moneyline (+"&amp;#REF!&amp;")",""),IF(DP17&gt;$FG$6*DQ17,G17&amp;" Moneyline ("&amp;#REF!&amp;")","")))</f>
        <v/>
      </c>
      <c r="EN17">
        <f t="shared" ca="1" si="48"/>
        <v>12</v>
      </c>
      <c r="EO17" t="str">
        <f t="shared" si="35"/>
        <v xml:space="preserve"> @ </v>
      </c>
      <c r="EP17" t="str">
        <f t="shared" ca="1" si="49"/>
        <v/>
      </c>
      <c r="EQ17" s="19" t="str">
        <f t="shared" ca="1" si="50"/>
        <v/>
      </c>
      <c r="ER17">
        <f t="shared" ca="1" si="51"/>
        <v>0</v>
      </c>
      <c r="ES17" s="19" t="str">
        <f t="shared" si="52"/>
        <v/>
      </c>
      <c r="ET17" s="19" t="str">
        <f>IF(ISBLANK(G17),"",IF(DT17&gt;0.625,G17&amp;" Moneyline ("&amp;#REF!&amp;")",""))</f>
        <v/>
      </c>
      <c r="EU17" s="1" t="str">
        <f>IF(ISNUMBER(CODE(ET17)),#REF!,"")</f>
        <v/>
      </c>
      <c r="EV17" s="1" t="str">
        <f t="shared" si="53"/>
        <v/>
      </c>
      <c r="EW17" s="3"/>
      <c r="EX17" s="1" t="e">
        <f t="shared" ca="1" si="54"/>
        <v>#N/A</v>
      </c>
      <c r="EY17" s="1" t="e">
        <f t="shared" ca="1" si="55"/>
        <v>#N/A</v>
      </c>
      <c r="EZ17" s="3" t="e">
        <f t="shared" ca="1" si="56"/>
        <v>#N/A</v>
      </c>
      <c r="FA17" s="19"/>
      <c r="FB17" s="19"/>
      <c r="FC17" s="19"/>
      <c r="FD17" s="19"/>
      <c r="FE17" s="19"/>
    </row>
    <row r="18" spans="7:161" ht="15.75" thickBot="1" x14ac:dyDescent="0.3">
      <c r="G18" s="9"/>
      <c r="H18" s="10"/>
      <c r="I18" s="10">
        <v>226.5</v>
      </c>
      <c r="J18" s="180">
        <f t="shared" ref="J18" si="73">IF(H18&lt;1,H19,H18)</f>
        <v>0</v>
      </c>
      <c r="K18" s="12" t="str">
        <f>IF(ISBLANK($G18),"",INDEX(OLook[],MATCH($G18,OLook[Team],0),MATCH(K$2,OLook[#Headers],0)))</f>
        <v/>
      </c>
      <c r="L18" s="12" t="str">
        <f>IF(ISBLANK($G18),"",INDEX(OLook[],MATCH($G18,OLook[Team],0),MATCH(L$2,OLook[#Headers],0)))</f>
        <v/>
      </c>
      <c r="M18" s="12" t="str">
        <f>IF(ISBLANK($G18),"",INDEX(OLook[],MATCH($G18,OLook[Team],0),MATCH(M$2,OLook[#Headers],0)))</f>
        <v/>
      </c>
      <c r="N18" s="12" t="str">
        <f>IF(ISBLANK($G18),"",INDEX(OLook[],MATCH($G18,OLook[Team],0),MATCH(N$2,OLook[#Headers],0)))</f>
        <v/>
      </c>
      <c r="O18" s="12" t="str">
        <f>IF(ISBLANK($G18),"",INDEX(OLook[],MATCH($G18,OLook[Team],0),MATCH(O$2,OLook[#Headers],0)))</f>
        <v/>
      </c>
      <c r="P18" s="12" t="str">
        <f>IF(ISBLANK($G18),"",INDEX(OLook[],MATCH($G18,OLook[Team],0),MATCH(P$2,OLook[#Headers],0)))</f>
        <v/>
      </c>
      <c r="Q18" s="12" t="str">
        <f>IF(ISBLANK($G18),"",INDEX(OLook[],MATCH($G18,OLook[Team],0),MATCH(Q$2,OLook[#Headers],0)))</f>
        <v/>
      </c>
      <c r="R18" s="12" t="str">
        <f>IF(ISBLANK($G18),"",INDEX(OLook[],MATCH($G18,OLook[Team],0),MATCH(R$2,OLook[#Headers],0)))</f>
        <v/>
      </c>
      <c r="S18" s="12" t="str">
        <f>IF(ISBLANK($G18),"",INDEX(OLook[],MATCH($G18,OLook[Team],0),MATCH(S$2,OLook[#Headers],0)))</f>
        <v/>
      </c>
      <c r="T18" s="12" t="str">
        <f>IF(ISBLANK($G18),"",INDEX(OLook[],MATCH($G18,OLook[Team],0),MATCH(T$2,OLook[#Headers],0)))</f>
        <v/>
      </c>
      <c r="U18" s="12" t="str">
        <f>IF(ISBLANK($G18),"",INDEX(OLook[],MATCH($G18,OLook[Team],0),MATCH(U$2,OLook[#Headers],0)))</f>
        <v/>
      </c>
      <c r="V18" s="12" t="str">
        <f>IF(ISBLANK($G18),"",INDEX(OLook[],MATCH($G18,OLook[Team],0),MATCH(V$2,OLook[#Headers],0)))</f>
        <v/>
      </c>
      <c r="W18" s="12" t="str">
        <f>IF(ISBLANK($G18),"",INDEX(OLook[],MATCH($G18,OLook[Team],0),MATCH(W$2,OLook[#Headers],0)))</f>
        <v/>
      </c>
      <c r="X18" s="12" t="str">
        <f>IF(ISBLANK($G18),"",INDEX(OLook[],MATCH($G18,OLook[Team],0),MATCH(X$2,OLook[#Headers],0)))</f>
        <v/>
      </c>
      <c r="Y18" s="12" t="str">
        <f>IF(ISBLANK($G18),"",INDEX(OLook[],MATCH($G18,OLook[Team],0),MATCH(Y$2,OLook[#Headers],0)))</f>
        <v/>
      </c>
      <c r="Z18" s="12" t="str">
        <f>IF(ISBLANK($G18),"",INDEX(OLook[],MATCH($G18,OLook[Team],0),MATCH(Z$2,OLook[#Headers],0)))</f>
        <v/>
      </c>
      <c r="AA18" s="12" t="str">
        <f>IF(ISBLANK($G18),"",INDEX(OLook[],MATCH($G18,OLook[Team],0),MATCH(AA$2,OLook[#Headers],0)))</f>
        <v/>
      </c>
      <c r="AB18" s="12" t="str">
        <f>IF(ISBLANK($G18),"",INDEX(OLook[],MATCH($G18,OLook[Team],0),MATCH(AB$2,OLook[#Headers],0)))</f>
        <v/>
      </c>
      <c r="AC18" s="12" t="str">
        <f>IF(ISBLANK($G18),"",INDEX(OLook[],MATCH($G18,OLook[Team],0),MATCH(AC$2,OLook[#Headers],0)))</f>
        <v/>
      </c>
      <c r="AD18" s="12" t="str">
        <f>IF(ISBLANK($G18),"",INDEX(OLook[],MATCH($G18,OLook[Team],0),MATCH(AD$2,OLook[#Headers],0)))</f>
        <v/>
      </c>
      <c r="AE18" s="12" t="str">
        <f>IF(ISBLANK($G18),"",INDEX(OLook[],MATCH($G18,OLook[Team],0),MATCH(AE$2,OLook[#Headers],0)))</f>
        <v/>
      </c>
      <c r="AF18" s="12" t="str">
        <f>IF(ISBLANK($G18),"",IF(ISODD(ROW()),INDEX(Scores!$B$2:'Scores'!$N$32,MATCH(G18,Scores!$C$2:$C$32,0),6),INDEX(Scores!$B$2:'Scores'!$N$32,MATCH(G18,Scores!$C$2:$C$32,0),10)))</f>
        <v/>
      </c>
      <c r="AG18" s="12" t="str">
        <f>IF(ISBLANK($G18),"",INDEX(Scores!$B$2:$P$32,MATCH($G18,Scores!$C$2:$C$32,0),MATCH(AG$2,Scores!$B$2:$P$2,0)))</f>
        <v/>
      </c>
      <c r="AH18" s="11" t="str">
        <f>IF(ISBLANK($G18),"",INDEX(DLook[],MATCH($G18,DLook[Team],0),MATCH(AH$2,DLook[#Headers],0)))</f>
        <v/>
      </c>
      <c r="AI18" s="11" t="str">
        <f>IF(ISBLANK($G18),"",INDEX(DLook[],MATCH($G18,DLook[Team],0),MATCH(AI$2,DLook[#Headers],0)))</f>
        <v/>
      </c>
      <c r="AJ18" s="11" t="str">
        <f>IF(ISBLANK($G18),"",INDEX(DLook[],MATCH($G18,DLook[Team],0),MATCH(AJ$2,DLook[#Headers],0)))</f>
        <v/>
      </c>
      <c r="AK18" s="11" t="str">
        <f>IF(ISBLANK($G18),"",INDEX(DLook[],MATCH($G18,DLook[Team],0),MATCH(AK$2,DLook[#Headers],0)))</f>
        <v/>
      </c>
      <c r="AL18" s="11" t="str">
        <f>IF(ISBLANK($G18),"",INDEX(DLook[],MATCH($G18,DLook[Team],0),MATCH(AL$2,DLook[#Headers],0)))</f>
        <v/>
      </c>
      <c r="AM18" s="11" t="str">
        <f>IF(ISBLANK($G18),"",INDEX(DLook[],MATCH($G18,DLook[Team],0),MATCH(AM$2,DLook[#Headers],0)))</f>
        <v/>
      </c>
      <c r="AN18" s="11" t="str">
        <f>IF(ISBLANK($G18),"",INDEX(DLook[],MATCH($G18,DLook[Team],0),MATCH(AN$2,DLook[#Headers],0)))</f>
        <v/>
      </c>
      <c r="AO18" s="11" t="str">
        <f>IF(ISBLANK($G18),"",INDEX(DLook[],MATCH($G18,DLook[Team],0),MATCH(AO$2,DLook[#Headers],0)))</f>
        <v/>
      </c>
      <c r="AP18" s="11" t="str">
        <f>IF(ISBLANK($G18),"",INDEX(DLook[],MATCH($G18,DLook[Team],0),MATCH(AP$2,DLook[#Headers],0)))</f>
        <v/>
      </c>
      <c r="AQ18" s="11" t="str">
        <f>IF(ISBLANK($G18),"",INDEX(DLook[],MATCH($G18,DLook[Team],0),MATCH(AQ$2,DLook[#Headers],0)))</f>
        <v/>
      </c>
      <c r="AR18" s="11" t="str">
        <f>IF(ISBLANK($G18),"",INDEX(DLook[],MATCH($G18,DLook[Team],0),MATCH(AR$2,DLook[#Headers],0)))</f>
        <v/>
      </c>
      <c r="AS18" s="11" t="str">
        <f>IF(ISBLANK($G18),"",INDEX(DLook[],MATCH($G18,DLook[Team],0),MATCH(AS$2,DLook[#Headers],0)))</f>
        <v/>
      </c>
      <c r="AT18" s="11" t="str">
        <f>IF(ISBLANK($G18),"",INDEX(DLook[],MATCH($G18,DLook[Team],0),MATCH(AT$2,DLook[#Headers],0)))</f>
        <v/>
      </c>
      <c r="AU18" s="11" t="str">
        <f>IF(ISBLANK($G18),"",INDEX(DLook[],MATCH($G18,DLook[Team],0),MATCH(AU$2,DLook[#Headers],0)))</f>
        <v/>
      </c>
      <c r="AV18" s="11" t="str">
        <f>IF(ISBLANK($G18),"",INDEX(DLook[],MATCH($G18,DLook[Team],0),MATCH(AV$2,DLook[#Headers],0)))</f>
        <v/>
      </c>
      <c r="AW18" s="11" t="str">
        <f>IF(ISBLANK($G18),"",INDEX(DLook[],MATCH($G18,DLook[Team],0),MATCH(AW$2,DLook[#Headers],0)))</f>
        <v/>
      </c>
      <c r="AX18" s="11" t="str">
        <f>IF(ISBLANK($G18),"",INDEX(DLook[],MATCH($G18,DLook[Team],0),MATCH(AX$2,DLook[#Headers],0)))</f>
        <v/>
      </c>
      <c r="AY18" s="11" t="str">
        <f>IF(ISBLANK($G18),"",INDEX(DLook[],MATCH($G18,DLook[Team],0),MATCH(AY$2,DLook[#Headers],0)))</f>
        <v/>
      </c>
      <c r="AZ18" s="14" t="str">
        <f t="shared" si="0"/>
        <v/>
      </c>
      <c r="BA18" s="14" t="str">
        <f t="shared" si="1"/>
        <v/>
      </c>
      <c r="BB18" s="14" t="str">
        <f t="shared" si="2"/>
        <v/>
      </c>
      <c r="BC18" s="14" t="str">
        <f t="shared" si="3"/>
        <v/>
      </c>
      <c r="BD18" s="14" t="str">
        <f t="shared" si="4"/>
        <v/>
      </c>
      <c r="BE18" s="14" t="str">
        <f t="shared" si="5"/>
        <v/>
      </c>
      <c r="BF18" s="14" t="str">
        <f t="shared" si="6"/>
        <v/>
      </c>
      <c r="BG18" s="14" t="str">
        <f t="shared" si="7"/>
        <v/>
      </c>
      <c r="BH18" s="14" t="str">
        <f t="shared" si="8"/>
        <v/>
      </c>
      <c r="BI18" s="14" t="str">
        <f t="shared" si="9"/>
        <v/>
      </c>
      <c r="BJ18" s="14" t="str">
        <f t="shared" si="10"/>
        <v/>
      </c>
      <c r="BK18" s="14" t="str">
        <f t="shared" si="11"/>
        <v/>
      </c>
      <c r="BL18" s="14" t="str">
        <f t="shared" si="12"/>
        <v/>
      </c>
      <c r="BM18" s="14" t="str">
        <f t="shared" si="13"/>
        <v/>
      </c>
      <c r="BN18" s="14" t="str">
        <f t="shared" si="14"/>
        <v/>
      </c>
      <c r="BO18" s="14" t="str">
        <f t="shared" si="15"/>
        <v/>
      </c>
      <c r="BP18" s="14" t="str">
        <f t="shared" si="16"/>
        <v/>
      </c>
      <c r="BQ18" s="13" t="str">
        <f t="shared" si="17"/>
        <v/>
      </c>
      <c r="BR18" s="13" t="str">
        <f t="shared" si="18"/>
        <v/>
      </c>
      <c r="BS18" s="13" t="str">
        <f t="shared" si="19"/>
        <v/>
      </c>
      <c r="BT18" s="13" t="str">
        <f t="shared" si="20"/>
        <v/>
      </c>
      <c r="BU18" s="13" t="str">
        <f t="shared" si="36"/>
        <v/>
      </c>
      <c r="BV18" s="13" t="str">
        <f t="shared" si="37"/>
        <v/>
      </c>
      <c r="BW18" s="13" t="str">
        <f t="shared" si="58"/>
        <v/>
      </c>
      <c r="BX18" s="13" t="str">
        <f t="shared" si="21"/>
        <v/>
      </c>
      <c r="BY18" s="13" t="str">
        <f t="shared" si="38"/>
        <v/>
      </c>
      <c r="BZ18" s="13" t="str">
        <f t="shared" si="39"/>
        <v/>
      </c>
      <c r="CA18" s="13">
        <f>IF(ISBLANK(B18),0,INDEX(Advanced_Table[],MATCH(B18,Advanced_Table[Player],0),MATCH("Scaled VORP",Advanced_Table[#Headers],0)))+IF(ISBLANK(C18),0,INDEX(Advanced_Table[],MATCH(C18,Advanced_Table[Player],0),MATCH("Scaled VORP",Advanced_Table[#Headers],0)))+IF(ISBLANK(D18),0,INDEX(Advanced_Table[],MATCH(D18,Advanced_Table[Player],0),MATCH("Scaled VORP",Advanced_Table[#Headers],0)))+IF(ISBLANK(E18),0,INDEX(Advanced_Table[],MATCH(E18,Advanced_Table[Player],0),MATCH("Scaled VORP",Advanced_Table[#Headers],0)))+IF(ISBLANK(F18),0,INDEX(Advanced_Table[],MATCH(F18,Advanced_Table[Player],0),MATCH("Scaled VORP",Advanced_Table[#Headers],0)))</f>
        <v>0</v>
      </c>
      <c r="CB18" s="13" t="str">
        <f t="shared" si="40"/>
        <v/>
      </c>
      <c r="CC18" s="13" t="str">
        <f t="shared" si="22"/>
        <v/>
      </c>
      <c r="CD18" s="14">
        <f>INDEX(Defense!$AB$3:$BA$8,2,MATCH(CD$2,Defense!$AB$3:$BA$3,0))</f>
        <v>1.1881973445510248</v>
      </c>
      <c r="CE18" s="14">
        <f>INDEX(Defense!$AB$3:$BA$8,2,MATCH(CE$2,Defense!$AB$3:$BA$3,0))</f>
        <v>20.37695032952751</v>
      </c>
      <c r="CF18" s="14">
        <f>INDEX(Defense!$AB$3:$BA$8,2,MATCH(CF$2,Defense!$AB$3:$BA$3,0))</f>
        <v>3.8108594084794688E-2</v>
      </c>
      <c r="CG18" s="14">
        <f>INDEX(Defense!$AB$3:$BA$8,2,MATCH(CG$2,Defense!$AB$3:$BA$3,0))</f>
        <v>0.82665533501354516</v>
      </c>
      <c r="CH18" s="14">
        <f>INDEX(Defense!$AB$3:$BA$8,2,MATCH(CH$2,Defense!$AB$3:$BA$3,0))</f>
        <v>0.96847375256109303</v>
      </c>
      <c r="CI18" s="14">
        <f>INDEX(Defense!$AB$3:$BA$8,2,MATCH(CI$2,Defense!$AB$3:$BA$3,0))</f>
        <v>24.899423599851655</v>
      </c>
      <c r="CJ18" s="14">
        <f>INDEX(Defense!$AB$3:$BA$8,2,MATCH(CJ$2,Defense!$AB$3:$BA$3,0))</f>
        <v>4.3333160259283868E-2</v>
      </c>
      <c r="CK18" s="14">
        <f>INDEX(Defense!$AB$3:$BA$8,2,MATCH(CK$2,Defense!$AB$3:$BA$3,0))</f>
        <v>4.3643719755598418E-3</v>
      </c>
      <c r="CL18" s="14">
        <f>INDEX(Defense!$AB$3:$BA$8,2,MATCH(CL$2,Defense!$AB$3:$BA$3,0))</f>
        <v>3.3980730825493605E-2</v>
      </c>
      <c r="CM18" s="14">
        <f>INDEX(Defense!$AB$3:$BA$8,2,MATCH(CM$2,Defense!$AB$3:$BA$3,0))</f>
        <v>2.2130116153199469E-2</v>
      </c>
      <c r="CN18" s="14">
        <f>INDEX(Defense!$AB$3:$BA$8,2,MATCH(CN$2,Defense!$AB$3:$BA$3,0))</f>
        <v>1.5770727592026978E-2</v>
      </c>
      <c r="CO18" s="14">
        <f>INDEX(Defense!$AB$3:$BA$8,2,MATCH(CO$2,Defense!$AB$3:$BA$3,0))</f>
        <v>3.4820867870809513E-2</v>
      </c>
      <c r="CP18" s="14">
        <f>INDEX(Defense!$AB$3:$BA$8,2,MATCH(CP$2,Defense!$AB$3:$BA$3,0))</f>
        <v>-8.5450857094943424E-4</v>
      </c>
      <c r="CQ18" s="14">
        <f>INDEX(Defense!$AB$3:$BA$8,2,MATCH(CQ$2,Defense!$AB$3:$BA$3,0))</f>
        <v>160.75587555196628</v>
      </c>
      <c r="CR18" s="14">
        <f>INDEX(Defense!$AB$3:$BA$8,2,MATCH(CR$2,Defense!$AB$3:$BA$3,0))</f>
        <v>0.15454953937048871</v>
      </c>
      <c r="CS18" s="14">
        <f>INDEX(Defense!$AB$3:$BA$8,2,MATCH(CS$2,Defense!$AB$3:$BA$3,0))</f>
        <v>0.10198746342122103</v>
      </c>
      <c r="CT18" s="14">
        <f>INDEX(Defense!$AB$3:$BA$8,2,MATCH(CT$2,Defense!$AB$3:$BA$3,0))</f>
        <v>-13.759669623776899</v>
      </c>
      <c r="CU18" s="14">
        <f>INDEX(Defense!$AB$3:$BA$8,2,MATCH(CU$2,Defense!$AB$3:$BA$3,0))</f>
        <v>-140.43646301959095</v>
      </c>
      <c r="CV18" s="15">
        <f>INDEX(Offense!$AB$3:$BA$8,2,MATCH(CV$2,Offense!$AB$3:$BA$3,0))</f>
        <v>0.94854285448896025</v>
      </c>
      <c r="CW18" s="15">
        <f>INDEX(Offense!$AB$3:$BA$8,2,MATCH(CW$2,Offense!$AB$3:$BA$3,0))</f>
        <v>85.640824181858136</v>
      </c>
      <c r="CX18" s="15">
        <f>INDEX(Offense!$AB$3:$BA$8,2,MATCH(CX$2,Offense!$AB$3:$BA$3,0))</f>
        <v>0.18969054669932336</v>
      </c>
      <c r="CY18" s="15">
        <f>INDEX(Offense!$AB$3:$BA$8,2,MATCH(CY$2,Offense!$AB$3:$BA$3,0))</f>
        <v>15.281981293875587</v>
      </c>
      <c r="CZ18" s="15">
        <f>INDEX(Offense!$AB$3:$BA$8,2,MATCH(CZ$2,Offense!$AB$3:$BA$3,0))</f>
        <v>8.6824407438745616E-2</v>
      </c>
      <c r="DA18" s="15">
        <f>INDEX(Offense!$AB$3:$BA$8,2,MATCH(DA$2,Offense!$AB$3:$BA$3,0))</f>
        <v>5.4421042890783919</v>
      </c>
      <c r="DB18" s="15">
        <f>INDEX(Offense!$AB$3:$BA$8,2,MATCH(DB$2,Offense!$AB$3:$BA$3,0))</f>
        <v>-0.20243279756818017</v>
      </c>
      <c r="DC18" s="15">
        <f>INDEX(Offense!$AB$3:$BA$8,2,MATCH(DC$2,Offense!$AB$3:$BA$3,0))</f>
        <v>-1.5058230699739127E-2</v>
      </c>
      <c r="DD18" s="15">
        <f>INDEX(Offense!$AB$3:$BA$8,2,MATCH(DD$2,Offense!$AB$3:$BA$3,0))</f>
        <v>1.816205347682766E-4</v>
      </c>
      <c r="DE18" s="15">
        <f>INDEX(Offense!$AB$3:$BA$8,2,MATCH(DE$2,Offense!$AB$3:$BA$3,0))</f>
        <v>-3.5192292427553826E-2</v>
      </c>
      <c r="DF18" s="15">
        <f>INDEX(Offense!$AB$3:$BA$8,2,MATCH(DF$2,Offense!$AB$3:$BA$3,0))</f>
        <v>-5.4876472195541252E-2</v>
      </c>
      <c r="DG18" s="15">
        <f>INDEX(Offense!$AB$3:$BA$8,2,MATCH(DG$2,Offense!$AB$3:$BA$3,0))</f>
        <v>9.8474663700154286E-2</v>
      </c>
      <c r="DH18" s="15">
        <f>INDEX(Offense!$AB$3:$BA$8,2,MATCH(DH$2,Offense!$AB$3:$BA$3,0))</f>
        <v>1.3645952114017732E-3</v>
      </c>
      <c r="DI18" s="15">
        <f>INDEX(Offense!$AB$3:$BA$8,2,MATCH(DI$2,Offense!$AB$3:$BA$3,0))</f>
        <v>84.693499827495899</v>
      </c>
      <c r="DJ18" s="15">
        <f>INDEX(Offense!$AB$3:$BA$8,2,MATCH(DJ$2,Offense!$AB$3:$BA$3,0))</f>
        <v>-0.41522539338692127</v>
      </c>
      <c r="DK18" s="15">
        <f>INDEX(Offense!$AB$3:$BA$8,2,MATCH(DK$2,Offense!$AB$3:$BA$3,0))</f>
        <v>0.19885166787903463</v>
      </c>
      <c r="DL18" s="15">
        <f>INDEX(Offense!$AB$3:$BA$8,2,MATCH(DL$2,Offense!$AB$3:$BA$3,0))</f>
        <v>65.336144739305752</v>
      </c>
      <c r="DM18" s="15">
        <f>INDEX(Offense!$AB$3:$BA$8,2,MATCH(DM$2,Offense!$AB$3:$BA$3,0))</f>
        <v>-85.690558012232202</v>
      </c>
      <c r="DN18">
        <f t="shared" si="23"/>
        <v>0</v>
      </c>
      <c r="DO18" t="str">
        <f t="shared" si="24"/>
        <v/>
      </c>
      <c r="DP18" t="str">
        <f t="shared" si="25"/>
        <v/>
      </c>
      <c r="DQ18" t="e">
        <f>IF(#REF!=0,"",ROUND(IF(#REF!&lt;0,#REF!/(#REF!-100),1/(#REF!/100+1)),2))</f>
        <v>#REF!</v>
      </c>
      <c r="DR18" t="str">
        <f t="shared" si="26"/>
        <v/>
      </c>
      <c r="DS18" t="e">
        <f t="shared" si="27"/>
        <v>#VALUE!</v>
      </c>
      <c r="DT18" s="59" t="str">
        <f t="shared" si="59"/>
        <v/>
      </c>
      <c r="DU18" s="17" t="str">
        <f t="shared" si="41"/>
        <v/>
      </c>
      <c r="DV18" s="177"/>
      <c r="DX18" t="str">
        <f t="shared" ca="1" si="28"/>
        <v/>
      </c>
      <c r="DY18" t="str">
        <f t="shared" ca="1" si="29"/>
        <v/>
      </c>
      <c r="DZ18" s="39" t="str">
        <f t="shared" ca="1" si="30"/>
        <v/>
      </c>
      <c r="EA18" t="str">
        <f t="shared" si="42"/>
        <v/>
      </c>
      <c r="EB18" t="str">
        <f t="shared" si="31"/>
        <v/>
      </c>
      <c r="EC18" t="str">
        <f t="shared" si="43"/>
        <v/>
      </c>
      <c r="ED18" t="str">
        <f t="shared" si="60"/>
        <v/>
      </c>
      <c r="EE18" t="str">
        <f t="shared" si="32"/>
        <v/>
      </c>
      <c r="EF18" t="str">
        <f t="shared" si="44"/>
        <v/>
      </c>
      <c r="EG18" t="str">
        <f t="shared" si="33"/>
        <v/>
      </c>
      <c r="EH18" t="str">
        <f t="shared" si="45"/>
        <v/>
      </c>
      <c r="EI18" t="str">
        <f t="shared" si="34"/>
        <v/>
      </c>
      <c r="EJ18">
        <f t="shared" si="46"/>
        <v>0</v>
      </c>
      <c r="EK18" t="str">
        <f t="shared" si="47"/>
        <v/>
      </c>
      <c r="EL18" t="str">
        <f>IF(ISBLANK(G18),"",IF(DQ18&lt;0.5,IF(DP18&gt;0.5*$FG$7,G18&amp;" Moneyline (+"&amp;#REF!&amp;")",""),IF(DP18&gt;$FG$6*DQ18,G18&amp;" Moneyline ("&amp;#REF!&amp;")","")))</f>
        <v/>
      </c>
      <c r="EN18">
        <f t="shared" ca="1" si="48"/>
        <v>12</v>
      </c>
      <c r="EO18" t="str">
        <f t="shared" si="35"/>
        <v xml:space="preserve"> @ </v>
      </c>
      <c r="EP18" t="str">
        <f t="shared" ca="1" si="49"/>
        <v/>
      </c>
      <c r="EQ18" s="19" t="str">
        <f t="shared" ca="1" si="50"/>
        <v/>
      </c>
      <c r="ER18">
        <f t="shared" ca="1" si="51"/>
        <v>0</v>
      </c>
      <c r="ES18" s="19" t="str">
        <f t="shared" si="52"/>
        <v/>
      </c>
      <c r="ET18" s="19" t="str">
        <f>IF(ISBLANK(G18),"",IF(DT18&gt;0.625,G18&amp;" Moneyline ("&amp;#REF!&amp;")",""))</f>
        <v/>
      </c>
      <c r="EU18" s="1" t="str">
        <f>IF(ISNUMBER(CODE(ET18)),#REF!,"")</f>
        <v/>
      </c>
      <c r="EV18" s="1" t="str">
        <f t="shared" si="53"/>
        <v/>
      </c>
      <c r="EW18" s="3"/>
      <c r="EX18" s="1" t="e">
        <f t="shared" ca="1" si="54"/>
        <v>#N/A</v>
      </c>
      <c r="EY18" s="1" t="e">
        <f t="shared" ca="1" si="55"/>
        <v>#N/A</v>
      </c>
      <c r="EZ18" s="3" t="e">
        <f t="shared" ca="1" si="56"/>
        <v>#N/A</v>
      </c>
      <c r="FA18" s="19"/>
      <c r="FB18" s="19"/>
      <c r="FC18" s="19"/>
      <c r="FD18" s="19"/>
      <c r="FE18" s="19"/>
    </row>
    <row r="19" spans="7:161" x14ac:dyDescent="0.25">
      <c r="G19" s="7"/>
      <c r="H19" s="8"/>
      <c r="I19" s="8">
        <v>222</v>
      </c>
      <c r="J19" s="179" t="str">
        <f t="shared" ref="J19" si="74">IF(ISBLANK(G19),"",IF(I19&lt;1,I20,I19))</f>
        <v/>
      </c>
      <c r="K19" s="12" t="str">
        <f>IF(ISBLANK($G19),"",INDEX(OLook[],MATCH($G19,OLook[Team],0),MATCH(K$2,OLook[#Headers],0)))</f>
        <v/>
      </c>
      <c r="L19" s="12" t="str">
        <f>IF(ISBLANK($G19),"",INDEX(OLook[],MATCH($G19,OLook[Team],0),MATCH(L$2,OLook[#Headers],0)))</f>
        <v/>
      </c>
      <c r="M19" s="12" t="str">
        <f>IF(ISBLANK($G19),"",INDEX(OLook[],MATCH($G19,OLook[Team],0),MATCH(M$2,OLook[#Headers],0)))</f>
        <v/>
      </c>
      <c r="N19" s="12" t="str">
        <f>IF(ISBLANK($G19),"",INDEX(OLook[],MATCH($G19,OLook[Team],0),MATCH(N$2,OLook[#Headers],0)))</f>
        <v/>
      </c>
      <c r="O19" s="12" t="str">
        <f>IF(ISBLANK($G19),"",INDEX(OLook[],MATCH($G19,OLook[Team],0),MATCH(O$2,OLook[#Headers],0)))</f>
        <v/>
      </c>
      <c r="P19" s="12" t="str">
        <f>IF(ISBLANK($G19),"",INDEX(OLook[],MATCH($G19,OLook[Team],0),MATCH(P$2,OLook[#Headers],0)))</f>
        <v/>
      </c>
      <c r="Q19" s="12" t="str">
        <f>IF(ISBLANK($G19),"",INDEX(OLook[],MATCH($G19,OLook[Team],0),MATCH(Q$2,OLook[#Headers],0)))</f>
        <v/>
      </c>
      <c r="R19" s="12" t="str">
        <f>IF(ISBLANK($G19),"",INDEX(OLook[],MATCH($G19,OLook[Team],0),MATCH(R$2,OLook[#Headers],0)))</f>
        <v/>
      </c>
      <c r="S19" s="12" t="str">
        <f>IF(ISBLANK($G19),"",INDEX(OLook[],MATCH($G19,OLook[Team],0),MATCH(S$2,OLook[#Headers],0)))</f>
        <v/>
      </c>
      <c r="T19" s="12" t="str">
        <f>IF(ISBLANK($G19),"",INDEX(OLook[],MATCH($G19,OLook[Team],0),MATCH(T$2,OLook[#Headers],0)))</f>
        <v/>
      </c>
      <c r="U19" s="12" t="str">
        <f>IF(ISBLANK($G19),"",INDEX(OLook[],MATCH($G19,OLook[Team],0),MATCH(U$2,OLook[#Headers],0)))</f>
        <v/>
      </c>
      <c r="V19" s="12" t="str">
        <f>IF(ISBLANK($G19),"",INDEX(OLook[],MATCH($G19,OLook[Team],0),MATCH(V$2,OLook[#Headers],0)))</f>
        <v/>
      </c>
      <c r="W19" s="12" t="str">
        <f>IF(ISBLANK($G19),"",INDEX(OLook[],MATCH($G19,OLook[Team],0),MATCH(W$2,OLook[#Headers],0)))</f>
        <v/>
      </c>
      <c r="X19" s="12" t="str">
        <f>IF(ISBLANK($G19),"",INDEX(OLook[],MATCH($G19,OLook[Team],0),MATCH(X$2,OLook[#Headers],0)))</f>
        <v/>
      </c>
      <c r="Y19" s="12" t="str">
        <f>IF(ISBLANK($G19),"",INDEX(OLook[],MATCH($G19,OLook[Team],0),MATCH(Y$2,OLook[#Headers],0)))</f>
        <v/>
      </c>
      <c r="Z19" s="12" t="str">
        <f>IF(ISBLANK($G19),"",INDEX(OLook[],MATCH($G19,OLook[Team],0),MATCH(Z$2,OLook[#Headers],0)))</f>
        <v/>
      </c>
      <c r="AA19" s="12" t="str">
        <f>IF(ISBLANK($G19),"",INDEX(OLook[],MATCH($G19,OLook[Team],0),MATCH(AA$2,OLook[#Headers],0)))</f>
        <v/>
      </c>
      <c r="AB19" s="12" t="str">
        <f>IF(ISBLANK($G19),"",INDEX(OLook[],MATCH($G19,OLook[Team],0),MATCH(AB$2,OLook[#Headers],0)))</f>
        <v/>
      </c>
      <c r="AC19" s="12" t="str">
        <f>IF(ISBLANK($G19),"",INDEX(OLook[],MATCH($G19,OLook[Team],0),MATCH(AC$2,OLook[#Headers],0)))</f>
        <v/>
      </c>
      <c r="AD19" s="12" t="str">
        <f>IF(ISBLANK($G19),"",INDEX(OLook[],MATCH($G19,OLook[Team],0),MATCH(AD$2,OLook[#Headers],0)))</f>
        <v/>
      </c>
      <c r="AE19" s="12" t="str">
        <f>IF(ISBLANK($G19),"",INDEX(OLook[],MATCH($G19,OLook[Team],0),MATCH(AE$2,OLook[#Headers],0)))</f>
        <v/>
      </c>
      <c r="AF19" s="12" t="str">
        <f>IF(ISBLANK($G19),"",IF(ISODD(ROW()),INDEX(Scores!$B$2:'Scores'!$N$32,MATCH(G19,Scores!$C$2:$C$32,0),6),INDEX(Scores!$B$2:'Scores'!$N$32,MATCH(G19,Scores!$C$2:$C$32,0),10)))</f>
        <v/>
      </c>
      <c r="AG19" s="12" t="str">
        <f>IF(ISBLANK($G19),"",INDEX(Scores!$B$2:$P$32,MATCH($G19,Scores!$C$2:$C$32,0),MATCH(AG$2,Scores!$B$2:$P$2,0)))</f>
        <v/>
      </c>
      <c r="AH19" s="11" t="str">
        <f>IF(ISBLANK($G19),"",INDEX(DLook[],MATCH($G19,DLook[Team],0),MATCH(AH$2,DLook[#Headers],0)))</f>
        <v/>
      </c>
      <c r="AI19" s="11" t="str">
        <f>IF(ISBLANK($G19),"",INDEX(DLook[],MATCH($G19,DLook[Team],0),MATCH(AI$2,DLook[#Headers],0)))</f>
        <v/>
      </c>
      <c r="AJ19" s="11" t="str">
        <f>IF(ISBLANK($G19),"",INDEX(DLook[],MATCH($G19,DLook[Team],0),MATCH(AJ$2,DLook[#Headers],0)))</f>
        <v/>
      </c>
      <c r="AK19" s="11" t="str">
        <f>IF(ISBLANK($G19),"",INDEX(DLook[],MATCH($G19,DLook[Team],0),MATCH(AK$2,DLook[#Headers],0)))</f>
        <v/>
      </c>
      <c r="AL19" s="11" t="str">
        <f>IF(ISBLANK($G19),"",INDEX(DLook[],MATCH($G19,DLook[Team],0),MATCH(AL$2,DLook[#Headers],0)))</f>
        <v/>
      </c>
      <c r="AM19" s="11" t="str">
        <f>IF(ISBLANK($G19),"",INDEX(DLook[],MATCH($G19,DLook[Team],0),MATCH(AM$2,DLook[#Headers],0)))</f>
        <v/>
      </c>
      <c r="AN19" s="11" t="str">
        <f>IF(ISBLANK($G19),"",INDEX(DLook[],MATCH($G19,DLook[Team],0),MATCH(AN$2,DLook[#Headers],0)))</f>
        <v/>
      </c>
      <c r="AO19" s="11" t="str">
        <f>IF(ISBLANK($G19),"",INDEX(DLook[],MATCH($G19,DLook[Team],0),MATCH(AO$2,DLook[#Headers],0)))</f>
        <v/>
      </c>
      <c r="AP19" s="11" t="str">
        <f>IF(ISBLANK($G19),"",INDEX(DLook[],MATCH($G19,DLook[Team],0),MATCH(AP$2,DLook[#Headers],0)))</f>
        <v/>
      </c>
      <c r="AQ19" s="11" t="str">
        <f>IF(ISBLANK($G19),"",INDEX(DLook[],MATCH($G19,DLook[Team],0),MATCH(AQ$2,DLook[#Headers],0)))</f>
        <v/>
      </c>
      <c r="AR19" s="11" t="str">
        <f>IF(ISBLANK($G19),"",INDEX(DLook[],MATCH($G19,DLook[Team],0),MATCH(AR$2,DLook[#Headers],0)))</f>
        <v/>
      </c>
      <c r="AS19" s="11" t="str">
        <f>IF(ISBLANK($G19),"",INDEX(DLook[],MATCH($G19,DLook[Team],0),MATCH(AS$2,DLook[#Headers],0)))</f>
        <v/>
      </c>
      <c r="AT19" s="11" t="str">
        <f>IF(ISBLANK($G19),"",INDEX(DLook[],MATCH($G19,DLook[Team],0),MATCH(AT$2,DLook[#Headers],0)))</f>
        <v/>
      </c>
      <c r="AU19" s="11" t="str">
        <f>IF(ISBLANK($G19),"",INDEX(DLook[],MATCH($G19,DLook[Team],0),MATCH(AU$2,DLook[#Headers],0)))</f>
        <v/>
      </c>
      <c r="AV19" s="11" t="str">
        <f>IF(ISBLANK($G19),"",INDEX(DLook[],MATCH($G19,DLook[Team],0),MATCH(AV$2,DLook[#Headers],0)))</f>
        <v/>
      </c>
      <c r="AW19" s="11" t="str">
        <f>IF(ISBLANK($G19),"",INDEX(DLook[],MATCH($G19,DLook[Team],0),MATCH(AW$2,DLook[#Headers],0)))</f>
        <v/>
      </c>
      <c r="AX19" s="11" t="str">
        <f>IF(ISBLANK($G19),"",INDEX(DLook[],MATCH($G19,DLook[Team],0),MATCH(AX$2,DLook[#Headers],0)))</f>
        <v/>
      </c>
      <c r="AY19" s="11" t="str">
        <f>IF(ISBLANK($G19),"",INDEX(DLook[],MATCH($G19,DLook[Team],0),MATCH(AY$2,DLook[#Headers],0)))</f>
        <v/>
      </c>
      <c r="AZ19" s="14" t="str">
        <f t="shared" si="0"/>
        <v/>
      </c>
      <c r="BA19" s="14" t="str">
        <f t="shared" si="1"/>
        <v/>
      </c>
      <c r="BB19" s="14" t="str">
        <f t="shared" si="2"/>
        <v/>
      </c>
      <c r="BC19" s="14" t="str">
        <f t="shared" si="3"/>
        <v/>
      </c>
      <c r="BD19" s="14" t="str">
        <f t="shared" si="4"/>
        <v/>
      </c>
      <c r="BE19" s="14" t="str">
        <f t="shared" si="5"/>
        <v/>
      </c>
      <c r="BF19" s="14" t="str">
        <f t="shared" si="6"/>
        <v/>
      </c>
      <c r="BG19" s="14" t="str">
        <f t="shared" si="7"/>
        <v/>
      </c>
      <c r="BH19" s="14" t="str">
        <f t="shared" si="8"/>
        <v/>
      </c>
      <c r="BI19" s="14" t="str">
        <f t="shared" si="9"/>
        <v/>
      </c>
      <c r="BJ19" s="14" t="str">
        <f t="shared" si="10"/>
        <v/>
      </c>
      <c r="BK19" s="14" t="str">
        <f t="shared" si="11"/>
        <v/>
      </c>
      <c r="BL19" s="14" t="str">
        <f t="shared" si="12"/>
        <v/>
      </c>
      <c r="BM19" s="14" t="str">
        <f t="shared" si="13"/>
        <v/>
      </c>
      <c r="BN19" s="14" t="str">
        <f t="shared" si="14"/>
        <v/>
      </c>
      <c r="BO19" s="14" t="str">
        <f t="shared" si="15"/>
        <v/>
      </c>
      <c r="BP19" s="14" t="str">
        <f t="shared" si="16"/>
        <v/>
      </c>
      <c r="BQ19" s="13" t="str">
        <f t="shared" si="17"/>
        <v/>
      </c>
      <c r="BR19" s="13" t="str">
        <f t="shared" si="18"/>
        <v/>
      </c>
      <c r="BS19" s="13" t="str">
        <f t="shared" si="19"/>
        <v/>
      </c>
      <c r="BT19" s="13" t="str">
        <f t="shared" si="20"/>
        <v/>
      </c>
      <c r="BU19" s="13" t="str">
        <f t="shared" si="36"/>
        <v/>
      </c>
      <c r="BV19" s="13" t="str">
        <f t="shared" si="37"/>
        <v/>
      </c>
      <c r="BW19" s="13" t="str">
        <f t="shared" si="58"/>
        <v/>
      </c>
      <c r="BX19" s="13" t="str">
        <f>IF(ISBLANK($G19),"",IF(ISODD(ROW()),AB19-AB20,AB19-AB18))</f>
        <v/>
      </c>
      <c r="BY19" s="13" t="str">
        <f t="shared" si="38"/>
        <v/>
      </c>
      <c r="BZ19" s="13" t="str">
        <f t="shared" si="39"/>
        <v/>
      </c>
      <c r="CA19" s="13">
        <f>IF(ISBLANK(B19),0,INDEX(Advanced_Table[],MATCH(B19,Advanced_Table[Player],0),MATCH("Scaled VORP",Advanced_Table[#Headers],0)))+IF(ISBLANK(C19),0,INDEX(Advanced_Table[],MATCH(C19,Advanced_Table[Player],0),MATCH("Scaled VORP",Advanced_Table[#Headers],0)))+IF(ISBLANK(D19),0,INDEX(Advanced_Table[],MATCH(D19,Advanced_Table[Player],0),MATCH("Scaled VORP",Advanced_Table[#Headers],0)))+IF(ISBLANK(E19),0,INDEX(Advanced_Table[],MATCH(E19,Advanced_Table[Player],0),MATCH("Scaled VORP",Advanced_Table[#Headers],0)))+IF(ISBLANK(F19),0,INDEX(Advanced_Table[],MATCH(F19,Advanced_Table[Player],0),MATCH("Scaled VORP",Advanced_Table[#Headers],0)))</f>
        <v>0</v>
      </c>
      <c r="CB19" s="13" t="str">
        <f t="shared" si="40"/>
        <v/>
      </c>
      <c r="CC19" s="13" t="str">
        <f t="shared" si="22"/>
        <v/>
      </c>
      <c r="CD19" s="14">
        <f>INDEX(Defense!$AB$3:$BA$8,2,MATCH(CD$2,Defense!$AB$3:$BA$3,0))</f>
        <v>1.1881973445510248</v>
      </c>
      <c r="CE19" s="14">
        <f>INDEX(Defense!$AB$3:$BA$8,2,MATCH(CE$2,Defense!$AB$3:$BA$3,0))</f>
        <v>20.37695032952751</v>
      </c>
      <c r="CF19" s="14">
        <f>INDEX(Defense!$AB$3:$BA$8,2,MATCH(CF$2,Defense!$AB$3:$BA$3,0))</f>
        <v>3.8108594084794688E-2</v>
      </c>
      <c r="CG19" s="14">
        <f>INDEX(Defense!$AB$3:$BA$8,2,MATCH(CG$2,Defense!$AB$3:$BA$3,0))</f>
        <v>0.82665533501354516</v>
      </c>
      <c r="CH19" s="14">
        <f>INDEX(Defense!$AB$3:$BA$8,2,MATCH(CH$2,Defense!$AB$3:$BA$3,0))</f>
        <v>0.96847375256109303</v>
      </c>
      <c r="CI19" s="14">
        <f>INDEX(Defense!$AB$3:$BA$8,2,MATCH(CI$2,Defense!$AB$3:$BA$3,0))</f>
        <v>24.899423599851655</v>
      </c>
      <c r="CJ19" s="14">
        <f>INDEX(Defense!$AB$3:$BA$8,2,MATCH(CJ$2,Defense!$AB$3:$BA$3,0))</f>
        <v>4.3333160259283868E-2</v>
      </c>
      <c r="CK19" s="14">
        <f>INDEX(Defense!$AB$3:$BA$8,2,MATCH(CK$2,Defense!$AB$3:$BA$3,0))</f>
        <v>4.3643719755598418E-3</v>
      </c>
      <c r="CL19" s="14">
        <f>INDEX(Defense!$AB$3:$BA$8,2,MATCH(CL$2,Defense!$AB$3:$BA$3,0))</f>
        <v>3.3980730825493605E-2</v>
      </c>
      <c r="CM19" s="14">
        <f>INDEX(Defense!$AB$3:$BA$8,2,MATCH(CM$2,Defense!$AB$3:$BA$3,0))</f>
        <v>2.2130116153199469E-2</v>
      </c>
      <c r="CN19" s="14">
        <f>INDEX(Defense!$AB$3:$BA$8,2,MATCH(CN$2,Defense!$AB$3:$BA$3,0))</f>
        <v>1.5770727592026978E-2</v>
      </c>
      <c r="CO19" s="14">
        <f>INDEX(Defense!$AB$3:$BA$8,2,MATCH(CO$2,Defense!$AB$3:$BA$3,0))</f>
        <v>3.4820867870809513E-2</v>
      </c>
      <c r="CP19" s="14">
        <f>INDEX(Defense!$AB$3:$BA$8,2,MATCH(CP$2,Defense!$AB$3:$BA$3,0))</f>
        <v>-8.5450857094943424E-4</v>
      </c>
      <c r="CQ19" s="14">
        <f>INDEX(Defense!$AB$3:$BA$8,2,MATCH(CQ$2,Defense!$AB$3:$BA$3,0))</f>
        <v>160.75587555196628</v>
      </c>
      <c r="CR19" s="14">
        <f>INDEX(Defense!$AB$3:$BA$8,2,MATCH(CR$2,Defense!$AB$3:$BA$3,0))</f>
        <v>0.15454953937048871</v>
      </c>
      <c r="CS19" s="14">
        <f>INDEX(Defense!$AB$3:$BA$8,2,MATCH(CS$2,Defense!$AB$3:$BA$3,0))</f>
        <v>0.10198746342122103</v>
      </c>
      <c r="CT19" s="14">
        <f>INDEX(Defense!$AB$3:$BA$8,2,MATCH(CT$2,Defense!$AB$3:$BA$3,0))</f>
        <v>-13.759669623776899</v>
      </c>
      <c r="CU19" s="14">
        <f>INDEX(Defense!$AB$3:$BA$8,2,MATCH(CU$2,Defense!$AB$3:$BA$3,0))</f>
        <v>-140.43646301959095</v>
      </c>
      <c r="CV19" s="15">
        <f>INDEX(Offense!$AB$3:$BA$8,2,MATCH(CV$2,Offense!$AB$3:$BA$3,0))</f>
        <v>0.94854285448896025</v>
      </c>
      <c r="CW19" s="15">
        <f>INDEX(Offense!$AB$3:$BA$8,2,MATCH(CW$2,Offense!$AB$3:$BA$3,0))</f>
        <v>85.640824181858136</v>
      </c>
      <c r="CX19" s="15">
        <f>INDEX(Offense!$AB$3:$BA$8,2,MATCH(CX$2,Offense!$AB$3:$BA$3,0))</f>
        <v>0.18969054669932336</v>
      </c>
      <c r="CY19" s="15">
        <f>INDEX(Offense!$AB$3:$BA$8,2,MATCH(CY$2,Offense!$AB$3:$BA$3,0))</f>
        <v>15.281981293875587</v>
      </c>
      <c r="CZ19" s="15">
        <f>INDEX(Offense!$AB$3:$BA$8,2,MATCH(CZ$2,Offense!$AB$3:$BA$3,0))</f>
        <v>8.6824407438745616E-2</v>
      </c>
      <c r="DA19" s="15">
        <f>INDEX(Offense!$AB$3:$BA$8,2,MATCH(DA$2,Offense!$AB$3:$BA$3,0))</f>
        <v>5.4421042890783919</v>
      </c>
      <c r="DB19" s="15">
        <f>INDEX(Offense!$AB$3:$BA$8,2,MATCH(DB$2,Offense!$AB$3:$BA$3,0))</f>
        <v>-0.20243279756818017</v>
      </c>
      <c r="DC19" s="15">
        <f>INDEX(Offense!$AB$3:$BA$8,2,MATCH(DC$2,Offense!$AB$3:$BA$3,0))</f>
        <v>-1.5058230699739127E-2</v>
      </c>
      <c r="DD19" s="15">
        <f>INDEX(Offense!$AB$3:$BA$8,2,MATCH(DD$2,Offense!$AB$3:$BA$3,0))</f>
        <v>1.816205347682766E-4</v>
      </c>
      <c r="DE19" s="15">
        <f>INDEX(Offense!$AB$3:$BA$8,2,MATCH(DE$2,Offense!$AB$3:$BA$3,0))</f>
        <v>-3.5192292427553826E-2</v>
      </c>
      <c r="DF19" s="15">
        <f>INDEX(Offense!$AB$3:$BA$8,2,MATCH(DF$2,Offense!$AB$3:$BA$3,0))</f>
        <v>-5.4876472195541252E-2</v>
      </c>
      <c r="DG19" s="15">
        <f>INDEX(Offense!$AB$3:$BA$8,2,MATCH(DG$2,Offense!$AB$3:$BA$3,0))</f>
        <v>9.8474663700154286E-2</v>
      </c>
      <c r="DH19" s="15">
        <f>INDEX(Offense!$AB$3:$BA$8,2,MATCH(DH$2,Offense!$AB$3:$BA$3,0))</f>
        <v>1.3645952114017732E-3</v>
      </c>
      <c r="DI19" s="15">
        <f>INDEX(Offense!$AB$3:$BA$8,2,MATCH(DI$2,Offense!$AB$3:$BA$3,0))</f>
        <v>84.693499827495899</v>
      </c>
      <c r="DJ19" s="15">
        <f>INDEX(Offense!$AB$3:$BA$8,2,MATCH(DJ$2,Offense!$AB$3:$BA$3,0))</f>
        <v>-0.41522539338692127</v>
      </c>
      <c r="DK19" s="15">
        <f>INDEX(Offense!$AB$3:$BA$8,2,MATCH(DK$2,Offense!$AB$3:$BA$3,0))</f>
        <v>0.19885166787903463</v>
      </c>
      <c r="DL19" s="15">
        <f>INDEX(Offense!$AB$3:$BA$8,2,MATCH(DL$2,Offense!$AB$3:$BA$3,0))</f>
        <v>65.336144739305752</v>
      </c>
      <c r="DM19" s="15">
        <f>INDEX(Offense!$AB$3:$BA$8,2,MATCH(DM$2,Offense!$AB$3:$BA$3,0))</f>
        <v>-85.690558012232202</v>
      </c>
      <c r="DN19">
        <f t="shared" si="23"/>
        <v>0</v>
      </c>
      <c r="DO19" t="str">
        <f t="shared" si="24"/>
        <v/>
      </c>
      <c r="DP19" t="str">
        <f t="shared" si="25"/>
        <v/>
      </c>
      <c r="DQ19" t="e">
        <f>IF(#REF!=0,"",ROUND(IF(#REF!&lt;0,#REF!/(#REF!-100),1/(#REF!/100+1)),2))</f>
        <v>#REF!</v>
      </c>
      <c r="DR19" t="str">
        <f t="shared" si="26"/>
        <v/>
      </c>
      <c r="DS19" t="e">
        <f t="shared" si="27"/>
        <v>#VALUE!</v>
      </c>
      <c r="DT19" s="58" t="str">
        <f t="shared" si="59"/>
        <v/>
      </c>
      <c r="DU19" s="16" t="str">
        <f t="shared" si="41"/>
        <v/>
      </c>
      <c r="DV19" s="176" t="str">
        <f>IFERROR(IF(ISODD(ROW()),ROUND(CB19+CB20,0),ROUND(CB19+CB18,0)),"")</f>
        <v/>
      </c>
      <c r="DX19" t="str">
        <f t="shared" ca="1" si="28"/>
        <v/>
      </c>
      <c r="DY19" t="str">
        <f t="shared" ca="1" si="29"/>
        <v/>
      </c>
      <c r="DZ19" s="39" t="str">
        <f t="shared" ca="1" si="30"/>
        <v/>
      </c>
      <c r="EA19" t="str">
        <f t="shared" si="42"/>
        <v/>
      </c>
      <c r="EB19" t="str">
        <f t="shared" si="31"/>
        <v/>
      </c>
      <c r="EC19" t="str">
        <f t="shared" si="43"/>
        <v/>
      </c>
      <c r="ED19" t="str">
        <f t="shared" si="60"/>
        <v/>
      </c>
      <c r="EE19" t="str">
        <f t="shared" si="32"/>
        <v/>
      </c>
      <c r="EF19" t="str">
        <f t="shared" si="44"/>
        <v/>
      </c>
      <c r="EG19" t="str">
        <f t="shared" si="33"/>
        <v/>
      </c>
      <c r="EH19" t="str">
        <f t="shared" si="45"/>
        <v/>
      </c>
      <c r="EI19" t="str">
        <f t="shared" si="34"/>
        <v/>
      </c>
      <c r="EJ19">
        <f t="shared" si="46"/>
        <v>0</v>
      </c>
      <c r="EK19" t="str">
        <f t="shared" si="47"/>
        <v/>
      </c>
      <c r="EL19" t="str">
        <f>IF(ISBLANK(G19),"",IF(DQ19&lt;0.5,IF(DP19&gt;0.5*$FG$7,G19&amp;" Moneyline (+"&amp;#REF!&amp;")",""),IF(DP19&gt;$FG$6*DQ19,G19&amp;" Moneyline ("&amp;#REF!&amp;")","")))</f>
        <v/>
      </c>
      <c r="EN19">
        <f t="shared" ca="1" si="48"/>
        <v>12</v>
      </c>
      <c r="EO19" t="str">
        <f t="shared" si="35"/>
        <v xml:space="preserve"> @ </v>
      </c>
      <c r="EP19" t="str">
        <f t="shared" ca="1" si="49"/>
        <v/>
      </c>
      <c r="EQ19" s="19" t="str">
        <f t="shared" ca="1" si="50"/>
        <v/>
      </c>
      <c r="ER19">
        <f t="shared" ca="1" si="51"/>
        <v>0</v>
      </c>
      <c r="ES19" s="19" t="str">
        <f t="shared" si="52"/>
        <v/>
      </c>
      <c r="ET19" s="19" t="str">
        <f>IF(ISBLANK(G19),"",IF(DT19&gt;0.625,G19&amp;" Moneyline ("&amp;#REF!&amp;")",""))</f>
        <v/>
      </c>
      <c r="EU19" s="1" t="str">
        <f>IF(ISNUMBER(CODE(ET19)),#REF!,"")</f>
        <v/>
      </c>
      <c r="EV19" s="1" t="str">
        <f t="shared" si="53"/>
        <v/>
      </c>
      <c r="EW19" s="3"/>
      <c r="EX19" s="1" t="e">
        <f t="shared" ca="1" si="54"/>
        <v>#N/A</v>
      </c>
      <c r="EY19" s="1" t="e">
        <f t="shared" ca="1" si="55"/>
        <v>#N/A</v>
      </c>
      <c r="EZ19" s="3" t="e">
        <f t="shared" ca="1" si="56"/>
        <v>#N/A</v>
      </c>
      <c r="FA19" s="19"/>
      <c r="FB19" s="19"/>
      <c r="FC19" s="19"/>
      <c r="FD19" s="19"/>
      <c r="FE19" s="19"/>
    </row>
    <row r="20" spans="7:161" ht="15.75" thickBot="1" x14ac:dyDescent="0.3">
      <c r="G20" s="9"/>
      <c r="H20" s="10"/>
      <c r="I20" s="10"/>
      <c r="J20" s="180">
        <f t="shared" ref="J20" si="75">IF(H20&lt;1,H21,H20)</f>
        <v>0</v>
      </c>
      <c r="K20" s="12" t="str">
        <f>IF(ISBLANK($G20),"",INDEX(OLook[],MATCH($G20,OLook[Team],0),MATCH(K$2,OLook[#Headers],0)))</f>
        <v/>
      </c>
      <c r="L20" s="12" t="str">
        <f>IF(ISBLANK($G20),"",INDEX(OLook[],MATCH($G20,OLook[Team],0),MATCH(L$2,OLook[#Headers],0)))</f>
        <v/>
      </c>
      <c r="M20" s="12" t="str">
        <f>IF(ISBLANK($G20),"",INDEX(OLook[],MATCH($G20,OLook[Team],0),MATCH(M$2,OLook[#Headers],0)))</f>
        <v/>
      </c>
      <c r="N20" s="12" t="str">
        <f>IF(ISBLANK($G20),"",INDEX(OLook[],MATCH($G20,OLook[Team],0),MATCH(N$2,OLook[#Headers],0)))</f>
        <v/>
      </c>
      <c r="O20" s="12" t="str">
        <f>IF(ISBLANK($G20),"",INDEX(OLook[],MATCH($G20,OLook[Team],0),MATCH(O$2,OLook[#Headers],0)))</f>
        <v/>
      </c>
      <c r="P20" s="12" t="str">
        <f>IF(ISBLANK($G20),"",INDEX(OLook[],MATCH($G20,OLook[Team],0),MATCH(P$2,OLook[#Headers],0)))</f>
        <v/>
      </c>
      <c r="Q20" s="12" t="str">
        <f>IF(ISBLANK($G20),"",INDEX(OLook[],MATCH($G20,OLook[Team],0),MATCH(Q$2,OLook[#Headers],0)))</f>
        <v/>
      </c>
      <c r="R20" s="12" t="str">
        <f>IF(ISBLANK($G20),"",INDEX(OLook[],MATCH($G20,OLook[Team],0),MATCH(R$2,OLook[#Headers],0)))</f>
        <v/>
      </c>
      <c r="S20" s="12" t="str">
        <f>IF(ISBLANK($G20),"",INDEX(OLook[],MATCH($G20,OLook[Team],0),MATCH(S$2,OLook[#Headers],0)))</f>
        <v/>
      </c>
      <c r="T20" s="12" t="str">
        <f>IF(ISBLANK($G20),"",INDEX(OLook[],MATCH($G20,OLook[Team],0),MATCH(T$2,OLook[#Headers],0)))</f>
        <v/>
      </c>
      <c r="U20" s="12" t="str">
        <f>IF(ISBLANK($G20),"",INDEX(OLook[],MATCH($G20,OLook[Team],0),MATCH(U$2,OLook[#Headers],0)))</f>
        <v/>
      </c>
      <c r="V20" s="12" t="str">
        <f>IF(ISBLANK($G20),"",INDEX(OLook[],MATCH($G20,OLook[Team],0),MATCH(V$2,OLook[#Headers],0)))</f>
        <v/>
      </c>
      <c r="W20" s="12" t="str">
        <f>IF(ISBLANK($G20),"",INDEX(OLook[],MATCH($G20,OLook[Team],0),MATCH(W$2,OLook[#Headers],0)))</f>
        <v/>
      </c>
      <c r="X20" s="12" t="str">
        <f>IF(ISBLANK($G20),"",INDEX(OLook[],MATCH($G20,OLook[Team],0),MATCH(X$2,OLook[#Headers],0)))</f>
        <v/>
      </c>
      <c r="Y20" s="12" t="str">
        <f>IF(ISBLANK($G20),"",INDEX(OLook[],MATCH($G20,OLook[Team],0),MATCH(Y$2,OLook[#Headers],0)))</f>
        <v/>
      </c>
      <c r="Z20" s="12" t="str">
        <f>IF(ISBLANK($G20),"",INDEX(OLook[],MATCH($G20,OLook[Team],0),MATCH(Z$2,OLook[#Headers],0)))</f>
        <v/>
      </c>
      <c r="AA20" s="12" t="str">
        <f>IF(ISBLANK($G20),"",INDEX(OLook[],MATCH($G20,OLook[Team],0),MATCH(AA$2,OLook[#Headers],0)))</f>
        <v/>
      </c>
      <c r="AB20" s="12" t="str">
        <f>IF(ISBLANK($G20),"",INDEX(OLook[],MATCH($G20,OLook[Team],0),MATCH(AB$2,OLook[#Headers],0)))</f>
        <v/>
      </c>
      <c r="AC20" s="12" t="str">
        <f>IF(ISBLANK($G20),"",INDEX(OLook[],MATCH($G20,OLook[Team],0),MATCH(AC$2,OLook[#Headers],0)))</f>
        <v/>
      </c>
      <c r="AD20" s="12" t="str">
        <f>IF(ISBLANK($G20),"",INDEX(OLook[],MATCH($G20,OLook[Team],0),MATCH(AD$2,OLook[#Headers],0)))</f>
        <v/>
      </c>
      <c r="AE20" s="12" t="str">
        <f>IF(ISBLANK($G20),"",INDEX(OLook[],MATCH($G20,OLook[Team],0),MATCH(AE$2,OLook[#Headers],0)))</f>
        <v/>
      </c>
      <c r="AF20" s="12" t="str">
        <f>IF(ISBLANK($G20),"",IF(ISODD(ROW()),INDEX(Scores!$B$2:'Scores'!$N$32,MATCH(G20,Scores!$C$2:$C$32,0),6),INDEX(Scores!$B$2:'Scores'!$N$32,MATCH(G20,Scores!$C$2:$C$32,0),10)))</f>
        <v/>
      </c>
      <c r="AG20" s="12" t="str">
        <f>IF(ISBLANK($G20),"",INDEX(Scores!$B$2:$P$32,MATCH($G20,Scores!$C$2:$C$32,0),MATCH(AG$2,Scores!$B$2:$P$2,0)))</f>
        <v/>
      </c>
      <c r="AH20" s="11" t="str">
        <f>IF(ISBLANK($G20),"",INDEX(DLook[],MATCH($G20,DLook[Team],0),MATCH(AH$2,DLook[#Headers],0)))</f>
        <v/>
      </c>
      <c r="AI20" s="11" t="str">
        <f>IF(ISBLANK($G20),"",INDEX(DLook[],MATCH($G20,DLook[Team],0),MATCH(AI$2,DLook[#Headers],0)))</f>
        <v/>
      </c>
      <c r="AJ20" s="11" t="str">
        <f>IF(ISBLANK($G20),"",INDEX(DLook[],MATCH($G20,DLook[Team],0),MATCH(AJ$2,DLook[#Headers],0)))</f>
        <v/>
      </c>
      <c r="AK20" s="11" t="str">
        <f>IF(ISBLANK($G20),"",INDEX(DLook[],MATCH($G20,DLook[Team],0),MATCH(AK$2,DLook[#Headers],0)))</f>
        <v/>
      </c>
      <c r="AL20" s="11" t="str">
        <f>IF(ISBLANK($G20),"",INDEX(DLook[],MATCH($G20,DLook[Team],0),MATCH(AL$2,DLook[#Headers],0)))</f>
        <v/>
      </c>
      <c r="AM20" s="11" t="str">
        <f>IF(ISBLANK($G20),"",INDEX(DLook[],MATCH($G20,DLook[Team],0),MATCH(AM$2,DLook[#Headers],0)))</f>
        <v/>
      </c>
      <c r="AN20" s="11" t="str">
        <f>IF(ISBLANK($G20),"",INDEX(DLook[],MATCH($G20,DLook[Team],0),MATCH(AN$2,DLook[#Headers],0)))</f>
        <v/>
      </c>
      <c r="AO20" s="11" t="str">
        <f>IF(ISBLANK($G20),"",INDEX(DLook[],MATCH($G20,DLook[Team],0),MATCH(AO$2,DLook[#Headers],0)))</f>
        <v/>
      </c>
      <c r="AP20" s="11" t="str">
        <f>IF(ISBLANK($G20),"",INDEX(DLook[],MATCH($G20,DLook[Team],0),MATCH(AP$2,DLook[#Headers],0)))</f>
        <v/>
      </c>
      <c r="AQ20" s="11" t="str">
        <f>IF(ISBLANK($G20),"",INDEX(DLook[],MATCH($G20,DLook[Team],0),MATCH(AQ$2,DLook[#Headers],0)))</f>
        <v/>
      </c>
      <c r="AR20" s="11" t="str">
        <f>IF(ISBLANK($G20),"",INDEX(DLook[],MATCH($G20,DLook[Team],0),MATCH(AR$2,DLook[#Headers],0)))</f>
        <v/>
      </c>
      <c r="AS20" s="11" t="str">
        <f>IF(ISBLANK($G20),"",INDEX(DLook[],MATCH($G20,DLook[Team],0),MATCH(AS$2,DLook[#Headers],0)))</f>
        <v/>
      </c>
      <c r="AT20" s="11" t="str">
        <f>IF(ISBLANK($G20),"",INDEX(DLook[],MATCH($G20,DLook[Team],0),MATCH(AT$2,DLook[#Headers],0)))</f>
        <v/>
      </c>
      <c r="AU20" s="11" t="str">
        <f>IF(ISBLANK($G20),"",INDEX(DLook[],MATCH($G20,DLook[Team],0),MATCH(AU$2,DLook[#Headers],0)))</f>
        <v/>
      </c>
      <c r="AV20" s="11" t="str">
        <f>IF(ISBLANK($G20),"",INDEX(DLook[],MATCH($G20,DLook[Team],0),MATCH(AV$2,DLook[#Headers],0)))</f>
        <v/>
      </c>
      <c r="AW20" s="11" t="str">
        <f>IF(ISBLANK($G20),"",INDEX(DLook[],MATCH($G20,DLook[Team],0),MATCH(AW$2,DLook[#Headers],0)))</f>
        <v/>
      </c>
      <c r="AX20" s="11" t="str">
        <f>IF(ISBLANK($G20),"",INDEX(DLook[],MATCH($G20,DLook[Team],0),MATCH(AX$2,DLook[#Headers],0)))</f>
        <v/>
      </c>
      <c r="AY20" s="11" t="str">
        <f>IF(ISBLANK($G20),"",INDEX(DLook[],MATCH($G20,DLook[Team],0),MATCH(AY$2,DLook[#Headers],0)))</f>
        <v/>
      </c>
      <c r="AZ20" s="14" t="str">
        <f t="shared" si="0"/>
        <v/>
      </c>
      <c r="BA20" s="14" t="str">
        <f t="shared" si="1"/>
        <v/>
      </c>
      <c r="BB20" s="14" t="str">
        <f t="shared" si="2"/>
        <v/>
      </c>
      <c r="BC20" s="14" t="str">
        <f t="shared" si="3"/>
        <v/>
      </c>
      <c r="BD20" s="14" t="str">
        <f t="shared" si="4"/>
        <v/>
      </c>
      <c r="BE20" s="14" t="str">
        <f t="shared" si="5"/>
        <v/>
      </c>
      <c r="BF20" s="14" t="str">
        <f t="shared" si="6"/>
        <v/>
      </c>
      <c r="BG20" s="14" t="str">
        <f t="shared" si="7"/>
        <v/>
      </c>
      <c r="BH20" s="14" t="str">
        <f t="shared" si="8"/>
        <v/>
      </c>
      <c r="BI20" s="14" t="str">
        <f t="shared" si="9"/>
        <v/>
      </c>
      <c r="BJ20" s="14" t="str">
        <f t="shared" si="10"/>
        <v/>
      </c>
      <c r="BK20" s="14" t="str">
        <f t="shared" si="11"/>
        <v/>
      </c>
      <c r="BL20" s="14" t="str">
        <f t="shared" si="12"/>
        <v/>
      </c>
      <c r="BM20" s="14" t="str">
        <f t="shared" si="13"/>
        <v/>
      </c>
      <c r="BN20" s="14" t="str">
        <f t="shared" si="14"/>
        <v/>
      </c>
      <c r="BO20" s="14" t="str">
        <f t="shared" si="15"/>
        <v/>
      </c>
      <c r="BP20" s="14" t="str">
        <f t="shared" si="16"/>
        <v/>
      </c>
      <c r="BQ20" s="13" t="str">
        <f t="shared" si="17"/>
        <v/>
      </c>
      <c r="BR20" s="13" t="str">
        <f t="shared" si="18"/>
        <v/>
      </c>
      <c r="BS20" s="13" t="str">
        <f t="shared" si="19"/>
        <v/>
      </c>
      <c r="BT20" s="13" t="str">
        <f t="shared" si="20"/>
        <v/>
      </c>
      <c r="BU20" s="13" t="str">
        <f t="shared" si="36"/>
        <v/>
      </c>
      <c r="BV20" s="13" t="str">
        <f t="shared" si="37"/>
        <v/>
      </c>
      <c r="BW20" s="13" t="str">
        <f t="shared" si="58"/>
        <v/>
      </c>
      <c r="BX20" s="13" t="str">
        <f t="shared" si="21"/>
        <v/>
      </c>
      <c r="BY20" s="13" t="str">
        <f t="shared" si="38"/>
        <v/>
      </c>
      <c r="BZ20" s="13" t="str">
        <f t="shared" si="39"/>
        <v/>
      </c>
      <c r="CA20" s="13">
        <f>IF(ISBLANK(B20),0,INDEX(Advanced_Table[],MATCH(B20,Advanced_Table[Player],0),MATCH("Scaled VORP",Advanced_Table[#Headers],0)))+IF(ISBLANK(C20),0,INDEX(Advanced_Table[],MATCH(C20,Advanced_Table[Player],0),MATCH("Scaled VORP",Advanced_Table[#Headers],0)))+IF(ISBLANK(D20),0,INDEX(Advanced_Table[],MATCH(D20,Advanced_Table[Player],0),MATCH("Scaled VORP",Advanced_Table[#Headers],0)))+IF(ISBLANK(E20),0,INDEX(Advanced_Table[],MATCH(E20,Advanced_Table[Player],0),MATCH("Scaled VORP",Advanced_Table[#Headers],0)))+IF(ISBLANK(F20),0,INDEX(Advanced_Table[],MATCH(F20,Advanced_Table[Player],0),MATCH("Scaled VORP",Advanced_Table[#Headers],0)))</f>
        <v>0</v>
      </c>
      <c r="CB20" s="13" t="str">
        <f t="shared" si="40"/>
        <v/>
      </c>
      <c r="CC20" s="13" t="str">
        <f t="shared" si="22"/>
        <v/>
      </c>
      <c r="CD20" s="14">
        <f>INDEX(Defense!$AB$3:$BA$8,2,MATCH(CD$2,Defense!$AB$3:$BA$3,0))</f>
        <v>1.1881973445510248</v>
      </c>
      <c r="CE20" s="14">
        <f>INDEX(Defense!$AB$3:$BA$8,2,MATCH(CE$2,Defense!$AB$3:$BA$3,0))</f>
        <v>20.37695032952751</v>
      </c>
      <c r="CF20" s="14">
        <f>INDEX(Defense!$AB$3:$BA$8,2,MATCH(CF$2,Defense!$AB$3:$BA$3,0))</f>
        <v>3.8108594084794688E-2</v>
      </c>
      <c r="CG20" s="14">
        <f>INDEX(Defense!$AB$3:$BA$8,2,MATCH(CG$2,Defense!$AB$3:$BA$3,0))</f>
        <v>0.82665533501354516</v>
      </c>
      <c r="CH20" s="14">
        <f>INDEX(Defense!$AB$3:$BA$8,2,MATCH(CH$2,Defense!$AB$3:$BA$3,0))</f>
        <v>0.96847375256109303</v>
      </c>
      <c r="CI20" s="14">
        <f>INDEX(Defense!$AB$3:$BA$8,2,MATCH(CI$2,Defense!$AB$3:$BA$3,0))</f>
        <v>24.899423599851655</v>
      </c>
      <c r="CJ20" s="14">
        <f>INDEX(Defense!$AB$3:$BA$8,2,MATCH(CJ$2,Defense!$AB$3:$BA$3,0))</f>
        <v>4.3333160259283868E-2</v>
      </c>
      <c r="CK20" s="14">
        <f>INDEX(Defense!$AB$3:$BA$8,2,MATCH(CK$2,Defense!$AB$3:$BA$3,0))</f>
        <v>4.3643719755598418E-3</v>
      </c>
      <c r="CL20" s="14">
        <f>INDEX(Defense!$AB$3:$BA$8,2,MATCH(CL$2,Defense!$AB$3:$BA$3,0))</f>
        <v>3.3980730825493605E-2</v>
      </c>
      <c r="CM20" s="14">
        <f>INDEX(Defense!$AB$3:$BA$8,2,MATCH(CM$2,Defense!$AB$3:$BA$3,0))</f>
        <v>2.2130116153199469E-2</v>
      </c>
      <c r="CN20" s="14">
        <f>INDEX(Defense!$AB$3:$BA$8,2,MATCH(CN$2,Defense!$AB$3:$BA$3,0))</f>
        <v>1.5770727592026978E-2</v>
      </c>
      <c r="CO20" s="14">
        <f>INDEX(Defense!$AB$3:$BA$8,2,MATCH(CO$2,Defense!$AB$3:$BA$3,0))</f>
        <v>3.4820867870809513E-2</v>
      </c>
      <c r="CP20" s="14">
        <f>INDEX(Defense!$AB$3:$BA$8,2,MATCH(CP$2,Defense!$AB$3:$BA$3,0))</f>
        <v>-8.5450857094943424E-4</v>
      </c>
      <c r="CQ20" s="14">
        <f>INDEX(Defense!$AB$3:$BA$8,2,MATCH(CQ$2,Defense!$AB$3:$BA$3,0))</f>
        <v>160.75587555196628</v>
      </c>
      <c r="CR20" s="14">
        <f>INDEX(Defense!$AB$3:$BA$8,2,MATCH(CR$2,Defense!$AB$3:$BA$3,0))</f>
        <v>0.15454953937048871</v>
      </c>
      <c r="CS20" s="14">
        <f>INDEX(Defense!$AB$3:$BA$8,2,MATCH(CS$2,Defense!$AB$3:$BA$3,0))</f>
        <v>0.10198746342122103</v>
      </c>
      <c r="CT20" s="14">
        <f>INDEX(Defense!$AB$3:$BA$8,2,MATCH(CT$2,Defense!$AB$3:$BA$3,0))</f>
        <v>-13.759669623776899</v>
      </c>
      <c r="CU20" s="14">
        <f>INDEX(Defense!$AB$3:$BA$8,2,MATCH(CU$2,Defense!$AB$3:$BA$3,0))</f>
        <v>-140.43646301959095</v>
      </c>
      <c r="CV20" s="15">
        <f>INDEX(Offense!$AB$3:$BA$8,2,MATCH(CV$2,Offense!$AB$3:$BA$3,0))</f>
        <v>0.94854285448896025</v>
      </c>
      <c r="CW20" s="15">
        <f>INDEX(Offense!$AB$3:$BA$8,2,MATCH(CW$2,Offense!$AB$3:$BA$3,0))</f>
        <v>85.640824181858136</v>
      </c>
      <c r="CX20" s="15">
        <f>INDEX(Offense!$AB$3:$BA$8,2,MATCH(CX$2,Offense!$AB$3:$BA$3,0))</f>
        <v>0.18969054669932336</v>
      </c>
      <c r="CY20" s="15">
        <f>INDEX(Offense!$AB$3:$BA$8,2,MATCH(CY$2,Offense!$AB$3:$BA$3,0))</f>
        <v>15.281981293875587</v>
      </c>
      <c r="CZ20" s="15">
        <f>INDEX(Offense!$AB$3:$BA$8,2,MATCH(CZ$2,Offense!$AB$3:$BA$3,0))</f>
        <v>8.6824407438745616E-2</v>
      </c>
      <c r="DA20" s="15">
        <f>INDEX(Offense!$AB$3:$BA$8,2,MATCH(DA$2,Offense!$AB$3:$BA$3,0))</f>
        <v>5.4421042890783919</v>
      </c>
      <c r="DB20" s="15">
        <f>INDEX(Offense!$AB$3:$BA$8,2,MATCH(DB$2,Offense!$AB$3:$BA$3,0))</f>
        <v>-0.20243279756818017</v>
      </c>
      <c r="DC20" s="15">
        <f>INDEX(Offense!$AB$3:$BA$8,2,MATCH(DC$2,Offense!$AB$3:$BA$3,0))</f>
        <v>-1.5058230699739127E-2</v>
      </c>
      <c r="DD20" s="15">
        <f>INDEX(Offense!$AB$3:$BA$8,2,MATCH(DD$2,Offense!$AB$3:$BA$3,0))</f>
        <v>1.816205347682766E-4</v>
      </c>
      <c r="DE20" s="15">
        <f>INDEX(Offense!$AB$3:$BA$8,2,MATCH(DE$2,Offense!$AB$3:$BA$3,0))</f>
        <v>-3.5192292427553826E-2</v>
      </c>
      <c r="DF20" s="15">
        <f>INDEX(Offense!$AB$3:$BA$8,2,MATCH(DF$2,Offense!$AB$3:$BA$3,0))</f>
        <v>-5.4876472195541252E-2</v>
      </c>
      <c r="DG20" s="15">
        <f>INDEX(Offense!$AB$3:$BA$8,2,MATCH(DG$2,Offense!$AB$3:$BA$3,0))</f>
        <v>9.8474663700154286E-2</v>
      </c>
      <c r="DH20" s="15">
        <f>INDEX(Offense!$AB$3:$BA$8,2,MATCH(DH$2,Offense!$AB$3:$BA$3,0))</f>
        <v>1.3645952114017732E-3</v>
      </c>
      <c r="DI20" s="15">
        <f>INDEX(Offense!$AB$3:$BA$8,2,MATCH(DI$2,Offense!$AB$3:$BA$3,0))</f>
        <v>84.693499827495899</v>
      </c>
      <c r="DJ20" s="15">
        <f>INDEX(Offense!$AB$3:$BA$8,2,MATCH(DJ$2,Offense!$AB$3:$BA$3,0))</f>
        <v>-0.41522539338692127</v>
      </c>
      <c r="DK20" s="15">
        <f>INDEX(Offense!$AB$3:$BA$8,2,MATCH(DK$2,Offense!$AB$3:$BA$3,0))</f>
        <v>0.19885166787903463</v>
      </c>
      <c r="DL20" s="15">
        <f>INDEX(Offense!$AB$3:$BA$8,2,MATCH(DL$2,Offense!$AB$3:$BA$3,0))</f>
        <v>65.336144739305752</v>
      </c>
      <c r="DM20" s="15">
        <f>INDEX(Offense!$AB$3:$BA$8,2,MATCH(DM$2,Offense!$AB$3:$BA$3,0))</f>
        <v>-85.690558012232202</v>
      </c>
      <c r="DN20">
        <f t="shared" si="23"/>
        <v>0</v>
      </c>
      <c r="DO20" t="str">
        <f t="shared" si="24"/>
        <v/>
      </c>
      <c r="DP20" t="str">
        <f t="shared" si="25"/>
        <v/>
      </c>
      <c r="DQ20" t="e">
        <f>IF(#REF!=0,"",ROUND(IF(#REF!&lt;0,#REF!/(#REF!-100),1/(#REF!/100+1)),2))</f>
        <v>#REF!</v>
      </c>
      <c r="DR20" t="str">
        <f t="shared" si="26"/>
        <v/>
      </c>
      <c r="DS20" t="e">
        <f t="shared" si="27"/>
        <v>#VALUE!</v>
      </c>
      <c r="DT20" s="59" t="str">
        <f t="shared" si="59"/>
        <v/>
      </c>
      <c r="DU20" s="17" t="str">
        <f t="shared" si="41"/>
        <v/>
      </c>
      <c r="DV20" s="177"/>
      <c r="DX20" t="str">
        <f t="shared" ca="1" si="28"/>
        <v/>
      </c>
      <c r="DY20" t="str">
        <f t="shared" ca="1" si="29"/>
        <v/>
      </c>
      <c r="DZ20" s="39" t="str">
        <f t="shared" ca="1" si="30"/>
        <v/>
      </c>
      <c r="EA20" t="str">
        <f t="shared" si="42"/>
        <v/>
      </c>
      <c r="EB20" t="str">
        <f t="shared" si="31"/>
        <v/>
      </c>
      <c r="EC20" t="str">
        <f t="shared" si="43"/>
        <v/>
      </c>
      <c r="ED20" t="str">
        <f t="shared" si="60"/>
        <v/>
      </c>
      <c r="EE20" t="str">
        <f t="shared" si="32"/>
        <v/>
      </c>
      <c r="EF20" t="str">
        <f t="shared" si="44"/>
        <v/>
      </c>
      <c r="EG20" t="str">
        <f t="shared" si="33"/>
        <v/>
      </c>
      <c r="EH20" t="str">
        <f t="shared" si="45"/>
        <v/>
      </c>
      <c r="EI20" t="str">
        <f t="shared" si="34"/>
        <v/>
      </c>
      <c r="EJ20">
        <f t="shared" si="46"/>
        <v>0</v>
      </c>
      <c r="EK20" t="str">
        <f t="shared" si="47"/>
        <v/>
      </c>
      <c r="EL20" t="str">
        <f>IF(ISBLANK(G20),"",IF(DQ20&lt;0.5,IF(DP20&gt;0.5*$FG$7,G20&amp;" Moneyline (+"&amp;#REF!&amp;")",""),IF(DP20&gt;$FG$6*DQ20,G20&amp;" Moneyline ("&amp;#REF!&amp;")","")))</f>
        <v/>
      </c>
      <c r="EN20">
        <f t="shared" ca="1" si="48"/>
        <v>12</v>
      </c>
      <c r="EO20" t="str">
        <f t="shared" si="35"/>
        <v xml:space="preserve"> @ </v>
      </c>
      <c r="EP20" t="str">
        <f t="shared" ca="1" si="49"/>
        <v/>
      </c>
      <c r="EQ20" s="19" t="str">
        <f t="shared" ca="1" si="50"/>
        <v/>
      </c>
      <c r="ER20">
        <f t="shared" ca="1" si="51"/>
        <v>0</v>
      </c>
      <c r="ES20" s="19" t="str">
        <f t="shared" si="52"/>
        <v/>
      </c>
      <c r="ET20" s="19" t="str">
        <f>IF(ISBLANK(G20),"",IF(DT20&gt;0.625,G20&amp;" Moneyline ("&amp;#REF!&amp;")",""))</f>
        <v/>
      </c>
      <c r="EU20" s="1" t="str">
        <f>IF(ISNUMBER(CODE(ET20)),#REF!,"")</f>
        <v/>
      </c>
      <c r="EV20" s="1" t="str">
        <f t="shared" si="53"/>
        <v/>
      </c>
      <c r="EW20" s="3"/>
      <c r="EX20" s="1" t="e">
        <f t="shared" ca="1" si="54"/>
        <v>#N/A</v>
      </c>
      <c r="EY20" s="1" t="e">
        <f t="shared" ca="1" si="55"/>
        <v>#N/A</v>
      </c>
      <c r="EZ20" s="3" t="e">
        <f t="shared" ca="1" si="56"/>
        <v>#N/A</v>
      </c>
      <c r="FA20" s="19"/>
      <c r="FB20" s="19"/>
      <c r="FC20" s="19"/>
      <c r="FD20" s="19"/>
      <c r="FE20" s="19"/>
    </row>
    <row r="21" spans="7:161" x14ac:dyDescent="0.25">
      <c r="G21" s="7"/>
      <c r="H21" s="8"/>
      <c r="I21" s="8">
        <v>228.5</v>
      </c>
      <c r="J21" s="179" t="str">
        <f t="shared" ref="J21" si="76">IF(ISBLANK(G21),"",IF(I21&lt;1,I22,I21))</f>
        <v/>
      </c>
      <c r="K21" s="12" t="str">
        <f>IF(ISBLANK($G21),"",INDEX(OLook[],MATCH($G21,OLook[Team],0),MATCH(K$2,OLook[#Headers],0)))</f>
        <v/>
      </c>
      <c r="L21" s="12" t="str">
        <f>IF(ISBLANK($G21),"",INDEX(OLook[],MATCH($G21,OLook[Team],0),MATCH(L$2,OLook[#Headers],0)))</f>
        <v/>
      </c>
      <c r="M21" s="12" t="str">
        <f>IF(ISBLANK($G21),"",INDEX(OLook[],MATCH($G21,OLook[Team],0),MATCH(M$2,OLook[#Headers],0)))</f>
        <v/>
      </c>
      <c r="N21" s="12" t="str">
        <f>IF(ISBLANK($G21),"",INDEX(OLook[],MATCH($G21,OLook[Team],0),MATCH(N$2,OLook[#Headers],0)))</f>
        <v/>
      </c>
      <c r="O21" s="12" t="str">
        <f>IF(ISBLANK($G21),"",INDEX(OLook[],MATCH($G21,OLook[Team],0),MATCH(O$2,OLook[#Headers],0)))</f>
        <v/>
      </c>
      <c r="P21" s="12" t="str">
        <f>IF(ISBLANK($G21),"",INDEX(OLook[],MATCH($G21,OLook[Team],0),MATCH(P$2,OLook[#Headers],0)))</f>
        <v/>
      </c>
      <c r="Q21" s="12" t="str">
        <f>IF(ISBLANK($G21),"",INDEX(OLook[],MATCH($G21,OLook[Team],0),MATCH(Q$2,OLook[#Headers],0)))</f>
        <v/>
      </c>
      <c r="R21" s="12" t="str">
        <f>IF(ISBLANK($G21),"",INDEX(OLook[],MATCH($G21,OLook[Team],0),MATCH(R$2,OLook[#Headers],0)))</f>
        <v/>
      </c>
      <c r="S21" s="12" t="str">
        <f>IF(ISBLANK($G21),"",INDEX(OLook[],MATCH($G21,OLook[Team],0),MATCH(S$2,OLook[#Headers],0)))</f>
        <v/>
      </c>
      <c r="T21" s="12" t="str">
        <f>IF(ISBLANK($G21),"",INDEX(OLook[],MATCH($G21,OLook[Team],0),MATCH(T$2,OLook[#Headers],0)))</f>
        <v/>
      </c>
      <c r="U21" s="12" t="str">
        <f>IF(ISBLANK($G21),"",INDEX(OLook[],MATCH($G21,OLook[Team],0),MATCH(U$2,OLook[#Headers],0)))</f>
        <v/>
      </c>
      <c r="V21" s="12" t="str">
        <f>IF(ISBLANK($G21),"",INDEX(OLook[],MATCH($G21,OLook[Team],0),MATCH(V$2,OLook[#Headers],0)))</f>
        <v/>
      </c>
      <c r="W21" s="12" t="str">
        <f>IF(ISBLANK($G21),"",INDEX(OLook[],MATCH($G21,OLook[Team],0),MATCH(W$2,OLook[#Headers],0)))</f>
        <v/>
      </c>
      <c r="X21" s="12" t="str">
        <f>IF(ISBLANK($G21),"",INDEX(OLook[],MATCH($G21,OLook[Team],0),MATCH(X$2,OLook[#Headers],0)))</f>
        <v/>
      </c>
      <c r="Y21" s="12" t="str">
        <f>IF(ISBLANK($G21),"",INDEX(OLook[],MATCH($G21,OLook[Team],0),MATCH(Y$2,OLook[#Headers],0)))</f>
        <v/>
      </c>
      <c r="Z21" s="12" t="str">
        <f>IF(ISBLANK($G21),"",INDEX(OLook[],MATCH($G21,OLook[Team],0),MATCH(Z$2,OLook[#Headers],0)))</f>
        <v/>
      </c>
      <c r="AA21" s="12" t="str">
        <f>IF(ISBLANK($G21),"",INDEX(OLook[],MATCH($G21,OLook[Team],0),MATCH(AA$2,OLook[#Headers],0)))</f>
        <v/>
      </c>
      <c r="AB21" s="12" t="str">
        <f>IF(ISBLANK($G21),"",INDEX(OLook[],MATCH($G21,OLook[Team],0),MATCH(AB$2,OLook[#Headers],0)))</f>
        <v/>
      </c>
      <c r="AC21" s="12" t="str">
        <f>IF(ISBLANK($G21),"",INDEX(OLook[],MATCH($G21,OLook[Team],0),MATCH(AC$2,OLook[#Headers],0)))</f>
        <v/>
      </c>
      <c r="AD21" s="12" t="str">
        <f>IF(ISBLANK($G21),"",INDEX(OLook[],MATCH($G21,OLook[Team],0),MATCH(AD$2,OLook[#Headers],0)))</f>
        <v/>
      </c>
      <c r="AE21" s="12" t="str">
        <f>IF(ISBLANK($G21),"",INDEX(OLook[],MATCH($G21,OLook[Team],0),MATCH(AE$2,OLook[#Headers],0)))</f>
        <v/>
      </c>
      <c r="AF21" s="12" t="str">
        <f>IF(ISBLANK($G21),"",IF(ISODD(ROW()),INDEX(Scores!$B$2:'Scores'!$N$32,MATCH(G21,Scores!$C$2:$C$32,0),6),INDEX(Scores!$B$2:'Scores'!$N$32,MATCH(G21,Scores!$C$2:$C$32,0),10)))</f>
        <v/>
      </c>
      <c r="AG21" s="12" t="str">
        <f>IF(ISBLANK($G21),"",INDEX(Scores!$B$2:$P$32,MATCH($G21,Scores!$C$2:$C$32,0),MATCH(AG$2,Scores!$B$2:$P$2,0)))</f>
        <v/>
      </c>
      <c r="AH21" s="11" t="str">
        <f>IF(ISBLANK($G21),"",INDEX(DLook[],MATCH($G21,DLook[Team],0),MATCH(AH$2,DLook[#Headers],0)))</f>
        <v/>
      </c>
      <c r="AI21" s="11" t="str">
        <f>IF(ISBLANK($G21),"",INDEX(DLook[],MATCH($G21,DLook[Team],0),MATCH(AI$2,DLook[#Headers],0)))</f>
        <v/>
      </c>
      <c r="AJ21" s="11" t="str">
        <f>IF(ISBLANK($G21),"",INDEX(DLook[],MATCH($G21,DLook[Team],0),MATCH(AJ$2,DLook[#Headers],0)))</f>
        <v/>
      </c>
      <c r="AK21" s="11" t="str">
        <f>IF(ISBLANK($G21),"",INDEX(DLook[],MATCH($G21,DLook[Team],0),MATCH(AK$2,DLook[#Headers],0)))</f>
        <v/>
      </c>
      <c r="AL21" s="11" t="str">
        <f>IF(ISBLANK($G21),"",INDEX(DLook[],MATCH($G21,DLook[Team],0),MATCH(AL$2,DLook[#Headers],0)))</f>
        <v/>
      </c>
      <c r="AM21" s="11" t="str">
        <f>IF(ISBLANK($G21),"",INDEX(DLook[],MATCH($G21,DLook[Team],0),MATCH(AM$2,DLook[#Headers],0)))</f>
        <v/>
      </c>
      <c r="AN21" s="11" t="str">
        <f>IF(ISBLANK($G21),"",INDEX(DLook[],MATCH($G21,DLook[Team],0),MATCH(AN$2,DLook[#Headers],0)))</f>
        <v/>
      </c>
      <c r="AO21" s="11" t="str">
        <f>IF(ISBLANK($G21),"",INDEX(DLook[],MATCH($G21,DLook[Team],0),MATCH(AO$2,DLook[#Headers],0)))</f>
        <v/>
      </c>
      <c r="AP21" s="11" t="str">
        <f>IF(ISBLANK($G21),"",INDEX(DLook[],MATCH($G21,DLook[Team],0),MATCH(AP$2,DLook[#Headers],0)))</f>
        <v/>
      </c>
      <c r="AQ21" s="11" t="str">
        <f>IF(ISBLANK($G21),"",INDEX(DLook[],MATCH($G21,DLook[Team],0),MATCH(AQ$2,DLook[#Headers],0)))</f>
        <v/>
      </c>
      <c r="AR21" s="11" t="str">
        <f>IF(ISBLANK($G21),"",INDEX(DLook[],MATCH($G21,DLook[Team],0),MATCH(AR$2,DLook[#Headers],0)))</f>
        <v/>
      </c>
      <c r="AS21" s="11" t="str">
        <f>IF(ISBLANK($G21),"",INDEX(DLook[],MATCH($G21,DLook[Team],0),MATCH(AS$2,DLook[#Headers],0)))</f>
        <v/>
      </c>
      <c r="AT21" s="11" t="str">
        <f>IF(ISBLANK($G21),"",INDEX(DLook[],MATCH($G21,DLook[Team],0),MATCH(AT$2,DLook[#Headers],0)))</f>
        <v/>
      </c>
      <c r="AU21" s="11" t="str">
        <f>IF(ISBLANK($G21),"",INDEX(DLook[],MATCH($G21,DLook[Team],0),MATCH(AU$2,DLook[#Headers],0)))</f>
        <v/>
      </c>
      <c r="AV21" s="11" t="str">
        <f>IF(ISBLANK($G21),"",INDEX(DLook[],MATCH($G21,DLook[Team],0),MATCH(AV$2,DLook[#Headers],0)))</f>
        <v/>
      </c>
      <c r="AW21" s="11" t="str">
        <f>IF(ISBLANK($G21),"",INDEX(DLook[],MATCH($G21,DLook[Team],0),MATCH(AW$2,DLook[#Headers],0)))</f>
        <v/>
      </c>
      <c r="AX21" s="11" t="str">
        <f>IF(ISBLANK($G21),"",INDEX(DLook[],MATCH($G21,DLook[Team],0),MATCH(AX$2,DLook[#Headers],0)))</f>
        <v/>
      </c>
      <c r="AY21" s="11" t="str">
        <f>IF(ISBLANK($G21),"",INDEX(DLook[],MATCH($G21,DLook[Team],0),MATCH(AY$2,DLook[#Headers],0)))</f>
        <v/>
      </c>
      <c r="AZ21" s="14" t="str">
        <f t="shared" si="0"/>
        <v/>
      </c>
      <c r="BA21" s="14" t="str">
        <f t="shared" si="1"/>
        <v/>
      </c>
      <c r="BB21" s="14" t="str">
        <f t="shared" si="2"/>
        <v/>
      </c>
      <c r="BC21" s="14" t="str">
        <f t="shared" si="3"/>
        <v/>
      </c>
      <c r="BD21" s="14" t="str">
        <f t="shared" si="4"/>
        <v/>
      </c>
      <c r="BE21" s="14" t="str">
        <f t="shared" si="5"/>
        <v/>
      </c>
      <c r="BF21" s="14" t="str">
        <f t="shared" si="6"/>
        <v/>
      </c>
      <c r="BG21" s="14" t="str">
        <f t="shared" si="7"/>
        <v/>
      </c>
      <c r="BH21" s="14" t="str">
        <f t="shared" si="8"/>
        <v/>
      </c>
      <c r="BI21" s="14" t="str">
        <f t="shared" si="9"/>
        <v/>
      </c>
      <c r="BJ21" s="14" t="str">
        <f t="shared" si="10"/>
        <v/>
      </c>
      <c r="BK21" s="14" t="str">
        <f t="shared" si="11"/>
        <v/>
      </c>
      <c r="BL21" s="14" t="str">
        <f t="shared" si="12"/>
        <v/>
      </c>
      <c r="BM21" s="14" t="str">
        <f t="shared" si="13"/>
        <v/>
      </c>
      <c r="BN21" s="14" t="str">
        <f t="shared" si="14"/>
        <v/>
      </c>
      <c r="BO21" s="14" t="str">
        <f t="shared" si="15"/>
        <v/>
      </c>
      <c r="BP21" s="14" t="str">
        <f t="shared" si="16"/>
        <v/>
      </c>
      <c r="BQ21" s="13" t="str">
        <f t="shared" si="17"/>
        <v/>
      </c>
      <c r="BR21" s="13" t="str">
        <f t="shared" si="18"/>
        <v/>
      </c>
      <c r="BS21" s="13" t="str">
        <f t="shared" si="19"/>
        <v/>
      </c>
      <c r="BT21" s="13" t="str">
        <f t="shared" si="20"/>
        <v/>
      </c>
      <c r="BU21" s="13" t="str">
        <f t="shared" si="36"/>
        <v/>
      </c>
      <c r="BV21" s="13" t="str">
        <f t="shared" si="37"/>
        <v/>
      </c>
      <c r="BW21" s="13" t="str">
        <f t="shared" si="58"/>
        <v/>
      </c>
      <c r="BX21" s="13" t="str">
        <f t="shared" si="21"/>
        <v/>
      </c>
      <c r="BY21" s="13" t="str">
        <f t="shared" si="38"/>
        <v/>
      </c>
      <c r="BZ21" s="13" t="str">
        <f t="shared" si="39"/>
        <v/>
      </c>
      <c r="CA21" s="13">
        <f>IF(ISBLANK(B21),0,INDEX(Advanced_Table[],MATCH(B21,Advanced_Table[Player],0),MATCH("Scaled VORP",Advanced_Table[#Headers],0)))+IF(ISBLANK(C21),0,INDEX(Advanced_Table[],MATCH(C21,Advanced_Table[Player],0),MATCH("Scaled VORP",Advanced_Table[#Headers],0)))+IF(ISBLANK(D21),0,INDEX(Advanced_Table[],MATCH(D21,Advanced_Table[Player],0),MATCH("Scaled VORP",Advanced_Table[#Headers],0)))+IF(ISBLANK(E21),0,INDEX(Advanced_Table[],MATCH(E21,Advanced_Table[Player],0),MATCH("Scaled VORP",Advanced_Table[#Headers],0)))+IF(ISBLANK(F21),0,INDEX(Advanced_Table[],MATCH(F21,Advanced_Table[Player],0),MATCH("Scaled VORP",Advanced_Table[#Headers],0)))</f>
        <v>0</v>
      </c>
      <c r="CB21" s="13" t="str">
        <f t="shared" si="40"/>
        <v/>
      </c>
      <c r="CC21" s="13" t="str">
        <f t="shared" si="22"/>
        <v/>
      </c>
      <c r="CD21" s="14">
        <f>INDEX(Defense!$AB$3:$BA$8,2,MATCH(CD$2,Defense!$AB$3:$BA$3,0))</f>
        <v>1.1881973445510248</v>
      </c>
      <c r="CE21" s="14">
        <f>INDEX(Defense!$AB$3:$BA$8,2,MATCH(CE$2,Defense!$AB$3:$BA$3,0))</f>
        <v>20.37695032952751</v>
      </c>
      <c r="CF21" s="14">
        <f>INDEX(Defense!$AB$3:$BA$8,2,MATCH(CF$2,Defense!$AB$3:$BA$3,0))</f>
        <v>3.8108594084794688E-2</v>
      </c>
      <c r="CG21" s="14">
        <f>INDEX(Defense!$AB$3:$BA$8,2,MATCH(CG$2,Defense!$AB$3:$BA$3,0))</f>
        <v>0.82665533501354516</v>
      </c>
      <c r="CH21" s="14">
        <f>INDEX(Defense!$AB$3:$BA$8,2,MATCH(CH$2,Defense!$AB$3:$BA$3,0))</f>
        <v>0.96847375256109303</v>
      </c>
      <c r="CI21" s="14">
        <f>INDEX(Defense!$AB$3:$BA$8,2,MATCH(CI$2,Defense!$AB$3:$BA$3,0))</f>
        <v>24.899423599851655</v>
      </c>
      <c r="CJ21" s="14">
        <f>INDEX(Defense!$AB$3:$BA$8,2,MATCH(CJ$2,Defense!$AB$3:$BA$3,0))</f>
        <v>4.3333160259283868E-2</v>
      </c>
      <c r="CK21" s="14">
        <f>INDEX(Defense!$AB$3:$BA$8,2,MATCH(CK$2,Defense!$AB$3:$BA$3,0))</f>
        <v>4.3643719755598418E-3</v>
      </c>
      <c r="CL21" s="14">
        <f>INDEX(Defense!$AB$3:$BA$8,2,MATCH(CL$2,Defense!$AB$3:$BA$3,0))</f>
        <v>3.3980730825493605E-2</v>
      </c>
      <c r="CM21" s="14">
        <f>INDEX(Defense!$AB$3:$BA$8,2,MATCH(CM$2,Defense!$AB$3:$BA$3,0))</f>
        <v>2.2130116153199469E-2</v>
      </c>
      <c r="CN21" s="14">
        <f>INDEX(Defense!$AB$3:$BA$8,2,MATCH(CN$2,Defense!$AB$3:$BA$3,0))</f>
        <v>1.5770727592026978E-2</v>
      </c>
      <c r="CO21" s="14">
        <f>INDEX(Defense!$AB$3:$BA$8,2,MATCH(CO$2,Defense!$AB$3:$BA$3,0))</f>
        <v>3.4820867870809513E-2</v>
      </c>
      <c r="CP21" s="14">
        <f>INDEX(Defense!$AB$3:$BA$8,2,MATCH(CP$2,Defense!$AB$3:$BA$3,0))</f>
        <v>-8.5450857094943424E-4</v>
      </c>
      <c r="CQ21" s="14">
        <f>INDEX(Defense!$AB$3:$BA$8,2,MATCH(CQ$2,Defense!$AB$3:$BA$3,0))</f>
        <v>160.75587555196628</v>
      </c>
      <c r="CR21" s="14">
        <f>INDEX(Defense!$AB$3:$BA$8,2,MATCH(CR$2,Defense!$AB$3:$BA$3,0))</f>
        <v>0.15454953937048871</v>
      </c>
      <c r="CS21" s="14">
        <f>INDEX(Defense!$AB$3:$BA$8,2,MATCH(CS$2,Defense!$AB$3:$BA$3,0))</f>
        <v>0.10198746342122103</v>
      </c>
      <c r="CT21" s="14">
        <f>INDEX(Defense!$AB$3:$BA$8,2,MATCH(CT$2,Defense!$AB$3:$BA$3,0))</f>
        <v>-13.759669623776899</v>
      </c>
      <c r="CU21" s="14">
        <f>INDEX(Defense!$AB$3:$BA$8,2,MATCH(CU$2,Defense!$AB$3:$BA$3,0))</f>
        <v>-140.43646301959095</v>
      </c>
      <c r="CV21" s="15">
        <f>INDEX(Offense!$AB$3:$BA$8,2,MATCH(CV$2,Offense!$AB$3:$BA$3,0))</f>
        <v>0.94854285448896025</v>
      </c>
      <c r="CW21" s="15">
        <f>INDEX(Offense!$AB$3:$BA$8,2,MATCH(CW$2,Offense!$AB$3:$BA$3,0))</f>
        <v>85.640824181858136</v>
      </c>
      <c r="CX21" s="15">
        <f>INDEX(Offense!$AB$3:$BA$8,2,MATCH(CX$2,Offense!$AB$3:$BA$3,0))</f>
        <v>0.18969054669932336</v>
      </c>
      <c r="CY21" s="15">
        <f>INDEX(Offense!$AB$3:$BA$8,2,MATCH(CY$2,Offense!$AB$3:$BA$3,0))</f>
        <v>15.281981293875587</v>
      </c>
      <c r="CZ21" s="15">
        <f>INDEX(Offense!$AB$3:$BA$8,2,MATCH(CZ$2,Offense!$AB$3:$BA$3,0))</f>
        <v>8.6824407438745616E-2</v>
      </c>
      <c r="DA21" s="15">
        <f>INDEX(Offense!$AB$3:$BA$8,2,MATCH(DA$2,Offense!$AB$3:$BA$3,0))</f>
        <v>5.4421042890783919</v>
      </c>
      <c r="DB21" s="15">
        <f>INDEX(Offense!$AB$3:$BA$8,2,MATCH(DB$2,Offense!$AB$3:$BA$3,0))</f>
        <v>-0.20243279756818017</v>
      </c>
      <c r="DC21" s="15">
        <f>INDEX(Offense!$AB$3:$BA$8,2,MATCH(DC$2,Offense!$AB$3:$BA$3,0))</f>
        <v>-1.5058230699739127E-2</v>
      </c>
      <c r="DD21" s="15">
        <f>INDEX(Offense!$AB$3:$BA$8,2,MATCH(DD$2,Offense!$AB$3:$BA$3,0))</f>
        <v>1.816205347682766E-4</v>
      </c>
      <c r="DE21" s="15">
        <f>INDEX(Offense!$AB$3:$BA$8,2,MATCH(DE$2,Offense!$AB$3:$BA$3,0))</f>
        <v>-3.5192292427553826E-2</v>
      </c>
      <c r="DF21" s="15">
        <f>INDEX(Offense!$AB$3:$BA$8,2,MATCH(DF$2,Offense!$AB$3:$BA$3,0))</f>
        <v>-5.4876472195541252E-2</v>
      </c>
      <c r="DG21" s="15">
        <f>INDEX(Offense!$AB$3:$BA$8,2,MATCH(DG$2,Offense!$AB$3:$BA$3,0))</f>
        <v>9.8474663700154286E-2</v>
      </c>
      <c r="DH21" s="15">
        <f>INDEX(Offense!$AB$3:$BA$8,2,MATCH(DH$2,Offense!$AB$3:$BA$3,0))</f>
        <v>1.3645952114017732E-3</v>
      </c>
      <c r="DI21" s="15">
        <f>INDEX(Offense!$AB$3:$BA$8,2,MATCH(DI$2,Offense!$AB$3:$BA$3,0))</f>
        <v>84.693499827495899</v>
      </c>
      <c r="DJ21" s="15">
        <f>INDEX(Offense!$AB$3:$BA$8,2,MATCH(DJ$2,Offense!$AB$3:$BA$3,0))</f>
        <v>-0.41522539338692127</v>
      </c>
      <c r="DK21" s="15">
        <f>INDEX(Offense!$AB$3:$BA$8,2,MATCH(DK$2,Offense!$AB$3:$BA$3,0))</f>
        <v>0.19885166787903463</v>
      </c>
      <c r="DL21" s="15">
        <f>INDEX(Offense!$AB$3:$BA$8,2,MATCH(DL$2,Offense!$AB$3:$BA$3,0))</f>
        <v>65.336144739305752</v>
      </c>
      <c r="DM21" s="15">
        <f>INDEX(Offense!$AB$3:$BA$8,2,MATCH(DM$2,Offense!$AB$3:$BA$3,0))</f>
        <v>-85.690558012232202</v>
      </c>
      <c r="DN21">
        <f t="shared" si="23"/>
        <v>0</v>
      </c>
      <c r="DO21" t="str">
        <f t="shared" si="24"/>
        <v/>
      </c>
      <c r="DP21" t="str">
        <f t="shared" si="25"/>
        <v/>
      </c>
      <c r="DQ21" t="e">
        <f>IF(#REF!=0,"",ROUND(IF(#REF!&lt;0,#REF!/(#REF!-100),1/(#REF!/100+1)),2))</f>
        <v>#REF!</v>
      </c>
      <c r="DR21" t="str">
        <f t="shared" si="26"/>
        <v/>
      </c>
      <c r="DS21" t="e">
        <f t="shared" si="27"/>
        <v>#VALUE!</v>
      </c>
      <c r="DT21" s="58" t="str">
        <f t="shared" si="59"/>
        <v/>
      </c>
      <c r="DU21" s="16" t="str">
        <f t="shared" si="41"/>
        <v/>
      </c>
      <c r="DV21" s="176" t="str">
        <f>IFERROR(IF(ISODD(ROW()),ROUND(CB21+CB22,0),ROUND(CB21+CB20,0)),"")</f>
        <v/>
      </c>
      <c r="DX21" t="str">
        <f t="shared" ca="1" si="28"/>
        <v/>
      </c>
      <c r="DY21" t="str">
        <f t="shared" ca="1" si="29"/>
        <v/>
      </c>
      <c r="DZ21" s="39" t="str">
        <f t="shared" ca="1" si="30"/>
        <v/>
      </c>
      <c r="EA21" t="str">
        <f t="shared" si="42"/>
        <v/>
      </c>
      <c r="EB21" t="str">
        <f t="shared" si="31"/>
        <v/>
      </c>
      <c r="EC21" t="str">
        <f t="shared" si="43"/>
        <v/>
      </c>
      <c r="ED21" t="str">
        <f t="shared" si="60"/>
        <v/>
      </c>
      <c r="EE21" t="str">
        <f t="shared" si="32"/>
        <v/>
      </c>
      <c r="EF21" t="str">
        <f t="shared" si="44"/>
        <v/>
      </c>
      <c r="EG21" t="str">
        <f t="shared" si="33"/>
        <v/>
      </c>
      <c r="EH21" t="str">
        <f t="shared" si="45"/>
        <v/>
      </c>
      <c r="EI21" t="str">
        <f t="shared" si="34"/>
        <v/>
      </c>
      <c r="EJ21">
        <f t="shared" si="46"/>
        <v>0</v>
      </c>
      <c r="EK21" t="str">
        <f t="shared" si="47"/>
        <v/>
      </c>
      <c r="EL21" t="str">
        <f>IF(ISBLANK(G21),"",IF(DQ21&lt;0.5,IF(DP21&gt;0.5*$FG$7,G21&amp;" Moneyline (+"&amp;#REF!&amp;")",""),IF(DP21&gt;$FG$6*DQ21,G21&amp;" Moneyline ("&amp;#REF!&amp;")","")))</f>
        <v/>
      </c>
      <c r="EN21">
        <f t="shared" ca="1" si="48"/>
        <v>12</v>
      </c>
      <c r="EO21" t="str">
        <f t="shared" si="35"/>
        <v xml:space="preserve"> @ </v>
      </c>
      <c r="EP21" t="str">
        <f t="shared" ca="1" si="49"/>
        <v/>
      </c>
      <c r="EQ21" s="19" t="str">
        <f t="shared" ca="1" si="50"/>
        <v/>
      </c>
      <c r="ER21">
        <f t="shared" ca="1" si="51"/>
        <v>0</v>
      </c>
      <c r="ES21" s="19" t="str">
        <f t="shared" si="52"/>
        <v/>
      </c>
      <c r="ET21" s="19" t="str">
        <f>IF(ISBLANK(G21),"",IF(DT21&gt;0.625,G21&amp;" Moneyline ("&amp;#REF!&amp;")",""))</f>
        <v/>
      </c>
      <c r="EU21" s="1" t="str">
        <f>IF(ISNUMBER(CODE(ET21)),#REF!,"")</f>
        <v/>
      </c>
      <c r="EV21" s="1" t="str">
        <f t="shared" si="53"/>
        <v/>
      </c>
      <c r="EW21" s="3"/>
      <c r="EX21" s="1" t="e">
        <f t="shared" ca="1" si="54"/>
        <v>#N/A</v>
      </c>
      <c r="EY21" s="1" t="e">
        <f t="shared" ca="1" si="55"/>
        <v>#N/A</v>
      </c>
      <c r="EZ21" s="3" t="e">
        <f t="shared" ca="1" si="56"/>
        <v>#N/A</v>
      </c>
      <c r="FA21" s="19"/>
      <c r="FB21" s="19"/>
      <c r="FC21" s="19"/>
      <c r="FD21" s="19"/>
      <c r="FE21" s="19"/>
    </row>
    <row r="22" spans="7:161" ht="15.75" thickBot="1" x14ac:dyDescent="0.3">
      <c r="G22" s="9"/>
      <c r="H22" s="10"/>
      <c r="I22" s="10"/>
      <c r="J22" s="180">
        <f t="shared" ref="J22" si="77">IF(H22&lt;1,H23,H22)</f>
        <v>0</v>
      </c>
      <c r="K22" s="12" t="str">
        <f>IF(ISBLANK($G22),"",INDEX(OLook[],MATCH($G22,OLook[Team],0),MATCH(K$2,OLook[#Headers],0)))</f>
        <v/>
      </c>
      <c r="L22" s="12" t="str">
        <f>IF(ISBLANK($G22),"",INDEX(OLook[],MATCH($G22,OLook[Team],0),MATCH(L$2,OLook[#Headers],0)))</f>
        <v/>
      </c>
      <c r="M22" s="12" t="str">
        <f>IF(ISBLANK($G22),"",INDEX(OLook[],MATCH($G22,OLook[Team],0),MATCH(M$2,OLook[#Headers],0)))</f>
        <v/>
      </c>
      <c r="N22" s="12" t="str">
        <f>IF(ISBLANK($G22),"",INDEX(OLook[],MATCH($G22,OLook[Team],0),MATCH(N$2,OLook[#Headers],0)))</f>
        <v/>
      </c>
      <c r="O22" s="12" t="str">
        <f>IF(ISBLANK($G22),"",INDEX(OLook[],MATCH($G22,OLook[Team],0),MATCH(O$2,OLook[#Headers],0)))</f>
        <v/>
      </c>
      <c r="P22" s="12" t="str">
        <f>IF(ISBLANK($G22),"",INDEX(OLook[],MATCH($G22,OLook[Team],0),MATCH(P$2,OLook[#Headers],0)))</f>
        <v/>
      </c>
      <c r="Q22" s="12" t="str">
        <f>IF(ISBLANK($G22),"",INDEX(OLook[],MATCH($G22,OLook[Team],0),MATCH(Q$2,OLook[#Headers],0)))</f>
        <v/>
      </c>
      <c r="R22" s="12" t="str">
        <f>IF(ISBLANK($G22),"",INDEX(OLook[],MATCH($G22,OLook[Team],0),MATCH(R$2,OLook[#Headers],0)))</f>
        <v/>
      </c>
      <c r="S22" s="12" t="str">
        <f>IF(ISBLANK($G22),"",INDEX(OLook[],MATCH($G22,OLook[Team],0),MATCH(S$2,OLook[#Headers],0)))</f>
        <v/>
      </c>
      <c r="T22" s="12" t="str">
        <f>IF(ISBLANK($G22),"",INDEX(OLook[],MATCH($G22,OLook[Team],0),MATCH(T$2,OLook[#Headers],0)))</f>
        <v/>
      </c>
      <c r="U22" s="12" t="str">
        <f>IF(ISBLANK($G22),"",INDEX(OLook[],MATCH($G22,OLook[Team],0),MATCH(U$2,OLook[#Headers],0)))</f>
        <v/>
      </c>
      <c r="V22" s="12" t="str">
        <f>IF(ISBLANK($G22),"",INDEX(OLook[],MATCH($G22,OLook[Team],0),MATCH(V$2,OLook[#Headers],0)))</f>
        <v/>
      </c>
      <c r="W22" s="12" t="str">
        <f>IF(ISBLANK($G22),"",INDEX(OLook[],MATCH($G22,OLook[Team],0),MATCH(W$2,OLook[#Headers],0)))</f>
        <v/>
      </c>
      <c r="X22" s="12" t="str">
        <f>IF(ISBLANK($G22),"",INDEX(OLook[],MATCH($G22,OLook[Team],0),MATCH(X$2,OLook[#Headers],0)))</f>
        <v/>
      </c>
      <c r="Y22" s="12" t="str">
        <f>IF(ISBLANK($G22),"",INDEX(OLook[],MATCH($G22,OLook[Team],0),MATCH(Y$2,OLook[#Headers],0)))</f>
        <v/>
      </c>
      <c r="Z22" s="12" t="str">
        <f>IF(ISBLANK($G22),"",INDEX(OLook[],MATCH($G22,OLook[Team],0),MATCH(Z$2,OLook[#Headers],0)))</f>
        <v/>
      </c>
      <c r="AA22" s="12" t="str">
        <f>IF(ISBLANK($G22),"",INDEX(OLook[],MATCH($G22,OLook[Team],0),MATCH(AA$2,OLook[#Headers],0)))</f>
        <v/>
      </c>
      <c r="AB22" s="12" t="str">
        <f>IF(ISBLANK($G22),"",INDEX(OLook[],MATCH($G22,OLook[Team],0),MATCH(AB$2,OLook[#Headers],0)))</f>
        <v/>
      </c>
      <c r="AC22" s="12" t="str">
        <f>IF(ISBLANK($G22),"",INDEX(OLook[],MATCH($G22,OLook[Team],0),MATCH(AC$2,OLook[#Headers],0)))</f>
        <v/>
      </c>
      <c r="AD22" s="12" t="str">
        <f>IF(ISBLANK($G22),"",INDEX(OLook[],MATCH($G22,OLook[Team],0),MATCH(AD$2,OLook[#Headers],0)))</f>
        <v/>
      </c>
      <c r="AE22" s="12" t="str">
        <f>IF(ISBLANK($G22),"",INDEX(OLook[],MATCH($G22,OLook[Team],0),MATCH(AE$2,OLook[#Headers],0)))</f>
        <v/>
      </c>
      <c r="AF22" s="12" t="str">
        <f>IF(ISBLANK($G22),"",IF(ISODD(ROW()),INDEX(Scores!$B$2:'Scores'!$N$32,MATCH(G22,Scores!$C$2:$C$32,0),6),INDEX(Scores!$B$2:'Scores'!$N$32,MATCH(G22,Scores!$C$2:$C$32,0),10)))</f>
        <v/>
      </c>
      <c r="AG22" s="12" t="str">
        <f>IF(ISBLANK($G22),"",INDEX(Scores!$B$2:$P$32,MATCH($G22,Scores!$C$2:$C$32,0),MATCH(AG$2,Scores!$B$2:$P$2,0)))</f>
        <v/>
      </c>
      <c r="AH22" s="11" t="str">
        <f>IF(ISBLANK($G22),"",INDEX(DLook[],MATCH($G22,DLook[Team],0),MATCH(AH$2,DLook[#Headers],0)))</f>
        <v/>
      </c>
      <c r="AI22" s="11" t="str">
        <f>IF(ISBLANK($G22),"",INDEX(DLook[],MATCH($G22,DLook[Team],0),MATCH(AI$2,DLook[#Headers],0)))</f>
        <v/>
      </c>
      <c r="AJ22" s="11" t="str">
        <f>IF(ISBLANK($G22),"",INDEX(DLook[],MATCH($G22,DLook[Team],0),MATCH(AJ$2,DLook[#Headers],0)))</f>
        <v/>
      </c>
      <c r="AK22" s="11" t="str">
        <f>IF(ISBLANK($G22),"",INDEX(DLook[],MATCH($G22,DLook[Team],0),MATCH(AK$2,DLook[#Headers],0)))</f>
        <v/>
      </c>
      <c r="AL22" s="11" t="str">
        <f>IF(ISBLANK($G22),"",INDEX(DLook[],MATCH($G22,DLook[Team],0),MATCH(AL$2,DLook[#Headers],0)))</f>
        <v/>
      </c>
      <c r="AM22" s="11" t="str">
        <f>IF(ISBLANK($G22),"",INDEX(DLook[],MATCH($G22,DLook[Team],0),MATCH(AM$2,DLook[#Headers],0)))</f>
        <v/>
      </c>
      <c r="AN22" s="11" t="str">
        <f>IF(ISBLANK($G22),"",INDEX(DLook[],MATCH($G22,DLook[Team],0),MATCH(AN$2,DLook[#Headers],0)))</f>
        <v/>
      </c>
      <c r="AO22" s="11" t="str">
        <f>IF(ISBLANK($G22),"",INDEX(DLook[],MATCH($G22,DLook[Team],0),MATCH(AO$2,DLook[#Headers],0)))</f>
        <v/>
      </c>
      <c r="AP22" s="11" t="str">
        <f>IF(ISBLANK($G22),"",INDEX(DLook[],MATCH($G22,DLook[Team],0),MATCH(AP$2,DLook[#Headers],0)))</f>
        <v/>
      </c>
      <c r="AQ22" s="11" t="str">
        <f>IF(ISBLANK($G22),"",INDEX(DLook[],MATCH($G22,DLook[Team],0),MATCH(AQ$2,DLook[#Headers],0)))</f>
        <v/>
      </c>
      <c r="AR22" s="11" t="str">
        <f>IF(ISBLANK($G22),"",INDEX(DLook[],MATCH($G22,DLook[Team],0),MATCH(AR$2,DLook[#Headers],0)))</f>
        <v/>
      </c>
      <c r="AS22" s="11" t="str">
        <f>IF(ISBLANK($G22),"",INDEX(DLook[],MATCH($G22,DLook[Team],0),MATCH(AS$2,DLook[#Headers],0)))</f>
        <v/>
      </c>
      <c r="AT22" s="11" t="str">
        <f>IF(ISBLANK($G22),"",INDEX(DLook[],MATCH($G22,DLook[Team],0),MATCH(AT$2,DLook[#Headers],0)))</f>
        <v/>
      </c>
      <c r="AU22" s="11" t="str">
        <f>IF(ISBLANK($G22),"",INDEX(DLook[],MATCH($G22,DLook[Team],0),MATCH(AU$2,DLook[#Headers],0)))</f>
        <v/>
      </c>
      <c r="AV22" s="11" t="str">
        <f>IF(ISBLANK($G22),"",INDEX(DLook[],MATCH($G22,DLook[Team],0),MATCH(AV$2,DLook[#Headers],0)))</f>
        <v/>
      </c>
      <c r="AW22" s="11" t="str">
        <f>IF(ISBLANK($G22),"",INDEX(DLook[],MATCH($G22,DLook[Team],0),MATCH(AW$2,DLook[#Headers],0)))</f>
        <v/>
      </c>
      <c r="AX22" s="11" t="str">
        <f>IF(ISBLANK($G22),"",INDEX(DLook[],MATCH($G22,DLook[Team],0),MATCH(AX$2,DLook[#Headers],0)))</f>
        <v/>
      </c>
      <c r="AY22" s="11" t="str">
        <f>IF(ISBLANK($G22),"",INDEX(DLook[],MATCH($G22,DLook[Team],0),MATCH(AY$2,DLook[#Headers],0)))</f>
        <v/>
      </c>
      <c r="AZ22" s="14" t="str">
        <f t="shared" si="0"/>
        <v/>
      </c>
      <c r="BA22" s="14" t="str">
        <f t="shared" si="1"/>
        <v/>
      </c>
      <c r="BB22" s="14" t="str">
        <f t="shared" si="2"/>
        <v/>
      </c>
      <c r="BC22" s="14" t="str">
        <f t="shared" si="3"/>
        <v/>
      </c>
      <c r="BD22" s="14" t="str">
        <f t="shared" si="4"/>
        <v/>
      </c>
      <c r="BE22" s="14" t="str">
        <f t="shared" si="5"/>
        <v/>
      </c>
      <c r="BF22" s="14" t="str">
        <f t="shared" si="6"/>
        <v/>
      </c>
      <c r="BG22" s="14" t="str">
        <f t="shared" si="7"/>
        <v/>
      </c>
      <c r="BH22" s="14" t="str">
        <f t="shared" si="8"/>
        <v/>
      </c>
      <c r="BI22" s="14" t="str">
        <f t="shared" si="9"/>
        <v/>
      </c>
      <c r="BJ22" s="14" t="str">
        <f t="shared" si="10"/>
        <v/>
      </c>
      <c r="BK22" s="14" t="str">
        <f t="shared" si="11"/>
        <v/>
      </c>
      <c r="BL22" s="14" t="str">
        <f t="shared" si="12"/>
        <v/>
      </c>
      <c r="BM22" s="14" t="str">
        <f t="shared" si="13"/>
        <v/>
      </c>
      <c r="BN22" s="14" t="str">
        <f t="shared" si="14"/>
        <v/>
      </c>
      <c r="BO22" s="14" t="str">
        <f t="shared" si="15"/>
        <v/>
      </c>
      <c r="BP22" s="14" t="str">
        <f t="shared" si="16"/>
        <v/>
      </c>
      <c r="BQ22" s="13" t="str">
        <f t="shared" si="17"/>
        <v/>
      </c>
      <c r="BR22" s="13" t="str">
        <f t="shared" si="18"/>
        <v/>
      </c>
      <c r="BS22" s="13" t="str">
        <f t="shared" si="19"/>
        <v/>
      </c>
      <c r="BT22" s="13" t="str">
        <f t="shared" si="20"/>
        <v/>
      </c>
      <c r="BU22" s="13" t="str">
        <f t="shared" si="36"/>
        <v/>
      </c>
      <c r="BV22" s="13" t="str">
        <f t="shared" si="37"/>
        <v/>
      </c>
      <c r="BW22" s="13" t="str">
        <f t="shared" si="58"/>
        <v/>
      </c>
      <c r="BX22" s="13" t="str">
        <f t="shared" si="21"/>
        <v/>
      </c>
      <c r="BY22" s="13" t="str">
        <f t="shared" si="38"/>
        <v/>
      </c>
      <c r="BZ22" s="13" t="str">
        <f t="shared" si="39"/>
        <v/>
      </c>
      <c r="CA22" s="13">
        <f>IF(ISBLANK(B22),0,INDEX(Advanced_Table[],MATCH(B22,Advanced_Table[Player],0),MATCH("Scaled VORP",Advanced_Table[#Headers],0)))+IF(ISBLANK(C22),0,INDEX(Advanced_Table[],MATCH(C22,Advanced_Table[Player],0),MATCH("Scaled VORP",Advanced_Table[#Headers],0)))+IF(ISBLANK(D22),0,INDEX(Advanced_Table[],MATCH(D22,Advanced_Table[Player],0),MATCH("Scaled VORP",Advanced_Table[#Headers],0)))+IF(ISBLANK(E22),0,INDEX(Advanced_Table[],MATCH(E22,Advanced_Table[Player],0),MATCH("Scaled VORP",Advanced_Table[#Headers],0)))+IF(ISBLANK(F22),0,INDEX(Advanced_Table[],MATCH(F22,Advanced_Table[Player],0),MATCH("Scaled VORP",Advanced_Table[#Headers],0)))</f>
        <v>0</v>
      </c>
      <c r="CB22" s="13" t="str">
        <f t="shared" si="40"/>
        <v/>
      </c>
      <c r="CC22" s="13" t="str">
        <f t="shared" si="22"/>
        <v/>
      </c>
      <c r="CD22" s="14">
        <f>INDEX(Defense!$AB$3:$BA$8,2,MATCH(CD$2,Defense!$AB$3:$BA$3,0))</f>
        <v>1.1881973445510248</v>
      </c>
      <c r="CE22" s="14">
        <f>INDEX(Defense!$AB$3:$BA$8,2,MATCH(CE$2,Defense!$AB$3:$BA$3,0))</f>
        <v>20.37695032952751</v>
      </c>
      <c r="CF22" s="14">
        <f>INDEX(Defense!$AB$3:$BA$8,2,MATCH(CF$2,Defense!$AB$3:$BA$3,0))</f>
        <v>3.8108594084794688E-2</v>
      </c>
      <c r="CG22" s="14">
        <f>INDEX(Defense!$AB$3:$BA$8,2,MATCH(CG$2,Defense!$AB$3:$BA$3,0))</f>
        <v>0.82665533501354516</v>
      </c>
      <c r="CH22" s="14">
        <f>INDEX(Defense!$AB$3:$BA$8,2,MATCH(CH$2,Defense!$AB$3:$BA$3,0))</f>
        <v>0.96847375256109303</v>
      </c>
      <c r="CI22" s="14">
        <f>INDEX(Defense!$AB$3:$BA$8,2,MATCH(CI$2,Defense!$AB$3:$BA$3,0))</f>
        <v>24.899423599851655</v>
      </c>
      <c r="CJ22" s="14">
        <f>INDEX(Defense!$AB$3:$BA$8,2,MATCH(CJ$2,Defense!$AB$3:$BA$3,0))</f>
        <v>4.3333160259283868E-2</v>
      </c>
      <c r="CK22" s="14">
        <f>INDEX(Defense!$AB$3:$BA$8,2,MATCH(CK$2,Defense!$AB$3:$BA$3,0))</f>
        <v>4.3643719755598418E-3</v>
      </c>
      <c r="CL22" s="14">
        <f>INDEX(Defense!$AB$3:$BA$8,2,MATCH(CL$2,Defense!$AB$3:$BA$3,0))</f>
        <v>3.3980730825493605E-2</v>
      </c>
      <c r="CM22" s="14">
        <f>INDEX(Defense!$AB$3:$BA$8,2,MATCH(CM$2,Defense!$AB$3:$BA$3,0))</f>
        <v>2.2130116153199469E-2</v>
      </c>
      <c r="CN22" s="14">
        <f>INDEX(Defense!$AB$3:$BA$8,2,MATCH(CN$2,Defense!$AB$3:$BA$3,0))</f>
        <v>1.5770727592026978E-2</v>
      </c>
      <c r="CO22" s="14">
        <f>INDEX(Defense!$AB$3:$BA$8,2,MATCH(CO$2,Defense!$AB$3:$BA$3,0))</f>
        <v>3.4820867870809513E-2</v>
      </c>
      <c r="CP22" s="14">
        <f>INDEX(Defense!$AB$3:$BA$8,2,MATCH(CP$2,Defense!$AB$3:$BA$3,0))</f>
        <v>-8.5450857094943424E-4</v>
      </c>
      <c r="CQ22" s="14">
        <f>INDEX(Defense!$AB$3:$BA$8,2,MATCH(CQ$2,Defense!$AB$3:$BA$3,0))</f>
        <v>160.75587555196628</v>
      </c>
      <c r="CR22" s="14">
        <f>INDEX(Defense!$AB$3:$BA$8,2,MATCH(CR$2,Defense!$AB$3:$BA$3,0))</f>
        <v>0.15454953937048871</v>
      </c>
      <c r="CS22" s="14">
        <f>INDEX(Defense!$AB$3:$BA$8,2,MATCH(CS$2,Defense!$AB$3:$BA$3,0))</f>
        <v>0.10198746342122103</v>
      </c>
      <c r="CT22" s="14">
        <f>INDEX(Defense!$AB$3:$BA$8,2,MATCH(CT$2,Defense!$AB$3:$BA$3,0))</f>
        <v>-13.759669623776899</v>
      </c>
      <c r="CU22" s="14">
        <f>INDEX(Defense!$AB$3:$BA$8,2,MATCH(CU$2,Defense!$AB$3:$BA$3,0))</f>
        <v>-140.43646301959095</v>
      </c>
      <c r="CV22" s="15">
        <f>INDEX(Offense!$AB$3:$BA$8,2,MATCH(CV$2,Offense!$AB$3:$BA$3,0))</f>
        <v>0.94854285448896025</v>
      </c>
      <c r="CW22" s="15">
        <f>INDEX(Offense!$AB$3:$BA$8,2,MATCH(CW$2,Offense!$AB$3:$BA$3,0))</f>
        <v>85.640824181858136</v>
      </c>
      <c r="CX22" s="15">
        <f>INDEX(Offense!$AB$3:$BA$8,2,MATCH(CX$2,Offense!$AB$3:$BA$3,0))</f>
        <v>0.18969054669932336</v>
      </c>
      <c r="CY22" s="15">
        <f>INDEX(Offense!$AB$3:$BA$8,2,MATCH(CY$2,Offense!$AB$3:$BA$3,0))</f>
        <v>15.281981293875587</v>
      </c>
      <c r="CZ22" s="15">
        <f>INDEX(Offense!$AB$3:$BA$8,2,MATCH(CZ$2,Offense!$AB$3:$BA$3,0))</f>
        <v>8.6824407438745616E-2</v>
      </c>
      <c r="DA22" s="15">
        <f>INDEX(Offense!$AB$3:$BA$8,2,MATCH(DA$2,Offense!$AB$3:$BA$3,0))</f>
        <v>5.4421042890783919</v>
      </c>
      <c r="DB22" s="15">
        <f>INDEX(Offense!$AB$3:$BA$8,2,MATCH(DB$2,Offense!$AB$3:$BA$3,0))</f>
        <v>-0.20243279756818017</v>
      </c>
      <c r="DC22" s="15">
        <f>INDEX(Offense!$AB$3:$BA$8,2,MATCH(DC$2,Offense!$AB$3:$BA$3,0))</f>
        <v>-1.5058230699739127E-2</v>
      </c>
      <c r="DD22" s="15">
        <f>INDEX(Offense!$AB$3:$BA$8,2,MATCH(DD$2,Offense!$AB$3:$BA$3,0))</f>
        <v>1.816205347682766E-4</v>
      </c>
      <c r="DE22" s="15">
        <f>INDEX(Offense!$AB$3:$BA$8,2,MATCH(DE$2,Offense!$AB$3:$BA$3,0))</f>
        <v>-3.5192292427553826E-2</v>
      </c>
      <c r="DF22" s="15">
        <f>INDEX(Offense!$AB$3:$BA$8,2,MATCH(DF$2,Offense!$AB$3:$BA$3,0))</f>
        <v>-5.4876472195541252E-2</v>
      </c>
      <c r="DG22" s="15">
        <f>INDEX(Offense!$AB$3:$BA$8,2,MATCH(DG$2,Offense!$AB$3:$BA$3,0))</f>
        <v>9.8474663700154286E-2</v>
      </c>
      <c r="DH22" s="15">
        <f>INDEX(Offense!$AB$3:$BA$8,2,MATCH(DH$2,Offense!$AB$3:$BA$3,0))</f>
        <v>1.3645952114017732E-3</v>
      </c>
      <c r="DI22" s="15">
        <f>INDEX(Offense!$AB$3:$BA$8,2,MATCH(DI$2,Offense!$AB$3:$BA$3,0))</f>
        <v>84.693499827495899</v>
      </c>
      <c r="DJ22" s="15">
        <f>INDEX(Offense!$AB$3:$BA$8,2,MATCH(DJ$2,Offense!$AB$3:$BA$3,0))</f>
        <v>-0.41522539338692127</v>
      </c>
      <c r="DK22" s="15">
        <f>INDEX(Offense!$AB$3:$BA$8,2,MATCH(DK$2,Offense!$AB$3:$BA$3,0))</f>
        <v>0.19885166787903463</v>
      </c>
      <c r="DL22" s="15">
        <f>INDEX(Offense!$AB$3:$BA$8,2,MATCH(DL$2,Offense!$AB$3:$BA$3,0))</f>
        <v>65.336144739305752</v>
      </c>
      <c r="DM22" s="15">
        <f>INDEX(Offense!$AB$3:$BA$8,2,MATCH(DM$2,Offense!$AB$3:$BA$3,0))</f>
        <v>-85.690558012232202</v>
      </c>
      <c r="DN22">
        <f t="shared" si="23"/>
        <v>0</v>
      </c>
      <c r="DO22" t="str">
        <f t="shared" si="24"/>
        <v/>
      </c>
      <c r="DP22" t="str">
        <f t="shared" si="25"/>
        <v/>
      </c>
      <c r="DQ22" t="e">
        <f>IF(#REF!=0,"",ROUND(IF(#REF!&lt;0,#REF!/(#REF!-100),1/(#REF!/100+1)),2))</f>
        <v>#REF!</v>
      </c>
      <c r="DR22" t="str">
        <f t="shared" si="26"/>
        <v/>
      </c>
      <c r="DS22" t="e">
        <f t="shared" si="27"/>
        <v>#VALUE!</v>
      </c>
      <c r="DT22" s="59" t="str">
        <f t="shared" si="59"/>
        <v/>
      </c>
      <c r="DU22" s="17" t="str">
        <f t="shared" si="41"/>
        <v/>
      </c>
      <c r="DV22" s="177"/>
      <c r="DX22" t="str">
        <f t="shared" ca="1" si="28"/>
        <v/>
      </c>
      <c r="DY22" t="str">
        <f t="shared" ca="1" si="29"/>
        <v/>
      </c>
      <c r="DZ22" s="39" t="str">
        <f t="shared" ca="1" si="30"/>
        <v/>
      </c>
      <c r="EA22" t="str">
        <f t="shared" si="42"/>
        <v/>
      </c>
      <c r="EB22" t="str">
        <f t="shared" si="31"/>
        <v/>
      </c>
      <c r="EC22" t="str">
        <f t="shared" si="43"/>
        <v/>
      </c>
      <c r="ED22" t="str">
        <f t="shared" si="60"/>
        <v/>
      </c>
      <c r="EE22" t="str">
        <f t="shared" si="32"/>
        <v/>
      </c>
      <c r="EF22" t="str">
        <f t="shared" si="44"/>
        <v/>
      </c>
      <c r="EG22" t="str">
        <f t="shared" si="33"/>
        <v/>
      </c>
      <c r="EH22" t="str">
        <f t="shared" si="45"/>
        <v/>
      </c>
      <c r="EI22" t="str">
        <f t="shared" si="34"/>
        <v/>
      </c>
      <c r="EJ22">
        <f t="shared" si="46"/>
        <v>0</v>
      </c>
      <c r="EK22" t="str">
        <f t="shared" si="47"/>
        <v/>
      </c>
      <c r="EL22" t="str">
        <f>IF(ISBLANK(G22),"",IF(DQ22&lt;0.5,IF(DP22&gt;0.5*$FG$7,G22&amp;" Moneyline (+"&amp;#REF!&amp;")",""),IF(DP22&gt;$FG$6*DQ22,G22&amp;" Moneyline ("&amp;#REF!&amp;")","")))</f>
        <v/>
      </c>
      <c r="EN22">
        <f t="shared" ca="1" si="48"/>
        <v>12</v>
      </c>
      <c r="EO22" t="str">
        <f t="shared" si="35"/>
        <v xml:space="preserve"> @ </v>
      </c>
      <c r="EP22" t="str">
        <f t="shared" ca="1" si="49"/>
        <v/>
      </c>
      <c r="EQ22" s="19" t="str">
        <f t="shared" ca="1" si="50"/>
        <v/>
      </c>
      <c r="ER22">
        <f t="shared" ca="1" si="51"/>
        <v>0</v>
      </c>
      <c r="ES22" s="19" t="str">
        <f t="shared" si="52"/>
        <v/>
      </c>
      <c r="ET22" s="19" t="str">
        <f>IF(ISBLANK(G22),"",IF(DT22&gt;0.625,G22&amp;" Moneyline ("&amp;#REF!&amp;")",""))</f>
        <v/>
      </c>
      <c r="EU22" s="1" t="str">
        <f>IF(ISNUMBER(CODE(ET22)),#REF!,"")</f>
        <v/>
      </c>
      <c r="EV22" s="1" t="str">
        <f t="shared" si="53"/>
        <v/>
      </c>
      <c r="EW22" s="3"/>
      <c r="EX22" s="1" t="e">
        <f t="shared" ca="1" si="54"/>
        <v>#N/A</v>
      </c>
      <c r="EY22" s="1" t="e">
        <f t="shared" ca="1" si="55"/>
        <v>#N/A</v>
      </c>
      <c r="EZ22" s="3" t="e">
        <f t="shared" ca="1" si="56"/>
        <v>#N/A</v>
      </c>
      <c r="FA22" s="19"/>
      <c r="FB22" s="19"/>
      <c r="FC22" s="19"/>
      <c r="FD22" s="19"/>
      <c r="FE22" s="19"/>
    </row>
    <row r="23" spans="7:161" x14ac:dyDescent="0.25">
      <c r="G23" s="7"/>
      <c r="H23" s="8"/>
      <c r="I23" s="8"/>
      <c r="J23" s="179" t="str">
        <f t="shared" ref="J23" si="78">IF(ISBLANK(G23),"",IF(I23&lt;1,I24,I23))</f>
        <v/>
      </c>
      <c r="K23" s="12" t="str">
        <f>IF(ISBLANK($G23),"",INDEX(OLook[],MATCH($G23,OLook[Team],0),MATCH(K$2,OLook[#Headers],0)))</f>
        <v/>
      </c>
      <c r="L23" s="12" t="str">
        <f>IF(ISBLANK($G23),"",INDEX(OLook[],MATCH($G23,OLook[Team],0),MATCH(L$2,OLook[#Headers],0)))</f>
        <v/>
      </c>
      <c r="M23" s="12" t="str">
        <f>IF(ISBLANK($G23),"",INDEX(OLook[],MATCH($G23,OLook[Team],0),MATCH(M$2,OLook[#Headers],0)))</f>
        <v/>
      </c>
      <c r="N23" s="12" t="str">
        <f>IF(ISBLANK($G23),"",INDEX(OLook[],MATCH($G23,OLook[Team],0),MATCH(N$2,OLook[#Headers],0)))</f>
        <v/>
      </c>
      <c r="O23" s="12" t="str">
        <f>IF(ISBLANK($G23),"",INDEX(OLook[],MATCH($G23,OLook[Team],0),MATCH(O$2,OLook[#Headers],0)))</f>
        <v/>
      </c>
      <c r="P23" s="12" t="str">
        <f>IF(ISBLANK($G23),"",INDEX(OLook[],MATCH($G23,OLook[Team],0),MATCH(P$2,OLook[#Headers],0)))</f>
        <v/>
      </c>
      <c r="Q23" s="12" t="str">
        <f>IF(ISBLANK($G23),"",INDEX(OLook[],MATCH($G23,OLook[Team],0),MATCH(Q$2,OLook[#Headers],0)))</f>
        <v/>
      </c>
      <c r="R23" s="12" t="str">
        <f>IF(ISBLANK($G23),"",INDEX(OLook[],MATCH($G23,OLook[Team],0),MATCH(R$2,OLook[#Headers],0)))</f>
        <v/>
      </c>
      <c r="S23" s="12" t="str">
        <f>IF(ISBLANK($G23),"",INDEX(OLook[],MATCH($G23,OLook[Team],0),MATCH(S$2,OLook[#Headers],0)))</f>
        <v/>
      </c>
      <c r="T23" s="12" t="str">
        <f>IF(ISBLANK($G23),"",INDEX(OLook[],MATCH($G23,OLook[Team],0),MATCH(T$2,OLook[#Headers],0)))</f>
        <v/>
      </c>
      <c r="U23" s="12" t="str">
        <f>IF(ISBLANK($G23),"",INDEX(OLook[],MATCH($G23,OLook[Team],0),MATCH(U$2,OLook[#Headers],0)))</f>
        <v/>
      </c>
      <c r="V23" s="12" t="str">
        <f>IF(ISBLANK($G23),"",INDEX(OLook[],MATCH($G23,OLook[Team],0),MATCH(V$2,OLook[#Headers],0)))</f>
        <v/>
      </c>
      <c r="W23" s="12" t="str">
        <f>IF(ISBLANK($G23),"",INDEX(OLook[],MATCH($G23,OLook[Team],0),MATCH(W$2,OLook[#Headers],0)))</f>
        <v/>
      </c>
      <c r="X23" s="12" t="str">
        <f>IF(ISBLANK($G23),"",INDEX(OLook[],MATCH($G23,OLook[Team],0),MATCH(X$2,OLook[#Headers],0)))</f>
        <v/>
      </c>
      <c r="Y23" s="12" t="str">
        <f>IF(ISBLANK($G23),"",INDEX(OLook[],MATCH($G23,OLook[Team],0),MATCH(Y$2,OLook[#Headers],0)))</f>
        <v/>
      </c>
      <c r="Z23" s="12" t="str">
        <f>IF(ISBLANK($G23),"",INDEX(OLook[],MATCH($G23,OLook[Team],0),MATCH(Z$2,OLook[#Headers],0)))</f>
        <v/>
      </c>
      <c r="AA23" s="12" t="str">
        <f>IF(ISBLANK($G23),"",INDEX(OLook[],MATCH($G23,OLook[Team],0),MATCH(AA$2,OLook[#Headers],0)))</f>
        <v/>
      </c>
      <c r="AB23" s="12" t="str">
        <f>IF(ISBLANK($G23),"",INDEX(OLook[],MATCH($G23,OLook[Team],0),MATCH(AB$2,OLook[#Headers],0)))</f>
        <v/>
      </c>
      <c r="AC23" s="12" t="str">
        <f>IF(ISBLANK($G23),"",INDEX(OLook[],MATCH($G23,OLook[Team],0),MATCH(AC$2,OLook[#Headers],0)))</f>
        <v/>
      </c>
      <c r="AD23" s="12" t="str">
        <f>IF(ISBLANK($G23),"",INDEX(OLook[],MATCH($G23,OLook[Team],0),MATCH(AD$2,OLook[#Headers],0)))</f>
        <v/>
      </c>
      <c r="AE23" s="12" t="str">
        <f>IF(ISBLANK($G23),"",INDEX(OLook[],MATCH($G23,OLook[Team],0),MATCH(AE$2,OLook[#Headers],0)))</f>
        <v/>
      </c>
      <c r="AF23" s="12" t="str">
        <f>IF(ISBLANK($G23),"",IF(ISODD(ROW()),INDEX(Scores!$B$2:'Scores'!$N$32,MATCH(G23,Scores!$C$2:$C$32,0),6),INDEX(Scores!$B$2:'Scores'!$N$32,MATCH(G23,Scores!$C$2:$C$32,0),10)))</f>
        <v/>
      </c>
      <c r="AG23" s="12" t="str">
        <f>IF(ISBLANK($G23),"",INDEX(Scores!$B$2:$P$32,MATCH($G23,Scores!$C$2:$C$32,0),MATCH(AG$2,Scores!$B$2:$P$2,0)))</f>
        <v/>
      </c>
      <c r="AH23" s="11" t="str">
        <f>IF(ISBLANK($G23),"",INDEX(DLook[],MATCH($G23,DLook[Team],0),MATCH(AH$2,DLook[#Headers],0)))</f>
        <v/>
      </c>
      <c r="AI23" s="11" t="str">
        <f>IF(ISBLANK($G23),"",INDEX(DLook[],MATCH($G23,DLook[Team],0),MATCH(AI$2,DLook[#Headers],0)))</f>
        <v/>
      </c>
      <c r="AJ23" s="11" t="str">
        <f>IF(ISBLANK($G23),"",INDEX(DLook[],MATCH($G23,DLook[Team],0),MATCH(AJ$2,DLook[#Headers],0)))</f>
        <v/>
      </c>
      <c r="AK23" s="11" t="str">
        <f>IF(ISBLANK($G23),"",INDEX(DLook[],MATCH($G23,DLook[Team],0),MATCH(AK$2,DLook[#Headers],0)))</f>
        <v/>
      </c>
      <c r="AL23" s="11" t="str">
        <f>IF(ISBLANK($G23),"",INDEX(DLook[],MATCH($G23,DLook[Team],0),MATCH(AL$2,DLook[#Headers],0)))</f>
        <v/>
      </c>
      <c r="AM23" s="11" t="str">
        <f>IF(ISBLANK($G23),"",INDEX(DLook[],MATCH($G23,DLook[Team],0),MATCH(AM$2,DLook[#Headers],0)))</f>
        <v/>
      </c>
      <c r="AN23" s="11" t="str">
        <f>IF(ISBLANK($G23),"",INDEX(DLook[],MATCH($G23,DLook[Team],0),MATCH(AN$2,DLook[#Headers],0)))</f>
        <v/>
      </c>
      <c r="AO23" s="11" t="str">
        <f>IF(ISBLANK($G23),"",INDEX(DLook[],MATCH($G23,DLook[Team],0),MATCH(AO$2,DLook[#Headers],0)))</f>
        <v/>
      </c>
      <c r="AP23" s="11" t="str">
        <f>IF(ISBLANK($G23),"",INDEX(DLook[],MATCH($G23,DLook[Team],0),MATCH(AP$2,DLook[#Headers],0)))</f>
        <v/>
      </c>
      <c r="AQ23" s="11" t="str">
        <f>IF(ISBLANK($G23),"",INDEX(DLook[],MATCH($G23,DLook[Team],0),MATCH(AQ$2,DLook[#Headers],0)))</f>
        <v/>
      </c>
      <c r="AR23" s="11" t="str">
        <f>IF(ISBLANK($G23),"",INDEX(DLook[],MATCH($G23,DLook[Team],0),MATCH(AR$2,DLook[#Headers],0)))</f>
        <v/>
      </c>
      <c r="AS23" s="11" t="str">
        <f>IF(ISBLANK($G23),"",INDEX(DLook[],MATCH($G23,DLook[Team],0),MATCH(AS$2,DLook[#Headers],0)))</f>
        <v/>
      </c>
      <c r="AT23" s="11" t="str">
        <f>IF(ISBLANK($G23),"",INDEX(DLook[],MATCH($G23,DLook[Team],0),MATCH(AT$2,DLook[#Headers],0)))</f>
        <v/>
      </c>
      <c r="AU23" s="11" t="str">
        <f>IF(ISBLANK($G23),"",INDEX(DLook[],MATCH($G23,DLook[Team],0),MATCH(AU$2,DLook[#Headers],0)))</f>
        <v/>
      </c>
      <c r="AV23" s="11" t="str">
        <f>IF(ISBLANK($G23),"",INDEX(DLook[],MATCH($G23,DLook[Team],0),MATCH(AV$2,DLook[#Headers],0)))</f>
        <v/>
      </c>
      <c r="AW23" s="11" t="str">
        <f>IF(ISBLANK($G23),"",INDEX(DLook[],MATCH($G23,DLook[Team],0),MATCH(AW$2,DLook[#Headers],0)))</f>
        <v/>
      </c>
      <c r="AX23" s="11" t="str">
        <f>IF(ISBLANK($G23),"",INDEX(DLook[],MATCH($G23,DLook[Team],0),MATCH(AX$2,DLook[#Headers],0)))</f>
        <v/>
      </c>
      <c r="AY23" s="11" t="str">
        <f>IF(ISBLANK($G23),"",INDEX(DLook[],MATCH($G23,DLook[Team],0),MATCH(AY$2,DLook[#Headers],0)))</f>
        <v/>
      </c>
      <c r="AZ23" s="14" t="str">
        <f t="shared" si="0"/>
        <v/>
      </c>
      <c r="BA23" s="14" t="str">
        <f t="shared" si="1"/>
        <v/>
      </c>
      <c r="BB23" s="14" t="str">
        <f t="shared" si="2"/>
        <v/>
      </c>
      <c r="BC23" s="14" t="str">
        <f t="shared" si="3"/>
        <v/>
      </c>
      <c r="BD23" s="14" t="str">
        <f t="shared" si="4"/>
        <v/>
      </c>
      <c r="BE23" s="14" t="str">
        <f t="shared" si="5"/>
        <v/>
      </c>
      <c r="BF23" s="14" t="str">
        <f t="shared" si="6"/>
        <v/>
      </c>
      <c r="BG23" s="14" t="str">
        <f t="shared" si="7"/>
        <v/>
      </c>
      <c r="BH23" s="14" t="str">
        <f t="shared" si="8"/>
        <v/>
      </c>
      <c r="BI23" s="14" t="str">
        <f t="shared" si="9"/>
        <v/>
      </c>
      <c r="BJ23" s="14" t="str">
        <f t="shared" si="10"/>
        <v/>
      </c>
      <c r="BK23" s="14" t="str">
        <f t="shared" si="11"/>
        <v/>
      </c>
      <c r="BL23" s="14" t="str">
        <f t="shared" si="12"/>
        <v/>
      </c>
      <c r="BM23" s="14" t="str">
        <f t="shared" si="13"/>
        <v/>
      </c>
      <c r="BN23" s="14" t="str">
        <f t="shared" si="14"/>
        <v/>
      </c>
      <c r="BO23" s="14" t="str">
        <f t="shared" si="15"/>
        <v/>
      </c>
      <c r="BP23" s="14" t="str">
        <f t="shared" si="16"/>
        <v/>
      </c>
      <c r="BQ23" s="13" t="str">
        <f t="shared" si="17"/>
        <v/>
      </c>
      <c r="BR23" s="13" t="str">
        <f t="shared" si="18"/>
        <v/>
      </c>
      <c r="BS23" s="13" t="str">
        <f t="shared" si="19"/>
        <v/>
      </c>
      <c r="BT23" s="13" t="str">
        <f t="shared" si="20"/>
        <v/>
      </c>
      <c r="BU23" s="13" t="str">
        <f t="shared" si="36"/>
        <v/>
      </c>
      <c r="BV23" s="13" t="str">
        <f t="shared" si="37"/>
        <v/>
      </c>
      <c r="BW23" s="13" t="str">
        <f t="shared" si="58"/>
        <v/>
      </c>
      <c r="BX23" s="13" t="str">
        <f t="shared" si="21"/>
        <v/>
      </c>
      <c r="BY23" s="13" t="str">
        <f t="shared" si="38"/>
        <v/>
      </c>
      <c r="BZ23" s="13" t="str">
        <f t="shared" si="39"/>
        <v/>
      </c>
      <c r="CA23" s="13">
        <f>IF(ISBLANK(B23),0,INDEX(Advanced_Table[],MATCH(B23,Advanced_Table[Player],0),MATCH("Scaled VORP",Advanced_Table[#Headers],0)))+IF(ISBLANK(C23),0,INDEX(Advanced_Table[],MATCH(C23,Advanced_Table[Player],0),MATCH("Scaled VORP",Advanced_Table[#Headers],0)))+IF(ISBLANK(D23),0,INDEX(Advanced_Table[],MATCH(D23,Advanced_Table[Player],0),MATCH("Scaled VORP",Advanced_Table[#Headers],0)))+IF(ISBLANK(E23),0,INDEX(Advanced_Table[],MATCH(E23,Advanced_Table[Player],0),MATCH("Scaled VORP",Advanced_Table[#Headers],0)))+IF(ISBLANK(F23),0,INDEX(Advanced_Table[],MATCH(F23,Advanced_Table[Player],0),MATCH("Scaled VORP",Advanced_Table[#Headers],0)))</f>
        <v>0</v>
      </c>
      <c r="CB23" s="13" t="str">
        <f t="shared" si="40"/>
        <v/>
      </c>
      <c r="CC23" s="13" t="str">
        <f t="shared" si="22"/>
        <v/>
      </c>
      <c r="CD23" s="14">
        <f>INDEX(Defense!$AB$3:$BA$8,2,MATCH(CD$2,Defense!$AB$3:$BA$3,0))</f>
        <v>1.1881973445510248</v>
      </c>
      <c r="CE23" s="14">
        <f>INDEX(Defense!$AB$3:$BA$8,2,MATCH(CE$2,Defense!$AB$3:$BA$3,0))</f>
        <v>20.37695032952751</v>
      </c>
      <c r="CF23" s="14">
        <f>INDEX(Defense!$AB$3:$BA$8,2,MATCH(CF$2,Defense!$AB$3:$BA$3,0))</f>
        <v>3.8108594084794688E-2</v>
      </c>
      <c r="CG23" s="14">
        <f>INDEX(Defense!$AB$3:$BA$8,2,MATCH(CG$2,Defense!$AB$3:$BA$3,0))</f>
        <v>0.82665533501354516</v>
      </c>
      <c r="CH23" s="14">
        <f>INDEX(Defense!$AB$3:$BA$8,2,MATCH(CH$2,Defense!$AB$3:$BA$3,0))</f>
        <v>0.96847375256109303</v>
      </c>
      <c r="CI23" s="14">
        <f>INDEX(Defense!$AB$3:$BA$8,2,MATCH(CI$2,Defense!$AB$3:$BA$3,0))</f>
        <v>24.899423599851655</v>
      </c>
      <c r="CJ23" s="14">
        <f>INDEX(Defense!$AB$3:$BA$8,2,MATCH(CJ$2,Defense!$AB$3:$BA$3,0))</f>
        <v>4.3333160259283868E-2</v>
      </c>
      <c r="CK23" s="14">
        <f>INDEX(Defense!$AB$3:$BA$8,2,MATCH(CK$2,Defense!$AB$3:$BA$3,0))</f>
        <v>4.3643719755598418E-3</v>
      </c>
      <c r="CL23" s="14">
        <f>INDEX(Defense!$AB$3:$BA$8,2,MATCH(CL$2,Defense!$AB$3:$BA$3,0))</f>
        <v>3.3980730825493605E-2</v>
      </c>
      <c r="CM23" s="14">
        <f>INDEX(Defense!$AB$3:$BA$8,2,MATCH(CM$2,Defense!$AB$3:$BA$3,0))</f>
        <v>2.2130116153199469E-2</v>
      </c>
      <c r="CN23" s="14">
        <f>INDEX(Defense!$AB$3:$BA$8,2,MATCH(CN$2,Defense!$AB$3:$BA$3,0))</f>
        <v>1.5770727592026978E-2</v>
      </c>
      <c r="CO23" s="14">
        <f>INDEX(Defense!$AB$3:$BA$8,2,MATCH(CO$2,Defense!$AB$3:$BA$3,0))</f>
        <v>3.4820867870809513E-2</v>
      </c>
      <c r="CP23" s="14">
        <f>INDEX(Defense!$AB$3:$BA$8,2,MATCH(CP$2,Defense!$AB$3:$BA$3,0))</f>
        <v>-8.5450857094943424E-4</v>
      </c>
      <c r="CQ23" s="14">
        <f>INDEX(Defense!$AB$3:$BA$8,2,MATCH(CQ$2,Defense!$AB$3:$BA$3,0))</f>
        <v>160.75587555196628</v>
      </c>
      <c r="CR23" s="14">
        <f>INDEX(Defense!$AB$3:$BA$8,2,MATCH(CR$2,Defense!$AB$3:$BA$3,0))</f>
        <v>0.15454953937048871</v>
      </c>
      <c r="CS23" s="14">
        <f>INDEX(Defense!$AB$3:$BA$8,2,MATCH(CS$2,Defense!$AB$3:$BA$3,0))</f>
        <v>0.10198746342122103</v>
      </c>
      <c r="CT23" s="14">
        <f>INDEX(Defense!$AB$3:$BA$8,2,MATCH(CT$2,Defense!$AB$3:$BA$3,0))</f>
        <v>-13.759669623776899</v>
      </c>
      <c r="CU23" s="14">
        <f>INDEX(Defense!$AB$3:$BA$8,2,MATCH(CU$2,Defense!$AB$3:$BA$3,0))</f>
        <v>-140.43646301959095</v>
      </c>
      <c r="CV23" s="15">
        <f>INDEX(Offense!$AB$3:$BA$8,2,MATCH(CV$2,Offense!$AB$3:$BA$3,0))</f>
        <v>0.94854285448896025</v>
      </c>
      <c r="CW23" s="15">
        <f>INDEX(Offense!$AB$3:$BA$8,2,MATCH(CW$2,Offense!$AB$3:$BA$3,0))</f>
        <v>85.640824181858136</v>
      </c>
      <c r="CX23" s="15">
        <f>INDEX(Offense!$AB$3:$BA$8,2,MATCH(CX$2,Offense!$AB$3:$BA$3,0))</f>
        <v>0.18969054669932336</v>
      </c>
      <c r="CY23" s="15">
        <f>INDEX(Offense!$AB$3:$BA$8,2,MATCH(CY$2,Offense!$AB$3:$BA$3,0))</f>
        <v>15.281981293875587</v>
      </c>
      <c r="CZ23" s="15">
        <f>INDEX(Offense!$AB$3:$BA$8,2,MATCH(CZ$2,Offense!$AB$3:$BA$3,0))</f>
        <v>8.6824407438745616E-2</v>
      </c>
      <c r="DA23" s="15">
        <f>INDEX(Offense!$AB$3:$BA$8,2,MATCH(DA$2,Offense!$AB$3:$BA$3,0))</f>
        <v>5.4421042890783919</v>
      </c>
      <c r="DB23" s="15">
        <f>INDEX(Offense!$AB$3:$BA$8,2,MATCH(DB$2,Offense!$AB$3:$BA$3,0))</f>
        <v>-0.20243279756818017</v>
      </c>
      <c r="DC23" s="15">
        <f>INDEX(Offense!$AB$3:$BA$8,2,MATCH(DC$2,Offense!$AB$3:$BA$3,0))</f>
        <v>-1.5058230699739127E-2</v>
      </c>
      <c r="DD23" s="15">
        <f>INDEX(Offense!$AB$3:$BA$8,2,MATCH(DD$2,Offense!$AB$3:$BA$3,0))</f>
        <v>1.816205347682766E-4</v>
      </c>
      <c r="DE23" s="15">
        <f>INDEX(Offense!$AB$3:$BA$8,2,MATCH(DE$2,Offense!$AB$3:$BA$3,0))</f>
        <v>-3.5192292427553826E-2</v>
      </c>
      <c r="DF23" s="15">
        <f>INDEX(Offense!$AB$3:$BA$8,2,MATCH(DF$2,Offense!$AB$3:$BA$3,0))</f>
        <v>-5.4876472195541252E-2</v>
      </c>
      <c r="DG23" s="15">
        <f>INDEX(Offense!$AB$3:$BA$8,2,MATCH(DG$2,Offense!$AB$3:$BA$3,0))</f>
        <v>9.8474663700154286E-2</v>
      </c>
      <c r="DH23" s="15">
        <f>INDEX(Offense!$AB$3:$BA$8,2,MATCH(DH$2,Offense!$AB$3:$BA$3,0))</f>
        <v>1.3645952114017732E-3</v>
      </c>
      <c r="DI23" s="15">
        <f>INDEX(Offense!$AB$3:$BA$8,2,MATCH(DI$2,Offense!$AB$3:$BA$3,0))</f>
        <v>84.693499827495899</v>
      </c>
      <c r="DJ23" s="15">
        <f>INDEX(Offense!$AB$3:$BA$8,2,MATCH(DJ$2,Offense!$AB$3:$BA$3,0))</f>
        <v>-0.41522539338692127</v>
      </c>
      <c r="DK23" s="15">
        <f>INDEX(Offense!$AB$3:$BA$8,2,MATCH(DK$2,Offense!$AB$3:$BA$3,0))</f>
        <v>0.19885166787903463</v>
      </c>
      <c r="DL23" s="15">
        <f>INDEX(Offense!$AB$3:$BA$8,2,MATCH(DL$2,Offense!$AB$3:$BA$3,0))</f>
        <v>65.336144739305752</v>
      </c>
      <c r="DM23" s="15">
        <f>INDEX(Offense!$AB$3:$BA$8,2,MATCH(DM$2,Offense!$AB$3:$BA$3,0))</f>
        <v>-85.690558012232202</v>
      </c>
      <c r="DN23">
        <f t="shared" si="23"/>
        <v>0</v>
      </c>
      <c r="DO23" t="str">
        <f t="shared" si="24"/>
        <v/>
      </c>
      <c r="DP23" t="str">
        <f t="shared" si="25"/>
        <v/>
      </c>
      <c r="DQ23" t="e">
        <f>IF(#REF!=0,"",ROUND(IF(#REF!&lt;0,#REF!/(#REF!-100),1/(#REF!/100+1)),2))</f>
        <v>#REF!</v>
      </c>
      <c r="DR23" t="str">
        <f t="shared" si="26"/>
        <v/>
      </c>
      <c r="DS23" t="e">
        <f t="shared" si="27"/>
        <v>#VALUE!</v>
      </c>
      <c r="DT23" s="58" t="str">
        <f t="shared" si="59"/>
        <v/>
      </c>
      <c r="DU23" s="16" t="str">
        <f t="shared" si="41"/>
        <v/>
      </c>
      <c r="DV23" s="176" t="str">
        <f>IFERROR(IF(ISODD(ROW()),ROUND(CB23+CB24,0),ROUND(CB23+CB22,0)),"")</f>
        <v/>
      </c>
      <c r="DX23" t="str">
        <f t="shared" ca="1" si="28"/>
        <v/>
      </c>
      <c r="DY23" t="str">
        <f t="shared" ca="1" si="29"/>
        <v/>
      </c>
      <c r="DZ23" s="39" t="str">
        <f t="shared" ca="1" si="30"/>
        <v/>
      </c>
      <c r="EA23" t="str">
        <f t="shared" si="42"/>
        <v/>
      </c>
      <c r="EB23" t="str">
        <f t="shared" si="31"/>
        <v/>
      </c>
      <c r="EC23" t="str">
        <f t="shared" si="43"/>
        <v/>
      </c>
      <c r="ED23" t="str">
        <f t="shared" si="60"/>
        <v/>
      </c>
      <c r="EE23" t="str">
        <f t="shared" si="32"/>
        <v/>
      </c>
      <c r="EF23" t="str">
        <f t="shared" si="44"/>
        <v/>
      </c>
      <c r="EG23" t="str">
        <f t="shared" si="33"/>
        <v/>
      </c>
      <c r="EH23" t="str">
        <f t="shared" si="45"/>
        <v/>
      </c>
      <c r="EI23" t="str">
        <f t="shared" si="34"/>
        <v/>
      </c>
      <c r="EJ23">
        <f t="shared" si="46"/>
        <v>0</v>
      </c>
      <c r="EK23" t="str">
        <f t="shared" si="47"/>
        <v/>
      </c>
      <c r="EL23" t="str">
        <f>IF(ISBLANK(G23),"",IF(DQ23&lt;0.5,IF(DP23&gt;0.5*$FG$7,G23&amp;" Moneyline (+"&amp;#REF!&amp;")",""),IF(DP23&gt;$FG$6*DQ23,G23&amp;" Moneyline ("&amp;#REF!&amp;")","")))</f>
        <v/>
      </c>
      <c r="EN23">
        <f t="shared" ca="1" si="48"/>
        <v>12</v>
      </c>
      <c r="EO23" t="str">
        <f t="shared" si="35"/>
        <v xml:space="preserve"> @ </v>
      </c>
      <c r="EP23" t="str">
        <f t="shared" ca="1" si="49"/>
        <v/>
      </c>
      <c r="EQ23" s="19" t="str">
        <f t="shared" ca="1" si="50"/>
        <v/>
      </c>
      <c r="ER23">
        <f t="shared" ca="1" si="51"/>
        <v>0</v>
      </c>
      <c r="ES23" s="19" t="str">
        <f t="shared" si="52"/>
        <v/>
      </c>
      <c r="ET23" s="19" t="str">
        <f>IF(ISBLANK(G23),"",IF(DT23&gt;0.625,G23&amp;" Moneyline ("&amp;#REF!&amp;")",""))</f>
        <v/>
      </c>
      <c r="EU23" s="1" t="str">
        <f>IF(ISNUMBER(CODE(ET23)),#REF!,"")</f>
        <v/>
      </c>
      <c r="EV23" s="1" t="str">
        <f t="shared" si="53"/>
        <v/>
      </c>
      <c r="EW23" s="3"/>
      <c r="EX23" s="1" t="e">
        <f t="shared" ca="1" si="54"/>
        <v>#N/A</v>
      </c>
      <c r="EY23" s="1" t="e">
        <f t="shared" ca="1" si="55"/>
        <v>#N/A</v>
      </c>
      <c r="EZ23" s="3" t="e">
        <f t="shared" ca="1" si="56"/>
        <v>#N/A</v>
      </c>
      <c r="FA23" s="19"/>
      <c r="FB23" s="19"/>
      <c r="FC23" s="19"/>
      <c r="FD23" s="19"/>
      <c r="FE23" s="19"/>
    </row>
    <row r="24" spans="7:161" ht="15.75" thickBot="1" x14ac:dyDescent="0.3">
      <c r="G24" s="9"/>
      <c r="H24" s="10"/>
      <c r="I24" s="10">
        <v>220</v>
      </c>
      <c r="J24" s="180" t="str">
        <f t="shared" ref="J24" si="79">IF(H24&lt;1,H25,H24)</f>
        <v/>
      </c>
      <c r="K24" s="12" t="str">
        <f>IF(ISBLANK($G24),"",INDEX(OLook[],MATCH($G24,OLook[Team],0),MATCH(K$2,OLook[#Headers],0)))</f>
        <v/>
      </c>
      <c r="L24" s="12" t="str">
        <f>IF(ISBLANK($G24),"",INDEX(OLook[],MATCH($G24,OLook[Team],0),MATCH(L$2,OLook[#Headers],0)))</f>
        <v/>
      </c>
      <c r="M24" s="12" t="str">
        <f>IF(ISBLANK($G24),"",INDEX(OLook[],MATCH($G24,OLook[Team],0),MATCH(M$2,OLook[#Headers],0)))</f>
        <v/>
      </c>
      <c r="N24" s="12" t="str">
        <f>IF(ISBLANK($G24),"",INDEX(OLook[],MATCH($G24,OLook[Team],0),MATCH(N$2,OLook[#Headers],0)))</f>
        <v/>
      </c>
      <c r="O24" s="12" t="str">
        <f>IF(ISBLANK($G24),"",INDEX(OLook[],MATCH($G24,OLook[Team],0),MATCH(O$2,OLook[#Headers],0)))</f>
        <v/>
      </c>
      <c r="P24" s="12" t="str">
        <f>IF(ISBLANK($G24),"",INDEX(OLook[],MATCH($G24,OLook[Team],0),MATCH(P$2,OLook[#Headers],0)))</f>
        <v/>
      </c>
      <c r="Q24" s="12" t="str">
        <f>IF(ISBLANK($G24),"",INDEX(OLook[],MATCH($G24,OLook[Team],0),MATCH(Q$2,OLook[#Headers],0)))</f>
        <v/>
      </c>
      <c r="R24" s="12" t="str">
        <f>IF(ISBLANK($G24),"",INDEX(OLook[],MATCH($G24,OLook[Team],0),MATCH(R$2,OLook[#Headers],0)))</f>
        <v/>
      </c>
      <c r="S24" s="12" t="str">
        <f>IF(ISBLANK($G24),"",INDEX(OLook[],MATCH($G24,OLook[Team],0),MATCH(S$2,OLook[#Headers],0)))</f>
        <v/>
      </c>
      <c r="T24" s="12" t="str">
        <f>IF(ISBLANK($G24),"",INDEX(OLook[],MATCH($G24,OLook[Team],0),MATCH(T$2,OLook[#Headers],0)))</f>
        <v/>
      </c>
      <c r="U24" s="12" t="str">
        <f>IF(ISBLANK($G24),"",INDEX(OLook[],MATCH($G24,OLook[Team],0),MATCH(U$2,OLook[#Headers],0)))</f>
        <v/>
      </c>
      <c r="V24" s="12" t="str">
        <f>IF(ISBLANK($G24),"",INDEX(OLook[],MATCH($G24,OLook[Team],0),MATCH(V$2,OLook[#Headers],0)))</f>
        <v/>
      </c>
      <c r="W24" s="12" t="str">
        <f>IF(ISBLANK($G24),"",INDEX(OLook[],MATCH($G24,OLook[Team],0),MATCH(W$2,OLook[#Headers],0)))</f>
        <v/>
      </c>
      <c r="X24" s="12" t="str">
        <f>IF(ISBLANK($G24),"",INDEX(OLook[],MATCH($G24,OLook[Team],0),MATCH(X$2,OLook[#Headers],0)))</f>
        <v/>
      </c>
      <c r="Y24" s="12" t="str">
        <f>IF(ISBLANK($G24),"",INDEX(OLook[],MATCH($G24,OLook[Team],0),MATCH(Y$2,OLook[#Headers],0)))</f>
        <v/>
      </c>
      <c r="Z24" s="12" t="str">
        <f>IF(ISBLANK($G24),"",INDEX(OLook[],MATCH($G24,OLook[Team],0),MATCH(Z$2,OLook[#Headers],0)))</f>
        <v/>
      </c>
      <c r="AA24" s="12" t="str">
        <f>IF(ISBLANK($G24),"",INDEX(OLook[],MATCH($G24,OLook[Team],0),MATCH(AA$2,OLook[#Headers],0)))</f>
        <v/>
      </c>
      <c r="AB24" s="12" t="str">
        <f>IF(ISBLANK($G24),"",INDEX(OLook[],MATCH($G24,OLook[Team],0),MATCH(AB$2,OLook[#Headers],0)))</f>
        <v/>
      </c>
      <c r="AC24" s="12" t="str">
        <f>IF(ISBLANK($G24),"",INDEX(OLook[],MATCH($G24,OLook[Team],0),MATCH(AC$2,OLook[#Headers],0)))</f>
        <v/>
      </c>
      <c r="AD24" s="12" t="str">
        <f>IF(ISBLANK($G24),"",INDEX(OLook[],MATCH($G24,OLook[Team],0),MATCH(AD$2,OLook[#Headers],0)))</f>
        <v/>
      </c>
      <c r="AE24" s="12" t="str">
        <f>IF(ISBLANK($G24),"",INDEX(OLook[],MATCH($G24,OLook[Team],0),MATCH(AE$2,OLook[#Headers],0)))</f>
        <v/>
      </c>
      <c r="AF24" s="12" t="str">
        <f>IF(ISBLANK($G24),"",IF(ISODD(ROW()),INDEX(Scores!$B$2:'Scores'!$N$32,MATCH(G24,Scores!$C$2:$C$32,0),6),INDEX(Scores!$B$2:'Scores'!$N$32,MATCH(G24,Scores!$C$2:$C$32,0),10)))</f>
        <v/>
      </c>
      <c r="AG24" s="12" t="str">
        <f>IF(ISBLANK($G24),"",INDEX(Scores!$B$2:$P$32,MATCH($G24,Scores!$C$2:$C$32,0),MATCH(AG$2,Scores!$B$2:$P$2,0)))</f>
        <v/>
      </c>
      <c r="AH24" s="11" t="str">
        <f>IF(ISBLANK($G24),"",INDEX(DLook[],MATCH($G24,DLook[Team],0),MATCH(AH$2,DLook[#Headers],0)))</f>
        <v/>
      </c>
      <c r="AI24" s="11" t="str">
        <f>IF(ISBLANK($G24),"",INDEX(DLook[],MATCH($G24,DLook[Team],0),MATCH(AI$2,DLook[#Headers],0)))</f>
        <v/>
      </c>
      <c r="AJ24" s="11" t="str">
        <f>IF(ISBLANK($G24),"",INDEX(DLook[],MATCH($G24,DLook[Team],0),MATCH(AJ$2,DLook[#Headers],0)))</f>
        <v/>
      </c>
      <c r="AK24" s="11" t="str">
        <f>IF(ISBLANK($G24),"",INDEX(DLook[],MATCH($G24,DLook[Team],0),MATCH(AK$2,DLook[#Headers],0)))</f>
        <v/>
      </c>
      <c r="AL24" s="11" t="str">
        <f>IF(ISBLANK($G24),"",INDEX(DLook[],MATCH($G24,DLook[Team],0),MATCH(AL$2,DLook[#Headers],0)))</f>
        <v/>
      </c>
      <c r="AM24" s="11" t="str">
        <f>IF(ISBLANK($G24),"",INDEX(DLook[],MATCH($G24,DLook[Team],0),MATCH(AM$2,DLook[#Headers],0)))</f>
        <v/>
      </c>
      <c r="AN24" s="11" t="str">
        <f>IF(ISBLANK($G24),"",INDEX(DLook[],MATCH($G24,DLook[Team],0),MATCH(AN$2,DLook[#Headers],0)))</f>
        <v/>
      </c>
      <c r="AO24" s="11" t="str">
        <f>IF(ISBLANK($G24),"",INDEX(DLook[],MATCH($G24,DLook[Team],0),MATCH(AO$2,DLook[#Headers],0)))</f>
        <v/>
      </c>
      <c r="AP24" s="11" t="str">
        <f>IF(ISBLANK($G24),"",INDEX(DLook[],MATCH($G24,DLook[Team],0),MATCH(AP$2,DLook[#Headers],0)))</f>
        <v/>
      </c>
      <c r="AQ24" s="11" t="str">
        <f>IF(ISBLANK($G24),"",INDEX(DLook[],MATCH($G24,DLook[Team],0),MATCH(AQ$2,DLook[#Headers],0)))</f>
        <v/>
      </c>
      <c r="AR24" s="11" t="str">
        <f>IF(ISBLANK($G24),"",INDEX(DLook[],MATCH($G24,DLook[Team],0),MATCH(AR$2,DLook[#Headers],0)))</f>
        <v/>
      </c>
      <c r="AS24" s="11" t="str">
        <f>IF(ISBLANK($G24),"",INDEX(DLook[],MATCH($G24,DLook[Team],0),MATCH(AS$2,DLook[#Headers],0)))</f>
        <v/>
      </c>
      <c r="AT24" s="11" t="str">
        <f>IF(ISBLANK($G24),"",INDEX(DLook[],MATCH($G24,DLook[Team],0),MATCH(AT$2,DLook[#Headers],0)))</f>
        <v/>
      </c>
      <c r="AU24" s="11" t="str">
        <f>IF(ISBLANK($G24),"",INDEX(DLook[],MATCH($G24,DLook[Team],0),MATCH(AU$2,DLook[#Headers],0)))</f>
        <v/>
      </c>
      <c r="AV24" s="11" t="str">
        <f>IF(ISBLANK($G24),"",INDEX(DLook[],MATCH($G24,DLook[Team],0),MATCH(AV$2,DLook[#Headers],0)))</f>
        <v/>
      </c>
      <c r="AW24" s="11" t="str">
        <f>IF(ISBLANK($G24),"",INDEX(DLook[],MATCH($G24,DLook[Team],0),MATCH(AW$2,DLook[#Headers],0)))</f>
        <v/>
      </c>
      <c r="AX24" s="11" t="str">
        <f>IF(ISBLANK($G24),"",INDEX(DLook[],MATCH($G24,DLook[Team],0),MATCH(AX$2,DLook[#Headers],0)))</f>
        <v/>
      </c>
      <c r="AY24" s="11" t="str">
        <f>IF(ISBLANK($G24),"",INDEX(DLook[],MATCH($G24,DLook[Team],0),MATCH(AY$2,DLook[#Headers],0)))</f>
        <v/>
      </c>
      <c r="AZ24" s="14" t="str">
        <f t="shared" si="0"/>
        <v/>
      </c>
      <c r="BA24" s="14" t="str">
        <f t="shared" si="1"/>
        <v/>
      </c>
      <c r="BB24" s="14" t="str">
        <f t="shared" si="2"/>
        <v/>
      </c>
      <c r="BC24" s="14" t="str">
        <f t="shared" si="3"/>
        <v/>
      </c>
      <c r="BD24" s="14" t="str">
        <f t="shared" si="4"/>
        <v/>
      </c>
      <c r="BE24" s="14" t="str">
        <f t="shared" si="5"/>
        <v/>
      </c>
      <c r="BF24" s="14" t="str">
        <f t="shared" si="6"/>
        <v/>
      </c>
      <c r="BG24" s="14" t="str">
        <f t="shared" si="7"/>
        <v/>
      </c>
      <c r="BH24" s="14" t="str">
        <f t="shared" si="8"/>
        <v/>
      </c>
      <c r="BI24" s="14" t="str">
        <f t="shared" si="9"/>
        <v/>
      </c>
      <c r="BJ24" s="14" t="str">
        <f t="shared" si="10"/>
        <v/>
      </c>
      <c r="BK24" s="14" t="str">
        <f t="shared" si="11"/>
        <v/>
      </c>
      <c r="BL24" s="14" t="str">
        <f t="shared" si="12"/>
        <v/>
      </c>
      <c r="BM24" s="14" t="str">
        <f t="shared" si="13"/>
        <v/>
      </c>
      <c r="BN24" s="14" t="str">
        <f t="shared" si="14"/>
        <v/>
      </c>
      <c r="BO24" s="14" t="str">
        <f t="shared" si="15"/>
        <v/>
      </c>
      <c r="BP24" s="14" t="str">
        <f t="shared" si="16"/>
        <v/>
      </c>
      <c r="BQ24" s="13" t="str">
        <f t="shared" si="17"/>
        <v/>
      </c>
      <c r="BR24" s="13" t="str">
        <f t="shared" si="18"/>
        <v/>
      </c>
      <c r="BS24" s="13" t="str">
        <f t="shared" si="19"/>
        <v/>
      </c>
      <c r="BT24" s="13" t="str">
        <f t="shared" si="20"/>
        <v/>
      </c>
      <c r="BU24" s="13" t="str">
        <f t="shared" si="36"/>
        <v/>
      </c>
      <c r="BV24" s="13" t="str">
        <f t="shared" si="37"/>
        <v/>
      </c>
      <c r="BW24" s="13" t="str">
        <f t="shared" si="58"/>
        <v/>
      </c>
      <c r="BX24" s="13" t="str">
        <f t="shared" si="21"/>
        <v/>
      </c>
      <c r="BY24" s="13" t="str">
        <f t="shared" si="38"/>
        <v/>
      </c>
      <c r="BZ24" s="13" t="str">
        <f t="shared" si="39"/>
        <v/>
      </c>
      <c r="CA24" s="13">
        <f>IF(ISBLANK(B24),0,INDEX(Advanced_Table[],MATCH(B24,Advanced_Table[Player],0),MATCH("Scaled VORP",Advanced_Table[#Headers],0)))+IF(ISBLANK(C24),0,INDEX(Advanced_Table[],MATCH(C24,Advanced_Table[Player],0),MATCH("Scaled VORP",Advanced_Table[#Headers],0)))+IF(ISBLANK(D24),0,INDEX(Advanced_Table[],MATCH(D24,Advanced_Table[Player],0),MATCH("Scaled VORP",Advanced_Table[#Headers],0)))+IF(ISBLANK(E24),0,INDEX(Advanced_Table[],MATCH(E24,Advanced_Table[Player],0),MATCH("Scaled VORP",Advanced_Table[#Headers],0)))+IF(ISBLANK(F24),0,INDEX(Advanced_Table[],MATCH(F24,Advanced_Table[Player],0),MATCH("Scaled VORP",Advanced_Table[#Headers],0)))</f>
        <v>0</v>
      </c>
      <c r="CB24" s="13" t="str">
        <f t="shared" si="40"/>
        <v/>
      </c>
      <c r="CC24" s="13" t="str">
        <f t="shared" si="22"/>
        <v/>
      </c>
      <c r="CD24" s="14">
        <f>INDEX(Defense!$AB$3:$BA$8,2,MATCH(CD$2,Defense!$AB$3:$BA$3,0))</f>
        <v>1.1881973445510248</v>
      </c>
      <c r="CE24" s="14">
        <f>INDEX(Defense!$AB$3:$BA$8,2,MATCH(CE$2,Defense!$AB$3:$BA$3,0))</f>
        <v>20.37695032952751</v>
      </c>
      <c r="CF24" s="14">
        <f>INDEX(Defense!$AB$3:$BA$8,2,MATCH(CF$2,Defense!$AB$3:$BA$3,0))</f>
        <v>3.8108594084794688E-2</v>
      </c>
      <c r="CG24" s="14">
        <f>INDEX(Defense!$AB$3:$BA$8,2,MATCH(CG$2,Defense!$AB$3:$BA$3,0))</f>
        <v>0.82665533501354516</v>
      </c>
      <c r="CH24" s="14">
        <f>INDEX(Defense!$AB$3:$BA$8,2,MATCH(CH$2,Defense!$AB$3:$BA$3,0))</f>
        <v>0.96847375256109303</v>
      </c>
      <c r="CI24" s="14">
        <f>INDEX(Defense!$AB$3:$BA$8,2,MATCH(CI$2,Defense!$AB$3:$BA$3,0))</f>
        <v>24.899423599851655</v>
      </c>
      <c r="CJ24" s="14">
        <f>INDEX(Defense!$AB$3:$BA$8,2,MATCH(CJ$2,Defense!$AB$3:$BA$3,0))</f>
        <v>4.3333160259283868E-2</v>
      </c>
      <c r="CK24" s="14">
        <f>INDEX(Defense!$AB$3:$BA$8,2,MATCH(CK$2,Defense!$AB$3:$BA$3,0))</f>
        <v>4.3643719755598418E-3</v>
      </c>
      <c r="CL24" s="14">
        <f>INDEX(Defense!$AB$3:$BA$8,2,MATCH(CL$2,Defense!$AB$3:$BA$3,0))</f>
        <v>3.3980730825493605E-2</v>
      </c>
      <c r="CM24" s="14">
        <f>INDEX(Defense!$AB$3:$BA$8,2,MATCH(CM$2,Defense!$AB$3:$BA$3,0))</f>
        <v>2.2130116153199469E-2</v>
      </c>
      <c r="CN24" s="14">
        <f>INDEX(Defense!$AB$3:$BA$8,2,MATCH(CN$2,Defense!$AB$3:$BA$3,0))</f>
        <v>1.5770727592026978E-2</v>
      </c>
      <c r="CO24" s="14">
        <f>INDEX(Defense!$AB$3:$BA$8,2,MATCH(CO$2,Defense!$AB$3:$BA$3,0))</f>
        <v>3.4820867870809513E-2</v>
      </c>
      <c r="CP24" s="14">
        <f>INDEX(Defense!$AB$3:$BA$8,2,MATCH(CP$2,Defense!$AB$3:$BA$3,0))</f>
        <v>-8.5450857094943424E-4</v>
      </c>
      <c r="CQ24" s="14">
        <f>INDEX(Defense!$AB$3:$BA$8,2,MATCH(CQ$2,Defense!$AB$3:$BA$3,0))</f>
        <v>160.75587555196628</v>
      </c>
      <c r="CR24" s="14">
        <f>INDEX(Defense!$AB$3:$BA$8,2,MATCH(CR$2,Defense!$AB$3:$BA$3,0))</f>
        <v>0.15454953937048871</v>
      </c>
      <c r="CS24" s="14">
        <f>INDEX(Defense!$AB$3:$BA$8,2,MATCH(CS$2,Defense!$AB$3:$BA$3,0))</f>
        <v>0.10198746342122103</v>
      </c>
      <c r="CT24" s="14">
        <f>INDEX(Defense!$AB$3:$BA$8,2,MATCH(CT$2,Defense!$AB$3:$BA$3,0))</f>
        <v>-13.759669623776899</v>
      </c>
      <c r="CU24" s="14">
        <f>INDEX(Defense!$AB$3:$BA$8,2,MATCH(CU$2,Defense!$AB$3:$BA$3,0))</f>
        <v>-140.43646301959095</v>
      </c>
      <c r="CV24" s="15">
        <f>INDEX(Offense!$AB$3:$BA$8,2,MATCH(CV$2,Offense!$AB$3:$BA$3,0))</f>
        <v>0.94854285448896025</v>
      </c>
      <c r="CW24" s="15">
        <f>INDEX(Offense!$AB$3:$BA$8,2,MATCH(CW$2,Offense!$AB$3:$BA$3,0))</f>
        <v>85.640824181858136</v>
      </c>
      <c r="CX24" s="15">
        <f>INDEX(Offense!$AB$3:$BA$8,2,MATCH(CX$2,Offense!$AB$3:$BA$3,0))</f>
        <v>0.18969054669932336</v>
      </c>
      <c r="CY24" s="15">
        <f>INDEX(Offense!$AB$3:$BA$8,2,MATCH(CY$2,Offense!$AB$3:$BA$3,0))</f>
        <v>15.281981293875587</v>
      </c>
      <c r="CZ24" s="15">
        <f>INDEX(Offense!$AB$3:$BA$8,2,MATCH(CZ$2,Offense!$AB$3:$BA$3,0))</f>
        <v>8.6824407438745616E-2</v>
      </c>
      <c r="DA24" s="15">
        <f>INDEX(Offense!$AB$3:$BA$8,2,MATCH(DA$2,Offense!$AB$3:$BA$3,0))</f>
        <v>5.4421042890783919</v>
      </c>
      <c r="DB24" s="15">
        <f>INDEX(Offense!$AB$3:$BA$8,2,MATCH(DB$2,Offense!$AB$3:$BA$3,0))</f>
        <v>-0.20243279756818017</v>
      </c>
      <c r="DC24" s="15">
        <f>INDEX(Offense!$AB$3:$BA$8,2,MATCH(DC$2,Offense!$AB$3:$BA$3,0))</f>
        <v>-1.5058230699739127E-2</v>
      </c>
      <c r="DD24" s="15">
        <f>INDEX(Offense!$AB$3:$BA$8,2,MATCH(DD$2,Offense!$AB$3:$BA$3,0))</f>
        <v>1.816205347682766E-4</v>
      </c>
      <c r="DE24" s="15">
        <f>INDEX(Offense!$AB$3:$BA$8,2,MATCH(DE$2,Offense!$AB$3:$BA$3,0))</f>
        <v>-3.5192292427553826E-2</v>
      </c>
      <c r="DF24" s="15">
        <f>INDEX(Offense!$AB$3:$BA$8,2,MATCH(DF$2,Offense!$AB$3:$BA$3,0))</f>
        <v>-5.4876472195541252E-2</v>
      </c>
      <c r="DG24" s="15">
        <f>INDEX(Offense!$AB$3:$BA$8,2,MATCH(DG$2,Offense!$AB$3:$BA$3,0))</f>
        <v>9.8474663700154286E-2</v>
      </c>
      <c r="DH24" s="15">
        <f>INDEX(Offense!$AB$3:$BA$8,2,MATCH(DH$2,Offense!$AB$3:$BA$3,0))</f>
        <v>1.3645952114017732E-3</v>
      </c>
      <c r="DI24" s="15">
        <f>INDEX(Offense!$AB$3:$BA$8,2,MATCH(DI$2,Offense!$AB$3:$BA$3,0))</f>
        <v>84.693499827495899</v>
      </c>
      <c r="DJ24" s="15">
        <f>INDEX(Offense!$AB$3:$BA$8,2,MATCH(DJ$2,Offense!$AB$3:$BA$3,0))</f>
        <v>-0.41522539338692127</v>
      </c>
      <c r="DK24" s="15">
        <f>INDEX(Offense!$AB$3:$BA$8,2,MATCH(DK$2,Offense!$AB$3:$BA$3,0))</f>
        <v>0.19885166787903463</v>
      </c>
      <c r="DL24" s="15">
        <f>INDEX(Offense!$AB$3:$BA$8,2,MATCH(DL$2,Offense!$AB$3:$BA$3,0))</f>
        <v>65.336144739305752</v>
      </c>
      <c r="DM24" s="15">
        <f>INDEX(Offense!$AB$3:$BA$8,2,MATCH(DM$2,Offense!$AB$3:$BA$3,0))</f>
        <v>-85.690558012232202</v>
      </c>
      <c r="DN24">
        <f t="shared" si="23"/>
        <v>0</v>
      </c>
      <c r="DO24" t="str">
        <f t="shared" si="24"/>
        <v/>
      </c>
      <c r="DP24" t="str">
        <f t="shared" si="25"/>
        <v/>
      </c>
      <c r="DQ24" t="e">
        <f>IF(#REF!=0,"",ROUND(IF(#REF!&lt;0,#REF!/(#REF!-100),1/(#REF!/100+1)),2))</f>
        <v>#REF!</v>
      </c>
      <c r="DR24" t="str">
        <f t="shared" si="26"/>
        <v/>
      </c>
      <c r="DS24" t="e">
        <f t="shared" si="27"/>
        <v>#VALUE!</v>
      </c>
      <c r="DT24" s="59" t="str">
        <f t="shared" si="59"/>
        <v/>
      </c>
      <c r="DU24" s="17" t="str">
        <f t="shared" si="41"/>
        <v/>
      </c>
      <c r="DV24" s="177"/>
      <c r="DX24" t="str">
        <f t="shared" ca="1" si="28"/>
        <v/>
      </c>
      <c r="DY24" t="str">
        <f t="shared" ca="1" si="29"/>
        <v/>
      </c>
      <c r="DZ24" s="39" t="str">
        <f t="shared" ca="1" si="30"/>
        <v/>
      </c>
      <c r="EA24" t="str">
        <f t="shared" si="42"/>
        <v/>
      </c>
      <c r="EB24" t="str">
        <f t="shared" si="31"/>
        <v/>
      </c>
      <c r="EC24" t="str">
        <f t="shared" si="43"/>
        <v/>
      </c>
      <c r="ED24" t="str">
        <f t="shared" si="60"/>
        <v/>
      </c>
      <c r="EE24" t="str">
        <f t="shared" si="32"/>
        <v/>
      </c>
      <c r="EF24" t="str">
        <f t="shared" si="44"/>
        <v/>
      </c>
      <c r="EG24" t="str">
        <f t="shared" si="33"/>
        <v/>
      </c>
      <c r="EH24" t="str">
        <f t="shared" si="45"/>
        <v/>
      </c>
      <c r="EI24" t="str">
        <f t="shared" si="34"/>
        <v/>
      </c>
      <c r="EJ24">
        <f t="shared" si="46"/>
        <v>0</v>
      </c>
      <c r="EK24" t="str">
        <f t="shared" si="47"/>
        <v/>
      </c>
      <c r="EL24" t="str">
        <f>IF(ISBLANK(G24),"",IF(DQ24&lt;0.5,IF(DP24&gt;0.5*$FG$7,G24&amp;" Moneyline (+"&amp;#REF!&amp;")",""),IF(DP24&gt;$FG$6*DQ24,G24&amp;" Moneyline ("&amp;#REF!&amp;")","")))</f>
        <v/>
      </c>
      <c r="EN24">
        <f t="shared" ca="1" si="48"/>
        <v>12</v>
      </c>
      <c r="EO24" t="str">
        <f t="shared" si="35"/>
        <v xml:space="preserve"> @ </v>
      </c>
      <c r="EP24" t="str">
        <f t="shared" ca="1" si="49"/>
        <v/>
      </c>
      <c r="EQ24" s="19" t="str">
        <f t="shared" ca="1" si="50"/>
        <v/>
      </c>
      <c r="ER24">
        <f t="shared" ca="1" si="51"/>
        <v>0</v>
      </c>
      <c r="ES24" s="19" t="str">
        <f t="shared" si="52"/>
        <v/>
      </c>
      <c r="ET24" s="19" t="str">
        <f>IF(ISBLANK(G24),"",IF(DT24&gt;0.625,G24&amp;" Moneyline ("&amp;#REF!&amp;")",""))</f>
        <v/>
      </c>
      <c r="EU24" s="1" t="str">
        <f>IF(ISNUMBER(CODE(ET24)),#REF!,"")</f>
        <v/>
      </c>
      <c r="EV24" s="1" t="str">
        <f t="shared" si="53"/>
        <v/>
      </c>
      <c r="EW24" s="3"/>
      <c r="EX24" s="1" t="e">
        <f t="shared" ca="1" si="54"/>
        <v>#N/A</v>
      </c>
      <c r="EY24" s="1" t="e">
        <f t="shared" ca="1" si="55"/>
        <v>#N/A</v>
      </c>
      <c r="EZ24" s="3" t="e">
        <f t="shared" ca="1" si="56"/>
        <v>#N/A</v>
      </c>
      <c r="FA24" s="19"/>
      <c r="FB24" s="19"/>
      <c r="FC24" s="19"/>
      <c r="FD24" s="19"/>
      <c r="FE24" s="19"/>
    </row>
    <row r="25" spans="7:161" x14ac:dyDescent="0.25">
      <c r="G25" s="7"/>
      <c r="H25" s="8" t="str">
        <f>IF(ISBLANK(G25),"",IF(#REF!&lt;0,#REF!,""))</f>
        <v/>
      </c>
      <c r="I25" s="8"/>
      <c r="J25" s="179" t="str">
        <f t="shared" ref="J25" si="80">IF(ISBLANK(G25),"",IF(I25&lt;1,I26,I25))</f>
        <v/>
      </c>
      <c r="K25" s="12" t="str">
        <f>IF(ISBLANK($G25),"",INDEX(OLook[],MATCH($G25,OLook[Team],0),MATCH(K$2,OLook[#Headers],0)))</f>
        <v/>
      </c>
      <c r="L25" s="12" t="str">
        <f>IF(ISBLANK($G25),"",INDEX(OLook[],MATCH($G25,OLook[Team],0),MATCH(L$2,OLook[#Headers],0)))</f>
        <v/>
      </c>
      <c r="M25" s="12" t="str">
        <f>IF(ISBLANK($G25),"",INDEX(OLook[],MATCH($G25,OLook[Team],0),MATCH(M$2,OLook[#Headers],0)))</f>
        <v/>
      </c>
      <c r="N25" s="12" t="str">
        <f>IF(ISBLANK($G25),"",INDEX(OLook[],MATCH($G25,OLook[Team],0),MATCH(N$2,OLook[#Headers],0)))</f>
        <v/>
      </c>
      <c r="O25" s="12" t="str">
        <f>IF(ISBLANK($G25),"",INDEX(OLook[],MATCH($G25,OLook[Team],0),MATCH(O$2,OLook[#Headers],0)))</f>
        <v/>
      </c>
      <c r="P25" s="12" t="str">
        <f>IF(ISBLANK($G25),"",INDEX(OLook[],MATCH($G25,OLook[Team],0),MATCH(P$2,OLook[#Headers],0)))</f>
        <v/>
      </c>
      <c r="Q25" s="12" t="str">
        <f>IF(ISBLANK($G25),"",INDEX(OLook[],MATCH($G25,OLook[Team],0),MATCH(Q$2,OLook[#Headers],0)))</f>
        <v/>
      </c>
      <c r="R25" s="12" t="str">
        <f>IF(ISBLANK($G25),"",INDEX(OLook[],MATCH($G25,OLook[Team],0),MATCH(R$2,OLook[#Headers],0)))</f>
        <v/>
      </c>
      <c r="S25" s="12" t="str">
        <f>IF(ISBLANK($G25),"",INDEX(OLook[],MATCH($G25,OLook[Team],0),MATCH(S$2,OLook[#Headers],0)))</f>
        <v/>
      </c>
      <c r="T25" s="12" t="str">
        <f>IF(ISBLANK($G25),"",INDEX(OLook[],MATCH($G25,OLook[Team],0),MATCH(T$2,OLook[#Headers],0)))</f>
        <v/>
      </c>
      <c r="U25" s="12" t="str">
        <f>IF(ISBLANK($G25),"",INDEX(OLook[],MATCH($G25,OLook[Team],0),MATCH(U$2,OLook[#Headers],0)))</f>
        <v/>
      </c>
      <c r="V25" s="12" t="str">
        <f>IF(ISBLANK($G25),"",INDEX(OLook[],MATCH($G25,OLook[Team],0),MATCH(V$2,OLook[#Headers],0)))</f>
        <v/>
      </c>
      <c r="W25" s="12" t="str">
        <f>IF(ISBLANK($G25),"",INDEX(OLook[],MATCH($G25,OLook[Team],0),MATCH(W$2,OLook[#Headers],0)))</f>
        <v/>
      </c>
      <c r="X25" s="12" t="str">
        <f>IF(ISBLANK($G25),"",INDEX(OLook[],MATCH($G25,OLook[Team],0),MATCH(X$2,OLook[#Headers],0)))</f>
        <v/>
      </c>
      <c r="Y25" s="12" t="str">
        <f>IF(ISBLANK($G25),"",INDEX(OLook[],MATCH($G25,OLook[Team],0),MATCH(Y$2,OLook[#Headers],0)))</f>
        <v/>
      </c>
      <c r="Z25" s="12" t="str">
        <f>IF(ISBLANK($G25),"",INDEX(OLook[],MATCH($G25,OLook[Team],0),MATCH(Z$2,OLook[#Headers],0)))</f>
        <v/>
      </c>
      <c r="AA25" s="12" t="str">
        <f>IF(ISBLANK($G25),"",INDEX(OLook[],MATCH($G25,OLook[Team],0),MATCH(AA$2,OLook[#Headers],0)))</f>
        <v/>
      </c>
      <c r="AB25" s="12" t="str">
        <f>IF(ISBLANK($G25),"",INDEX(OLook[],MATCH($G25,OLook[Team],0),MATCH(AB$2,OLook[#Headers],0)))</f>
        <v/>
      </c>
      <c r="AC25" s="12" t="str">
        <f>IF(ISBLANK($G25),"",INDEX(OLook[],MATCH($G25,OLook[Team],0),MATCH(AC$2,OLook[#Headers],0)))</f>
        <v/>
      </c>
      <c r="AD25" s="12" t="str">
        <f>IF(ISBLANK($G25),"",INDEX(OLook[],MATCH($G25,OLook[Team],0),MATCH(AD$2,OLook[#Headers],0)))</f>
        <v/>
      </c>
      <c r="AE25" s="12" t="str">
        <f>IF(ISBLANK($G25),"",INDEX(OLook[],MATCH($G25,OLook[Team],0),MATCH(AE$2,OLook[#Headers],0)))</f>
        <v/>
      </c>
      <c r="AF25" s="12" t="str">
        <f>IF(ISBLANK($G25),"",IF(ISODD(ROW()),INDEX(Scores!$B$2:'Scores'!$N$32,MATCH(G25,Scores!$C$2:$C$32,0),6),INDEX(Scores!$B$2:'Scores'!$N$32,MATCH(G25,Scores!$C$2:$C$32,0),10)))</f>
        <v/>
      </c>
      <c r="AG25" s="12" t="str">
        <f>IF(ISBLANK($G25),"",INDEX(Scores!$B$2:$P$32,MATCH($G25,Scores!$C$2:$C$32,0),MATCH(AG$2,Scores!$B$2:$P$2,0)))</f>
        <v/>
      </c>
      <c r="AH25" s="11" t="str">
        <f>IF(ISBLANK($G25),"",INDEX(DLook[],MATCH($G25,DLook[Team],0),MATCH(AH$2,DLook[#Headers],0)))</f>
        <v/>
      </c>
      <c r="AI25" s="11" t="str">
        <f>IF(ISBLANK($G25),"",INDEX(DLook[],MATCH($G25,DLook[Team],0),MATCH(AI$2,DLook[#Headers],0)))</f>
        <v/>
      </c>
      <c r="AJ25" s="11" t="str">
        <f>IF(ISBLANK($G25),"",INDEX(DLook[],MATCH($G25,DLook[Team],0),MATCH(AJ$2,DLook[#Headers],0)))</f>
        <v/>
      </c>
      <c r="AK25" s="11" t="str">
        <f>IF(ISBLANK($G25),"",INDEX(DLook[],MATCH($G25,DLook[Team],0),MATCH(AK$2,DLook[#Headers],0)))</f>
        <v/>
      </c>
      <c r="AL25" s="11" t="str">
        <f>IF(ISBLANK($G25),"",INDEX(DLook[],MATCH($G25,DLook[Team],0),MATCH(AL$2,DLook[#Headers],0)))</f>
        <v/>
      </c>
      <c r="AM25" s="11" t="str">
        <f>IF(ISBLANK($G25),"",INDEX(DLook[],MATCH($G25,DLook[Team],0),MATCH(AM$2,DLook[#Headers],0)))</f>
        <v/>
      </c>
      <c r="AN25" s="11" t="str">
        <f>IF(ISBLANK($G25),"",INDEX(DLook[],MATCH($G25,DLook[Team],0),MATCH(AN$2,DLook[#Headers],0)))</f>
        <v/>
      </c>
      <c r="AO25" s="11" t="str">
        <f>IF(ISBLANK($G25),"",INDEX(DLook[],MATCH($G25,DLook[Team],0),MATCH(AO$2,DLook[#Headers],0)))</f>
        <v/>
      </c>
      <c r="AP25" s="11" t="str">
        <f>IF(ISBLANK($G25),"",INDEX(DLook[],MATCH($G25,DLook[Team],0),MATCH(AP$2,DLook[#Headers],0)))</f>
        <v/>
      </c>
      <c r="AQ25" s="11" t="str">
        <f>IF(ISBLANK($G25),"",INDEX(DLook[],MATCH($G25,DLook[Team],0),MATCH(AQ$2,DLook[#Headers],0)))</f>
        <v/>
      </c>
      <c r="AR25" s="11" t="str">
        <f>IF(ISBLANK($G25),"",INDEX(DLook[],MATCH($G25,DLook[Team],0),MATCH(AR$2,DLook[#Headers],0)))</f>
        <v/>
      </c>
      <c r="AS25" s="11" t="str">
        <f>IF(ISBLANK($G25),"",INDEX(DLook[],MATCH($G25,DLook[Team],0),MATCH(AS$2,DLook[#Headers],0)))</f>
        <v/>
      </c>
      <c r="AT25" s="11" t="str">
        <f>IF(ISBLANK($G25),"",INDEX(DLook[],MATCH($G25,DLook[Team],0),MATCH(AT$2,DLook[#Headers],0)))</f>
        <v/>
      </c>
      <c r="AU25" s="11" t="str">
        <f>IF(ISBLANK($G25),"",INDEX(DLook[],MATCH($G25,DLook[Team],0),MATCH(AU$2,DLook[#Headers],0)))</f>
        <v/>
      </c>
      <c r="AV25" s="11" t="str">
        <f>IF(ISBLANK($G25),"",INDEX(DLook[],MATCH($G25,DLook[Team],0),MATCH(AV$2,DLook[#Headers],0)))</f>
        <v/>
      </c>
      <c r="AW25" s="11" t="str">
        <f>IF(ISBLANK($G25),"",INDEX(DLook[],MATCH($G25,DLook[Team],0),MATCH(AW$2,DLook[#Headers],0)))</f>
        <v/>
      </c>
      <c r="AX25" s="11" t="str">
        <f>IF(ISBLANK($G25),"",INDEX(DLook[],MATCH($G25,DLook[Team],0),MATCH(AX$2,DLook[#Headers],0)))</f>
        <v/>
      </c>
      <c r="AY25" s="11" t="str">
        <f>IF(ISBLANK($G25),"",INDEX(DLook[],MATCH($G25,DLook[Team],0),MATCH(AY$2,DLook[#Headers],0)))</f>
        <v/>
      </c>
      <c r="AZ25" s="14" t="str">
        <f t="shared" si="0"/>
        <v/>
      </c>
      <c r="BA25" s="14" t="str">
        <f t="shared" si="1"/>
        <v/>
      </c>
      <c r="BB25" s="14" t="str">
        <f t="shared" si="2"/>
        <v/>
      </c>
      <c r="BC25" s="14" t="str">
        <f t="shared" si="3"/>
        <v/>
      </c>
      <c r="BD25" s="14" t="str">
        <f t="shared" si="4"/>
        <v/>
      </c>
      <c r="BE25" s="14" t="str">
        <f t="shared" si="5"/>
        <v/>
      </c>
      <c r="BF25" s="14" t="str">
        <f t="shared" si="6"/>
        <v/>
      </c>
      <c r="BG25" s="14" t="str">
        <f t="shared" si="7"/>
        <v/>
      </c>
      <c r="BH25" s="14" t="str">
        <f t="shared" si="8"/>
        <v/>
      </c>
      <c r="BI25" s="14" t="str">
        <f t="shared" si="9"/>
        <v/>
      </c>
      <c r="BJ25" s="14" t="str">
        <f t="shared" si="10"/>
        <v/>
      </c>
      <c r="BK25" s="14" t="str">
        <f t="shared" si="11"/>
        <v/>
      </c>
      <c r="BL25" s="14" t="str">
        <f t="shared" si="12"/>
        <v/>
      </c>
      <c r="BM25" s="14" t="str">
        <f t="shared" si="13"/>
        <v/>
      </c>
      <c r="BN25" s="14" t="str">
        <f t="shared" si="14"/>
        <v/>
      </c>
      <c r="BO25" s="14" t="str">
        <f t="shared" si="15"/>
        <v/>
      </c>
      <c r="BP25" s="14" t="str">
        <f t="shared" si="16"/>
        <v/>
      </c>
      <c r="BQ25" s="13" t="str">
        <f t="shared" si="17"/>
        <v/>
      </c>
      <c r="BR25" s="13" t="str">
        <f t="shared" si="18"/>
        <v/>
      </c>
      <c r="BS25" s="13" t="str">
        <f t="shared" si="19"/>
        <v/>
      </c>
      <c r="BT25" s="13" t="str">
        <f t="shared" si="20"/>
        <v/>
      </c>
      <c r="BU25" s="13" t="str">
        <f t="shared" si="36"/>
        <v/>
      </c>
      <c r="BV25" s="13" t="str">
        <f t="shared" si="37"/>
        <v/>
      </c>
      <c r="BW25" s="13" t="str">
        <f t="shared" si="58"/>
        <v/>
      </c>
      <c r="BX25" s="13" t="str">
        <f t="shared" si="21"/>
        <v/>
      </c>
      <c r="BY25" s="13" t="str">
        <f t="shared" si="38"/>
        <v/>
      </c>
      <c r="BZ25" s="13" t="str">
        <f t="shared" si="39"/>
        <v/>
      </c>
      <c r="CA25" s="13">
        <f>IF(ISBLANK(B25),0,INDEX(Advanced_Table[],MATCH(B25,Advanced_Table[Player],0),MATCH("Scaled VORP",Advanced_Table[#Headers],0)))+IF(ISBLANK(C25),0,INDEX(Advanced_Table[],MATCH(C25,Advanced_Table[Player],0),MATCH("Scaled VORP",Advanced_Table[#Headers],0)))+IF(ISBLANK(D25),0,INDEX(Advanced_Table[],MATCH(D25,Advanced_Table[Player],0),MATCH("Scaled VORP",Advanced_Table[#Headers],0)))+IF(ISBLANK(E25),0,INDEX(Advanced_Table[],MATCH(E25,Advanced_Table[Player],0),MATCH("Scaled VORP",Advanced_Table[#Headers],0)))+IF(ISBLANK(F25),0,INDEX(Advanced_Table[],MATCH(F25,Advanced_Table[Player],0),MATCH("Scaled VORP",Advanced_Table[#Headers],0)))</f>
        <v>0</v>
      </c>
      <c r="CB25" s="13" t="str">
        <f t="shared" si="40"/>
        <v/>
      </c>
      <c r="CC25" s="13" t="str">
        <f t="shared" si="22"/>
        <v/>
      </c>
      <c r="CD25" s="14">
        <f>INDEX(Defense!$AB$3:$BA$8,2,MATCH(CD$2,Defense!$AB$3:$BA$3,0))</f>
        <v>1.1881973445510248</v>
      </c>
      <c r="CE25" s="14">
        <f>INDEX(Defense!$AB$3:$BA$8,2,MATCH(CE$2,Defense!$AB$3:$BA$3,0))</f>
        <v>20.37695032952751</v>
      </c>
      <c r="CF25" s="14">
        <f>INDEX(Defense!$AB$3:$BA$8,2,MATCH(CF$2,Defense!$AB$3:$BA$3,0))</f>
        <v>3.8108594084794688E-2</v>
      </c>
      <c r="CG25" s="14">
        <f>INDEX(Defense!$AB$3:$BA$8,2,MATCH(CG$2,Defense!$AB$3:$BA$3,0))</f>
        <v>0.82665533501354516</v>
      </c>
      <c r="CH25" s="14">
        <f>INDEX(Defense!$AB$3:$BA$8,2,MATCH(CH$2,Defense!$AB$3:$BA$3,0))</f>
        <v>0.96847375256109303</v>
      </c>
      <c r="CI25" s="14">
        <f>INDEX(Defense!$AB$3:$BA$8,2,MATCH(CI$2,Defense!$AB$3:$BA$3,0))</f>
        <v>24.899423599851655</v>
      </c>
      <c r="CJ25" s="14">
        <f>INDEX(Defense!$AB$3:$BA$8,2,MATCH(CJ$2,Defense!$AB$3:$BA$3,0))</f>
        <v>4.3333160259283868E-2</v>
      </c>
      <c r="CK25" s="14">
        <f>INDEX(Defense!$AB$3:$BA$8,2,MATCH(CK$2,Defense!$AB$3:$BA$3,0))</f>
        <v>4.3643719755598418E-3</v>
      </c>
      <c r="CL25" s="14">
        <f>INDEX(Defense!$AB$3:$BA$8,2,MATCH(CL$2,Defense!$AB$3:$BA$3,0))</f>
        <v>3.3980730825493605E-2</v>
      </c>
      <c r="CM25" s="14">
        <f>INDEX(Defense!$AB$3:$BA$8,2,MATCH(CM$2,Defense!$AB$3:$BA$3,0))</f>
        <v>2.2130116153199469E-2</v>
      </c>
      <c r="CN25" s="14">
        <f>INDEX(Defense!$AB$3:$BA$8,2,MATCH(CN$2,Defense!$AB$3:$BA$3,0))</f>
        <v>1.5770727592026978E-2</v>
      </c>
      <c r="CO25" s="14">
        <f>INDEX(Defense!$AB$3:$BA$8,2,MATCH(CO$2,Defense!$AB$3:$BA$3,0))</f>
        <v>3.4820867870809513E-2</v>
      </c>
      <c r="CP25" s="14">
        <f>INDEX(Defense!$AB$3:$BA$8,2,MATCH(CP$2,Defense!$AB$3:$BA$3,0))</f>
        <v>-8.5450857094943424E-4</v>
      </c>
      <c r="CQ25" s="14">
        <f>INDEX(Defense!$AB$3:$BA$8,2,MATCH(CQ$2,Defense!$AB$3:$BA$3,0))</f>
        <v>160.75587555196628</v>
      </c>
      <c r="CR25" s="14">
        <f>INDEX(Defense!$AB$3:$BA$8,2,MATCH(CR$2,Defense!$AB$3:$BA$3,0))</f>
        <v>0.15454953937048871</v>
      </c>
      <c r="CS25" s="14">
        <f>INDEX(Defense!$AB$3:$BA$8,2,MATCH(CS$2,Defense!$AB$3:$BA$3,0))</f>
        <v>0.10198746342122103</v>
      </c>
      <c r="CT25" s="14">
        <f>INDEX(Defense!$AB$3:$BA$8,2,MATCH(CT$2,Defense!$AB$3:$BA$3,0))</f>
        <v>-13.759669623776899</v>
      </c>
      <c r="CU25" s="14">
        <f>INDEX(Defense!$AB$3:$BA$8,2,MATCH(CU$2,Defense!$AB$3:$BA$3,0))</f>
        <v>-140.43646301959095</v>
      </c>
      <c r="CV25" s="15">
        <f>INDEX(Offense!$AB$3:$BA$8,2,MATCH(CV$2,Offense!$AB$3:$BA$3,0))</f>
        <v>0.94854285448896025</v>
      </c>
      <c r="CW25" s="15">
        <f>INDEX(Offense!$AB$3:$BA$8,2,MATCH(CW$2,Offense!$AB$3:$BA$3,0))</f>
        <v>85.640824181858136</v>
      </c>
      <c r="CX25" s="15">
        <f>INDEX(Offense!$AB$3:$BA$8,2,MATCH(CX$2,Offense!$AB$3:$BA$3,0))</f>
        <v>0.18969054669932336</v>
      </c>
      <c r="CY25" s="15">
        <f>INDEX(Offense!$AB$3:$BA$8,2,MATCH(CY$2,Offense!$AB$3:$BA$3,0))</f>
        <v>15.281981293875587</v>
      </c>
      <c r="CZ25" s="15">
        <f>INDEX(Offense!$AB$3:$BA$8,2,MATCH(CZ$2,Offense!$AB$3:$BA$3,0))</f>
        <v>8.6824407438745616E-2</v>
      </c>
      <c r="DA25" s="15">
        <f>INDEX(Offense!$AB$3:$BA$8,2,MATCH(DA$2,Offense!$AB$3:$BA$3,0))</f>
        <v>5.4421042890783919</v>
      </c>
      <c r="DB25" s="15">
        <f>INDEX(Offense!$AB$3:$BA$8,2,MATCH(DB$2,Offense!$AB$3:$BA$3,0))</f>
        <v>-0.20243279756818017</v>
      </c>
      <c r="DC25" s="15">
        <f>INDEX(Offense!$AB$3:$BA$8,2,MATCH(DC$2,Offense!$AB$3:$BA$3,0))</f>
        <v>-1.5058230699739127E-2</v>
      </c>
      <c r="DD25" s="15">
        <f>INDEX(Offense!$AB$3:$BA$8,2,MATCH(DD$2,Offense!$AB$3:$BA$3,0))</f>
        <v>1.816205347682766E-4</v>
      </c>
      <c r="DE25" s="15">
        <f>INDEX(Offense!$AB$3:$BA$8,2,MATCH(DE$2,Offense!$AB$3:$BA$3,0))</f>
        <v>-3.5192292427553826E-2</v>
      </c>
      <c r="DF25" s="15">
        <f>INDEX(Offense!$AB$3:$BA$8,2,MATCH(DF$2,Offense!$AB$3:$BA$3,0))</f>
        <v>-5.4876472195541252E-2</v>
      </c>
      <c r="DG25" s="15">
        <f>INDEX(Offense!$AB$3:$BA$8,2,MATCH(DG$2,Offense!$AB$3:$BA$3,0))</f>
        <v>9.8474663700154286E-2</v>
      </c>
      <c r="DH25" s="15">
        <f>INDEX(Offense!$AB$3:$BA$8,2,MATCH(DH$2,Offense!$AB$3:$BA$3,0))</f>
        <v>1.3645952114017732E-3</v>
      </c>
      <c r="DI25" s="15">
        <f>INDEX(Offense!$AB$3:$BA$8,2,MATCH(DI$2,Offense!$AB$3:$BA$3,0))</f>
        <v>84.693499827495899</v>
      </c>
      <c r="DJ25" s="15">
        <f>INDEX(Offense!$AB$3:$BA$8,2,MATCH(DJ$2,Offense!$AB$3:$BA$3,0))</f>
        <v>-0.41522539338692127</v>
      </c>
      <c r="DK25" s="15">
        <f>INDEX(Offense!$AB$3:$BA$8,2,MATCH(DK$2,Offense!$AB$3:$BA$3,0))</f>
        <v>0.19885166787903463</v>
      </c>
      <c r="DL25" s="15">
        <f>INDEX(Offense!$AB$3:$BA$8,2,MATCH(DL$2,Offense!$AB$3:$BA$3,0))</f>
        <v>65.336144739305752</v>
      </c>
      <c r="DM25" s="15">
        <f>INDEX(Offense!$AB$3:$BA$8,2,MATCH(DM$2,Offense!$AB$3:$BA$3,0))</f>
        <v>-85.690558012232202</v>
      </c>
      <c r="DN25" t="str">
        <f t="shared" si="23"/>
        <v/>
      </c>
      <c r="DO25" t="str">
        <f t="shared" si="24"/>
        <v/>
      </c>
      <c r="DP25" t="str">
        <f t="shared" si="25"/>
        <v/>
      </c>
      <c r="DQ25" t="e">
        <f>IF(#REF!=0,"",ROUND(IF(#REF!&lt;0,#REF!/(#REF!-100),1/(#REF!/100+1)),2))</f>
        <v>#REF!</v>
      </c>
      <c r="DR25" t="str">
        <f t="shared" si="26"/>
        <v/>
      </c>
      <c r="DS25" t="e">
        <f t="shared" si="27"/>
        <v>#VALUE!</v>
      </c>
      <c r="DT25" s="58" t="str">
        <f t="shared" si="59"/>
        <v/>
      </c>
      <c r="DU25" s="16" t="str">
        <f t="shared" si="41"/>
        <v/>
      </c>
      <c r="DV25" s="176" t="str">
        <f>IFERROR(IF(ISODD(ROW()),ROUND(CB25+CB26,0),ROUND(CB25+CB24,0)),"")</f>
        <v/>
      </c>
      <c r="DX25" t="str">
        <f t="shared" ca="1" si="28"/>
        <v/>
      </c>
      <c r="DY25" t="str">
        <f t="shared" ca="1" si="29"/>
        <v/>
      </c>
      <c r="DZ25" s="39" t="str">
        <f t="shared" ca="1" si="30"/>
        <v/>
      </c>
      <c r="EA25" t="str">
        <f t="shared" si="42"/>
        <v/>
      </c>
      <c r="EB25" t="str">
        <f t="shared" si="31"/>
        <v/>
      </c>
      <c r="EC25" t="str">
        <f t="shared" si="43"/>
        <v/>
      </c>
      <c r="ED25" t="str">
        <f t="shared" si="60"/>
        <v/>
      </c>
      <c r="EE25" t="str">
        <f t="shared" si="32"/>
        <v/>
      </c>
      <c r="EF25" t="str">
        <f t="shared" si="44"/>
        <v/>
      </c>
      <c r="EG25" t="str">
        <f t="shared" si="33"/>
        <v/>
      </c>
      <c r="EH25" t="str">
        <f t="shared" si="45"/>
        <v/>
      </c>
      <c r="EI25" t="str">
        <f t="shared" si="34"/>
        <v/>
      </c>
      <c r="EJ25">
        <f t="shared" si="46"/>
        <v>0</v>
      </c>
      <c r="EK25" t="str">
        <f t="shared" si="47"/>
        <v/>
      </c>
      <c r="EL25" t="str">
        <f>IF(ISBLANK(G25),"",IF(DQ25&lt;0.5,IF(DP25&gt;0.5*$FG$7,G25&amp;" Moneyline (+"&amp;#REF!&amp;")",""),IF(DP25&gt;$FG$6*DQ25,G25&amp;" Moneyline ("&amp;#REF!&amp;")","")))</f>
        <v/>
      </c>
      <c r="EN25">
        <f t="shared" ca="1" si="48"/>
        <v>12</v>
      </c>
      <c r="EO25" t="str">
        <f t="shared" si="35"/>
        <v xml:space="preserve"> @ </v>
      </c>
      <c r="EP25" t="str">
        <f t="shared" ca="1" si="49"/>
        <v/>
      </c>
      <c r="EQ25" s="19" t="str">
        <f t="shared" ca="1" si="50"/>
        <v/>
      </c>
      <c r="ER25">
        <f t="shared" ca="1" si="51"/>
        <v>0</v>
      </c>
      <c r="ES25" s="19" t="str">
        <f t="shared" si="52"/>
        <v/>
      </c>
      <c r="ET25" s="19" t="str">
        <f>IF(ISBLANK(G25),"",IF(DT25&gt;0.625,G25&amp;" Moneyline ("&amp;#REF!&amp;")",""))</f>
        <v/>
      </c>
      <c r="EU25" s="1" t="str">
        <f>IF(ISNUMBER(CODE(ET25)),#REF!,"")</f>
        <v/>
      </c>
      <c r="EV25" s="1" t="str">
        <f t="shared" si="53"/>
        <v/>
      </c>
      <c r="EW25" s="3"/>
      <c r="EX25" s="1" t="e">
        <f t="shared" ca="1" si="54"/>
        <v>#N/A</v>
      </c>
      <c r="EY25" s="1" t="e">
        <f t="shared" ca="1" si="55"/>
        <v>#N/A</v>
      </c>
      <c r="EZ25" s="3" t="e">
        <f t="shared" ca="1" si="56"/>
        <v>#N/A</v>
      </c>
      <c r="FA25" s="19"/>
      <c r="FB25" s="19"/>
      <c r="FC25" s="19"/>
      <c r="FD25" s="19"/>
      <c r="FE25" s="19"/>
    </row>
    <row r="26" spans="7:161" ht="15.75" thickBot="1" x14ac:dyDescent="0.3">
      <c r="G26" s="9"/>
      <c r="H26" s="10" t="str">
        <f>IF(ISBLANK(G26),"",IF(#REF!&lt;0,#REF!,""))</f>
        <v/>
      </c>
      <c r="I26" s="10"/>
      <c r="J26" s="180" t="str">
        <f t="shared" ref="J26" si="81">IF(H26&lt;1,H27,H26)</f>
        <v/>
      </c>
      <c r="K26" s="12" t="str">
        <f>IF(ISBLANK($G26),"",INDEX(OLook[],MATCH($G26,OLook[Team],0),MATCH(K$2,OLook[#Headers],0)))</f>
        <v/>
      </c>
      <c r="L26" s="12" t="str">
        <f>IF(ISBLANK($G26),"",INDEX(OLook[],MATCH($G26,OLook[Team],0),MATCH(L$2,OLook[#Headers],0)))</f>
        <v/>
      </c>
      <c r="M26" s="12" t="str">
        <f>IF(ISBLANK($G26),"",INDEX(OLook[],MATCH($G26,OLook[Team],0),MATCH(M$2,OLook[#Headers],0)))</f>
        <v/>
      </c>
      <c r="N26" s="12" t="str">
        <f>IF(ISBLANK($G26),"",INDEX(OLook[],MATCH($G26,OLook[Team],0),MATCH(N$2,OLook[#Headers],0)))</f>
        <v/>
      </c>
      <c r="O26" s="12" t="str">
        <f>IF(ISBLANK($G26),"",INDEX(OLook[],MATCH($G26,OLook[Team],0),MATCH(O$2,OLook[#Headers],0)))</f>
        <v/>
      </c>
      <c r="P26" s="12" t="str">
        <f>IF(ISBLANK($G26),"",INDEX(OLook[],MATCH($G26,OLook[Team],0),MATCH(P$2,OLook[#Headers],0)))</f>
        <v/>
      </c>
      <c r="Q26" s="12" t="str">
        <f>IF(ISBLANK($G26),"",INDEX(OLook[],MATCH($G26,OLook[Team],0),MATCH(Q$2,OLook[#Headers],0)))</f>
        <v/>
      </c>
      <c r="R26" s="12" t="str">
        <f>IF(ISBLANK($G26),"",INDEX(OLook[],MATCH($G26,OLook[Team],0),MATCH(R$2,OLook[#Headers],0)))</f>
        <v/>
      </c>
      <c r="S26" s="12" t="str">
        <f>IF(ISBLANK($G26),"",INDEX(OLook[],MATCH($G26,OLook[Team],0),MATCH(S$2,OLook[#Headers],0)))</f>
        <v/>
      </c>
      <c r="T26" s="12" t="str">
        <f>IF(ISBLANK($G26),"",INDEX(OLook[],MATCH($G26,OLook[Team],0),MATCH(T$2,OLook[#Headers],0)))</f>
        <v/>
      </c>
      <c r="U26" s="12" t="str">
        <f>IF(ISBLANK($G26),"",INDEX(OLook[],MATCH($G26,OLook[Team],0),MATCH(U$2,OLook[#Headers],0)))</f>
        <v/>
      </c>
      <c r="V26" s="12" t="str">
        <f>IF(ISBLANK($G26),"",INDEX(OLook[],MATCH($G26,OLook[Team],0),MATCH(V$2,OLook[#Headers],0)))</f>
        <v/>
      </c>
      <c r="W26" s="12" t="str">
        <f>IF(ISBLANK($G26),"",INDEX(OLook[],MATCH($G26,OLook[Team],0),MATCH(W$2,OLook[#Headers],0)))</f>
        <v/>
      </c>
      <c r="X26" s="12" t="str">
        <f>IF(ISBLANK($G26),"",INDEX(OLook[],MATCH($G26,OLook[Team],0),MATCH(X$2,OLook[#Headers],0)))</f>
        <v/>
      </c>
      <c r="Y26" s="12" t="str">
        <f>IF(ISBLANK($G26),"",INDEX(OLook[],MATCH($G26,OLook[Team],0),MATCH(Y$2,OLook[#Headers],0)))</f>
        <v/>
      </c>
      <c r="Z26" s="12" t="str">
        <f>IF(ISBLANK($G26),"",INDEX(OLook[],MATCH($G26,OLook[Team],0),MATCH(Z$2,OLook[#Headers],0)))</f>
        <v/>
      </c>
      <c r="AA26" s="12" t="str">
        <f>IF(ISBLANK($G26),"",INDEX(OLook[],MATCH($G26,OLook[Team],0),MATCH(AA$2,OLook[#Headers],0)))</f>
        <v/>
      </c>
      <c r="AB26" s="12" t="str">
        <f>IF(ISBLANK($G26),"",INDEX(OLook[],MATCH($G26,OLook[Team],0),MATCH(AB$2,OLook[#Headers],0)))</f>
        <v/>
      </c>
      <c r="AC26" s="12" t="str">
        <f>IF(ISBLANK($G26),"",INDEX(OLook[],MATCH($G26,OLook[Team],0),MATCH(AC$2,OLook[#Headers],0)))</f>
        <v/>
      </c>
      <c r="AD26" s="12" t="str">
        <f>IF(ISBLANK($G26),"",INDEX(OLook[],MATCH($G26,OLook[Team],0),MATCH(AD$2,OLook[#Headers],0)))</f>
        <v/>
      </c>
      <c r="AE26" s="12" t="str">
        <f>IF(ISBLANK($G26),"",INDEX(OLook[],MATCH($G26,OLook[Team],0),MATCH(AE$2,OLook[#Headers],0)))</f>
        <v/>
      </c>
      <c r="AF26" s="12" t="str">
        <f>IF(ISBLANK($G26),"",IF(ISODD(ROW()),INDEX(Scores!$B$2:'Scores'!$N$32,MATCH(G26,Scores!$C$2:$C$32,0),6),INDEX(Scores!$B$2:'Scores'!$N$32,MATCH(G26,Scores!$C$2:$C$32,0),10)))</f>
        <v/>
      </c>
      <c r="AG26" s="12" t="str">
        <f>IF(ISBLANK($G26),"",INDEX(Scores!$B$2:$P$32,MATCH($G26,Scores!$C$2:$C$32,0),MATCH(AG$2,Scores!$B$2:$P$2,0)))</f>
        <v/>
      </c>
      <c r="AH26" s="11" t="str">
        <f>IF(ISBLANK($G26),"",INDEX(DLook[],MATCH($G26,DLook[Team],0),MATCH(AH$2,DLook[#Headers],0)))</f>
        <v/>
      </c>
      <c r="AI26" s="11" t="str">
        <f>IF(ISBLANK($G26),"",INDEX(DLook[],MATCH($G26,DLook[Team],0),MATCH(AI$2,DLook[#Headers],0)))</f>
        <v/>
      </c>
      <c r="AJ26" s="11" t="str">
        <f>IF(ISBLANK($G26),"",INDEX(DLook[],MATCH($G26,DLook[Team],0),MATCH(AJ$2,DLook[#Headers],0)))</f>
        <v/>
      </c>
      <c r="AK26" s="11" t="str">
        <f>IF(ISBLANK($G26),"",INDEX(DLook[],MATCH($G26,DLook[Team],0),MATCH(AK$2,DLook[#Headers],0)))</f>
        <v/>
      </c>
      <c r="AL26" s="11" t="str">
        <f>IF(ISBLANK($G26),"",INDEX(DLook[],MATCH($G26,DLook[Team],0),MATCH(AL$2,DLook[#Headers],0)))</f>
        <v/>
      </c>
      <c r="AM26" s="11" t="str">
        <f>IF(ISBLANK($G26),"",INDEX(DLook[],MATCH($G26,DLook[Team],0),MATCH(AM$2,DLook[#Headers],0)))</f>
        <v/>
      </c>
      <c r="AN26" s="11" t="str">
        <f>IF(ISBLANK($G26),"",INDEX(DLook[],MATCH($G26,DLook[Team],0),MATCH(AN$2,DLook[#Headers],0)))</f>
        <v/>
      </c>
      <c r="AO26" s="11" t="str">
        <f>IF(ISBLANK($G26),"",INDEX(DLook[],MATCH($G26,DLook[Team],0),MATCH(AO$2,DLook[#Headers],0)))</f>
        <v/>
      </c>
      <c r="AP26" s="11" t="str">
        <f>IF(ISBLANK($G26),"",INDEX(DLook[],MATCH($G26,DLook[Team],0),MATCH(AP$2,DLook[#Headers],0)))</f>
        <v/>
      </c>
      <c r="AQ26" s="11" t="str">
        <f>IF(ISBLANK($G26),"",INDEX(DLook[],MATCH($G26,DLook[Team],0),MATCH(AQ$2,DLook[#Headers],0)))</f>
        <v/>
      </c>
      <c r="AR26" s="11" t="str">
        <f>IF(ISBLANK($G26),"",INDEX(DLook[],MATCH($G26,DLook[Team],0),MATCH(AR$2,DLook[#Headers],0)))</f>
        <v/>
      </c>
      <c r="AS26" s="11" t="str">
        <f>IF(ISBLANK($G26),"",INDEX(DLook[],MATCH($G26,DLook[Team],0),MATCH(AS$2,DLook[#Headers],0)))</f>
        <v/>
      </c>
      <c r="AT26" s="11" t="str">
        <f>IF(ISBLANK($G26),"",INDEX(DLook[],MATCH($G26,DLook[Team],0),MATCH(AT$2,DLook[#Headers],0)))</f>
        <v/>
      </c>
      <c r="AU26" s="11" t="str">
        <f>IF(ISBLANK($G26),"",INDEX(DLook[],MATCH($G26,DLook[Team],0),MATCH(AU$2,DLook[#Headers],0)))</f>
        <v/>
      </c>
      <c r="AV26" s="11" t="str">
        <f>IF(ISBLANK($G26),"",INDEX(DLook[],MATCH($G26,DLook[Team],0),MATCH(AV$2,DLook[#Headers],0)))</f>
        <v/>
      </c>
      <c r="AW26" s="11" t="str">
        <f>IF(ISBLANK($G26),"",INDEX(DLook[],MATCH($G26,DLook[Team],0),MATCH(AW$2,DLook[#Headers],0)))</f>
        <v/>
      </c>
      <c r="AX26" s="11" t="str">
        <f>IF(ISBLANK($G26),"",INDEX(DLook[],MATCH($G26,DLook[Team],0),MATCH(AX$2,DLook[#Headers],0)))</f>
        <v/>
      </c>
      <c r="AY26" s="11" t="str">
        <f>IF(ISBLANK($G26),"",INDEX(DLook[],MATCH($G26,DLook[Team],0),MATCH(AY$2,DLook[#Headers],0)))</f>
        <v/>
      </c>
      <c r="AZ26" s="14" t="str">
        <f t="shared" si="0"/>
        <v/>
      </c>
      <c r="BA26" s="14" t="str">
        <f t="shared" si="1"/>
        <v/>
      </c>
      <c r="BB26" s="14" t="str">
        <f t="shared" si="2"/>
        <v/>
      </c>
      <c r="BC26" s="14" t="str">
        <f t="shared" si="3"/>
        <v/>
      </c>
      <c r="BD26" s="14" t="str">
        <f t="shared" si="4"/>
        <v/>
      </c>
      <c r="BE26" s="14" t="str">
        <f t="shared" si="5"/>
        <v/>
      </c>
      <c r="BF26" s="14" t="str">
        <f t="shared" si="6"/>
        <v/>
      </c>
      <c r="BG26" s="14" t="str">
        <f t="shared" si="7"/>
        <v/>
      </c>
      <c r="BH26" s="14" t="str">
        <f t="shared" si="8"/>
        <v/>
      </c>
      <c r="BI26" s="14" t="str">
        <f t="shared" si="9"/>
        <v/>
      </c>
      <c r="BJ26" s="14" t="str">
        <f t="shared" si="10"/>
        <v/>
      </c>
      <c r="BK26" s="14" t="str">
        <f t="shared" si="11"/>
        <v/>
      </c>
      <c r="BL26" s="14" t="str">
        <f t="shared" si="12"/>
        <v/>
      </c>
      <c r="BM26" s="14" t="str">
        <f t="shared" si="13"/>
        <v/>
      </c>
      <c r="BN26" s="14" t="str">
        <f t="shared" si="14"/>
        <v/>
      </c>
      <c r="BO26" s="14" t="str">
        <f t="shared" si="15"/>
        <v/>
      </c>
      <c r="BP26" s="14" t="str">
        <f t="shared" si="16"/>
        <v/>
      </c>
      <c r="BQ26" s="13" t="str">
        <f t="shared" si="17"/>
        <v/>
      </c>
      <c r="BR26" s="13" t="str">
        <f t="shared" si="18"/>
        <v/>
      </c>
      <c r="BS26" s="13" t="str">
        <f t="shared" si="19"/>
        <v/>
      </c>
      <c r="BT26" s="13" t="str">
        <f t="shared" si="20"/>
        <v/>
      </c>
      <c r="BU26" s="13" t="str">
        <f t="shared" si="36"/>
        <v/>
      </c>
      <c r="BV26" s="13" t="str">
        <f t="shared" si="37"/>
        <v/>
      </c>
      <c r="BW26" s="13" t="str">
        <f t="shared" si="58"/>
        <v/>
      </c>
      <c r="BX26" s="13" t="str">
        <f t="shared" si="21"/>
        <v/>
      </c>
      <c r="BY26" s="13" t="str">
        <f t="shared" si="38"/>
        <v/>
      </c>
      <c r="BZ26" s="13" t="str">
        <f t="shared" si="39"/>
        <v/>
      </c>
      <c r="CA26" s="13">
        <f>IF(ISBLANK(B26),0,INDEX(Advanced_Table[],MATCH(B26,Advanced_Table[Player],0),MATCH("Scaled VORP",Advanced_Table[#Headers],0)))+IF(ISBLANK(C26),0,INDEX(Advanced_Table[],MATCH(C26,Advanced_Table[Player],0),MATCH("Scaled VORP",Advanced_Table[#Headers],0)))+IF(ISBLANK(D26),0,INDEX(Advanced_Table[],MATCH(D26,Advanced_Table[Player],0),MATCH("Scaled VORP",Advanced_Table[#Headers],0)))+IF(ISBLANK(E26),0,INDEX(Advanced_Table[],MATCH(E26,Advanced_Table[Player],0),MATCH("Scaled VORP",Advanced_Table[#Headers],0)))+IF(ISBLANK(F26),0,INDEX(Advanced_Table[],MATCH(F26,Advanced_Table[Player],0),MATCH("Scaled VORP",Advanced_Table[#Headers],0)))</f>
        <v>0</v>
      </c>
      <c r="CB26" s="13" t="str">
        <f t="shared" si="40"/>
        <v/>
      </c>
      <c r="CC26" s="13" t="str">
        <f t="shared" si="22"/>
        <v/>
      </c>
      <c r="CD26" s="14">
        <f>INDEX(Defense!$AB$3:$BA$8,2,MATCH(CD$2,Defense!$AB$3:$BA$3,0))</f>
        <v>1.1881973445510248</v>
      </c>
      <c r="CE26" s="14">
        <f>INDEX(Defense!$AB$3:$BA$8,2,MATCH(CE$2,Defense!$AB$3:$BA$3,0))</f>
        <v>20.37695032952751</v>
      </c>
      <c r="CF26" s="14">
        <f>INDEX(Defense!$AB$3:$BA$8,2,MATCH(CF$2,Defense!$AB$3:$BA$3,0))</f>
        <v>3.8108594084794688E-2</v>
      </c>
      <c r="CG26" s="14">
        <f>INDEX(Defense!$AB$3:$BA$8,2,MATCH(CG$2,Defense!$AB$3:$BA$3,0))</f>
        <v>0.82665533501354516</v>
      </c>
      <c r="CH26" s="14">
        <f>INDEX(Defense!$AB$3:$BA$8,2,MATCH(CH$2,Defense!$AB$3:$BA$3,0))</f>
        <v>0.96847375256109303</v>
      </c>
      <c r="CI26" s="14">
        <f>INDEX(Defense!$AB$3:$BA$8,2,MATCH(CI$2,Defense!$AB$3:$BA$3,0))</f>
        <v>24.899423599851655</v>
      </c>
      <c r="CJ26" s="14">
        <f>INDEX(Defense!$AB$3:$BA$8,2,MATCH(CJ$2,Defense!$AB$3:$BA$3,0))</f>
        <v>4.3333160259283868E-2</v>
      </c>
      <c r="CK26" s="14">
        <f>INDEX(Defense!$AB$3:$BA$8,2,MATCH(CK$2,Defense!$AB$3:$BA$3,0))</f>
        <v>4.3643719755598418E-3</v>
      </c>
      <c r="CL26" s="14">
        <f>INDEX(Defense!$AB$3:$BA$8,2,MATCH(CL$2,Defense!$AB$3:$BA$3,0))</f>
        <v>3.3980730825493605E-2</v>
      </c>
      <c r="CM26" s="14">
        <f>INDEX(Defense!$AB$3:$BA$8,2,MATCH(CM$2,Defense!$AB$3:$BA$3,0))</f>
        <v>2.2130116153199469E-2</v>
      </c>
      <c r="CN26" s="14">
        <f>INDEX(Defense!$AB$3:$BA$8,2,MATCH(CN$2,Defense!$AB$3:$BA$3,0))</f>
        <v>1.5770727592026978E-2</v>
      </c>
      <c r="CO26" s="14">
        <f>INDEX(Defense!$AB$3:$BA$8,2,MATCH(CO$2,Defense!$AB$3:$BA$3,0))</f>
        <v>3.4820867870809513E-2</v>
      </c>
      <c r="CP26" s="14">
        <f>INDEX(Defense!$AB$3:$BA$8,2,MATCH(CP$2,Defense!$AB$3:$BA$3,0))</f>
        <v>-8.5450857094943424E-4</v>
      </c>
      <c r="CQ26" s="14">
        <f>INDEX(Defense!$AB$3:$BA$8,2,MATCH(CQ$2,Defense!$AB$3:$BA$3,0))</f>
        <v>160.75587555196628</v>
      </c>
      <c r="CR26" s="14">
        <f>INDEX(Defense!$AB$3:$BA$8,2,MATCH(CR$2,Defense!$AB$3:$BA$3,0))</f>
        <v>0.15454953937048871</v>
      </c>
      <c r="CS26" s="14">
        <f>INDEX(Defense!$AB$3:$BA$8,2,MATCH(CS$2,Defense!$AB$3:$BA$3,0))</f>
        <v>0.10198746342122103</v>
      </c>
      <c r="CT26" s="14">
        <f>INDEX(Defense!$AB$3:$BA$8,2,MATCH(CT$2,Defense!$AB$3:$BA$3,0))</f>
        <v>-13.759669623776899</v>
      </c>
      <c r="CU26" s="14">
        <f>INDEX(Defense!$AB$3:$BA$8,2,MATCH(CU$2,Defense!$AB$3:$BA$3,0))</f>
        <v>-140.43646301959095</v>
      </c>
      <c r="CV26" s="15">
        <f>INDEX(Offense!$AB$3:$BA$8,2,MATCH(CV$2,Offense!$AB$3:$BA$3,0))</f>
        <v>0.94854285448896025</v>
      </c>
      <c r="CW26" s="15">
        <f>INDEX(Offense!$AB$3:$BA$8,2,MATCH(CW$2,Offense!$AB$3:$BA$3,0))</f>
        <v>85.640824181858136</v>
      </c>
      <c r="CX26" s="15">
        <f>INDEX(Offense!$AB$3:$BA$8,2,MATCH(CX$2,Offense!$AB$3:$BA$3,0))</f>
        <v>0.18969054669932336</v>
      </c>
      <c r="CY26" s="15">
        <f>INDEX(Offense!$AB$3:$BA$8,2,MATCH(CY$2,Offense!$AB$3:$BA$3,0))</f>
        <v>15.281981293875587</v>
      </c>
      <c r="CZ26" s="15">
        <f>INDEX(Offense!$AB$3:$BA$8,2,MATCH(CZ$2,Offense!$AB$3:$BA$3,0))</f>
        <v>8.6824407438745616E-2</v>
      </c>
      <c r="DA26" s="15">
        <f>INDEX(Offense!$AB$3:$BA$8,2,MATCH(DA$2,Offense!$AB$3:$BA$3,0))</f>
        <v>5.4421042890783919</v>
      </c>
      <c r="DB26" s="15">
        <f>INDEX(Offense!$AB$3:$BA$8,2,MATCH(DB$2,Offense!$AB$3:$BA$3,0))</f>
        <v>-0.20243279756818017</v>
      </c>
      <c r="DC26" s="15">
        <f>INDEX(Offense!$AB$3:$BA$8,2,MATCH(DC$2,Offense!$AB$3:$BA$3,0))</f>
        <v>-1.5058230699739127E-2</v>
      </c>
      <c r="DD26" s="15">
        <f>INDEX(Offense!$AB$3:$BA$8,2,MATCH(DD$2,Offense!$AB$3:$BA$3,0))</f>
        <v>1.816205347682766E-4</v>
      </c>
      <c r="DE26" s="15">
        <f>INDEX(Offense!$AB$3:$BA$8,2,MATCH(DE$2,Offense!$AB$3:$BA$3,0))</f>
        <v>-3.5192292427553826E-2</v>
      </c>
      <c r="DF26" s="15">
        <f>INDEX(Offense!$AB$3:$BA$8,2,MATCH(DF$2,Offense!$AB$3:$BA$3,0))</f>
        <v>-5.4876472195541252E-2</v>
      </c>
      <c r="DG26" s="15">
        <f>INDEX(Offense!$AB$3:$BA$8,2,MATCH(DG$2,Offense!$AB$3:$BA$3,0))</f>
        <v>9.8474663700154286E-2</v>
      </c>
      <c r="DH26" s="15">
        <f>INDEX(Offense!$AB$3:$BA$8,2,MATCH(DH$2,Offense!$AB$3:$BA$3,0))</f>
        <v>1.3645952114017732E-3</v>
      </c>
      <c r="DI26" s="15">
        <f>INDEX(Offense!$AB$3:$BA$8,2,MATCH(DI$2,Offense!$AB$3:$BA$3,0))</f>
        <v>84.693499827495899</v>
      </c>
      <c r="DJ26" s="15">
        <f>INDEX(Offense!$AB$3:$BA$8,2,MATCH(DJ$2,Offense!$AB$3:$BA$3,0))</f>
        <v>-0.41522539338692127</v>
      </c>
      <c r="DK26" s="15">
        <f>INDEX(Offense!$AB$3:$BA$8,2,MATCH(DK$2,Offense!$AB$3:$BA$3,0))</f>
        <v>0.19885166787903463</v>
      </c>
      <c r="DL26" s="15">
        <f>INDEX(Offense!$AB$3:$BA$8,2,MATCH(DL$2,Offense!$AB$3:$BA$3,0))</f>
        <v>65.336144739305752</v>
      </c>
      <c r="DM26" s="15">
        <f>INDEX(Offense!$AB$3:$BA$8,2,MATCH(DM$2,Offense!$AB$3:$BA$3,0))</f>
        <v>-85.690558012232202</v>
      </c>
      <c r="DN26" t="str">
        <f t="shared" si="23"/>
        <v/>
      </c>
      <c r="DO26" t="str">
        <f t="shared" si="24"/>
        <v/>
      </c>
      <c r="DP26" t="str">
        <f t="shared" si="25"/>
        <v/>
      </c>
      <c r="DQ26" t="e">
        <f>IF(#REF!=0,"",ROUND(IF(#REF!&lt;0,#REF!/(#REF!-100),1/(#REF!/100+1)),2))</f>
        <v>#REF!</v>
      </c>
      <c r="DR26" t="str">
        <f t="shared" si="26"/>
        <v/>
      </c>
      <c r="DS26" t="e">
        <f t="shared" si="27"/>
        <v>#VALUE!</v>
      </c>
      <c r="DT26" s="59" t="str">
        <f t="shared" si="59"/>
        <v/>
      </c>
      <c r="DU26" s="17" t="str">
        <f t="shared" si="41"/>
        <v/>
      </c>
      <c r="DV26" s="177"/>
      <c r="DX26" t="str">
        <f t="shared" ca="1" si="28"/>
        <v/>
      </c>
      <c r="DY26" t="str">
        <f t="shared" ca="1" si="29"/>
        <v/>
      </c>
      <c r="DZ26" s="39" t="str">
        <f t="shared" ca="1" si="30"/>
        <v/>
      </c>
      <c r="EA26" t="str">
        <f t="shared" si="42"/>
        <v/>
      </c>
      <c r="EB26" t="str">
        <f t="shared" si="31"/>
        <v/>
      </c>
      <c r="EC26" t="str">
        <f t="shared" si="43"/>
        <v/>
      </c>
      <c r="ED26" t="str">
        <f t="shared" si="60"/>
        <v/>
      </c>
      <c r="EE26" t="str">
        <f t="shared" si="32"/>
        <v/>
      </c>
      <c r="EF26" t="str">
        <f t="shared" si="44"/>
        <v/>
      </c>
      <c r="EG26" t="str">
        <f t="shared" si="33"/>
        <v/>
      </c>
      <c r="EH26" t="str">
        <f t="shared" si="45"/>
        <v/>
      </c>
      <c r="EI26" t="str">
        <f t="shared" si="34"/>
        <v/>
      </c>
      <c r="EJ26">
        <f t="shared" si="46"/>
        <v>0</v>
      </c>
      <c r="EK26" t="str">
        <f t="shared" si="47"/>
        <v/>
      </c>
      <c r="EL26" t="str">
        <f>IF(ISBLANK(G26),"",IF(DQ26&lt;0.5,IF(DP26&gt;0.5*$FG$7,G26&amp;" Moneyline (+"&amp;#REF!&amp;")",""),IF(DP26&gt;$FG$6*DQ26,G26&amp;" Moneyline ("&amp;#REF!&amp;")","")))</f>
        <v/>
      </c>
      <c r="EN26">
        <f t="shared" ca="1" si="48"/>
        <v>12</v>
      </c>
      <c r="EO26" t="str">
        <f t="shared" si="35"/>
        <v xml:space="preserve"> @ </v>
      </c>
      <c r="EP26" t="str">
        <f t="shared" ca="1" si="49"/>
        <v/>
      </c>
      <c r="EQ26" s="19" t="str">
        <f t="shared" ca="1" si="50"/>
        <v/>
      </c>
      <c r="ER26">
        <f t="shared" ca="1" si="51"/>
        <v>0</v>
      </c>
      <c r="ES26" s="19" t="str">
        <f t="shared" si="52"/>
        <v/>
      </c>
      <c r="ET26" s="19" t="str">
        <f>IF(ISBLANK(G26),"",IF(DT26&gt;0.625,G26&amp;" Moneyline ("&amp;#REF!&amp;")",""))</f>
        <v/>
      </c>
      <c r="EU26" s="1" t="str">
        <f>IF(ISNUMBER(CODE(ET26)),#REF!,"")</f>
        <v/>
      </c>
      <c r="EV26" s="1" t="str">
        <f t="shared" si="53"/>
        <v/>
      </c>
      <c r="EW26" s="3"/>
      <c r="EX26" s="1" t="e">
        <f t="shared" ca="1" si="54"/>
        <v>#N/A</v>
      </c>
      <c r="EY26" s="1" t="e">
        <f t="shared" ca="1" si="55"/>
        <v>#N/A</v>
      </c>
      <c r="EZ26" s="3" t="e">
        <f t="shared" ca="1" si="56"/>
        <v>#N/A</v>
      </c>
      <c r="FA26" s="19"/>
      <c r="FB26" s="19"/>
      <c r="FC26" s="19"/>
      <c r="FD26" s="19"/>
      <c r="FE26" s="19"/>
    </row>
    <row r="27" spans="7:161" x14ac:dyDescent="0.25">
      <c r="G27" s="7"/>
      <c r="H27" s="8" t="str">
        <f>IF(ISBLANK(G27),"",IF(#REF!&lt;0,#REF!,""))</f>
        <v/>
      </c>
      <c r="I27" s="8"/>
      <c r="J27" s="179" t="str">
        <f t="shared" ref="J27" si="82">IF(ISBLANK(G27),"",IF(I27&lt;1,I28,I27))</f>
        <v/>
      </c>
      <c r="K27" s="12" t="str">
        <f>IF(ISBLANK($G27),"",INDEX(OLook[],MATCH($G27,OLook[Team],0),MATCH(K$2,OLook[#Headers],0)))</f>
        <v/>
      </c>
      <c r="L27" s="12" t="str">
        <f>IF(ISBLANK($G27),"",INDEX(OLook[],MATCH($G27,OLook[Team],0),MATCH(L$2,OLook[#Headers],0)))</f>
        <v/>
      </c>
      <c r="M27" s="12" t="str">
        <f>IF(ISBLANK($G27),"",INDEX(OLook[],MATCH($G27,OLook[Team],0),MATCH(M$2,OLook[#Headers],0)))</f>
        <v/>
      </c>
      <c r="N27" s="12" t="str">
        <f>IF(ISBLANK($G27),"",INDEX(OLook[],MATCH($G27,OLook[Team],0),MATCH(N$2,OLook[#Headers],0)))</f>
        <v/>
      </c>
      <c r="O27" s="12" t="str">
        <f>IF(ISBLANK($G27),"",INDEX(OLook[],MATCH($G27,OLook[Team],0),MATCH(O$2,OLook[#Headers],0)))</f>
        <v/>
      </c>
      <c r="P27" s="12" t="str">
        <f>IF(ISBLANK($G27),"",INDEX(OLook[],MATCH($G27,OLook[Team],0),MATCH(P$2,OLook[#Headers],0)))</f>
        <v/>
      </c>
      <c r="Q27" s="12" t="str">
        <f>IF(ISBLANK($G27),"",INDEX(OLook[],MATCH($G27,OLook[Team],0),MATCH(Q$2,OLook[#Headers],0)))</f>
        <v/>
      </c>
      <c r="R27" s="12" t="str">
        <f>IF(ISBLANK($G27),"",INDEX(OLook[],MATCH($G27,OLook[Team],0),MATCH(R$2,OLook[#Headers],0)))</f>
        <v/>
      </c>
      <c r="S27" s="12" t="str">
        <f>IF(ISBLANK($G27),"",INDEX(OLook[],MATCH($G27,OLook[Team],0),MATCH(S$2,OLook[#Headers],0)))</f>
        <v/>
      </c>
      <c r="T27" s="12" t="str">
        <f>IF(ISBLANK($G27),"",INDEX(OLook[],MATCH($G27,OLook[Team],0),MATCH(T$2,OLook[#Headers],0)))</f>
        <v/>
      </c>
      <c r="U27" s="12" t="str">
        <f>IF(ISBLANK($G27),"",INDEX(OLook[],MATCH($G27,OLook[Team],0),MATCH(U$2,OLook[#Headers],0)))</f>
        <v/>
      </c>
      <c r="V27" s="12" t="str">
        <f>IF(ISBLANK($G27),"",INDEX(OLook[],MATCH($G27,OLook[Team],0),MATCH(V$2,OLook[#Headers],0)))</f>
        <v/>
      </c>
      <c r="W27" s="12" t="str">
        <f>IF(ISBLANK($G27),"",INDEX(OLook[],MATCH($G27,OLook[Team],0),MATCH(W$2,OLook[#Headers],0)))</f>
        <v/>
      </c>
      <c r="X27" s="12" t="str">
        <f>IF(ISBLANK($G27),"",INDEX(OLook[],MATCH($G27,OLook[Team],0),MATCH(X$2,OLook[#Headers],0)))</f>
        <v/>
      </c>
      <c r="Y27" s="12" t="str">
        <f>IF(ISBLANK($G27),"",INDEX(OLook[],MATCH($G27,OLook[Team],0),MATCH(Y$2,OLook[#Headers],0)))</f>
        <v/>
      </c>
      <c r="Z27" s="12" t="str">
        <f>IF(ISBLANK($G27),"",INDEX(OLook[],MATCH($G27,OLook[Team],0),MATCH(Z$2,OLook[#Headers],0)))</f>
        <v/>
      </c>
      <c r="AA27" s="12" t="str">
        <f>IF(ISBLANK($G27),"",INDEX(OLook[],MATCH($G27,OLook[Team],0),MATCH(AA$2,OLook[#Headers],0)))</f>
        <v/>
      </c>
      <c r="AB27" s="12" t="str">
        <f>IF(ISBLANK($G27),"",INDEX(OLook[],MATCH($G27,OLook[Team],0),MATCH(AB$2,OLook[#Headers],0)))</f>
        <v/>
      </c>
      <c r="AC27" s="12" t="str">
        <f>IF(ISBLANK($G27),"",INDEX(OLook[],MATCH($G27,OLook[Team],0),MATCH(AC$2,OLook[#Headers],0)))</f>
        <v/>
      </c>
      <c r="AD27" s="12" t="str">
        <f>IF(ISBLANK($G27),"",INDEX(OLook[],MATCH($G27,OLook[Team],0),MATCH(AD$2,OLook[#Headers],0)))</f>
        <v/>
      </c>
      <c r="AE27" s="12" t="str">
        <f>IF(ISBLANK($G27),"",INDEX(OLook[],MATCH($G27,OLook[Team],0),MATCH(AE$2,OLook[#Headers],0)))</f>
        <v/>
      </c>
      <c r="AF27" s="12" t="str">
        <f>IF(ISBLANK($G27),"",IF(ISODD(ROW()),INDEX(Scores!$B$2:'Scores'!$N$32,MATCH(G27,Scores!$C$2:$C$32,0),6),INDEX(Scores!$B$2:'Scores'!$N$32,MATCH(G27,Scores!$C$2:$C$32,0),10)))</f>
        <v/>
      </c>
      <c r="AG27" s="12" t="str">
        <f>IF(ISBLANK($G27),"",INDEX(Scores!$B$2:$P$32,MATCH($G27,Scores!$C$2:$C$32,0),MATCH(AG$2,Scores!$B$2:$P$2,0)))</f>
        <v/>
      </c>
      <c r="AH27" s="11" t="str">
        <f>IF(ISBLANK($G27),"",INDEX(DLook[],MATCH($G27,DLook[Team],0),MATCH(AH$2,DLook[#Headers],0)))</f>
        <v/>
      </c>
      <c r="AI27" s="11" t="str">
        <f>IF(ISBLANK($G27),"",INDEX(DLook[],MATCH($G27,DLook[Team],0),MATCH(AI$2,DLook[#Headers],0)))</f>
        <v/>
      </c>
      <c r="AJ27" s="11" t="str">
        <f>IF(ISBLANK($G27),"",INDEX(DLook[],MATCH($G27,DLook[Team],0),MATCH(AJ$2,DLook[#Headers],0)))</f>
        <v/>
      </c>
      <c r="AK27" s="11" t="str">
        <f>IF(ISBLANK($G27),"",INDEX(DLook[],MATCH($G27,DLook[Team],0),MATCH(AK$2,DLook[#Headers],0)))</f>
        <v/>
      </c>
      <c r="AL27" s="11" t="str">
        <f>IF(ISBLANK($G27),"",INDEX(DLook[],MATCH($G27,DLook[Team],0),MATCH(AL$2,DLook[#Headers],0)))</f>
        <v/>
      </c>
      <c r="AM27" s="11" t="str">
        <f>IF(ISBLANK($G27),"",INDEX(DLook[],MATCH($G27,DLook[Team],0),MATCH(AM$2,DLook[#Headers],0)))</f>
        <v/>
      </c>
      <c r="AN27" s="11" t="str">
        <f>IF(ISBLANK($G27),"",INDEX(DLook[],MATCH($G27,DLook[Team],0),MATCH(AN$2,DLook[#Headers],0)))</f>
        <v/>
      </c>
      <c r="AO27" s="11" t="str">
        <f>IF(ISBLANK($G27),"",INDEX(DLook[],MATCH($G27,DLook[Team],0),MATCH(AO$2,DLook[#Headers],0)))</f>
        <v/>
      </c>
      <c r="AP27" s="11" t="str">
        <f>IF(ISBLANK($G27),"",INDEX(DLook[],MATCH($G27,DLook[Team],0),MATCH(AP$2,DLook[#Headers],0)))</f>
        <v/>
      </c>
      <c r="AQ27" s="11" t="str">
        <f>IF(ISBLANK($G27),"",INDEX(DLook[],MATCH($G27,DLook[Team],0),MATCH(AQ$2,DLook[#Headers],0)))</f>
        <v/>
      </c>
      <c r="AR27" s="11" t="str">
        <f>IF(ISBLANK($G27),"",INDEX(DLook[],MATCH($G27,DLook[Team],0),MATCH(AR$2,DLook[#Headers],0)))</f>
        <v/>
      </c>
      <c r="AS27" s="11" t="str">
        <f>IF(ISBLANK($G27),"",INDEX(DLook[],MATCH($G27,DLook[Team],0),MATCH(AS$2,DLook[#Headers],0)))</f>
        <v/>
      </c>
      <c r="AT27" s="11" t="str">
        <f>IF(ISBLANK($G27),"",INDEX(DLook[],MATCH($G27,DLook[Team],0),MATCH(AT$2,DLook[#Headers],0)))</f>
        <v/>
      </c>
      <c r="AU27" s="11" t="str">
        <f>IF(ISBLANK($G27),"",INDEX(DLook[],MATCH($G27,DLook[Team],0),MATCH(AU$2,DLook[#Headers],0)))</f>
        <v/>
      </c>
      <c r="AV27" s="11" t="str">
        <f>IF(ISBLANK($G27),"",INDEX(DLook[],MATCH($G27,DLook[Team],0),MATCH(AV$2,DLook[#Headers],0)))</f>
        <v/>
      </c>
      <c r="AW27" s="11" t="str">
        <f>IF(ISBLANK($G27),"",INDEX(DLook[],MATCH($G27,DLook[Team],0),MATCH(AW$2,DLook[#Headers],0)))</f>
        <v/>
      </c>
      <c r="AX27" s="11" t="str">
        <f>IF(ISBLANK($G27),"",INDEX(DLook[],MATCH($G27,DLook[Team],0),MATCH(AX$2,DLook[#Headers],0)))</f>
        <v/>
      </c>
      <c r="AY27" s="11" t="str">
        <f>IF(ISBLANK($G27),"",INDEX(DLook[],MATCH($G27,DLook[Team],0),MATCH(AY$2,DLook[#Headers],0)))</f>
        <v/>
      </c>
      <c r="AZ27" s="14" t="str">
        <f t="shared" si="0"/>
        <v/>
      </c>
      <c r="BA27" s="14" t="str">
        <f t="shared" si="1"/>
        <v/>
      </c>
      <c r="BB27" s="14" t="str">
        <f t="shared" si="2"/>
        <v/>
      </c>
      <c r="BC27" s="14" t="str">
        <f t="shared" si="3"/>
        <v/>
      </c>
      <c r="BD27" s="14" t="str">
        <f t="shared" si="4"/>
        <v/>
      </c>
      <c r="BE27" s="14" t="str">
        <f t="shared" si="5"/>
        <v/>
      </c>
      <c r="BF27" s="14" t="str">
        <f t="shared" si="6"/>
        <v/>
      </c>
      <c r="BG27" s="14" t="str">
        <f t="shared" si="7"/>
        <v/>
      </c>
      <c r="BH27" s="14" t="str">
        <f t="shared" si="8"/>
        <v/>
      </c>
      <c r="BI27" s="14" t="str">
        <f t="shared" si="9"/>
        <v/>
      </c>
      <c r="BJ27" s="14" t="str">
        <f t="shared" si="10"/>
        <v/>
      </c>
      <c r="BK27" s="14" t="str">
        <f t="shared" si="11"/>
        <v/>
      </c>
      <c r="BL27" s="14" t="str">
        <f t="shared" si="12"/>
        <v/>
      </c>
      <c r="BM27" s="14" t="str">
        <f t="shared" si="13"/>
        <v/>
      </c>
      <c r="BN27" s="14" t="str">
        <f t="shared" si="14"/>
        <v/>
      </c>
      <c r="BO27" s="14" t="str">
        <f t="shared" si="15"/>
        <v/>
      </c>
      <c r="BP27" s="14" t="str">
        <f t="shared" si="16"/>
        <v/>
      </c>
      <c r="BQ27" s="13" t="str">
        <f t="shared" si="17"/>
        <v/>
      </c>
      <c r="BR27" s="13" t="str">
        <f t="shared" si="18"/>
        <v/>
      </c>
      <c r="BS27" s="13" t="str">
        <f t="shared" si="19"/>
        <v/>
      </c>
      <c r="BT27" s="13" t="str">
        <f t="shared" si="20"/>
        <v/>
      </c>
      <c r="BU27" s="13" t="str">
        <f t="shared" si="36"/>
        <v/>
      </c>
      <c r="BV27" s="13" t="str">
        <f t="shared" si="37"/>
        <v/>
      </c>
      <c r="BW27" s="13" t="str">
        <f t="shared" si="58"/>
        <v/>
      </c>
      <c r="BX27" s="13" t="str">
        <f t="shared" si="21"/>
        <v/>
      </c>
      <c r="BY27" s="13" t="str">
        <f t="shared" si="38"/>
        <v/>
      </c>
      <c r="BZ27" s="13" t="str">
        <f t="shared" si="39"/>
        <v/>
      </c>
      <c r="CA27" s="13">
        <f>IF(ISBLANK(B27),0,INDEX(Advanced_Table[],MATCH(B27,Advanced_Table[Player],0),MATCH("Scaled VORP",Advanced_Table[#Headers],0)))+IF(ISBLANK(C27),0,INDEX(Advanced_Table[],MATCH(C27,Advanced_Table[Player],0),MATCH("Scaled VORP",Advanced_Table[#Headers],0)))+IF(ISBLANK(D27),0,INDEX(Advanced_Table[],MATCH(D27,Advanced_Table[Player],0),MATCH("Scaled VORP",Advanced_Table[#Headers],0)))+IF(ISBLANK(E27),0,INDEX(Advanced_Table[],MATCH(E27,Advanced_Table[Player],0),MATCH("Scaled VORP",Advanced_Table[#Headers],0)))+IF(ISBLANK(F27),0,INDEX(Advanced_Table[],MATCH(F27,Advanced_Table[Player],0),MATCH("Scaled VORP",Advanced_Table[#Headers],0)))</f>
        <v>0</v>
      </c>
      <c r="CB27" s="13" t="str">
        <f t="shared" si="40"/>
        <v/>
      </c>
      <c r="CC27" s="13" t="str">
        <f t="shared" si="22"/>
        <v/>
      </c>
      <c r="CD27" s="14">
        <f>INDEX(Defense!$AB$3:$BA$8,2,MATCH(CD$2,Defense!$AB$3:$BA$3,0))</f>
        <v>1.1881973445510248</v>
      </c>
      <c r="CE27" s="14">
        <f>INDEX(Defense!$AB$3:$BA$8,2,MATCH(CE$2,Defense!$AB$3:$BA$3,0))</f>
        <v>20.37695032952751</v>
      </c>
      <c r="CF27" s="14">
        <f>INDEX(Defense!$AB$3:$BA$8,2,MATCH(CF$2,Defense!$AB$3:$BA$3,0))</f>
        <v>3.8108594084794688E-2</v>
      </c>
      <c r="CG27" s="14">
        <f>INDEX(Defense!$AB$3:$BA$8,2,MATCH(CG$2,Defense!$AB$3:$BA$3,0))</f>
        <v>0.82665533501354516</v>
      </c>
      <c r="CH27" s="14">
        <f>INDEX(Defense!$AB$3:$BA$8,2,MATCH(CH$2,Defense!$AB$3:$BA$3,0))</f>
        <v>0.96847375256109303</v>
      </c>
      <c r="CI27" s="14">
        <f>INDEX(Defense!$AB$3:$BA$8,2,MATCH(CI$2,Defense!$AB$3:$BA$3,0))</f>
        <v>24.899423599851655</v>
      </c>
      <c r="CJ27" s="14">
        <f>INDEX(Defense!$AB$3:$BA$8,2,MATCH(CJ$2,Defense!$AB$3:$BA$3,0))</f>
        <v>4.3333160259283868E-2</v>
      </c>
      <c r="CK27" s="14">
        <f>INDEX(Defense!$AB$3:$BA$8,2,MATCH(CK$2,Defense!$AB$3:$BA$3,0))</f>
        <v>4.3643719755598418E-3</v>
      </c>
      <c r="CL27" s="14">
        <f>INDEX(Defense!$AB$3:$BA$8,2,MATCH(CL$2,Defense!$AB$3:$BA$3,0))</f>
        <v>3.3980730825493605E-2</v>
      </c>
      <c r="CM27" s="14">
        <f>INDEX(Defense!$AB$3:$BA$8,2,MATCH(CM$2,Defense!$AB$3:$BA$3,0))</f>
        <v>2.2130116153199469E-2</v>
      </c>
      <c r="CN27" s="14">
        <f>INDEX(Defense!$AB$3:$BA$8,2,MATCH(CN$2,Defense!$AB$3:$BA$3,0))</f>
        <v>1.5770727592026978E-2</v>
      </c>
      <c r="CO27" s="14">
        <f>INDEX(Defense!$AB$3:$BA$8,2,MATCH(CO$2,Defense!$AB$3:$BA$3,0))</f>
        <v>3.4820867870809513E-2</v>
      </c>
      <c r="CP27" s="14">
        <f>INDEX(Defense!$AB$3:$BA$8,2,MATCH(CP$2,Defense!$AB$3:$BA$3,0))</f>
        <v>-8.5450857094943424E-4</v>
      </c>
      <c r="CQ27" s="14">
        <f>INDEX(Defense!$AB$3:$BA$8,2,MATCH(CQ$2,Defense!$AB$3:$BA$3,0))</f>
        <v>160.75587555196628</v>
      </c>
      <c r="CR27" s="14">
        <f>INDEX(Defense!$AB$3:$BA$8,2,MATCH(CR$2,Defense!$AB$3:$BA$3,0))</f>
        <v>0.15454953937048871</v>
      </c>
      <c r="CS27" s="14">
        <f>INDEX(Defense!$AB$3:$BA$8,2,MATCH(CS$2,Defense!$AB$3:$BA$3,0))</f>
        <v>0.10198746342122103</v>
      </c>
      <c r="CT27" s="14">
        <f>INDEX(Defense!$AB$3:$BA$8,2,MATCH(CT$2,Defense!$AB$3:$BA$3,0))</f>
        <v>-13.759669623776899</v>
      </c>
      <c r="CU27" s="14">
        <f>INDEX(Defense!$AB$3:$BA$8,2,MATCH(CU$2,Defense!$AB$3:$BA$3,0))</f>
        <v>-140.43646301959095</v>
      </c>
      <c r="CV27" s="15">
        <f>INDEX(Offense!$AB$3:$BA$8,2,MATCH(CV$2,Offense!$AB$3:$BA$3,0))</f>
        <v>0.94854285448896025</v>
      </c>
      <c r="CW27" s="15">
        <f>INDEX(Offense!$AB$3:$BA$8,2,MATCH(CW$2,Offense!$AB$3:$BA$3,0))</f>
        <v>85.640824181858136</v>
      </c>
      <c r="CX27" s="15">
        <f>INDEX(Offense!$AB$3:$BA$8,2,MATCH(CX$2,Offense!$AB$3:$BA$3,0))</f>
        <v>0.18969054669932336</v>
      </c>
      <c r="CY27" s="15">
        <f>INDEX(Offense!$AB$3:$BA$8,2,MATCH(CY$2,Offense!$AB$3:$BA$3,0))</f>
        <v>15.281981293875587</v>
      </c>
      <c r="CZ27" s="15">
        <f>INDEX(Offense!$AB$3:$BA$8,2,MATCH(CZ$2,Offense!$AB$3:$BA$3,0))</f>
        <v>8.6824407438745616E-2</v>
      </c>
      <c r="DA27" s="15">
        <f>INDEX(Offense!$AB$3:$BA$8,2,MATCH(DA$2,Offense!$AB$3:$BA$3,0))</f>
        <v>5.4421042890783919</v>
      </c>
      <c r="DB27" s="15">
        <f>INDEX(Offense!$AB$3:$BA$8,2,MATCH(DB$2,Offense!$AB$3:$BA$3,0))</f>
        <v>-0.20243279756818017</v>
      </c>
      <c r="DC27" s="15">
        <f>INDEX(Offense!$AB$3:$BA$8,2,MATCH(DC$2,Offense!$AB$3:$BA$3,0))</f>
        <v>-1.5058230699739127E-2</v>
      </c>
      <c r="DD27" s="15">
        <f>INDEX(Offense!$AB$3:$BA$8,2,MATCH(DD$2,Offense!$AB$3:$BA$3,0))</f>
        <v>1.816205347682766E-4</v>
      </c>
      <c r="DE27" s="15">
        <f>INDEX(Offense!$AB$3:$BA$8,2,MATCH(DE$2,Offense!$AB$3:$BA$3,0))</f>
        <v>-3.5192292427553826E-2</v>
      </c>
      <c r="DF27" s="15">
        <f>INDEX(Offense!$AB$3:$BA$8,2,MATCH(DF$2,Offense!$AB$3:$BA$3,0))</f>
        <v>-5.4876472195541252E-2</v>
      </c>
      <c r="DG27" s="15">
        <f>INDEX(Offense!$AB$3:$BA$8,2,MATCH(DG$2,Offense!$AB$3:$BA$3,0))</f>
        <v>9.8474663700154286E-2</v>
      </c>
      <c r="DH27" s="15">
        <f>INDEX(Offense!$AB$3:$BA$8,2,MATCH(DH$2,Offense!$AB$3:$BA$3,0))</f>
        <v>1.3645952114017732E-3</v>
      </c>
      <c r="DI27" s="15">
        <f>INDEX(Offense!$AB$3:$BA$8,2,MATCH(DI$2,Offense!$AB$3:$BA$3,0))</f>
        <v>84.693499827495899</v>
      </c>
      <c r="DJ27" s="15">
        <f>INDEX(Offense!$AB$3:$BA$8,2,MATCH(DJ$2,Offense!$AB$3:$BA$3,0))</f>
        <v>-0.41522539338692127</v>
      </c>
      <c r="DK27" s="15">
        <f>INDEX(Offense!$AB$3:$BA$8,2,MATCH(DK$2,Offense!$AB$3:$BA$3,0))</f>
        <v>0.19885166787903463</v>
      </c>
      <c r="DL27" s="15">
        <f>INDEX(Offense!$AB$3:$BA$8,2,MATCH(DL$2,Offense!$AB$3:$BA$3,0))</f>
        <v>65.336144739305752</v>
      </c>
      <c r="DM27" s="15">
        <f>INDEX(Offense!$AB$3:$BA$8,2,MATCH(DM$2,Offense!$AB$3:$BA$3,0))</f>
        <v>-85.690558012232202</v>
      </c>
      <c r="DN27" t="str">
        <f t="shared" si="23"/>
        <v/>
      </c>
      <c r="DO27" t="str">
        <f t="shared" si="24"/>
        <v/>
      </c>
      <c r="DP27" t="str">
        <f t="shared" si="25"/>
        <v/>
      </c>
      <c r="DQ27" t="e">
        <f>IF(#REF!=0,"",ROUND(IF(#REF!&lt;0,#REF!/(#REF!-100),1/(#REF!/100+1)),2))</f>
        <v>#REF!</v>
      </c>
      <c r="DR27" t="str">
        <f t="shared" si="26"/>
        <v/>
      </c>
      <c r="DS27" t="e">
        <f t="shared" si="27"/>
        <v>#VALUE!</v>
      </c>
      <c r="DT27" s="58" t="str">
        <f t="shared" si="59"/>
        <v/>
      </c>
      <c r="DU27" s="16" t="str">
        <f t="shared" si="41"/>
        <v/>
      </c>
      <c r="DV27" s="176" t="str">
        <f>IFERROR(IF(ISODD(ROW()),ROUND(CB27+CB28,0),ROUND(CB27+CB26,0)),"")</f>
        <v/>
      </c>
      <c r="DX27" t="str">
        <f t="shared" ca="1" si="28"/>
        <v/>
      </c>
      <c r="DY27" t="str">
        <f t="shared" ca="1" si="29"/>
        <v/>
      </c>
      <c r="DZ27" s="39" t="str">
        <f t="shared" ca="1" si="30"/>
        <v/>
      </c>
      <c r="EA27" t="str">
        <f t="shared" si="42"/>
        <v/>
      </c>
      <c r="EB27" t="str">
        <f t="shared" si="31"/>
        <v/>
      </c>
      <c r="EC27" t="str">
        <f t="shared" si="43"/>
        <v/>
      </c>
      <c r="ED27" t="str">
        <f t="shared" si="60"/>
        <v/>
      </c>
      <c r="EE27" t="str">
        <f t="shared" si="32"/>
        <v/>
      </c>
      <c r="EF27" t="str">
        <f t="shared" si="44"/>
        <v/>
      </c>
      <c r="EG27" t="str">
        <f t="shared" si="33"/>
        <v/>
      </c>
      <c r="EH27" t="str">
        <f t="shared" si="45"/>
        <v/>
      </c>
      <c r="EI27" t="str">
        <f t="shared" si="34"/>
        <v/>
      </c>
      <c r="EJ27">
        <f t="shared" si="46"/>
        <v>0</v>
      </c>
      <c r="EK27" t="str">
        <f t="shared" si="47"/>
        <v/>
      </c>
      <c r="EL27" t="str">
        <f>IF(ISBLANK(G27),"",IF(DQ27&lt;0.5,IF(DP27&gt;0.5*$FG$7,G27&amp;" Moneyline (+"&amp;#REF!&amp;")",""),IF(DP27&gt;$FG$6*DQ27,G27&amp;" Moneyline ("&amp;#REF!&amp;")","")))</f>
        <v/>
      </c>
      <c r="EN27">
        <f t="shared" ca="1" si="48"/>
        <v>12</v>
      </c>
      <c r="EO27" t="str">
        <f t="shared" si="35"/>
        <v xml:space="preserve"> @ </v>
      </c>
      <c r="EP27" t="str">
        <f t="shared" ca="1" si="49"/>
        <v/>
      </c>
      <c r="EQ27" s="19" t="str">
        <f t="shared" ca="1" si="50"/>
        <v/>
      </c>
      <c r="ER27">
        <f t="shared" ca="1" si="51"/>
        <v>0</v>
      </c>
      <c r="ES27" s="19" t="str">
        <f t="shared" si="52"/>
        <v/>
      </c>
      <c r="ET27" s="19" t="str">
        <f>IF(ISBLANK(G27),"",IF(DT27&gt;0.625,G27&amp;" Moneyline ("&amp;#REF!&amp;")",""))</f>
        <v/>
      </c>
      <c r="EU27" s="1" t="str">
        <f>IF(ISNUMBER(CODE(ET27)),#REF!,"")</f>
        <v/>
      </c>
      <c r="EV27" s="1" t="str">
        <f t="shared" si="53"/>
        <v/>
      </c>
      <c r="EW27" s="3"/>
      <c r="EX27" s="1" t="e">
        <f t="shared" ca="1" si="54"/>
        <v>#N/A</v>
      </c>
      <c r="EY27" s="1" t="e">
        <f t="shared" ca="1" si="55"/>
        <v>#N/A</v>
      </c>
      <c r="EZ27" s="3" t="e">
        <f t="shared" ca="1" si="56"/>
        <v>#N/A</v>
      </c>
      <c r="FA27" s="19"/>
      <c r="FB27" s="19"/>
      <c r="FC27" s="19"/>
      <c r="FD27" s="19"/>
      <c r="FE27" s="19"/>
    </row>
    <row r="28" spans="7:161" ht="15.75" thickBot="1" x14ac:dyDescent="0.3">
      <c r="G28" s="9"/>
      <c r="H28" s="10" t="str">
        <f>IF(ISBLANK(G28),"",IF(#REF!&lt;0,#REF!,""))</f>
        <v/>
      </c>
      <c r="I28" s="10"/>
      <c r="J28" s="180" t="str">
        <f t="shared" ref="J28" si="83">IF(H28&lt;1,H29,H28)</f>
        <v/>
      </c>
      <c r="K28" s="12" t="str">
        <f>IF(ISBLANK($G28),"",INDEX(OLook[],MATCH($G28,OLook[Team],0),MATCH(K$2,OLook[#Headers],0)))</f>
        <v/>
      </c>
      <c r="L28" s="12" t="str">
        <f>IF(ISBLANK($G28),"",INDEX(OLook[],MATCH($G28,OLook[Team],0),MATCH(L$2,OLook[#Headers],0)))</f>
        <v/>
      </c>
      <c r="M28" s="12" t="str">
        <f>IF(ISBLANK($G28),"",INDEX(OLook[],MATCH($G28,OLook[Team],0),MATCH(M$2,OLook[#Headers],0)))</f>
        <v/>
      </c>
      <c r="N28" s="12" t="str">
        <f>IF(ISBLANK($G28),"",INDEX(OLook[],MATCH($G28,OLook[Team],0),MATCH(N$2,OLook[#Headers],0)))</f>
        <v/>
      </c>
      <c r="O28" s="12" t="str">
        <f>IF(ISBLANK($G28),"",INDEX(OLook[],MATCH($G28,OLook[Team],0),MATCH(O$2,OLook[#Headers],0)))</f>
        <v/>
      </c>
      <c r="P28" s="12" t="str">
        <f>IF(ISBLANK($G28),"",INDEX(OLook[],MATCH($G28,OLook[Team],0),MATCH(P$2,OLook[#Headers],0)))</f>
        <v/>
      </c>
      <c r="Q28" s="12" t="str">
        <f>IF(ISBLANK($G28),"",INDEX(OLook[],MATCH($G28,OLook[Team],0),MATCH(Q$2,OLook[#Headers],0)))</f>
        <v/>
      </c>
      <c r="R28" s="12" t="str">
        <f>IF(ISBLANK($G28),"",INDEX(OLook[],MATCH($G28,OLook[Team],0),MATCH(R$2,OLook[#Headers],0)))</f>
        <v/>
      </c>
      <c r="S28" s="12" t="str">
        <f>IF(ISBLANK($G28),"",INDEX(OLook[],MATCH($G28,OLook[Team],0),MATCH(S$2,OLook[#Headers],0)))</f>
        <v/>
      </c>
      <c r="T28" s="12" t="str">
        <f>IF(ISBLANK($G28),"",INDEX(OLook[],MATCH($G28,OLook[Team],0),MATCH(T$2,OLook[#Headers],0)))</f>
        <v/>
      </c>
      <c r="U28" s="12" t="str">
        <f>IF(ISBLANK($G28),"",INDEX(OLook[],MATCH($G28,OLook[Team],0),MATCH(U$2,OLook[#Headers],0)))</f>
        <v/>
      </c>
      <c r="V28" s="12" t="str">
        <f>IF(ISBLANK($G28),"",INDEX(OLook[],MATCH($G28,OLook[Team],0),MATCH(V$2,OLook[#Headers],0)))</f>
        <v/>
      </c>
      <c r="W28" s="12" t="str">
        <f>IF(ISBLANK($G28),"",INDEX(OLook[],MATCH($G28,OLook[Team],0),MATCH(W$2,OLook[#Headers],0)))</f>
        <v/>
      </c>
      <c r="X28" s="12" t="str">
        <f>IF(ISBLANK($G28),"",INDEX(OLook[],MATCH($G28,OLook[Team],0),MATCH(X$2,OLook[#Headers],0)))</f>
        <v/>
      </c>
      <c r="Y28" s="12" t="str">
        <f>IF(ISBLANK($G28),"",INDEX(OLook[],MATCH($G28,OLook[Team],0),MATCH(Y$2,OLook[#Headers],0)))</f>
        <v/>
      </c>
      <c r="Z28" s="12" t="str">
        <f>IF(ISBLANK($G28),"",INDEX(OLook[],MATCH($G28,OLook[Team],0),MATCH(Z$2,OLook[#Headers],0)))</f>
        <v/>
      </c>
      <c r="AA28" s="12" t="str">
        <f>IF(ISBLANK($G28),"",INDEX(OLook[],MATCH($G28,OLook[Team],0),MATCH(AA$2,OLook[#Headers],0)))</f>
        <v/>
      </c>
      <c r="AB28" s="12" t="str">
        <f>IF(ISBLANK($G28),"",INDEX(OLook[],MATCH($G28,OLook[Team],0),MATCH(AB$2,OLook[#Headers],0)))</f>
        <v/>
      </c>
      <c r="AC28" s="12" t="str">
        <f>IF(ISBLANK($G28),"",INDEX(OLook[],MATCH($G28,OLook[Team],0),MATCH(AC$2,OLook[#Headers],0)))</f>
        <v/>
      </c>
      <c r="AD28" s="12" t="str">
        <f>IF(ISBLANK($G28),"",INDEX(OLook[],MATCH($G28,OLook[Team],0),MATCH(AD$2,OLook[#Headers],0)))</f>
        <v/>
      </c>
      <c r="AE28" s="12" t="str">
        <f>IF(ISBLANK($G28),"",INDEX(OLook[],MATCH($G28,OLook[Team],0),MATCH(AE$2,OLook[#Headers],0)))</f>
        <v/>
      </c>
      <c r="AF28" s="12" t="str">
        <f>IF(ISBLANK($G28),"",IF(ISODD(ROW()),INDEX(Scores!$B$2:'Scores'!$N$32,MATCH(G28,Scores!$C$2:$C$32,0),6),INDEX(Scores!$B$2:'Scores'!$N$32,MATCH(G28,Scores!$C$2:$C$32,0),10)))</f>
        <v/>
      </c>
      <c r="AG28" s="12" t="str">
        <f>IF(ISBLANK($G28),"",INDEX(Scores!$B$2:$P$32,MATCH($G28,Scores!$C$2:$C$32,0),MATCH(AG$2,Scores!$B$2:$P$2,0)))</f>
        <v/>
      </c>
      <c r="AH28" s="11" t="str">
        <f>IF(ISBLANK($G28),"",INDEX(DLook[],MATCH($G28,DLook[Team],0),MATCH(AH$2,DLook[#Headers],0)))</f>
        <v/>
      </c>
      <c r="AI28" s="11" t="str">
        <f>IF(ISBLANK($G28),"",INDEX(DLook[],MATCH($G28,DLook[Team],0),MATCH(AI$2,DLook[#Headers],0)))</f>
        <v/>
      </c>
      <c r="AJ28" s="11" t="str">
        <f>IF(ISBLANK($G28),"",INDEX(DLook[],MATCH($G28,DLook[Team],0),MATCH(AJ$2,DLook[#Headers],0)))</f>
        <v/>
      </c>
      <c r="AK28" s="11" t="str">
        <f>IF(ISBLANK($G28),"",INDEX(DLook[],MATCH($G28,DLook[Team],0),MATCH(AK$2,DLook[#Headers],0)))</f>
        <v/>
      </c>
      <c r="AL28" s="11" t="str">
        <f>IF(ISBLANK($G28),"",INDEX(DLook[],MATCH($G28,DLook[Team],0),MATCH(AL$2,DLook[#Headers],0)))</f>
        <v/>
      </c>
      <c r="AM28" s="11" t="str">
        <f>IF(ISBLANK($G28),"",INDEX(DLook[],MATCH($G28,DLook[Team],0),MATCH(AM$2,DLook[#Headers],0)))</f>
        <v/>
      </c>
      <c r="AN28" s="11" t="str">
        <f>IF(ISBLANK($G28),"",INDEX(DLook[],MATCH($G28,DLook[Team],0),MATCH(AN$2,DLook[#Headers],0)))</f>
        <v/>
      </c>
      <c r="AO28" s="11" t="str">
        <f>IF(ISBLANK($G28),"",INDEX(DLook[],MATCH($G28,DLook[Team],0),MATCH(AO$2,DLook[#Headers],0)))</f>
        <v/>
      </c>
      <c r="AP28" s="11" t="str">
        <f>IF(ISBLANK($G28),"",INDEX(DLook[],MATCH($G28,DLook[Team],0),MATCH(AP$2,DLook[#Headers],0)))</f>
        <v/>
      </c>
      <c r="AQ28" s="11" t="str">
        <f>IF(ISBLANK($G28),"",INDEX(DLook[],MATCH($G28,DLook[Team],0),MATCH(AQ$2,DLook[#Headers],0)))</f>
        <v/>
      </c>
      <c r="AR28" s="11" t="str">
        <f>IF(ISBLANK($G28),"",INDEX(DLook[],MATCH($G28,DLook[Team],0),MATCH(AR$2,DLook[#Headers],0)))</f>
        <v/>
      </c>
      <c r="AS28" s="11" t="str">
        <f>IF(ISBLANK($G28),"",INDEX(DLook[],MATCH($G28,DLook[Team],0),MATCH(AS$2,DLook[#Headers],0)))</f>
        <v/>
      </c>
      <c r="AT28" s="11" t="str">
        <f>IF(ISBLANK($G28),"",INDEX(DLook[],MATCH($G28,DLook[Team],0),MATCH(AT$2,DLook[#Headers],0)))</f>
        <v/>
      </c>
      <c r="AU28" s="11" t="str">
        <f>IF(ISBLANK($G28),"",INDEX(DLook[],MATCH($G28,DLook[Team],0),MATCH(AU$2,DLook[#Headers],0)))</f>
        <v/>
      </c>
      <c r="AV28" s="11" t="str">
        <f>IF(ISBLANK($G28),"",INDEX(DLook[],MATCH($G28,DLook[Team],0),MATCH(AV$2,DLook[#Headers],0)))</f>
        <v/>
      </c>
      <c r="AW28" s="11" t="str">
        <f>IF(ISBLANK($G28),"",INDEX(DLook[],MATCH($G28,DLook[Team],0),MATCH(AW$2,DLook[#Headers],0)))</f>
        <v/>
      </c>
      <c r="AX28" s="11" t="str">
        <f>IF(ISBLANK($G28),"",INDEX(DLook[],MATCH($G28,DLook[Team],0),MATCH(AX$2,DLook[#Headers],0)))</f>
        <v/>
      </c>
      <c r="AY28" s="11" t="str">
        <f>IF(ISBLANK($G28),"",INDEX(DLook[],MATCH($G28,DLook[Team],0),MATCH(AY$2,DLook[#Headers],0)))</f>
        <v/>
      </c>
      <c r="AZ28" s="14" t="str">
        <f t="shared" si="0"/>
        <v/>
      </c>
      <c r="BA28" s="14" t="str">
        <f t="shared" si="1"/>
        <v/>
      </c>
      <c r="BB28" s="14" t="str">
        <f t="shared" si="2"/>
        <v/>
      </c>
      <c r="BC28" s="14" t="str">
        <f t="shared" si="3"/>
        <v/>
      </c>
      <c r="BD28" s="14" t="str">
        <f t="shared" si="4"/>
        <v/>
      </c>
      <c r="BE28" s="14" t="str">
        <f t="shared" si="5"/>
        <v/>
      </c>
      <c r="BF28" s="14" t="str">
        <f t="shared" si="6"/>
        <v/>
      </c>
      <c r="BG28" s="14" t="str">
        <f t="shared" si="7"/>
        <v/>
      </c>
      <c r="BH28" s="14" t="str">
        <f t="shared" si="8"/>
        <v/>
      </c>
      <c r="BI28" s="14" t="str">
        <f t="shared" si="9"/>
        <v/>
      </c>
      <c r="BJ28" s="14" t="str">
        <f t="shared" si="10"/>
        <v/>
      </c>
      <c r="BK28" s="14" t="str">
        <f t="shared" si="11"/>
        <v/>
      </c>
      <c r="BL28" s="14" t="str">
        <f t="shared" si="12"/>
        <v/>
      </c>
      <c r="BM28" s="14" t="str">
        <f t="shared" si="13"/>
        <v/>
      </c>
      <c r="BN28" s="14" t="str">
        <f t="shared" si="14"/>
        <v/>
      </c>
      <c r="BO28" s="14" t="str">
        <f t="shared" si="15"/>
        <v/>
      </c>
      <c r="BP28" s="14" t="str">
        <f t="shared" si="16"/>
        <v/>
      </c>
      <c r="BQ28" s="13" t="str">
        <f t="shared" si="17"/>
        <v/>
      </c>
      <c r="BR28" s="13" t="str">
        <f t="shared" si="18"/>
        <v/>
      </c>
      <c r="BS28" s="13" t="str">
        <f t="shared" si="19"/>
        <v/>
      </c>
      <c r="BT28" s="13" t="str">
        <f t="shared" si="20"/>
        <v/>
      </c>
      <c r="BU28" s="13" t="str">
        <f t="shared" si="36"/>
        <v/>
      </c>
      <c r="BV28" s="13" t="str">
        <f t="shared" si="37"/>
        <v/>
      </c>
      <c r="BW28" s="13" t="str">
        <f t="shared" si="58"/>
        <v/>
      </c>
      <c r="BX28" s="13" t="str">
        <f t="shared" si="21"/>
        <v/>
      </c>
      <c r="BY28" s="13" t="str">
        <f t="shared" si="38"/>
        <v/>
      </c>
      <c r="BZ28" s="13" t="str">
        <f t="shared" si="39"/>
        <v/>
      </c>
      <c r="CA28" s="13">
        <f>IF(ISBLANK(B28),0,INDEX(Advanced_Table[],MATCH(B28,Advanced_Table[Player],0),MATCH("Scaled VORP",Advanced_Table[#Headers],0)))+IF(ISBLANK(C28),0,INDEX(Advanced_Table[],MATCH(C28,Advanced_Table[Player],0),MATCH("Scaled VORP",Advanced_Table[#Headers],0)))+IF(ISBLANK(D28),0,INDEX(Advanced_Table[],MATCH(D28,Advanced_Table[Player],0),MATCH("Scaled VORP",Advanced_Table[#Headers],0)))+IF(ISBLANK(E28),0,INDEX(Advanced_Table[],MATCH(E28,Advanced_Table[Player],0),MATCH("Scaled VORP",Advanced_Table[#Headers],0)))+IF(ISBLANK(F28),0,INDEX(Advanced_Table[],MATCH(F28,Advanced_Table[Player],0),MATCH("Scaled VORP",Advanced_Table[#Headers],0)))</f>
        <v>0</v>
      </c>
      <c r="CB28" s="13" t="str">
        <f t="shared" si="40"/>
        <v/>
      </c>
      <c r="CC28" s="13" t="str">
        <f t="shared" si="22"/>
        <v/>
      </c>
      <c r="CD28" s="14">
        <f>INDEX(Defense!$AB$3:$BA$8,2,MATCH(CD$2,Defense!$AB$3:$BA$3,0))</f>
        <v>1.1881973445510248</v>
      </c>
      <c r="CE28" s="14">
        <f>INDEX(Defense!$AB$3:$BA$8,2,MATCH(CE$2,Defense!$AB$3:$BA$3,0))</f>
        <v>20.37695032952751</v>
      </c>
      <c r="CF28" s="14">
        <f>INDEX(Defense!$AB$3:$BA$8,2,MATCH(CF$2,Defense!$AB$3:$BA$3,0))</f>
        <v>3.8108594084794688E-2</v>
      </c>
      <c r="CG28" s="14">
        <f>INDEX(Defense!$AB$3:$BA$8,2,MATCH(CG$2,Defense!$AB$3:$BA$3,0))</f>
        <v>0.82665533501354516</v>
      </c>
      <c r="CH28" s="14">
        <f>INDEX(Defense!$AB$3:$BA$8,2,MATCH(CH$2,Defense!$AB$3:$BA$3,0))</f>
        <v>0.96847375256109303</v>
      </c>
      <c r="CI28" s="14">
        <f>INDEX(Defense!$AB$3:$BA$8,2,MATCH(CI$2,Defense!$AB$3:$BA$3,0))</f>
        <v>24.899423599851655</v>
      </c>
      <c r="CJ28" s="14">
        <f>INDEX(Defense!$AB$3:$BA$8,2,MATCH(CJ$2,Defense!$AB$3:$BA$3,0))</f>
        <v>4.3333160259283868E-2</v>
      </c>
      <c r="CK28" s="14">
        <f>INDEX(Defense!$AB$3:$BA$8,2,MATCH(CK$2,Defense!$AB$3:$BA$3,0))</f>
        <v>4.3643719755598418E-3</v>
      </c>
      <c r="CL28" s="14">
        <f>INDEX(Defense!$AB$3:$BA$8,2,MATCH(CL$2,Defense!$AB$3:$BA$3,0))</f>
        <v>3.3980730825493605E-2</v>
      </c>
      <c r="CM28" s="14">
        <f>INDEX(Defense!$AB$3:$BA$8,2,MATCH(CM$2,Defense!$AB$3:$BA$3,0))</f>
        <v>2.2130116153199469E-2</v>
      </c>
      <c r="CN28" s="14">
        <f>INDEX(Defense!$AB$3:$BA$8,2,MATCH(CN$2,Defense!$AB$3:$BA$3,0))</f>
        <v>1.5770727592026978E-2</v>
      </c>
      <c r="CO28" s="14">
        <f>INDEX(Defense!$AB$3:$BA$8,2,MATCH(CO$2,Defense!$AB$3:$BA$3,0))</f>
        <v>3.4820867870809513E-2</v>
      </c>
      <c r="CP28" s="14">
        <f>INDEX(Defense!$AB$3:$BA$8,2,MATCH(CP$2,Defense!$AB$3:$BA$3,0))</f>
        <v>-8.5450857094943424E-4</v>
      </c>
      <c r="CQ28" s="14">
        <f>INDEX(Defense!$AB$3:$BA$8,2,MATCH(CQ$2,Defense!$AB$3:$BA$3,0))</f>
        <v>160.75587555196628</v>
      </c>
      <c r="CR28" s="14">
        <f>INDEX(Defense!$AB$3:$BA$8,2,MATCH(CR$2,Defense!$AB$3:$BA$3,0))</f>
        <v>0.15454953937048871</v>
      </c>
      <c r="CS28" s="14">
        <f>INDEX(Defense!$AB$3:$BA$8,2,MATCH(CS$2,Defense!$AB$3:$BA$3,0))</f>
        <v>0.10198746342122103</v>
      </c>
      <c r="CT28" s="14">
        <f>INDEX(Defense!$AB$3:$BA$8,2,MATCH(CT$2,Defense!$AB$3:$BA$3,0))</f>
        <v>-13.759669623776899</v>
      </c>
      <c r="CU28" s="14">
        <f>INDEX(Defense!$AB$3:$BA$8,2,MATCH(CU$2,Defense!$AB$3:$BA$3,0))</f>
        <v>-140.43646301959095</v>
      </c>
      <c r="CV28" s="15">
        <f>INDEX(Offense!$AB$3:$BA$8,2,MATCH(CV$2,Offense!$AB$3:$BA$3,0))</f>
        <v>0.94854285448896025</v>
      </c>
      <c r="CW28" s="15">
        <f>INDEX(Offense!$AB$3:$BA$8,2,MATCH(CW$2,Offense!$AB$3:$BA$3,0))</f>
        <v>85.640824181858136</v>
      </c>
      <c r="CX28" s="15">
        <f>INDEX(Offense!$AB$3:$BA$8,2,MATCH(CX$2,Offense!$AB$3:$BA$3,0))</f>
        <v>0.18969054669932336</v>
      </c>
      <c r="CY28" s="15">
        <f>INDEX(Offense!$AB$3:$BA$8,2,MATCH(CY$2,Offense!$AB$3:$BA$3,0))</f>
        <v>15.281981293875587</v>
      </c>
      <c r="CZ28" s="15">
        <f>INDEX(Offense!$AB$3:$BA$8,2,MATCH(CZ$2,Offense!$AB$3:$BA$3,0))</f>
        <v>8.6824407438745616E-2</v>
      </c>
      <c r="DA28" s="15">
        <f>INDEX(Offense!$AB$3:$BA$8,2,MATCH(DA$2,Offense!$AB$3:$BA$3,0))</f>
        <v>5.4421042890783919</v>
      </c>
      <c r="DB28" s="15">
        <f>INDEX(Offense!$AB$3:$BA$8,2,MATCH(DB$2,Offense!$AB$3:$BA$3,0))</f>
        <v>-0.20243279756818017</v>
      </c>
      <c r="DC28" s="15">
        <f>INDEX(Offense!$AB$3:$BA$8,2,MATCH(DC$2,Offense!$AB$3:$BA$3,0))</f>
        <v>-1.5058230699739127E-2</v>
      </c>
      <c r="DD28" s="15">
        <f>INDEX(Offense!$AB$3:$BA$8,2,MATCH(DD$2,Offense!$AB$3:$BA$3,0))</f>
        <v>1.816205347682766E-4</v>
      </c>
      <c r="DE28" s="15">
        <f>INDEX(Offense!$AB$3:$BA$8,2,MATCH(DE$2,Offense!$AB$3:$BA$3,0))</f>
        <v>-3.5192292427553826E-2</v>
      </c>
      <c r="DF28" s="15">
        <f>INDEX(Offense!$AB$3:$BA$8,2,MATCH(DF$2,Offense!$AB$3:$BA$3,0))</f>
        <v>-5.4876472195541252E-2</v>
      </c>
      <c r="DG28" s="15">
        <f>INDEX(Offense!$AB$3:$BA$8,2,MATCH(DG$2,Offense!$AB$3:$BA$3,0))</f>
        <v>9.8474663700154286E-2</v>
      </c>
      <c r="DH28" s="15">
        <f>INDEX(Offense!$AB$3:$BA$8,2,MATCH(DH$2,Offense!$AB$3:$BA$3,0))</f>
        <v>1.3645952114017732E-3</v>
      </c>
      <c r="DI28" s="15">
        <f>INDEX(Offense!$AB$3:$BA$8,2,MATCH(DI$2,Offense!$AB$3:$BA$3,0))</f>
        <v>84.693499827495899</v>
      </c>
      <c r="DJ28" s="15">
        <f>INDEX(Offense!$AB$3:$BA$8,2,MATCH(DJ$2,Offense!$AB$3:$BA$3,0))</f>
        <v>-0.41522539338692127</v>
      </c>
      <c r="DK28" s="15">
        <f>INDEX(Offense!$AB$3:$BA$8,2,MATCH(DK$2,Offense!$AB$3:$BA$3,0))</f>
        <v>0.19885166787903463</v>
      </c>
      <c r="DL28" s="15">
        <f>INDEX(Offense!$AB$3:$BA$8,2,MATCH(DL$2,Offense!$AB$3:$BA$3,0))</f>
        <v>65.336144739305752</v>
      </c>
      <c r="DM28" s="15">
        <f>INDEX(Offense!$AB$3:$BA$8,2,MATCH(DM$2,Offense!$AB$3:$BA$3,0))</f>
        <v>-85.690558012232202</v>
      </c>
      <c r="DN28" t="str">
        <f t="shared" si="23"/>
        <v/>
      </c>
      <c r="DO28" t="str">
        <f t="shared" si="24"/>
        <v/>
      </c>
      <c r="DP28" t="str">
        <f t="shared" si="25"/>
        <v/>
      </c>
      <c r="DQ28" t="e">
        <f>IF(#REF!=0,"",ROUND(IF(#REF!&lt;0,#REF!/(#REF!-100),1/(#REF!/100+1)),2))</f>
        <v>#REF!</v>
      </c>
      <c r="DR28" t="str">
        <f t="shared" si="26"/>
        <v/>
      </c>
      <c r="DS28" t="e">
        <f t="shared" si="27"/>
        <v>#VALUE!</v>
      </c>
      <c r="DT28" s="59" t="str">
        <f t="shared" si="59"/>
        <v/>
      </c>
      <c r="DU28" s="17" t="str">
        <f t="shared" si="41"/>
        <v/>
      </c>
      <c r="DV28" s="177"/>
      <c r="DX28" t="str">
        <f t="shared" ca="1" si="28"/>
        <v/>
      </c>
      <c r="DY28" t="str">
        <f t="shared" ca="1" si="29"/>
        <v/>
      </c>
      <c r="DZ28" s="39" t="str">
        <f t="shared" ca="1" si="30"/>
        <v/>
      </c>
      <c r="EA28" t="str">
        <f t="shared" si="42"/>
        <v/>
      </c>
      <c r="EB28" t="str">
        <f t="shared" si="31"/>
        <v/>
      </c>
      <c r="EC28" t="str">
        <f t="shared" si="43"/>
        <v/>
      </c>
      <c r="ED28" t="str">
        <f t="shared" si="60"/>
        <v/>
      </c>
      <c r="EE28" t="str">
        <f t="shared" si="32"/>
        <v/>
      </c>
      <c r="EF28" t="str">
        <f t="shared" si="44"/>
        <v/>
      </c>
      <c r="EG28" t="str">
        <f t="shared" si="33"/>
        <v/>
      </c>
      <c r="EH28" t="str">
        <f t="shared" si="45"/>
        <v/>
      </c>
      <c r="EI28" t="str">
        <f t="shared" si="34"/>
        <v/>
      </c>
      <c r="EJ28">
        <f t="shared" si="46"/>
        <v>0</v>
      </c>
      <c r="EK28" t="str">
        <f t="shared" si="47"/>
        <v/>
      </c>
      <c r="EL28" t="str">
        <f>IF(ISBLANK(G28),"",IF(DQ28&lt;0.5,IF(DP28&gt;0.5*$FG$7,G28&amp;" Moneyline (+"&amp;#REF!&amp;")",""),IF(DP28&gt;$FG$6*DQ28,G28&amp;" Moneyline ("&amp;#REF!&amp;")","")))</f>
        <v/>
      </c>
      <c r="EN28">
        <f t="shared" ca="1" si="48"/>
        <v>12</v>
      </c>
      <c r="EO28" t="str">
        <f t="shared" si="35"/>
        <v xml:space="preserve"> @ </v>
      </c>
      <c r="EP28" t="str">
        <f t="shared" ca="1" si="49"/>
        <v/>
      </c>
      <c r="EQ28" s="19" t="str">
        <f t="shared" ca="1" si="50"/>
        <v/>
      </c>
      <c r="ER28">
        <f t="shared" ca="1" si="51"/>
        <v>0</v>
      </c>
      <c r="ES28" s="19" t="str">
        <f t="shared" si="52"/>
        <v/>
      </c>
      <c r="ET28" s="19" t="str">
        <f>IF(ISBLANK(G28),"",IF(DT28&gt;0.625,G28&amp;" Moneyline ("&amp;#REF!&amp;")",""))</f>
        <v/>
      </c>
      <c r="EU28" s="1" t="str">
        <f>IF(ISNUMBER(CODE(ET28)),#REF!,"")</f>
        <v/>
      </c>
      <c r="EV28" s="1" t="str">
        <f t="shared" si="53"/>
        <v/>
      </c>
      <c r="EW28" s="3"/>
      <c r="EX28" s="1" t="e">
        <f t="shared" ca="1" si="54"/>
        <v>#N/A</v>
      </c>
      <c r="EY28" s="1" t="e">
        <f t="shared" ca="1" si="55"/>
        <v>#N/A</v>
      </c>
      <c r="EZ28" s="3" t="e">
        <f t="shared" ca="1" si="56"/>
        <v>#N/A</v>
      </c>
      <c r="FA28" s="19"/>
      <c r="FB28" s="19"/>
      <c r="FC28" s="19"/>
      <c r="FD28" s="19"/>
      <c r="FE28" s="19"/>
    </row>
    <row r="29" spans="7:161" x14ac:dyDescent="0.25">
      <c r="G29" s="7"/>
      <c r="H29" s="8" t="str">
        <f>IF(ISBLANK(G29),"",IF(#REF!&lt;0,#REF!,""))</f>
        <v/>
      </c>
      <c r="I29" s="8"/>
      <c r="J29" s="179" t="str">
        <f t="shared" ref="J29" si="84">IF(ISBLANK(G29),"",IF(I29&lt;1,I30,I29))</f>
        <v/>
      </c>
      <c r="K29" s="12" t="str">
        <f>IF(ISBLANK($G29),"",INDEX(OLook[],MATCH($G29,OLook[Team],0),MATCH(K$2,OLook[#Headers],0)))</f>
        <v/>
      </c>
      <c r="L29" s="12" t="str">
        <f>IF(ISBLANK($G29),"",INDEX(OLook[],MATCH($G29,OLook[Team],0),MATCH(L$2,OLook[#Headers],0)))</f>
        <v/>
      </c>
      <c r="M29" s="12" t="str">
        <f>IF(ISBLANK($G29),"",INDEX(OLook[],MATCH($G29,OLook[Team],0),MATCH(M$2,OLook[#Headers],0)))</f>
        <v/>
      </c>
      <c r="N29" s="12" t="str">
        <f>IF(ISBLANK($G29),"",INDEX(OLook[],MATCH($G29,OLook[Team],0),MATCH(N$2,OLook[#Headers],0)))</f>
        <v/>
      </c>
      <c r="O29" s="12" t="str">
        <f>IF(ISBLANK($G29),"",INDEX(OLook[],MATCH($G29,OLook[Team],0),MATCH(O$2,OLook[#Headers],0)))</f>
        <v/>
      </c>
      <c r="P29" s="12" t="str">
        <f>IF(ISBLANK($G29),"",INDEX(OLook[],MATCH($G29,OLook[Team],0),MATCH(P$2,OLook[#Headers],0)))</f>
        <v/>
      </c>
      <c r="Q29" s="12" t="str">
        <f>IF(ISBLANK($G29),"",INDEX(OLook[],MATCH($G29,OLook[Team],0),MATCH(Q$2,OLook[#Headers],0)))</f>
        <v/>
      </c>
      <c r="R29" s="12" t="str">
        <f>IF(ISBLANK($G29),"",INDEX(OLook[],MATCH($G29,OLook[Team],0),MATCH(R$2,OLook[#Headers],0)))</f>
        <v/>
      </c>
      <c r="S29" s="12" t="str">
        <f>IF(ISBLANK($G29),"",INDEX(OLook[],MATCH($G29,OLook[Team],0),MATCH(S$2,OLook[#Headers],0)))</f>
        <v/>
      </c>
      <c r="T29" s="12" t="str">
        <f>IF(ISBLANK($G29),"",INDEX(OLook[],MATCH($G29,OLook[Team],0),MATCH(T$2,OLook[#Headers],0)))</f>
        <v/>
      </c>
      <c r="U29" s="12" t="str">
        <f>IF(ISBLANK($G29),"",INDEX(OLook[],MATCH($G29,OLook[Team],0),MATCH(U$2,OLook[#Headers],0)))</f>
        <v/>
      </c>
      <c r="V29" s="12" t="str">
        <f>IF(ISBLANK($G29),"",INDEX(OLook[],MATCH($G29,OLook[Team],0),MATCH(V$2,OLook[#Headers],0)))</f>
        <v/>
      </c>
      <c r="W29" s="12" t="str">
        <f>IF(ISBLANK($G29),"",INDEX(OLook[],MATCH($G29,OLook[Team],0),MATCH(W$2,OLook[#Headers],0)))</f>
        <v/>
      </c>
      <c r="X29" s="12" t="str">
        <f>IF(ISBLANK($G29),"",INDEX(OLook[],MATCH($G29,OLook[Team],0),MATCH(X$2,OLook[#Headers],0)))</f>
        <v/>
      </c>
      <c r="Y29" s="12" t="str">
        <f>IF(ISBLANK($G29),"",INDEX(OLook[],MATCH($G29,OLook[Team],0),MATCH(Y$2,OLook[#Headers],0)))</f>
        <v/>
      </c>
      <c r="Z29" s="12" t="str">
        <f>IF(ISBLANK($G29),"",INDEX(OLook[],MATCH($G29,OLook[Team],0),MATCH(Z$2,OLook[#Headers],0)))</f>
        <v/>
      </c>
      <c r="AA29" s="12" t="str">
        <f>IF(ISBLANK($G29),"",INDEX(OLook[],MATCH($G29,OLook[Team],0),MATCH(AA$2,OLook[#Headers],0)))</f>
        <v/>
      </c>
      <c r="AB29" s="12" t="str">
        <f>IF(ISBLANK($G29),"",INDEX(OLook[],MATCH($G29,OLook[Team],0),MATCH(AB$2,OLook[#Headers],0)))</f>
        <v/>
      </c>
      <c r="AC29" s="12" t="str">
        <f>IF(ISBLANK($G29),"",INDEX(OLook[],MATCH($G29,OLook[Team],0),MATCH(AC$2,OLook[#Headers],0)))</f>
        <v/>
      </c>
      <c r="AD29" s="12" t="str">
        <f>IF(ISBLANK($G29),"",INDEX(OLook[],MATCH($G29,OLook[Team],0),MATCH(AD$2,OLook[#Headers],0)))</f>
        <v/>
      </c>
      <c r="AE29" s="12" t="str">
        <f>IF(ISBLANK($G29),"",INDEX(OLook[],MATCH($G29,OLook[Team],0),MATCH(AE$2,OLook[#Headers],0)))</f>
        <v/>
      </c>
      <c r="AF29" s="12" t="str">
        <f>IF(ISBLANK($G29),"",IF(ISODD(ROW()),INDEX(Scores!$B$2:'Scores'!$N$32,MATCH(G29,Scores!$C$2:$C$32,0),6),INDEX(Scores!$B$2:'Scores'!$N$32,MATCH(G29,Scores!$C$2:$C$32,0),10)))</f>
        <v/>
      </c>
      <c r="AG29" s="12" t="str">
        <f>IF(ISBLANK($G29),"",INDEX(Scores!$B$2:$P$32,MATCH($G29,Scores!$C$2:$C$32,0),MATCH(AG$2,Scores!$B$2:$P$2,0)))</f>
        <v/>
      </c>
      <c r="AH29" s="11" t="str">
        <f>IF(ISBLANK($G29),"",INDEX(DLook[],MATCH($G29,DLook[Team],0),MATCH(AH$2,DLook[#Headers],0)))</f>
        <v/>
      </c>
      <c r="AI29" s="11" t="str">
        <f>IF(ISBLANK($G29),"",INDEX(DLook[],MATCH($G29,DLook[Team],0),MATCH(AI$2,DLook[#Headers],0)))</f>
        <v/>
      </c>
      <c r="AJ29" s="11" t="str">
        <f>IF(ISBLANK($G29),"",INDEX(DLook[],MATCH($G29,DLook[Team],0),MATCH(AJ$2,DLook[#Headers],0)))</f>
        <v/>
      </c>
      <c r="AK29" s="11" t="str">
        <f>IF(ISBLANK($G29),"",INDEX(DLook[],MATCH($G29,DLook[Team],0),MATCH(AK$2,DLook[#Headers],0)))</f>
        <v/>
      </c>
      <c r="AL29" s="11" t="str">
        <f>IF(ISBLANK($G29),"",INDEX(DLook[],MATCH($G29,DLook[Team],0),MATCH(AL$2,DLook[#Headers],0)))</f>
        <v/>
      </c>
      <c r="AM29" s="11" t="str">
        <f>IF(ISBLANK($G29),"",INDEX(DLook[],MATCH($G29,DLook[Team],0),MATCH(AM$2,DLook[#Headers],0)))</f>
        <v/>
      </c>
      <c r="AN29" s="11" t="str">
        <f>IF(ISBLANK($G29),"",INDEX(DLook[],MATCH($G29,DLook[Team],0),MATCH(AN$2,DLook[#Headers],0)))</f>
        <v/>
      </c>
      <c r="AO29" s="11" t="str">
        <f>IF(ISBLANK($G29),"",INDEX(DLook[],MATCH($G29,DLook[Team],0),MATCH(AO$2,DLook[#Headers],0)))</f>
        <v/>
      </c>
      <c r="AP29" s="11" t="str">
        <f>IF(ISBLANK($G29),"",INDEX(DLook[],MATCH($G29,DLook[Team],0),MATCH(AP$2,DLook[#Headers],0)))</f>
        <v/>
      </c>
      <c r="AQ29" s="11" t="str">
        <f>IF(ISBLANK($G29),"",INDEX(DLook[],MATCH($G29,DLook[Team],0),MATCH(AQ$2,DLook[#Headers],0)))</f>
        <v/>
      </c>
      <c r="AR29" s="11" t="str">
        <f>IF(ISBLANK($G29),"",INDEX(DLook[],MATCH($G29,DLook[Team],0),MATCH(AR$2,DLook[#Headers],0)))</f>
        <v/>
      </c>
      <c r="AS29" s="11" t="str">
        <f>IF(ISBLANK($G29),"",INDEX(DLook[],MATCH($G29,DLook[Team],0),MATCH(AS$2,DLook[#Headers],0)))</f>
        <v/>
      </c>
      <c r="AT29" s="11" t="str">
        <f>IF(ISBLANK($G29),"",INDEX(DLook[],MATCH($G29,DLook[Team],0),MATCH(AT$2,DLook[#Headers],0)))</f>
        <v/>
      </c>
      <c r="AU29" s="11" t="str">
        <f>IF(ISBLANK($G29),"",INDEX(DLook[],MATCH($G29,DLook[Team],0),MATCH(AU$2,DLook[#Headers],0)))</f>
        <v/>
      </c>
      <c r="AV29" s="11" t="str">
        <f>IF(ISBLANK($G29),"",INDEX(DLook[],MATCH($G29,DLook[Team],0),MATCH(AV$2,DLook[#Headers],0)))</f>
        <v/>
      </c>
      <c r="AW29" s="11" t="str">
        <f>IF(ISBLANK($G29),"",INDEX(DLook[],MATCH($G29,DLook[Team],0),MATCH(AW$2,DLook[#Headers],0)))</f>
        <v/>
      </c>
      <c r="AX29" s="11" t="str">
        <f>IF(ISBLANK($G29),"",INDEX(DLook[],MATCH($G29,DLook[Team],0),MATCH(AX$2,DLook[#Headers],0)))</f>
        <v/>
      </c>
      <c r="AY29" s="11" t="str">
        <f>IF(ISBLANK($G29),"",INDEX(DLook[],MATCH($G29,DLook[Team],0),MATCH(AY$2,DLook[#Headers],0)))</f>
        <v/>
      </c>
      <c r="AZ29" s="14" t="str">
        <f t="shared" si="0"/>
        <v/>
      </c>
      <c r="BA29" s="14" t="str">
        <f t="shared" si="1"/>
        <v/>
      </c>
      <c r="BB29" s="14" t="str">
        <f t="shared" si="2"/>
        <v/>
      </c>
      <c r="BC29" s="14" t="str">
        <f t="shared" si="3"/>
        <v/>
      </c>
      <c r="BD29" s="14" t="str">
        <f t="shared" si="4"/>
        <v/>
      </c>
      <c r="BE29" s="14" t="str">
        <f t="shared" si="5"/>
        <v/>
      </c>
      <c r="BF29" s="14" t="str">
        <f t="shared" si="6"/>
        <v/>
      </c>
      <c r="BG29" s="14" t="str">
        <f t="shared" si="7"/>
        <v/>
      </c>
      <c r="BH29" s="14" t="str">
        <f t="shared" si="8"/>
        <v/>
      </c>
      <c r="BI29" s="14" t="str">
        <f t="shared" si="9"/>
        <v/>
      </c>
      <c r="BJ29" s="14" t="str">
        <f t="shared" si="10"/>
        <v/>
      </c>
      <c r="BK29" s="14" t="str">
        <f t="shared" si="11"/>
        <v/>
      </c>
      <c r="BL29" s="14" t="str">
        <f t="shared" si="12"/>
        <v/>
      </c>
      <c r="BM29" s="14" t="str">
        <f t="shared" si="13"/>
        <v/>
      </c>
      <c r="BN29" s="14" t="str">
        <f t="shared" si="14"/>
        <v/>
      </c>
      <c r="BO29" s="14" t="str">
        <f t="shared" si="15"/>
        <v/>
      </c>
      <c r="BP29" s="14" t="str">
        <f t="shared" si="16"/>
        <v/>
      </c>
      <c r="BQ29" s="13" t="str">
        <f t="shared" si="17"/>
        <v/>
      </c>
      <c r="BR29" s="13" t="str">
        <f t="shared" si="18"/>
        <v/>
      </c>
      <c r="BS29" s="13" t="str">
        <f t="shared" si="19"/>
        <v/>
      </c>
      <c r="BT29" s="13" t="str">
        <f t="shared" si="20"/>
        <v/>
      </c>
      <c r="BU29" s="13" t="str">
        <f t="shared" si="36"/>
        <v/>
      </c>
      <c r="BV29" s="13" t="str">
        <f t="shared" si="37"/>
        <v/>
      </c>
      <c r="BW29" s="13" t="str">
        <f t="shared" si="58"/>
        <v/>
      </c>
      <c r="BX29" s="13" t="str">
        <f t="shared" si="21"/>
        <v/>
      </c>
      <c r="BY29" s="13" t="str">
        <f t="shared" si="38"/>
        <v/>
      </c>
      <c r="BZ29" s="13" t="str">
        <f t="shared" si="39"/>
        <v/>
      </c>
      <c r="CA29" s="13">
        <f>IF(ISBLANK(B29),0,INDEX(Advanced_Table[],MATCH(B29,Advanced_Table[Player],0),MATCH("Scaled VORP",Advanced_Table[#Headers],0)))+IF(ISBLANK(C29),0,INDEX(Advanced_Table[],MATCH(C29,Advanced_Table[Player],0),MATCH("Scaled VORP",Advanced_Table[#Headers],0)))+IF(ISBLANK(D29),0,INDEX(Advanced_Table[],MATCH(D29,Advanced_Table[Player],0),MATCH("Scaled VORP",Advanced_Table[#Headers],0)))+IF(ISBLANK(E29),0,INDEX(Advanced_Table[],MATCH(E29,Advanced_Table[Player],0),MATCH("Scaled VORP",Advanced_Table[#Headers],0)))+IF(ISBLANK(F29),0,INDEX(Advanced_Table[],MATCH(F29,Advanced_Table[Player],0),MATCH("Scaled VORP",Advanced_Table[#Headers],0)))</f>
        <v>0</v>
      </c>
      <c r="CB29" s="13" t="str">
        <f t="shared" si="40"/>
        <v/>
      </c>
      <c r="CC29" s="13" t="str">
        <f t="shared" si="22"/>
        <v/>
      </c>
      <c r="CD29" s="14">
        <f>INDEX(Defense!$AB$3:$BA$8,2,MATCH(CD$2,Defense!$AB$3:$BA$3,0))</f>
        <v>1.1881973445510248</v>
      </c>
      <c r="CE29" s="14">
        <f>INDEX(Defense!$AB$3:$BA$8,2,MATCH(CE$2,Defense!$AB$3:$BA$3,0))</f>
        <v>20.37695032952751</v>
      </c>
      <c r="CF29" s="14">
        <f>INDEX(Defense!$AB$3:$BA$8,2,MATCH(CF$2,Defense!$AB$3:$BA$3,0))</f>
        <v>3.8108594084794688E-2</v>
      </c>
      <c r="CG29" s="14">
        <f>INDEX(Defense!$AB$3:$BA$8,2,MATCH(CG$2,Defense!$AB$3:$BA$3,0))</f>
        <v>0.82665533501354516</v>
      </c>
      <c r="CH29" s="14">
        <f>INDEX(Defense!$AB$3:$BA$8,2,MATCH(CH$2,Defense!$AB$3:$BA$3,0))</f>
        <v>0.96847375256109303</v>
      </c>
      <c r="CI29" s="14">
        <f>INDEX(Defense!$AB$3:$BA$8,2,MATCH(CI$2,Defense!$AB$3:$BA$3,0))</f>
        <v>24.899423599851655</v>
      </c>
      <c r="CJ29" s="14">
        <f>INDEX(Defense!$AB$3:$BA$8,2,MATCH(CJ$2,Defense!$AB$3:$BA$3,0))</f>
        <v>4.3333160259283868E-2</v>
      </c>
      <c r="CK29" s="14">
        <f>INDEX(Defense!$AB$3:$BA$8,2,MATCH(CK$2,Defense!$AB$3:$BA$3,0))</f>
        <v>4.3643719755598418E-3</v>
      </c>
      <c r="CL29" s="14">
        <f>INDEX(Defense!$AB$3:$BA$8,2,MATCH(CL$2,Defense!$AB$3:$BA$3,0))</f>
        <v>3.3980730825493605E-2</v>
      </c>
      <c r="CM29" s="14">
        <f>INDEX(Defense!$AB$3:$BA$8,2,MATCH(CM$2,Defense!$AB$3:$BA$3,0))</f>
        <v>2.2130116153199469E-2</v>
      </c>
      <c r="CN29" s="14">
        <f>INDEX(Defense!$AB$3:$BA$8,2,MATCH(CN$2,Defense!$AB$3:$BA$3,0))</f>
        <v>1.5770727592026978E-2</v>
      </c>
      <c r="CO29" s="14">
        <f>INDEX(Defense!$AB$3:$BA$8,2,MATCH(CO$2,Defense!$AB$3:$BA$3,0))</f>
        <v>3.4820867870809513E-2</v>
      </c>
      <c r="CP29" s="14">
        <f>INDEX(Defense!$AB$3:$BA$8,2,MATCH(CP$2,Defense!$AB$3:$BA$3,0))</f>
        <v>-8.5450857094943424E-4</v>
      </c>
      <c r="CQ29" s="14">
        <f>INDEX(Defense!$AB$3:$BA$8,2,MATCH(CQ$2,Defense!$AB$3:$BA$3,0))</f>
        <v>160.75587555196628</v>
      </c>
      <c r="CR29" s="14">
        <f>INDEX(Defense!$AB$3:$BA$8,2,MATCH(CR$2,Defense!$AB$3:$BA$3,0))</f>
        <v>0.15454953937048871</v>
      </c>
      <c r="CS29" s="14">
        <f>INDEX(Defense!$AB$3:$BA$8,2,MATCH(CS$2,Defense!$AB$3:$BA$3,0))</f>
        <v>0.10198746342122103</v>
      </c>
      <c r="CT29" s="14">
        <f>INDEX(Defense!$AB$3:$BA$8,2,MATCH(CT$2,Defense!$AB$3:$BA$3,0))</f>
        <v>-13.759669623776899</v>
      </c>
      <c r="CU29" s="14">
        <f>INDEX(Defense!$AB$3:$BA$8,2,MATCH(CU$2,Defense!$AB$3:$BA$3,0))</f>
        <v>-140.43646301959095</v>
      </c>
      <c r="CV29" s="15">
        <f>INDEX(Offense!$AB$3:$BA$8,2,MATCH(CV$2,Offense!$AB$3:$BA$3,0))</f>
        <v>0.94854285448896025</v>
      </c>
      <c r="CW29" s="15">
        <f>INDEX(Offense!$AB$3:$BA$8,2,MATCH(CW$2,Offense!$AB$3:$BA$3,0))</f>
        <v>85.640824181858136</v>
      </c>
      <c r="CX29" s="15">
        <f>INDEX(Offense!$AB$3:$BA$8,2,MATCH(CX$2,Offense!$AB$3:$BA$3,0))</f>
        <v>0.18969054669932336</v>
      </c>
      <c r="CY29" s="15">
        <f>INDEX(Offense!$AB$3:$BA$8,2,MATCH(CY$2,Offense!$AB$3:$BA$3,0))</f>
        <v>15.281981293875587</v>
      </c>
      <c r="CZ29" s="15">
        <f>INDEX(Offense!$AB$3:$BA$8,2,MATCH(CZ$2,Offense!$AB$3:$BA$3,0))</f>
        <v>8.6824407438745616E-2</v>
      </c>
      <c r="DA29" s="15">
        <f>INDEX(Offense!$AB$3:$BA$8,2,MATCH(DA$2,Offense!$AB$3:$BA$3,0))</f>
        <v>5.4421042890783919</v>
      </c>
      <c r="DB29" s="15">
        <f>INDEX(Offense!$AB$3:$BA$8,2,MATCH(DB$2,Offense!$AB$3:$BA$3,0))</f>
        <v>-0.20243279756818017</v>
      </c>
      <c r="DC29" s="15">
        <f>INDEX(Offense!$AB$3:$BA$8,2,MATCH(DC$2,Offense!$AB$3:$BA$3,0))</f>
        <v>-1.5058230699739127E-2</v>
      </c>
      <c r="DD29" s="15">
        <f>INDEX(Offense!$AB$3:$BA$8,2,MATCH(DD$2,Offense!$AB$3:$BA$3,0))</f>
        <v>1.816205347682766E-4</v>
      </c>
      <c r="DE29" s="15">
        <f>INDEX(Offense!$AB$3:$BA$8,2,MATCH(DE$2,Offense!$AB$3:$BA$3,0))</f>
        <v>-3.5192292427553826E-2</v>
      </c>
      <c r="DF29" s="15">
        <f>INDEX(Offense!$AB$3:$BA$8,2,MATCH(DF$2,Offense!$AB$3:$BA$3,0))</f>
        <v>-5.4876472195541252E-2</v>
      </c>
      <c r="DG29" s="15">
        <f>INDEX(Offense!$AB$3:$BA$8,2,MATCH(DG$2,Offense!$AB$3:$BA$3,0))</f>
        <v>9.8474663700154286E-2</v>
      </c>
      <c r="DH29" s="15">
        <f>INDEX(Offense!$AB$3:$BA$8,2,MATCH(DH$2,Offense!$AB$3:$BA$3,0))</f>
        <v>1.3645952114017732E-3</v>
      </c>
      <c r="DI29" s="15">
        <f>INDEX(Offense!$AB$3:$BA$8,2,MATCH(DI$2,Offense!$AB$3:$BA$3,0))</f>
        <v>84.693499827495899</v>
      </c>
      <c r="DJ29" s="15">
        <f>INDEX(Offense!$AB$3:$BA$8,2,MATCH(DJ$2,Offense!$AB$3:$BA$3,0))</f>
        <v>-0.41522539338692127</v>
      </c>
      <c r="DK29" s="15">
        <f>INDEX(Offense!$AB$3:$BA$8,2,MATCH(DK$2,Offense!$AB$3:$BA$3,0))</f>
        <v>0.19885166787903463</v>
      </c>
      <c r="DL29" s="15">
        <f>INDEX(Offense!$AB$3:$BA$8,2,MATCH(DL$2,Offense!$AB$3:$BA$3,0))</f>
        <v>65.336144739305752</v>
      </c>
      <c r="DM29" s="15">
        <f>INDEX(Offense!$AB$3:$BA$8,2,MATCH(DM$2,Offense!$AB$3:$BA$3,0))</f>
        <v>-85.690558012232202</v>
      </c>
      <c r="DN29" t="str">
        <f t="shared" si="23"/>
        <v/>
      </c>
      <c r="DO29" t="str">
        <f t="shared" si="24"/>
        <v/>
      </c>
      <c r="DP29" t="str">
        <f t="shared" si="25"/>
        <v/>
      </c>
      <c r="DQ29" t="e">
        <f>IF(#REF!=0,"",ROUND(IF(#REF!&lt;0,#REF!/(#REF!-100),1/(#REF!/100+1)),2))</f>
        <v>#REF!</v>
      </c>
      <c r="DR29" t="str">
        <f t="shared" si="26"/>
        <v/>
      </c>
      <c r="DS29" t="e">
        <f t="shared" si="27"/>
        <v>#VALUE!</v>
      </c>
      <c r="DT29" s="58" t="str">
        <f t="shared" si="59"/>
        <v/>
      </c>
      <c r="DU29" s="16" t="str">
        <f t="shared" si="41"/>
        <v/>
      </c>
      <c r="DV29" s="176" t="str">
        <f>IFERROR(IF(ISODD(ROW()),ROUND(CB29+CB30,0),ROUND(CB29+CB28,0)),"")</f>
        <v/>
      </c>
      <c r="DX29" t="str">
        <f t="shared" ca="1" si="28"/>
        <v/>
      </c>
      <c r="DY29" t="str">
        <f t="shared" ca="1" si="29"/>
        <v/>
      </c>
      <c r="DZ29" s="39" t="str">
        <f t="shared" ca="1" si="30"/>
        <v/>
      </c>
      <c r="EA29" t="str">
        <f t="shared" si="42"/>
        <v/>
      </c>
      <c r="EB29" t="str">
        <f t="shared" si="31"/>
        <v/>
      </c>
      <c r="EC29" t="str">
        <f t="shared" si="43"/>
        <v/>
      </c>
      <c r="ED29" t="str">
        <f t="shared" si="60"/>
        <v/>
      </c>
      <c r="EE29" t="str">
        <f t="shared" si="32"/>
        <v/>
      </c>
      <c r="EF29" t="str">
        <f t="shared" si="44"/>
        <v/>
      </c>
      <c r="EG29" t="str">
        <f t="shared" si="33"/>
        <v/>
      </c>
      <c r="EH29" t="str">
        <f t="shared" si="45"/>
        <v/>
      </c>
      <c r="EI29" t="str">
        <f t="shared" si="34"/>
        <v/>
      </c>
      <c r="EJ29">
        <f t="shared" si="46"/>
        <v>0</v>
      </c>
      <c r="EK29" t="str">
        <f t="shared" si="47"/>
        <v/>
      </c>
      <c r="EL29" t="str">
        <f>IF(ISBLANK(G29),"",IF(DQ29&lt;0.5,IF(DP29&gt;0.5*$FG$7,G29&amp;" Moneyline (+"&amp;#REF!&amp;")",""),IF(DP29&gt;$FG$6*DQ29,G29&amp;" Moneyline ("&amp;#REF!&amp;")","")))</f>
        <v/>
      </c>
      <c r="EN29">
        <f t="shared" ca="1" si="48"/>
        <v>12</v>
      </c>
      <c r="EO29" t="str">
        <f t="shared" si="35"/>
        <v xml:space="preserve"> @ </v>
      </c>
      <c r="EP29" t="str">
        <f t="shared" ca="1" si="49"/>
        <v/>
      </c>
      <c r="EQ29" s="19" t="str">
        <f t="shared" ca="1" si="50"/>
        <v/>
      </c>
      <c r="ER29">
        <f t="shared" ca="1" si="51"/>
        <v>0</v>
      </c>
      <c r="ES29" s="19" t="str">
        <f t="shared" si="52"/>
        <v/>
      </c>
      <c r="ET29" s="19" t="str">
        <f>IF(ISBLANK(G29),"",IF(DT29&gt;0.625,G29&amp;" Moneyline ("&amp;#REF!&amp;")",""))</f>
        <v/>
      </c>
      <c r="EU29" s="1" t="str">
        <f>IF(ISNUMBER(CODE(ET29)),#REF!,"")</f>
        <v/>
      </c>
      <c r="EV29" s="1" t="str">
        <f t="shared" si="53"/>
        <v/>
      </c>
      <c r="EW29" s="3"/>
      <c r="EX29" s="1" t="e">
        <f t="shared" ca="1" si="54"/>
        <v>#N/A</v>
      </c>
      <c r="EY29" s="1" t="e">
        <f t="shared" ca="1" si="55"/>
        <v>#N/A</v>
      </c>
      <c r="EZ29" s="3" t="e">
        <f t="shared" ca="1" si="56"/>
        <v>#N/A</v>
      </c>
      <c r="FA29" s="19"/>
      <c r="FB29" s="19"/>
      <c r="FC29" s="19"/>
      <c r="FD29" s="19"/>
      <c r="FE29" s="19"/>
    </row>
    <row r="30" spans="7:161" ht="15.75" thickBot="1" x14ac:dyDescent="0.3">
      <c r="G30" s="9"/>
      <c r="H30" s="10" t="str">
        <f>IF(ISBLANK(G30),"",IF(#REF!&lt;0,#REF!,""))</f>
        <v/>
      </c>
      <c r="I30" s="10"/>
      <c r="J30" s="180" t="str">
        <f t="shared" ref="J30" si="85">IF(H30&lt;1,H31,H30)</f>
        <v/>
      </c>
      <c r="K30" s="12" t="str">
        <f>IF(ISBLANK($G30),"",INDEX(OLook[],MATCH($G30,OLook[Team],0),MATCH(K$2,OLook[#Headers],0)))</f>
        <v/>
      </c>
      <c r="L30" s="12" t="str">
        <f>IF(ISBLANK($G30),"",INDEX(OLook[],MATCH($G30,OLook[Team],0),MATCH(L$2,OLook[#Headers],0)))</f>
        <v/>
      </c>
      <c r="M30" s="12" t="str">
        <f>IF(ISBLANK($G30),"",INDEX(OLook[],MATCH($G30,OLook[Team],0),MATCH(M$2,OLook[#Headers],0)))</f>
        <v/>
      </c>
      <c r="N30" s="12" t="str">
        <f>IF(ISBLANK($G30),"",INDEX(OLook[],MATCH($G30,OLook[Team],0),MATCH(N$2,OLook[#Headers],0)))</f>
        <v/>
      </c>
      <c r="O30" s="12" t="str">
        <f>IF(ISBLANK($G30),"",INDEX(OLook[],MATCH($G30,OLook[Team],0),MATCH(O$2,OLook[#Headers],0)))</f>
        <v/>
      </c>
      <c r="P30" s="12" t="str">
        <f>IF(ISBLANK($G30),"",INDEX(OLook[],MATCH($G30,OLook[Team],0),MATCH(P$2,OLook[#Headers],0)))</f>
        <v/>
      </c>
      <c r="Q30" s="12" t="str">
        <f>IF(ISBLANK($G30),"",INDEX(OLook[],MATCH($G30,OLook[Team],0),MATCH(Q$2,OLook[#Headers],0)))</f>
        <v/>
      </c>
      <c r="R30" s="12" t="str">
        <f>IF(ISBLANK($G30),"",INDEX(OLook[],MATCH($G30,OLook[Team],0),MATCH(R$2,OLook[#Headers],0)))</f>
        <v/>
      </c>
      <c r="S30" s="12" t="str">
        <f>IF(ISBLANK($G30),"",INDEX(OLook[],MATCH($G30,OLook[Team],0),MATCH(S$2,OLook[#Headers],0)))</f>
        <v/>
      </c>
      <c r="T30" s="12" t="str">
        <f>IF(ISBLANK($G30),"",INDEX(OLook[],MATCH($G30,OLook[Team],0),MATCH(T$2,OLook[#Headers],0)))</f>
        <v/>
      </c>
      <c r="U30" s="12" t="str">
        <f>IF(ISBLANK($G30),"",INDEX(OLook[],MATCH($G30,OLook[Team],0),MATCH(U$2,OLook[#Headers],0)))</f>
        <v/>
      </c>
      <c r="V30" s="12" t="str">
        <f>IF(ISBLANK($G30),"",INDEX(OLook[],MATCH($G30,OLook[Team],0),MATCH(V$2,OLook[#Headers],0)))</f>
        <v/>
      </c>
      <c r="W30" s="12" t="str">
        <f>IF(ISBLANK($G30),"",INDEX(OLook[],MATCH($G30,OLook[Team],0),MATCH(W$2,OLook[#Headers],0)))</f>
        <v/>
      </c>
      <c r="X30" s="12" t="str">
        <f>IF(ISBLANK($G30),"",INDEX(OLook[],MATCH($G30,OLook[Team],0),MATCH(X$2,OLook[#Headers],0)))</f>
        <v/>
      </c>
      <c r="Y30" s="12" t="str">
        <f>IF(ISBLANK($G30),"",INDEX(OLook[],MATCH($G30,OLook[Team],0),MATCH(Y$2,OLook[#Headers],0)))</f>
        <v/>
      </c>
      <c r="Z30" s="12" t="str">
        <f>IF(ISBLANK($G30),"",INDEX(OLook[],MATCH($G30,OLook[Team],0),MATCH(Z$2,OLook[#Headers],0)))</f>
        <v/>
      </c>
      <c r="AA30" s="12" t="str">
        <f>IF(ISBLANK($G30),"",INDEX(OLook[],MATCH($G30,OLook[Team],0),MATCH(AA$2,OLook[#Headers],0)))</f>
        <v/>
      </c>
      <c r="AB30" s="12" t="str">
        <f>IF(ISBLANK($G30),"",INDEX(OLook[],MATCH($G30,OLook[Team],0),MATCH(AB$2,OLook[#Headers],0)))</f>
        <v/>
      </c>
      <c r="AC30" s="12" t="str">
        <f>IF(ISBLANK($G30),"",INDEX(OLook[],MATCH($G30,OLook[Team],0),MATCH(AC$2,OLook[#Headers],0)))</f>
        <v/>
      </c>
      <c r="AD30" s="12" t="str">
        <f>IF(ISBLANK($G30),"",INDEX(OLook[],MATCH($G30,OLook[Team],0),MATCH(AD$2,OLook[#Headers],0)))</f>
        <v/>
      </c>
      <c r="AE30" s="12" t="str">
        <f>IF(ISBLANK($G30),"",INDEX(OLook[],MATCH($G30,OLook[Team],0),MATCH(AE$2,OLook[#Headers],0)))</f>
        <v/>
      </c>
      <c r="AF30" s="12" t="str">
        <f>IF(ISBLANK($G30),"",IF(ISODD(ROW()),INDEX(Scores!$B$2:'Scores'!$N$32,MATCH(G30,Scores!$C$2:$C$32,0),6),INDEX(Scores!$B$2:'Scores'!$N$32,MATCH(G30,Scores!$C$2:$C$32,0),10)))</f>
        <v/>
      </c>
      <c r="AG30" s="12" t="str">
        <f>IF(ISBLANK($G30),"",INDEX(Scores!$B$2:$P$32,MATCH($G30,Scores!$C$2:$C$32,0),MATCH(AG$2,Scores!$B$2:$P$2,0)))</f>
        <v/>
      </c>
      <c r="AH30" s="11" t="str">
        <f>IF(ISBLANK($G30),"",INDEX(DLook[],MATCH($G30,DLook[Team],0),MATCH(AH$2,DLook[#Headers],0)))</f>
        <v/>
      </c>
      <c r="AI30" s="11" t="str">
        <f>IF(ISBLANK($G30),"",INDEX(DLook[],MATCH($G30,DLook[Team],0),MATCH(AI$2,DLook[#Headers],0)))</f>
        <v/>
      </c>
      <c r="AJ30" s="11" t="str">
        <f>IF(ISBLANK($G30),"",INDEX(DLook[],MATCH($G30,DLook[Team],0),MATCH(AJ$2,DLook[#Headers],0)))</f>
        <v/>
      </c>
      <c r="AK30" s="11" t="str">
        <f>IF(ISBLANK($G30),"",INDEX(DLook[],MATCH($G30,DLook[Team],0),MATCH(AK$2,DLook[#Headers],0)))</f>
        <v/>
      </c>
      <c r="AL30" s="11" t="str">
        <f>IF(ISBLANK($G30),"",INDEX(DLook[],MATCH($G30,DLook[Team],0),MATCH(AL$2,DLook[#Headers],0)))</f>
        <v/>
      </c>
      <c r="AM30" s="11" t="str">
        <f>IF(ISBLANK($G30),"",INDEX(DLook[],MATCH($G30,DLook[Team],0),MATCH(AM$2,DLook[#Headers],0)))</f>
        <v/>
      </c>
      <c r="AN30" s="11" t="str">
        <f>IF(ISBLANK($G30),"",INDEX(DLook[],MATCH($G30,DLook[Team],0),MATCH(AN$2,DLook[#Headers],0)))</f>
        <v/>
      </c>
      <c r="AO30" s="11" t="str">
        <f>IF(ISBLANK($G30),"",INDEX(DLook[],MATCH($G30,DLook[Team],0),MATCH(AO$2,DLook[#Headers],0)))</f>
        <v/>
      </c>
      <c r="AP30" s="11" t="str">
        <f>IF(ISBLANK($G30),"",INDEX(DLook[],MATCH($G30,DLook[Team],0),MATCH(AP$2,DLook[#Headers],0)))</f>
        <v/>
      </c>
      <c r="AQ30" s="11" t="str">
        <f>IF(ISBLANK($G30),"",INDEX(DLook[],MATCH($G30,DLook[Team],0),MATCH(AQ$2,DLook[#Headers],0)))</f>
        <v/>
      </c>
      <c r="AR30" s="11" t="str">
        <f>IF(ISBLANK($G30),"",INDEX(DLook[],MATCH($G30,DLook[Team],0),MATCH(AR$2,DLook[#Headers],0)))</f>
        <v/>
      </c>
      <c r="AS30" s="11" t="str">
        <f>IF(ISBLANK($G30),"",INDEX(DLook[],MATCH($G30,DLook[Team],0),MATCH(AS$2,DLook[#Headers],0)))</f>
        <v/>
      </c>
      <c r="AT30" s="11" t="str">
        <f>IF(ISBLANK($G30),"",INDEX(DLook[],MATCH($G30,DLook[Team],0),MATCH(AT$2,DLook[#Headers],0)))</f>
        <v/>
      </c>
      <c r="AU30" s="11" t="str">
        <f>IF(ISBLANK($G30),"",INDEX(DLook[],MATCH($G30,DLook[Team],0),MATCH(AU$2,DLook[#Headers],0)))</f>
        <v/>
      </c>
      <c r="AV30" s="11" t="str">
        <f>IF(ISBLANK($G30),"",INDEX(DLook[],MATCH($G30,DLook[Team],0),MATCH(AV$2,DLook[#Headers],0)))</f>
        <v/>
      </c>
      <c r="AW30" s="11" t="str">
        <f>IF(ISBLANK($G30),"",INDEX(DLook[],MATCH($G30,DLook[Team],0),MATCH(AW$2,DLook[#Headers],0)))</f>
        <v/>
      </c>
      <c r="AX30" s="11" t="str">
        <f>IF(ISBLANK($G30),"",INDEX(DLook[],MATCH($G30,DLook[Team],0),MATCH(AX$2,DLook[#Headers],0)))</f>
        <v/>
      </c>
      <c r="AY30" s="11" t="str">
        <f>IF(ISBLANK($G30),"",INDEX(DLook[],MATCH($G30,DLook[Team],0),MATCH(AY$2,DLook[#Headers],0)))</f>
        <v/>
      </c>
      <c r="AZ30" s="14" t="str">
        <f t="shared" si="0"/>
        <v/>
      </c>
      <c r="BA30" s="14" t="str">
        <f t="shared" si="1"/>
        <v/>
      </c>
      <c r="BB30" s="14" t="str">
        <f t="shared" si="2"/>
        <v/>
      </c>
      <c r="BC30" s="14" t="str">
        <f t="shared" si="3"/>
        <v/>
      </c>
      <c r="BD30" s="14" t="str">
        <f t="shared" si="4"/>
        <v/>
      </c>
      <c r="BE30" s="14" t="str">
        <f t="shared" si="5"/>
        <v/>
      </c>
      <c r="BF30" s="14" t="str">
        <f t="shared" si="6"/>
        <v/>
      </c>
      <c r="BG30" s="14" t="str">
        <f t="shared" si="7"/>
        <v/>
      </c>
      <c r="BH30" s="14" t="str">
        <f t="shared" si="8"/>
        <v/>
      </c>
      <c r="BI30" s="14" t="str">
        <f t="shared" si="9"/>
        <v/>
      </c>
      <c r="BJ30" s="14" t="str">
        <f t="shared" si="10"/>
        <v/>
      </c>
      <c r="BK30" s="14" t="str">
        <f t="shared" si="11"/>
        <v/>
      </c>
      <c r="BL30" s="14" t="str">
        <f t="shared" si="12"/>
        <v/>
      </c>
      <c r="BM30" s="14" t="str">
        <f t="shared" si="13"/>
        <v/>
      </c>
      <c r="BN30" s="14" t="str">
        <f t="shared" si="14"/>
        <v/>
      </c>
      <c r="BO30" s="14" t="str">
        <f t="shared" si="15"/>
        <v/>
      </c>
      <c r="BP30" s="14" t="str">
        <f t="shared" si="16"/>
        <v/>
      </c>
      <c r="BQ30" s="13" t="str">
        <f t="shared" si="17"/>
        <v/>
      </c>
      <c r="BR30" s="13" t="str">
        <f t="shared" si="18"/>
        <v/>
      </c>
      <c r="BS30" s="13" t="str">
        <f t="shared" si="19"/>
        <v/>
      </c>
      <c r="BT30" s="13" t="str">
        <f t="shared" si="20"/>
        <v/>
      </c>
      <c r="BU30" s="13" t="str">
        <f t="shared" si="36"/>
        <v/>
      </c>
      <c r="BV30" s="13" t="str">
        <f t="shared" si="37"/>
        <v/>
      </c>
      <c r="BW30" s="13" t="str">
        <f t="shared" si="58"/>
        <v/>
      </c>
      <c r="BX30" s="13" t="str">
        <f t="shared" si="21"/>
        <v/>
      </c>
      <c r="BY30" s="13" t="str">
        <f t="shared" si="38"/>
        <v/>
      </c>
      <c r="BZ30" s="13" t="str">
        <f t="shared" si="39"/>
        <v/>
      </c>
      <c r="CA30" s="13">
        <f>IF(ISBLANK(B30),0,INDEX(Advanced_Table[],MATCH(B30,Advanced_Table[Player],0),MATCH("Scaled VORP",Advanced_Table[#Headers],0)))+IF(ISBLANK(C30),0,INDEX(Advanced_Table[],MATCH(C30,Advanced_Table[Player],0),MATCH("Scaled VORP",Advanced_Table[#Headers],0)))+IF(ISBLANK(D30),0,INDEX(Advanced_Table[],MATCH(D30,Advanced_Table[Player],0),MATCH("Scaled VORP",Advanced_Table[#Headers],0)))+IF(ISBLANK(E30),0,INDEX(Advanced_Table[],MATCH(E30,Advanced_Table[Player],0),MATCH("Scaled VORP",Advanced_Table[#Headers],0)))+IF(ISBLANK(F30),0,INDEX(Advanced_Table[],MATCH(F30,Advanced_Table[Player],0),MATCH("Scaled VORP",Advanced_Table[#Headers],0)))</f>
        <v>0</v>
      </c>
      <c r="CB30" s="13" t="str">
        <f t="shared" si="40"/>
        <v/>
      </c>
      <c r="CC30" s="13" t="str">
        <f t="shared" si="22"/>
        <v/>
      </c>
      <c r="CD30" s="14">
        <f>INDEX(Defense!$AB$3:$BA$8,2,MATCH(CD$2,Defense!$AB$3:$BA$3,0))</f>
        <v>1.1881973445510248</v>
      </c>
      <c r="CE30" s="14">
        <f>INDEX(Defense!$AB$3:$BA$8,2,MATCH(CE$2,Defense!$AB$3:$BA$3,0))</f>
        <v>20.37695032952751</v>
      </c>
      <c r="CF30" s="14">
        <f>INDEX(Defense!$AB$3:$BA$8,2,MATCH(CF$2,Defense!$AB$3:$BA$3,0))</f>
        <v>3.8108594084794688E-2</v>
      </c>
      <c r="CG30" s="14">
        <f>INDEX(Defense!$AB$3:$BA$8,2,MATCH(CG$2,Defense!$AB$3:$BA$3,0))</f>
        <v>0.82665533501354516</v>
      </c>
      <c r="CH30" s="14">
        <f>INDEX(Defense!$AB$3:$BA$8,2,MATCH(CH$2,Defense!$AB$3:$BA$3,0))</f>
        <v>0.96847375256109303</v>
      </c>
      <c r="CI30" s="14">
        <f>INDEX(Defense!$AB$3:$BA$8,2,MATCH(CI$2,Defense!$AB$3:$BA$3,0))</f>
        <v>24.899423599851655</v>
      </c>
      <c r="CJ30" s="14">
        <f>INDEX(Defense!$AB$3:$BA$8,2,MATCH(CJ$2,Defense!$AB$3:$BA$3,0))</f>
        <v>4.3333160259283868E-2</v>
      </c>
      <c r="CK30" s="14">
        <f>INDEX(Defense!$AB$3:$BA$8,2,MATCH(CK$2,Defense!$AB$3:$BA$3,0))</f>
        <v>4.3643719755598418E-3</v>
      </c>
      <c r="CL30" s="14">
        <f>INDEX(Defense!$AB$3:$BA$8,2,MATCH(CL$2,Defense!$AB$3:$BA$3,0))</f>
        <v>3.3980730825493605E-2</v>
      </c>
      <c r="CM30" s="14">
        <f>INDEX(Defense!$AB$3:$BA$8,2,MATCH(CM$2,Defense!$AB$3:$BA$3,0))</f>
        <v>2.2130116153199469E-2</v>
      </c>
      <c r="CN30" s="14">
        <f>INDEX(Defense!$AB$3:$BA$8,2,MATCH(CN$2,Defense!$AB$3:$BA$3,0))</f>
        <v>1.5770727592026978E-2</v>
      </c>
      <c r="CO30" s="14">
        <f>INDEX(Defense!$AB$3:$BA$8,2,MATCH(CO$2,Defense!$AB$3:$BA$3,0))</f>
        <v>3.4820867870809513E-2</v>
      </c>
      <c r="CP30" s="14">
        <f>INDEX(Defense!$AB$3:$BA$8,2,MATCH(CP$2,Defense!$AB$3:$BA$3,0))</f>
        <v>-8.5450857094943424E-4</v>
      </c>
      <c r="CQ30" s="14">
        <f>INDEX(Defense!$AB$3:$BA$8,2,MATCH(CQ$2,Defense!$AB$3:$BA$3,0))</f>
        <v>160.75587555196628</v>
      </c>
      <c r="CR30" s="14">
        <f>INDEX(Defense!$AB$3:$BA$8,2,MATCH(CR$2,Defense!$AB$3:$BA$3,0))</f>
        <v>0.15454953937048871</v>
      </c>
      <c r="CS30" s="14">
        <f>INDEX(Defense!$AB$3:$BA$8,2,MATCH(CS$2,Defense!$AB$3:$BA$3,0))</f>
        <v>0.10198746342122103</v>
      </c>
      <c r="CT30" s="14">
        <f>INDEX(Defense!$AB$3:$BA$8,2,MATCH(CT$2,Defense!$AB$3:$BA$3,0))</f>
        <v>-13.759669623776899</v>
      </c>
      <c r="CU30" s="14">
        <f>INDEX(Defense!$AB$3:$BA$8,2,MATCH(CU$2,Defense!$AB$3:$BA$3,0))</f>
        <v>-140.43646301959095</v>
      </c>
      <c r="CV30" s="15">
        <f>INDEX(Offense!$AB$3:$BA$8,2,MATCH(CV$2,Offense!$AB$3:$BA$3,0))</f>
        <v>0.94854285448896025</v>
      </c>
      <c r="CW30" s="15">
        <f>INDEX(Offense!$AB$3:$BA$8,2,MATCH(CW$2,Offense!$AB$3:$BA$3,0))</f>
        <v>85.640824181858136</v>
      </c>
      <c r="CX30" s="15">
        <f>INDEX(Offense!$AB$3:$BA$8,2,MATCH(CX$2,Offense!$AB$3:$BA$3,0))</f>
        <v>0.18969054669932336</v>
      </c>
      <c r="CY30" s="15">
        <f>INDEX(Offense!$AB$3:$BA$8,2,MATCH(CY$2,Offense!$AB$3:$BA$3,0))</f>
        <v>15.281981293875587</v>
      </c>
      <c r="CZ30" s="15">
        <f>INDEX(Offense!$AB$3:$BA$8,2,MATCH(CZ$2,Offense!$AB$3:$BA$3,0))</f>
        <v>8.6824407438745616E-2</v>
      </c>
      <c r="DA30" s="15">
        <f>INDEX(Offense!$AB$3:$BA$8,2,MATCH(DA$2,Offense!$AB$3:$BA$3,0))</f>
        <v>5.4421042890783919</v>
      </c>
      <c r="DB30" s="15">
        <f>INDEX(Offense!$AB$3:$BA$8,2,MATCH(DB$2,Offense!$AB$3:$BA$3,0))</f>
        <v>-0.20243279756818017</v>
      </c>
      <c r="DC30" s="15">
        <f>INDEX(Offense!$AB$3:$BA$8,2,MATCH(DC$2,Offense!$AB$3:$BA$3,0))</f>
        <v>-1.5058230699739127E-2</v>
      </c>
      <c r="DD30" s="15">
        <f>INDEX(Offense!$AB$3:$BA$8,2,MATCH(DD$2,Offense!$AB$3:$BA$3,0))</f>
        <v>1.816205347682766E-4</v>
      </c>
      <c r="DE30" s="15">
        <f>INDEX(Offense!$AB$3:$BA$8,2,MATCH(DE$2,Offense!$AB$3:$BA$3,0))</f>
        <v>-3.5192292427553826E-2</v>
      </c>
      <c r="DF30" s="15">
        <f>INDEX(Offense!$AB$3:$BA$8,2,MATCH(DF$2,Offense!$AB$3:$BA$3,0))</f>
        <v>-5.4876472195541252E-2</v>
      </c>
      <c r="DG30" s="15">
        <f>INDEX(Offense!$AB$3:$BA$8,2,MATCH(DG$2,Offense!$AB$3:$BA$3,0))</f>
        <v>9.8474663700154286E-2</v>
      </c>
      <c r="DH30" s="15">
        <f>INDEX(Offense!$AB$3:$BA$8,2,MATCH(DH$2,Offense!$AB$3:$BA$3,0))</f>
        <v>1.3645952114017732E-3</v>
      </c>
      <c r="DI30" s="15">
        <f>INDEX(Offense!$AB$3:$BA$8,2,MATCH(DI$2,Offense!$AB$3:$BA$3,0))</f>
        <v>84.693499827495899</v>
      </c>
      <c r="DJ30" s="15">
        <f>INDEX(Offense!$AB$3:$BA$8,2,MATCH(DJ$2,Offense!$AB$3:$BA$3,0))</f>
        <v>-0.41522539338692127</v>
      </c>
      <c r="DK30" s="15">
        <f>INDEX(Offense!$AB$3:$BA$8,2,MATCH(DK$2,Offense!$AB$3:$BA$3,0))</f>
        <v>0.19885166787903463</v>
      </c>
      <c r="DL30" s="15">
        <f>INDEX(Offense!$AB$3:$BA$8,2,MATCH(DL$2,Offense!$AB$3:$BA$3,0))</f>
        <v>65.336144739305752</v>
      </c>
      <c r="DM30" s="15">
        <f>INDEX(Offense!$AB$3:$BA$8,2,MATCH(DM$2,Offense!$AB$3:$BA$3,0))</f>
        <v>-85.690558012232202</v>
      </c>
      <c r="DN30" t="str">
        <f t="shared" si="23"/>
        <v/>
      </c>
      <c r="DO30" t="str">
        <f t="shared" si="24"/>
        <v/>
      </c>
      <c r="DP30" t="str">
        <f t="shared" si="25"/>
        <v/>
      </c>
      <c r="DQ30" t="e">
        <f>IF(#REF!=0,"",ROUND(IF(#REF!&lt;0,#REF!/(#REF!-100),1/(#REF!/100+1)),2))</f>
        <v>#REF!</v>
      </c>
      <c r="DR30" t="str">
        <f t="shared" si="26"/>
        <v/>
      </c>
      <c r="DS30" t="e">
        <f t="shared" si="27"/>
        <v>#VALUE!</v>
      </c>
      <c r="DT30" s="59" t="str">
        <f t="shared" si="59"/>
        <v/>
      </c>
      <c r="DU30" s="17" t="str">
        <f t="shared" si="41"/>
        <v/>
      </c>
      <c r="DV30" s="177"/>
      <c r="DX30" t="str">
        <f t="shared" ca="1" si="28"/>
        <v/>
      </c>
      <c r="DY30" t="str">
        <f t="shared" ca="1" si="29"/>
        <v/>
      </c>
      <c r="DZ30" s="39" t="str">
        <f t="shared" ca="1" si="30"/>
        <v/>
      </c>
      <c r="EA30" t="str">
        <f t="shared" si="42"/>
        <v/>
      </c>
      <c r="EB30" t="str">
        <f t="shared" si="31"/>
        <v/>
      </c>
      <c r="EC30" t="str">
        <f t="shared" si="43"/>
        <v/>
      </c>
      <c r="ED30" t="str">
        <f t="shared" si="60"/>
        <v/>
      </c>
      <c r="EE30" t="str">
        <f t="shared" si="32"/>
        <v/>
      </c>
      <c r="EF30" t="str">
        <f t="shared" si="44"/>
        <v/>
      </c>
      <c r="EG30" t="str">
        <f t="shared" si="33"/>
        <v/>
      </c>
      <c r="EH30" t="str">
        <f t="shared" si="45"/>
        <v/>
      </c>
      <c r="EI30" t="str">
        <f t="shared" si="34"/>
        <v/>
      </c>
      <c r="EJ30">
        <f t="shared" si="46"/>
        <v>0</v>
      </c>
      <c r="EK30" t="str">
        <f t="shared" si="47"/>
        <v/>
      </c>
      <c r="EL30" t="str">
        <f>IF(ISBLANK(G30),"",IF(DQ30&lt;0.5,IF(DP30&gt;0.5*$FG$7,G30&amp;" Moneyline (+"&amp;#REF!&amp;")",""),IF(DP30&gt;$FG$6*DQ30,G30&amp;" Moneyline ("&amp;#REF!&amp;")","")))</f>
        <v/>
      </c>
      <c r="EN30">
        <f t="shared" ca="1" si="48"/>
        <v>12</v>
      </c>
      <c r="EO30" t="str">
        <f t="shared" si="35"/>
        <v xml:space="preserve"> @ </v>
      </c>
      <c r="EP30" t="str">
        <f t="shared" ca="1" si="49"/>
        <v/>
      </c>
      <c r="EQ30" s="19" t="str">
        <f t="shared" ca="1" si="50"/>
        <v/>
      </c>
      <c r="ER30">
        <f t="shared" ca="1" si="51"/>
        <v>0</v>
      </c>
      <c r="ES30" s="19" t="str">
        <f t="shared" si="52"/>
        <v/>
      </c>
      <c r="ET30" s="19" t="str">
        <f>IF(ISBLANK(G30),"",IF(DT30&gt;0.625,G30&amp;" Moneyline ("&amp;#REF!&amp;")",""))</f>
        <v/>
      </c>
      <c r="EU30" s="1" t="str">
        <f>IF(ISNUMBER(CODE(ET30)),#REF!,"")</f>
        <v/>
      </c>
      <c r="EV30" s="1" t="str">
        <f t="shared" si="53"/>
        <v/>
      </c>
      <c r="EW30" s="3"/>
      <c r="EX30" s="1" t="e">
        <f t="shared" ca="1" si="54"/>
        <v>#N/A</v>
      </c>
      <c r="EY30" s="1" t="e">
        <f t="shared" ca="1" si="55"/>
        <v>#N/A</v>
      </c>
      <c r="EZ30" s="3" t="e">
        <f t="shared" ca="1" si="56"/>
        <v>#N/A</v>
      </c>
      <c r="FA30" s="19"/>
      <c r="FB30" s="19"/>
      <c r="FC30" s="19"/>
      <c r="FD30" s="19"/>
      <c r="FE30" s="19"/>
    </row>
    <row r="31" spans="7:161" x14ac:dyDescent="0.25">
      <c r="G31" s="7"/>
      <c r="H31" s="8" t="str">
        <f>IF(ISBLANK(G31),"",IF(#REF!&lt;0,#REF!,""))</f>
        <v/>
      </c>
      <c r="I31" s="8"/>
      <c r="J31" s="179" t="str">
        <f t="shared" ref="J31" si="86">IF(ISBLANK(G31),"",IF(I31&lt;1,I32,I31))</f>
        <v/>
      </c>
      <c r="K31" s="12" t="str">
        <f>IF(ISBLANK($G31),"",INDEX(OLook[],MATCH($G31,OLook[Team],0),MATCH(K$2,OLook[#Headers],0)))</f>
        <v/>
      </c>
      <c r="L31" s="12" t="str">
        <f>IF(ISBLANK($G31),"",INDEX(OLook[],MATCH($G31,OLook[Team],0),MATCH(L$2,OLook[#Headers],0)))</f>
        <v/>
      </c>
      <c r="M31" s="12" t="str">
        <f>IF(ISBLANK($G31),"",INDEX(OLook[],MATCH($G31,OLook[Team],0),MATCH(M$2,OLook[#Headers],0)))</f>
        <v/>
      </c>
      <c r="N31" s="12" t="str">
        <f>IF(ISBLANK($G31),"",INDEX(OLook[],MATCH($G31,OLook[Team],0),MATCH(N$2,OLook[#Headers],0)))</f>
        <v/>
      </c>
      <c r="O31" s="12" t="str">
        <f>IF(ISBLANK($G31),"",INDEX(OLook[],MATCH($G31,OLook[Team],0),MATCH(O$2,OLook[#Headers],0)))</f>
        <v/>
      </c>
      <c r="P31" s="12" t="str">
        <f>IF(ISBLANK($G31),"",INDEX(OLook[],MATCH($G31,OLook[Team],0),MATCH(P$2,OLook[#Headers],0)))</f>
        <v/>
      </c>
      <c r="Q31" s="12" t="str">
        <f>IF(ISBLANK($G31),"",INDEX(OLook[],MATCH($G31,OLook[Team],0),MATCH(Q$2,OLook[#Headers],0)))</f>
        <v/>
      </c>
      <c r="R31" s="12" t="str">
        <f>IF(ISBLANK($G31),"",INDEX(OLook[],MATCH($G31,OLook[Team],0),MATCH(R$2,OLook[#Headers],0)))</f>
        <v/>
      </c>
      <c r="S31" s="12" t="str">
        <f>IF(ISBLANK($G31),"",INDEX(OLook[],MATCH($G31,OLook[Team],0),MATCH(S$2,OLook[#Headers],0)))</f>
        <v/>
      </c>
      <c r="T31" s="12" t="str">
        <f>IF(ISBLANK($G31),"",INDEX(OLook[],MATCH($G31,OLook[Team],0),MATCH(T$2,OLook[#Headers],0)))</f>
        <v/>
      </c>
      <c r="U31" s="12" t="str">
        <f>IF(ISBLANK($G31),"",INDEX(OLook[],MATCH($G31,OLook[Team],0),MATCH(U$2,OLook[#Headers],0)))</f>
        <v/>
      </c>
      <c r="V31" s="12" t="str">
        <f>IF(ISBLANK($G31),"",INDEX(OLook[],MATCH($G31,OLook[Team],0),MATCH(V$2,OLook[#Headers],0)))</f>
        <v/>
      </c>
      <c r="W31" s="12" t="str">
        <f>IF(ISBLANK($G31),"",INDEX(OLook[],MATCH($G31,OLook[Team],0),MATCH(W$2,OLook[#Headers],0)))</f>
        <v/>
      </c>
      <c r="X31" s="12" t="str">
        <f>IF(ISBLANK($G31),"",INDEX(OLook[],MATCH($G31,OLook[Team],0),MATCH(X$2,OLook[#Headers],0)))</f>
        <v/>
      </c>
      <c r="Y31" s="12" t="str">
        <f>IF(ISBLANK($G31),"",INDEX(OLook[],MATCH($G31,OLook[Team],0),MATCH(Y$2,OLook[#Headers],0)))</f>
        <v/>
      </c>
      <c r="Z31" s="12" t="str">
        <f>IF(ISBLANK($G31),"",INDEX(OLook[],MATCH($G31,OLook[Team],0),MATCH(Z$2,OLook[#Headers],0)))</f>
        <v/>
      </c>
      <c r="AA31" s="12" t="str">
        <f>IF(ISBLANK($G31),"",INDEX(OLook[],MATCH($G31,OLook[Team],0),MATCH(AA$2,OLook[#Headers],0)))</f>
        <v/>
      </c>
      <c r="AB31" s="12" t="str">
        <f>IF(ISBLANK($G31),"",INDEX(OLook[],MATCH($G31,OLook[Team],0),MATCH(AB$2,OLook[#Headers],0)))</f>
        <v/>
      </c>
      <c r="AC31" s="12" t="str">
        <f>IF(ISBLANK($G31),"",INDEX(OLook[],MATCH($G31,OLook[Team],0),MATCH(AC$2,OLook[#Headers],0)))</f>
        <v/>
      </c>
      <c r="AD31" s="12" t="str">
        <f>IF(ISBLANK($G31),"",INDEX(OLook[],MATCH($G31,OLook[Team],0),MATCH(AD$2,OLook[#Headers],0)))</f>
        <v/>
      </c>
      <c r="AE31" s="12" t="str">
        <f>IF(ISBLANK($G31),"",INDEX(OLook[],MATCH($G31,OLook[Team],0),MATCH(AE$2,OLook[#Headers],0)))</f>
        <v/>
      </c>
      <c r="AF31" s="12" t="str">
        <f>IF(ISBLANK($G31),"",IF(ISODD(ROW()),INDEX(Scores!$B$2:'Scores'!$N$32,MATCH(G31,Scores!$C$2:$C$32,0),6),INDEX(Scores!$B$2:'Scores'!$N$32,MATCH(G31,Scores!$C$2:$C$32,0),10)))</f>
        <v/>
      </c>
      <c r="AG31" s="12" t="str">
        <f>IF(ISBLANK($G31),"",INDEX(Scores!$B$2:$P$32,MATCH($G31,Scores!$C$2:$C$32,0),MATCH(AG$2,Scores!$B$2:$P$2,0)))</f>
        <v/>
      </c>
      <c r="AH31" s="11" t="str">
        <f>IF(ISBLANK($G31),"",INDEX(DLook[],MATCH($G31,DLook[Team],0),MATCH(AH$2,DLook[#Headers],0)))</f>
        <v/>
      </c>
      <c r="AI31" s="11" t="str">
        <f>IF(ISBLANK($G31),"",INDEX(DLook[],MATCH($G31,DLook[Team],0),MATCH(AI$2,DLook[#Headers],0)))</f>
        <v/>
      </c>
      <c r="AJ31" s="11" t="str">
        <f>IF(ISBLANK($G31),"",INDEX(DLook[],MATCH($G31,DLook[Team],0),MATCH(AJ$2,DLook[#Headers],0)))</f>
        <v/>
      </c>
      <c r="AK31" s="11" t="str">
        <f>IF(ISBLANK($G31),"",INDEX(DLook[],MATCH($G31,DLook[Team],0),MATCH(AK$2,DLook[#Headers],0)))</f>
        <v/>
      </c>
      <c r="AL31" s="11" t="str">
        <f>IF(ISBLANK($G31),"",INDEX(DLook[],MATCH($G31,DLook[Team],0),MATCH(AL$2,DLook[#Headers],0)))</f>
        <v/>
      </c>
      <c r="AM31" s="11" t="str">
        <f>IF(ISBLANK($G31),"",INDEX(DLook[],MATCH($G31,DLook[Team],0),MATCH(AM$2,DLook[#Headers],0)))</f>
        <v/>
      </c>
      <c r="AN31" s="11" t="str">
        <f>IF(ISBLANK($G31),"",INDEX(DLook[],MATCH($G31,DLook[Team],0),MATCH(AN$2,DLook[#Headers],0)))</f>
        <v/>
      </c>
      <c r="AO31" s="11" t="str">
        <f>IF(ISBLANK($G31),"",INDEX(DLook[],MATCH($G31,DLook[Team],0),MATCH(AO$2,DLook[#Headers],0)))</f>
        <v/>
      </c>
      <c r="AP31" s="11" t="str">
        <f>IF(ISBLANK($G31),"",INDEX(DLook[],MATCH($G31,DLook[Team],0),MATCH(AP$2,DLook[#Headers],0)))</f>
        <v/>
      </c>
      <c r="AQ31" s="11" t="str">
        <f>IF(ISBLANK($G31),"",INDEX(DLook[],MATCH($G31,DLook[Team],0),MATCH(AQ$2,DLook[#Headers],0)))</f>
        <v/>
      </c>
      <c r="AR31" s="11" t="str">
        <f>IF(ISBLANK($G31),"",INDEX(DLook[],MATCH($G31,DLook[Team],0),MATCH(AR$2,DLook[#Headers],0)))</f>
        <v/>
      </c>
      <c r="AS31" s="11" t="str">
        <f>IF(ISBLANK($G31),"",INDEX(DLook[],MATCH($G31,DLook[Team],0),MATCH(AS$2,DLook[#Headers],0)))</f>
        <v/>
      </c>
      <c r="AT31" s="11" t="str">
        <f>IF(ISBLANK($G31),"",INDEX(DLook[],MATCH($G31,DLook[Team],0),MATCH(AT$2,DLook[#Headers],0)))</f>
        <v/>
      </c>
      <c r="AU31" s="11" t="str">
        <f>IF(ISBLANK($G31),"",INDEX(DLook[],MATCH($G31,DLook[Team],0),MATCH(AU$2,DLook[#Headers],0)))</f>
        <v/>
      </c>
      <c r="AV31" s="11" t="str">
        <f>IF(ISBLANK($G31),"",INDEX(DLook[],MATCH($G31,DLook[Team],0),MATCH(AV$2,DLook[#Headers],0)))</f>
        <v/>
      </c>
      <c r="AW31" s="11" t="str">
        <f>IF(ISBLANK($G31),"",INDEX(DLook[],MATCH($G31,DLook[Team],0),MATCH(AW$2,DLook[#Headers],0)))</f>
        <v/>
      </c>
      <c r="AX31" s="11" t="str">
        <f>IF(ISBLANK($G31),"",INDEX(DLook[],MATCH($G31,DLook[Team],0),MATCH(AX$2,DLook[#Headers],0)))</f>
        <v/>
      </c>
      <c r="AY31" s="11" t="str">
        <f>IF(ISBLANK($G31),"",INDEX(DLook[],MATCH($G31,DLook[Team],0),MATCH(AY$2,DLook[#Headers],0)))</f>
        <v/>
      </c>
      <c r="AZ31" s="14" t="str">
        <f t="shared" si="0"/>
        <v/>
      </c>
      <c r="BA31" s="14" t="str">
        <f t="shared" si="1"/>
        <v/>
      </c>
      <c r="BB31" s="14" t="str">
        <f t="shared" si="2"/>
        <v/>
      </c>
      <c r="BC31" s="14" t="str">
        <f t="shared" si="3"/>
        <v/>
      </c>
      <c r="BD31" s="14" t="str">
        <f t="shared" si="4"/>
        <v/>
      </c>
      <c r="BE31" s="14" t="str">
        <f t="shared" si="5"/>
        <v/>
      </c>
      <c r="BF31" s="14" t="str">
        <f t="shared" si="6"/>
        <v/>
      </c>
      <c r="BG31" s="14" t="str">
        <f t="shared" si="7"/>
        <v/>
      </c>
      <c r="BH31" s="14" t="str">
        <f t="shared" si="8"/>
        <v/>
      </c>
      <c r="BI31" s="14" t="str">
        <f t="shared" si="9"/>
        <v/>
      </c>
      <c r="BJ31" s="14" t="str">
        <f t="shared" si="10"/>
        <v/>
      </c>
      <c r="BK31" s="14" t="str">
        <f t="shared" si="11"/>
        <v/>
      </c>
      <c r="BL31" s="14" t="str">
        <f t="shared" si="12"/>
        <v/>
      </c>
      <c r="BM31" s="14" t="str">
        <f t="shared" si="13"/>
        <v/>
      </c>
      <c r="BN31" s="14" t="str">
        <f t="shared" si="14"/>
        <v/>
      </c>
      <c r="BO31" s="14" t="str">
        <f t="shared" si="15"/>
        <v/>
      </c>
      <c r="BP31" s="14" t="str">
        <f t="shared" si="16"/>
        <v/>
      </c>
      <c r="BQ31" s="13" t="str">
        <f t="shared" si="17"/>
        <v/>
      </c>
      <c r="BR31" s="13" t="str">
        <f t="shared" si="18"/>
        <v/>
      </c>
      <c r="BS31" s="13" t="str">
        <f t="shared" si="19"/>
        <v/>
      </c>
      <c r="BT31" s="13" t="str">
        <f t="shared" si="20"/>
        <v/>
      </c>
      <c r="BU31" s="13" t="str">
        <f t="shared" si="36"/>
        <v/>
      </c>
      <c r="BV31" s="13" t="str">
        <f t="shared" si="37"/>
        <v/>
      </c>
      <c r="BW31" s="13" t="str">
        <f t="shared" si="58"/>
        <v/>
      </c>
      <c r="BX31" s="13" t="str">
        <f t="shared" si="21"/>
        <v/>
      </c>
      <c r="BY31" s="13" t="str">
        <f t="shared" si="38"/>
        <v/>
      </c>
      <c r="BZ31" s="13" t="str">
        <f t="shared" si="39"/>
        <v/>
      </c>
      <c r="CA31" s="13">
        <f>IF(ISBLANK(B31),0,INDEX(Advanced_Table[],MATCH(B31,Advanced_Table[Player],0),MATCH("Scaled VORP",Advanced_Table[#Headers],0)))+IF(ISBLANK(C31),0,INDEX(Advanced_Table[],MATCH(C31,Advanced_Table[Player],0),MATCH("Scaled VORP",Advanced_Table[#Headers],0)))+IF(ISBLANK(D31),0,INDEX(Advanced_Table[],MATCH(D31,Advanced_Table[Player],0),MATCH("Scaled VORP",Advanced_Table[#Headers],0)))+IF(ISBLANK(E31),0,INDEX(Advanced_Table[],MATCH(E31,Advanced_Table[Player],0),MATCH("Scaled VORP",Advanced_Table[#Headers],0)))+IF(ISBLANK(F31),0,INDEX(Advanced_Table[],MATCH(F31,Advanced_Table[Player],0),MATCH("Scaled VORP",Advanced_Table[#Headers],0)))</f>
        <v>0</v>
      </c>
      <c r="CB31" s="13" t="str">
        <f t="shared" si="40"/>
        <v/>
      </c>
      <c r="CC31" s="13" t="str">
        <f t="shared" si="22"/>
        <v/>
      </c>
      <c r="CD31" s="14">
        <f>INDEX(Defense!$AB$3:$BA$8,2,MATCH(CD$2,Defense!$AB$3:$BA$3,0))</f>
        <v>1.1881973445510248</v>
      </c>
      <c r="CE31" s="14">
        <f>INDEX(Defense!$AB$3:$BA$8,2,MATCH(CE$2,Defense!$AB$3:$BA$3,0))</f>
        <v>20.37695032952751</v>
      </c>
      <c r="CF31" s="14">
        <f>INDEX(Defense!$AB$3:$BA$8,2,MATCH(CF$2,Defense!$AB$3:$BA$3,0))</f>
        <v>3.8108594084794688E-2</v>
      </c>
      <c r="CG31" s="14">
        <f>INDEX(Defense!$AB$3:$BA$8,2,MATCH(CG$2,Defense!$AB$3:$BA$3,0))</f>
        <v>0.82665533501354516</v>
      </c>
      <c r="CH31" s="14">
        <f>INDEX(Defense!$AB$3:$BA$8,2,MATCH(CH$2,Defense!$AB$3:$BA$3,0))</f>
        <v>0.96847375256109303</v>
      </c>
      <c r="CI31" s="14">
        <f>INDEX(Defense!$AB$3:$BA$8,2,MATCH(CI$2,Defense!$AB$3:$BA$3,0))</f>
        <v>24.899423599851655</v>
      </c>
      <c r="CJ31" s="14">
        <f>INDEX(Defense!$AB$3:$BA$8,2,MATCH(CJ$2,Defense!$AB$3:$BA$3,0))</f>
        <v>4.3333160259283868E-2</v>
      </c>
      <c r="CK31" s="14">
        <f>INDEX(Defense!$AB$3:$BA$8,2,MATCH(CK$2,Defense!$AB$3:$BA$3,0))</f>
        <v>4.3643719755598418E-3</v>
      </c>
      <c r="CL31" s="14">
        <f>INDEX(Defense!$AB$3:$BA$8,2,MATCH(CL$2,Defense!$AB$3:$BA$3,0))</f>
        <v>3.3980730825493605E-2</v>
      </c>
      <c r="CM31" s="14">
        <f>INDEX(Defense!$AB$3:$BA$8,2,MATCH(CM$2,Defense!$AB$3:$BA$3,0))</f>
        <v>2.2130116153199469E-2</v>
      </c>
      <c r="CN31" s="14">
        <f>INDEX(Defense!$AB$3:$BA$8,2,MATCH(CN$2,Defense!$AB$3:$BA$3,0))</f>
        <v>1.5770727592026978E-2</v>
      </c>
      <c r="CO31" s="14">
        <f>INDEX(Defense!$AB$3:$BA$8,2,MATCH(CO$2,Defense!$AB$3:$BA$3,0))</f>
        <v>3.4820867870809513E-2</v>
      </c>
      <c r="CP31" s="14">
        <f>INDEX(Defense!$AB$3:$BA$8,2,MATCH(CP$2,Defense!$AB$3:$BA$3,0))</f>
        <v>-8.5450857094943424E-4</v>
      </c>
      <c r="CQ31" s="14">
        <f>INDEX(Defense!$AB$3:$BA$8,2,MATCH(CQ$2,Defense!$AB$3:$BA$3,0))</f>
        <v>160.75587555196628</v>
      </c>
      <c r="CR31" s="14">
        <f>INDEX(Defense!$AB$3:$BA$8,2,MATCH(CR$2,Defense!$AB$3:$BA$3,0))</f>
        <v>0.15454953937048871</v>
      </c>
      <c r="CS31" s="14">
        <f>INDEX(Defense!$AB$3:$BA$8,2,MATCH(CS$2,Defense!$AB$3:$BA$3,0))</f>
        <v>0.10198746342122103</v>
      </c>
      <c r="CT31" s="14">
        <f>INDEX(Defense!$AB$3:$BA$8,2,MATCH(CT$2,Defense!$AB$3:$BA$3,0))</f>
        <v>-13.759669623776899</v>
      </c>
      <c r="CU31" s="14">
        <f>INDEX(Defense!$AB$3:$BA$8,2,MATCH(CU$2,Defense!$AB$3:$BA$3,0))</f>
        <v>-140.43646301959095</v>
      </c>
      <c r="CV31" s="15">
        <f>INDEX(Offense!$AB$3:$BA$8,2,MATCH(CV$2,Offense!$AB$3:$BA$3,0))</f>
        <v>0.94854285448896025</v>
      </c>
      <c r="CW31" s="15">
        <f>INDEX(Offense!$AB$3:$BA$8,2,MATCH(CW$2,Offense!$AB$3:$BA$3,0))</f>
        <v>85.640824181858136</v>
      </c>
      <c r="CX31" s="15">
        <f>INDEX(Offense!$AB$3:$BA$8,2,MATCH(CX$2,Offense!$AB$3:$BA$3,0))</f>
        <v>0.18969054669932336</v>
      </c>
      <c r="CY31" s="15">
        <f>INDEX(Offense!$AB$3:$BA$8,2,MATCH(CY$2,Offense!$AB$3:$BA$3,0))</f>
        <v>15.281981293875587</v>
      </c>
      <c r="CZ31" s="15">
        <f>INDEX(Offense!$AB$3:$BA$8,2,MATCH(CZ$2,Offense!$AB$3:$BA$3,0))</f>
        <v>8.6824407438745616E-2</v>
      </c>
      <c r="DA31" s="15">
        <f>INDEX(Offense!$AB$3:$BA$8,2,MATCH(DA$2,Offense!$AB$3:$BA$3,0))</f>
        <v>5.4421042890783919</v>
      </c>
      <c r="DB31" s="15">
        <f>INDEX(Offense!$AB$3:$BA$8,2,MATCH(DB$2,Offense!$AB$3:$BA$3,0))</f>
        <v>-0.20243279756818017</v>
      </c>
      <c r="DC31" s="15">
        <f>INDEX(Offense!$AB$3:$BA$8,2,MATCH(DC$2,Offense!$AB$3:$BA$3,0))</f>
        <v>-1.5058230699739127E-2</v>
      </c>
      <c r="DD31" s="15">
        <f>INDEX(Offense!$AB$3:$BA$8,2,MATCH(DD$2,Offense!$AB$3:$BA$3,0))</f>
        <v>1.816205347682766E-4</v>
      </c>
      <c r="DE31" s="15">
        <f>INDEX(Offense!$AB$3:$BA$8,2,MATCH(DE$2,Offense!$AB$3:$BA$3,0))</f>
        <v>-3.5192292427553826E-2</v>
      </c>
      <c r="DF31" s="15">
        <f>INDEX(Offense!$AB$3:$BA$8,2,MATCH(DF$2,Offense!$AB$3:$BA$3,0))</f>
        <v>-5.4876472195541252E-2</v>
      </c>
      <c r="DG31" s="15">
        <f>INDEX(Offense!$AB$3:$BA$8,2,MATCH(DG$2,Offense!$AB$3:$BA$3,0))</f>
        <v>9.8474663700154286E-2</v>
      </c>
      <c r="DH31" s="15">
        <f>INDEX(Offense!$AB$3:$BA$8,2,MATCH(DH$2,Offense!$AB$3:$BA$3,0))</f>
        <v>1.3645952114017732E-3</v>
      </c>
      <c r="DI31" s="15">
        <f>INDEX(Offense!$AB$3:$BA$8,2,MATCH(DI$2,Offense!$AB$3:$BA$3,0))</f>
        <v>84.693499827495899</v>
      </c>
      <c r="DJ31" s="15">
        <f>INDEX(Offense!$AB$3:$BA$8,2,MATCH(DJ$2,Offense!$AB$3:$BA$3,0))</f>
        <v>-0.41522539338692127</v>
      </c>
      <c r="DK31" s="15">
        <f>INDEX(Offense!$AB$3:$BA$8,2,MATCH(DK$2,Offense!$AB$3:$BA$3,0))</f>
        <v>0.19885166787903463</v>
      </c>
      <c r="DL31" s="15">
        <f>INDEX(Offense!$AB$3:$BA$8,2,MATCH(DL$2,Offense!$AB$3:$BA$3,0))</f>
        <v>65.336144739305752</v>
      </c>
      <c r="DM31" s="15">
        <f>INDEX(Offense!$AB$3:$BA$8,2,MATCH(DM$2,Offense!$AB$3:$BA$3,0))</f>
        <v>-85.690558012232202</v>
      </c>
      <c r="DN31" t="str">
        <f t="shared" si="23"/>
        <v/>
      </c>
      <c r="DO31" t="str">
        <f t="shared" si="24"/>
        <v/>
      </c>
      <c r="DP31" t="str">
        <f t="shared" si="25"/>
        <v/>
      </c>
      <c r="DQ31" t="e">
        <f>IF(#REF!=0,"",ROUND(IF(#REF!&lt;0,#REF!/(#REF!-100),1/(#REF!/100+1)),2))</f>
        <v>#REF!</v>
      </c>
      <c r="DR31" t="str">
        <f t="shared" si="26"/>
        <v/>
      </c>
      <c r="DS31" t="e">
        <f t="shared" si="27"/>
        <v>#VALUE!</v>
      </c>
      <c r="DT31" s="58" t="str">
        <f t="shared" si="59"/>
        <v/>
      </c>
      <c r="DU31" s="16" t="str">
        <f t="shared" si="41"/>
        <v/>
      </c>
      <c r="DV31" s="176" t="str">
        <f>IFERROR(IF(ISODD(ROW()),ROUND(CB31+CB32,0),ROUND(CB31+CB30,0)),"")</f>
        <v/>
      </c>
      <c r="DX31" t="str">
        <f t="shared" ca="1" si="28"/>
        <v/>
      </c>
      <c r="DY31" t="str">
        <f t="shared" ca="1" si="29"/>
        <v/>
      </c>
      <c r="DZ31" s="39" t="str">
        <f t="shared" ca="1" si="30"/>
        <v/>
      </c>
      <c r="EA31" t="str">
        <f t="shared" si="42"/>
        <v/>
      </c>
      <c r="EB31" t="str">
        <f t="shared" si="31"/>
        <v/>
      </c>
      <c r="EC31" t="str">
        <f t="shared" si="43"/>
        <v/>
      </c>
      <c r="ED31" t="str">
        <f t="shared" si="60"/>
        <v/>
      </c>
      <c r="EE31" t="str">
        <f t="shared" si="32"/>
        <v/>
      </c>
      <c r="EF31" t="str">
        <f t="shared" si="44"/>
        <v/>
      </c>
      <c r="EG31" t="str">
        <f t="shared" si="33"/>
        <v/>
      </c>
      <c r="EH31" t="str">
        <f t="shared" si="45"/>
        <v/>
      </c>
      <c r="EI31" t="str">
        <f t="shared" si="34"/>
        <v/>
      </c>
      <c r="EJ31">
        <f t="shared" si="46"/>
        <v>0</v>
      </c>
      <c r="EK31" t="str">
        <f t="shared" si="47"/>
        <v/>
      </c>
      <c r="EL31" t="str">
        <f>IF(ISBLANK(G31),"",IF(DQ31&lt;0.5,IF(DP31&gt;0.5*$FG$7,G31&amp;" Moneyline (+"&amp;#REF!&amp;")",""),IF(DP31&gt;$FG$6*DQ31,G31&amp;" Moneyline ("&amp;#REF!&amp;")","")))</f>
        <v/>
      </c>
      <c r="EN31">
        <f t="shared" ca="1" si="48"/>
        <v>12</v>
      </c>
      <c r="EO31" t="str">
        <f t="shared" si="35"/>
        <v xml:space="preserve"> @ </v>
      </c>
      <c r="EP31" t="str">
        <f t="shared" ca="1" si="49"/>
        <v/>
      </c>
      <c r="EQ31" s="19" t="str">
        <f t="shared" ca="1" si="50"/>
        <v/>
      </c>
      <c r="ER31">
        <f t="shared" ca="1" si="51"/>
        <v>0</v>
      </c>
      <c r="ES31" s="19" t="str">
        <f t="shared" si="52"/>
        <v/>
      </c>
      <c r="ET31" s="19" t="str">
        <f>IF(ISBLANK(G31),"",IF(DT31&gt;0.625,G31&amp;" Moneyline ("&amp;#REF!&amp;")",""))</f>
        <v/>
      </c>
      <c r="EU31" s="1" t="str">
        <f>IF(ISNUMBER(CODE(ET31)),#REF!,"")</f>
        <v/>
      </c>
      <c r="EV31" s="1" t="str">
        <f t="shared" si="53"/>
        <v/>
      </c>
      <c r="EW31" s="3"/>
      <c r="EX31" s="1" t="e">
        <f t="shared" ca="1" si="54"/>
        <v>#N/A</v>
      </c>
      <c r="EY31" s="1" t="e">
        <f t="shared" ca="1" si="55"/>
        <v>#N/A</v>
      </c>
      <c r="EZ31" s="3" t="e">
        <f t="shared" ca="1" si="56"/>
        <v>#N/A</v>
      </c>
      <c r="FA31" s="19"/>
      <c r="FB31" s="19"/>
      <c r="FC31" s="19"/>
      <c r="FD31" s="19"/>
      <c r="FE31" s="19"/>
    </row>
    <row r="32" spans="7:161" ht="15.75" thickBot="1" x14ac:dyDescent="0.3">
      <c r="G32" s="9"/>
      <c r="H32" s="10" t="str">
        <f>IF(ISBLANK(G32),"",IF(#REF!&lt;0,#REF!,""))</f>
        <v/>
      </c>
      <c r="I32" s="10"/>
      <c r="J32" s="180" t="str">
        <f t="shared" ref="J32" si="87">IF(H32&lt;1,H33,H32)</f>
        <v/>
      </c>
      <c r="K32" s="12" t="str">
        <f>IF(ISBLANK($G32),"",INDEX(OLook[],MATCH($G32,OLook[Team],0),MATCH(K$2,OLook[#Headers],0)))</f>
        <v/>
      </c>
      <c r="L32" s="12" t="str">
        <f>IF(ISBLANK($G32),"",INDEX(OLook[],MATCH($G32,OLook[Team],0),MATCH(L$2,OLook[#Headers],0)))</f>
        <v/>
      </c>
      <c r="M32" s="12" t="str">
        <f>IF(ISBLANK($G32),"",INDEX(OLook[],MATCH($G32,OLook[Team],0),MATCH(M$2,OLook[#Headers],0)))</f>
        <v/>
      </c>
      <c r="N32" s="12" t="str">
        <f>IF(ISBLANK($G32),"",INDEX(OLook[],MATCH($G32,OLook[Team],0),MATCH(N$2,OLook[#Headers],0)))</f>
        <v/>
      </c>
      <c r="O32" s="12" t="str">
        <f>IF(ISBLANK($G32),"",INDEX(OLook[],MATCH($G32,OLook[Team],0),MATCH(O$2,OLook[#Headers],0)))</f>
        <v/>
      </c>
      <c r="P32" s="12" t="str">
        <f>IF(ISBLANK($G32),"",INDEX(OLook[],MATCH($G32,OLook[Team],0),MATCH(P$2,OLook[#Headers],0)))</f>
        <v/>
      </c>
      <c r="Q32" s="12" t="str">
        <f>IF(ISBLANK($G32),"",INDEX(OLook[],MATCH($G32,OLook[Team],0),MATCH(Q$2,OLook[#Headers],0)))</f>
        <v/>
      </c>
      <c r="R32" s="12" t="str">
        <f>IF(ISBLANK($G32),"",INDEX(OLook[],MATCH($G32,OLook[Team],0),MATCH(R$2,OLook[#Headers],0)))</f>
        <v/>
      </c>
      <c r="S32" s="12" t="str">
        <f>IF(ISBLANK($G32),"",INDEX(OLook[],MATCH($G32,OLook[Team],0),MATCH(S$2,OLook[#Headers],0)))</f>
        <v/>
      </c>
      <c r="T32" s="12" t="str">
        <f>IF(ISBLANK($G32),"",INDEX(OLook[],MATCH($G32,OLook[Team],0),MATCH(T$2,OLook[#Headers],0)))</f>
        <v/>
      </c>
      <c r="U32" s="12" t="str">
        <f>IF(ISBLANK($G32),"",INDEX(OLook[],MATCH($G32,OLook[Team],0),MATCH(U$2,OLook[#Headers],0)))</f>
        <v/>
      </c>
      <c r="V32" s="12" t="str">
        <f>IF(ISBLANK($G32),"",INDEX(OLook[],MATCH($G32,OLook[Team],0),MATCH(V$2,OLook[#Headers],0)))</f>
        <v/>
      </c>
      <c r="W32" s="12" t="str">
        <f>IF(ISBLANK($G32),"",INDEX(OLook[],MATCH($G32,OLook[Team],0),MATCH(W$2,OLook[#Headers],0)))</f>
        <v/>
      </c>
      <c r="X32" s="12" t="str">
        <f>IF(ISBLANK($G32),"",INDEX(OLook[],MATCH($G32,OLook[Team],0),MATCH(X$2,OLook[#Headers],0)))</f>
        <v/>
      </c>
      <c r="Y32" s="12" t="str">
        <f>IF(ISBLANK($G32),"",INDEX(OLook[],MATCH($G32,OLook[Team],0),MATCH(Y$2,OLook[#Headers],0)))</f>
        <v/>
      </c>
      <c r="Z32" s="12" t="str">
        <f>IF(ISBLANK($G32),"",INDEX(OLook[],MATCH($G32,OLook[Team],0),MATCH(Z$2,OLook[#Headers],0)))</f>
        <v/>
      </c>
      <c r="AA32" s="12" t="str">
        <f>IF(ISBLANK($G32),"",INDEX(OLook[],MATCH($G32,OLook[Team],0),MATCH(AA$2,OLook[#Headers],0)))</f>
        <v/>
      </c>
      <c r="AB32" s="12" t="str">
        <f>IF(ISBLANK($G32),"",INDEX(OLook[],MATCH($G32,OLook[Team],0),MATCH(AB$2,OLook[#Headers],0)))</f>
        <v/>
      </c>
      <c r="AC32" s="12" t="str">
        <f>IF(ISBLANK($G32),"",INDEX(OLook[],MATCH($G32,OLook[Team],0),MATCH(AC$2,OLook[#Headers],0)))</f>
        <v/>
      </c>
      <c r="AD32" s="12" t="str">
        <f>IF(ISBLANK($G32),"",INDEX(OLook[],MATCH($G32,OLook[Team],0),MATCH(AD$2,OLook[#Headers],0)))</f>
        <v/>
      </c>
      <c r="AE32" s="12" t="str">
        <f>IF(ISBLANK($G32),"",INDEX(OLook[],MATCH($G32,OLook[Team],0),MATCH(AE$2,OLook[#Headers],0)))</f>
        <v/>
      </c>
      <c r="AF32" s="12" t="str">
        <f>IF(ISBLANK($G32),"",IF(ISODD(ROW()),INDEX(Scores!$B$2:'Scores'!$N$32,MATCH(G32,Scores!$C$2:$C$32,0),6),INDEX(Scores!$B$2:'Scores'!$N$32,MATCH(G32,Scores!$C$2:$C$32,0),10)))</f>
        <v/>
      </c>
      <c r="AG32" s="12" t="str">
        <f>IF(ISBLANK($G32),"",INDEX(Scores!$B$2:$P$32,MATCH($G32,Scores!$C$2:$C$32,0),MATCH(AG$2,Scores!$B$2:$P$2,0)))</f>
        <v/>
      </c>
      <c r="AH32" s="11" t="str">
        <f>IF(ISBLANK($G32),"",INDEX(DLook[],MATCH($G32,DLook[Team],0),MATCH(AH$2,DLook[#Headers],0)))</f>
        <v/>
      </c>
      <c r="AI32" s="11" t="str">
        <f>IF(ISBLANK($G32),"",INDEX(DLook[],MATCH($G32,DLook[Team],0),MATCH(AI$2,DLook[#Headers],0)))</f>
        <v/>
      </c>
      <c r="AJ32" s="11" t="str">
        <f>IF(ISBLANK($G32),"",INDEX(DLook[],MATCH($G32,DLook[Team],0),MATCH(AJ$2,DLook[#Headers],0)))</f>
        <v/>
      </c>
      <c r="AK32" s="11" t="str">
        <f>IF(ISBLANK($G32),"",INDEX(DLook[],MATCH($G32,DLook[Team],0),MATCH(AK$2,DLook[#Headers],0)))</f>
        <v/>
      </c>
      <c r="AL32" s="11" t="str">
        <f>IF(ISBLANK($G32),"",INDEX(DLook[],MATCH($G32,DLook[Team],0),MATCH(AL$2,DLook[#Headers],0)))</f>
        <v/>
      </c>
      <c r="AM32" s="11" t="str">
        <f>IF(ISBLANK($G32),"",INDEX(DLook[],MATCH($G32,DLook[Team],0),MATCH(AM$2,DLook[#Headers],0)))</f>
        <v/>
      </c>
      <c r="AN32" s="11" t="str">
        <f>IF(ISBLANK($G32),"",INDEX(DLook[],MATCH($G32,DLook[Team],0),MATCH(AN$2,DLook[#Headers],0)))</f>
        <v/>
      </c>
      <c r="AO32" s="11" t="str">
        <f>IF(ISBLANK($G32),"",INDEX(DLook[],MATCH($G32,DLook[Team],0),MATCH(AO$2,DLook[#Headers],0)))</f>
        <v/>
      </c>
      <c r="AP32" s="11" t="str">
        <f>IF(ISBLANK($G32),"",INDEX(DLook[],MATCH($G32,DLook[Team],0),MATCH(AP$2,DLook[#Headers],0)))</f>
        <v/>
      </c>
      <c r="AQ32" s="11" t="str">
        <f>IF(ISBLANK($G32),"",INDEX(DLook[],MATCH($G32,DLook[Team],0),MATCH(AQ$2,DLook[#Headers],0)))</f>
        <v/>
      </c>
      <c r="AR32" s="11" t="str">
        <f>IF(ISBLANK($G32),"",INDEX(DLook[],MATCH($G32,DLook[Team],0),MATCH(AR$2,DLook[#Headers],0)))</f>
        <v/>
      </c>
      <c r="AS32" s="11" t="str">
        <f>IF(ISBLANK($G32),"",INDEX(DLook[],MATCH($G32,DLook[Team],0),MATCH(AS$2,DLook[#Headers],0)))</f>
        <v/>
      </c>
      <c r="AT32" s="11" t="str">
        <f>IF(ISBLANK($G32),"",INDEX(DLook[],MATCH($G32,DLook[Team],0),MATCH(AT$2,DLook[#Headers],0)))</f>
        <v/>
      </c>
      <c r="AU32" s="11" t="str">
        <f>IF(ISBLANK($G32),"",INDEX(DLook[],MATCH($G32,DLook[Team],0),MATCH(AU$2,DLook[#Headers],0)))</f>
        <v/>
      </c>
      <c r="AV32" s="11" t="str">
        <f>IF(ISBLANK($G32),"",INDEX(DLook[],MATCH($G32,DLook[Team],0),MATCH(AV$2,DLook[#Headers],0)))</f>
        <v/>
      </c>
      <c r="AW32" s="11" t="str">
        <f>IF(ISBLANK($G32),"",INDEX(DLook[],MATCH($G32,DLook[Team],0),MATCH(AW$2,DLook[#Headers],0)))</f>
        <v/>
      </c>
      <c r="AX32" s="11" t="str">
        <f>IF(ISBLANK($G32),"",INDEX(DLook[],MATCH($G32,DLook[Team],0),MATCH(AX$2,DLook[#Headers],0)))</f>
        <v/>
      </c>
      <c r="AY32" s="11" t="str">
        <f>IF(ISBLANK($G32),"",INDEX(DLook[],MATCH($G32,DLook[Team],0),MATCH(AY$2,DLook[#Headers],0)))</f>
        <v/>
      </c>
      <c r="AZ32" s="14" t="str">
        <f t="shared" si="0"/>
        <v/>
      </c>
      <c r="BA32" s="14" t="str">
        <f t="shared" si="1"/>
        <v/>
      </c>
      <c r="BB32" s="14" t="str">
        <f t="shared" si="2"/>
        <v/>
      </c>
      <c r="BC32" s="14" t="str">
        <f t="shared" si="3"/>
        <v/>
      </c>
      <c r="BD32" s="14" t="str">
        <f t="shared" si="4"/>
        <v/>
      </c>
      <c r="BE32" s="14" t="str">
        <f t="shared" si="5"/>
        <v/>
      </c>
      <c r="BF32" s="14" t="str">
        <f t="shared" si="6"/>
        <v/>
      </c>
      <c r="BG32" s="14" t="str">
        <f t="shared" si="7"/>
        <v/>
      </c>
      <c r="BH32" s="14" t="str">
        <f t="shared" si="8"/>
        <v/>
      </c>
      <c r="BI32" s="14" t="str">
        <f t="shared" si="9"/>
        <v/>
      </c>
      <c r="BJ32" s="14" t="str">
        <f t="shared" si="10"/>
        <v/>
      </c>
      <c r="BK32" s="14" t="str">
        <f t="shared" si="11"/>
        <v/>
      </c>
      <c r="BL32" s="14" t="str">
        <f t="shared" si="12"/>
        <v/>
      </c>
      <c r="BM32" s="14" t="str">
        <f t="shared" si="13"/>
        <v/>
      </c>
      <c r="BN32" s="14" t="str">
        <f t="shared" si="14"/>
        <v/>
      </c>
      <c r="BO32" s="14" t="str">
        <f t="shared" si="15"/>
        <v/>
      </c>
      <c r="BP32" s="14" t="str">
        <f t="shared" si="16"/>
        <v/>
      </c>
      <c r="BQ32" s="13" t="str">
        <f t="shared" si="17"/>
        <v/>
      </c>
      <c r="BR32" s="13" t="str">
        <f t="shared" si="18"/>
        <v/>
      </c>
      <c r="BS32" s="13" t="str">
        <f t="shared" si="19"/>
        <v/>
      </c>
      <c r="BT32" s="13" t="str">
        <f t="shared" si="20"/>
        <v/>
      </c>
      <c r="BU32" s="13" t="str">
        <f t="shared" si="36"/>
        <v/>
      </c>
      <c r="BV32" s="13" t="str">
        <f t="shared" si="37"/>
        <v/>
      </c>
      <c r="BW32" s="13" t="str">
        <f t="shared" si="58"/>
        <v/>
      </c>
      <c r="BX32" s="13" t="str">
        <f t="shared" si="21"/>
        <v/>
      </c>
      <c r="BY32" s="13" t="str">
        <f t="shared" si="38"/>
        <v/>
      </c>
      <c r="BZ32" s="13" t="str">
        <f t="shared" si="39"/>
        <v/>
      </c>
      <c r="CA32" s="13">
        <f>IF(ISBLANK(B32),0,INDEX(Advanced_Table[],MATCH(B32,Advanced_Table[Player],0),MATCH("Scaled VORP",Advanced_Table[#Headers],0)))+IF(ISBLANK(C32),0,INDEX(Advanced_Table[],MATCH(C32,Advanced_Table[Player],0),MATCH("Scaled VORP",Advanced_Table[#Headers],0)))+IF(ISBLANK(D32),0,INDEX(Advanced_Table[],MATCH(D32,Advanced_Table[Player],0),MATCH("Scaled VORP",Advanced_Table[#Headers],0)))+IF(ISBLANK(E32),0,INDEX(Advanced_Table[],MATCH(E32,Advanced_Table[Player],0),MATCH("Scaled VORP",Advanced_Table[#Headers],0)))+IF(ISBLANK(F32),0,INDEX(Advanced_Table[],MATCH(F32,Advanced_Table[Player],0),MATCH("Scaled VORP",Advanced_Table[#Headers],0)))</f>
        <v>0</v>
      </c>
      <c r="CB32" s="13" t="str">
        <f t="shared" si="40"/>
        <v/>
      </c>
      <c r="CC32" s="13" t="str">
        <f t="shared" si="22"/>
        <v/>
      </c>
      <c r="CD32" s="14">
        <f>INDEX(Defense!$AB$3:$BA$8,2,MATCH(CD$2,Defense!$AB$3:$BA$3,0))</f>
        <v>1.1881973445510248</v>
      </c>
      <c r="CE32" s="14">
        <f>INDEX(Defense!$AB$3:$BA$8,2,MATCH(CE$2,Defense!$AB$3:$BA$3,0))</f>
        <v>20.37695032952751</v>
      </c>
      <c r="CF32" s="14">
        <f>INDEX(Defense!$AB$3:$BA$8,2,MATCH(CF$2,Defense!$AB$3:$BA$3,0))</f>
        <v>3.8108594084794688E-2</v>
      </c>
      <c r="CG32" s="14">
        <f>INDEX(Defense!$AB$3:$BA$8,2,MATCH(CG$2,Defense!$AB$3:$BA$3,0))</f>
        <v>0.82665533501354516</v>
      </c>
      <c r="CH32" s="14">
        <f>INDEX(Defense!$AB$3:$BA$8,2,MATCH(CH$2,Defense!$AB$3:$BA$3,0))</f>
        <v>0.96847375256109303</v>
      </c>
      <c r="CI32" s="14">
        <f>INDEX(Defense!$AB$3:$BA$8,2,MATCH(CI$2,Defense!$AB$3:$BA$3,0))</f>
        <v>24.899423599851655</v>
      </c>
      <c r="CJ32" s="14">
        <f>INDEX(Defense!$AB$3:$BA$8,2,MATCH(CJ$2,Defense!$AB$3:$BA$3,0))</f>
        <v>4.3333160259283868E-2</v>
      </c>
      <c r="CK32" s="14">
        <f>INDEX(Defense!$AB$3:$BA$8,2,MATCH(CK$2,Defense!$AB$3:$BA$3,0))</f>
        <v>4.3643719755598418E-3</v>
      </c>
      <c r="CL32" s="14">
        <f>INDEX(Defense!$AB$3:$BA$8,2,MATCH(CL$2,Defense!$AB$3:$BA$3,0))</f>
        <v>3.3980730825493605E-2</v>
      </c>
      <c r="CM32" s="14">
        <f>INDEX(Defense!$AB$3:$BA$8,2,MATCH(CM$2,Defense!$AB$3:$BA$3,0))</f>
        <v>2.2130116153199469E-2</v>
      </c>
      <c r="CN32" s="14">
        <f>INDEX(Defense!$AB$3:$BA$8,2,MATCH(CN$2,Defense!$AB$3:$BA$3,0))</f>
        <v>1.5770727592026978E-2</v>
      </c>
      <c r="CO32" s="14">
        <f>INDEX(Defense!$AB$3:$BA$8,2,MATCH(CO$2,Defense!$AB$3:$BA$3,0))</f>
        <v>3.4820867870809513E-2</v>
      </c>
      <c r="CP32" s="14">
        <f>INDEX(Defense!$AB$3:$BA$8,2,MATCH(CP$2,Defense!$AB$3:$BA$3,0))</f>
        <v>-8.5450857094943424E-4</v>
      </c>
      <c r="CQ32" s="14">
        <f>INDEX(Defense!$AB$3:$BA$8,2,MATCH(CQ$2,Defense!$AB$3:$BA$3,0))</f>
        <v>160.75587555196628</v>
      </c>
      <c r="CR32" s="14">
        <f>INDEX(Defense!$AB$3:$BA$8,2,MATCH(CR$2,Defense!$AB$3:$BA$3,0))</f>
        <v>0.15454953937048871</v>
      </c>
      <c r="CS32" s="14">
        <f>INDEX(Defense!$AB$3:$BA$8,2,MATCH(CS$2,Defense!$AB$3:$BA$3,0))</f>
        <v>0.10198746342122103</v>
      </c>
      <c r="CT32" s="14">
        <f>INDEX(Defense!$AB$3:$BA$8,2,MATCH(CT$2,Defense!$AB$3:$BA$3,0))</f>
        <v>-13.759669623776899</v>
      </c>
      <c r="CU32" s="14">
        <f>INDEX(Defense!$AB$3:$BA$8,2,MATCH(CU$2,Defense!$AB$3:$BA$3,0))</f>
        <v>-140.43646301959095</v>
      </c>
      <c r="CV32" s="15">
        <f>INDEX(Offense!$AB$3:$BA$8,2,MATCH(CV$2,Offense!$AB$3:$BA$3,0))</f>
        <v>0.94854285448896025</v>
      </c>
      <c r="CW32" s="15">
        <f>INDEX(Offense!$AB$3:$BA$8,2,MATCH(CW$2,Offense!$AB$3:$BA$3,0))</f>
        <v>85.640824181858136</v>
      </c>
      <c r="CX32" s="15">
        <f>INDEX(Offense!$AB$3:$BA$8,2,MATCH(CX$2,Offense!$AB$3:$BA$3,0))</f>
        <v>0.18969054669932336</v>
      </c>
      <c r="CY32" s="15">
        <f>INDEX(Offense!$AB$3:$BA$8,2,MATCH(CY$2,Offense!$AB$3:$BA$3,0))</f>
        <v>15.281981293875587</v>
      </c>
      <c r="CZ32" s="15">
        <f>INDEX(Offense!$AB$3:$BA$8,2,MATCH(CZ$2,Offense!$AB$3:$BA$3,0))</f>
        <v>8.6824407438745616E-2</v>
      </c>
      <c r="DA32" s="15">
        <f>INDEX(Offense!$AB$3:$BA$8,2,MATCH(DA$2,Offense!$AB$3:$BA$3,0))</f>
        <v>5.4421042890783919</v>
      </c>
      <c r="DB32" s="15">
        <f>INDEX(Offense!$AB$3:$BA$8,2,MATCH(DB$2,Offense!$AB$3:$BA$3,0))</f>
        <v>-0.20243279756818017</v>
      </c>
      <c r="DC32" s="15">
        <f>INDEX(Offense!$AB$3:$BA$8,2,MATCH(DC$2,Offense!$AB$3:$BA$3,0))</f>
        <v>-1.5058230699739127E-2</v>
      </c>
      <c r="DD32" s="15">
        <f>INDEX(Offense!$AB$3:$BA$8,2,MATCH(DD$2,Offense!$AB$3:$BA$3,0))</f>
        <v>1.816205347682766E-4</v>
      </c>
      <c r="DE32" s="15">
        <f>INDEX(Offense!$AB$3:$BA$8,2,MATCH(DE$2,Offense!$AB$3:$BA$3,0))</f>
        <v>-3.5192292427553826E-2</v>
      </c>
      <c r="DF32" s="15">
        <f>INDEX(Offense!$AB$3:$BA$8,2,MATCH(DF$2,Offense!$AB$3:$BA$3,0))</f>
        <v>-5.4876472195541252E-2</v>
      </c>
      <c r="DG32" s="15">
        <f>INDEX(Offense!$AB$3:$BA$8,2,MATCH(DG$2,Offense!$AB$3:$BA$3,0))</f>
        <v>9.8474663700154286E-2</v>
      </c>
      <c r="DH32" s="15">
        <f>INDEX(Offense!$AB$3:$BA$8,2,MATCH(DH$2,Offense!$AB$3:$BA$3,0))</f>
        <v>1.3645952114017732E-3</v>
      </c>
      <c r="DI32" s="15">
        <f>INDEX(Offense!$AB$3:$BA$8,2,MATCH(DI$2,Offense!$AB$3:$BA$3,0))</f>
        <v>84.693499827495899</v>
      </c>
      <c r="DJ32" s="15">
        <f>INDEX(Offense!$AB$3:$BA$8,2,MATCH(DJ$2,Offense!$AB$3:$BA$3,0))</f>
        <v>-0.41522539338692127</v>
      </c>
      <c r="DK32" s="15">
        <f>INDEX(Offense!$AB$3:$BA$8,2,MATCH(DK$2,Offense!$AB$3:$BA$3,0))</f>
        <v>0.19885166787903463</v>
      </c>
      <c r="DL32" s="15">
        <f>INDEX(Offense!$AB$3:$BA$8,2,MATCH(DL$2,Offense!$AB$3:$BA$3,0))</f>
        <v>65.336144739305752</v>
      </c>
      <c r="DM32" s="15">
        <f>INDEX(Offense!$AB$3:$BA$8,2,MATCH(DM$2,Offense!$AB$3:$BA$3,0))</f>
        <v>-85.690558012232202</v>
      </c>
      <c r="DN32" t="str">
        <f t="shared" si="23"/>
        <v/>
      </c>
      <c r="DO32" t="str">
        <f t="shared" si="24"/>
        <v/>
      </c>
      <c r="DP32" t="str">
        <f t="shared" si="25"/>
        <v/>
      </c>
      <c r="DQ32" t="e">
        <f>IF(#REF!=0,"",ROUND(IF(#REF!&lt;0,#REF!/(#REF!-100),1/(#REF!/100+1)),2))</f>
        <v>#REF!</v>
      </c>
      <c r="DR32" t="str">
        <f t="shared" si="26"/>
        <v/>
      </c>
      <c r="DS32" t="e">
        <f t="shared" si="27"/>
        <v>#VALUE!</v>
      </c>
      <c r="DT32" s="59" t="str">
        <f t="shared" si="59"/>
        <v/>
      </c>
      <c r="DU32" s="17" t="str">
        <f t="shared" si="41"/>
        <v/>
      </c>
      <c r="DV32" s="177"/>
      <c r="DX32" t="str">
        <f t="shared" ca="1" si="28"/>
        <v/>
      </c>
      <c r="DY32" t="str">
        <f t="shared" ca="1" si="29"/>
        <v/>
      </c>
      <c r="DZ32" s="39" t="str">
        <f t="shared" ca="1" si="30"/>
        <v/>
      </c>
      <c r="EA32" t="str">
        <f t="shared" si="42"/>
        <v/>
      </c>
      <c r="EB32" t="str">
        <f t="shared" si="31"/>
        <v/>
      </c>
      <c r="EC32" t="str">
        <f t="shared" si="43"/>
        <v/>
      </c>
      <c r="ED32" t="str">
        <f t="shared" si="60"/>
        <v/>
      </c>
      <c r="EE32" t="str">
        <f t="shared" si="32"/>
        <v/>
      </c>
      <c r="EF32" t="str">
        <f t="shared" si="44"/>
        <v/>
      </c>
      <c r="EG32" t="str">
        <f t="shared" si="33"/>
        <v/>
      </c>
      <c r="EH32" t="str">
        <f t="shared" si="45"/>
        <v/>
      </c>
      <c r="EI32" t="str">
        <f t="shared" si="34"/>
        <v/>
      </c>
      <c r="EJ32">
        <f t="shared" si="46"/>
        <v>0</v>
      </c>
      <c r="EK32" t="str">
        <f t="shared" si="47"/>
        <v/>
      </c>
      <c r="EL32" t="str">
        <f>IF(ISBLANK(G32),"",IF(DQ32&lt;0.5,IF(DP32&gt;0.5*$FG$7,G32&amp;" Moneyline (+"&amp;#REF!&amp;")",""),IF(DP32&gt;$FG$6*DQ32,G32&amp;" Moneyline ("&amp;#REF!&amp;")","")))</f>
        <v/>
      </c>
      <c r="EN32">
        <f t="shared" ca="1" si="48"/>
        <v>12</v>
      </c>
      <c r="EO32" t="str">
        <f t="shared" si="35"/>
        <v xml:space="preserve"> @ </v>
      </c>
      <c r="EP32" t="str">
        <f t="shared" ca="1" si="49"/>
        <v/>
      </c>
      <c r="EQ32" s="19" t="str">
        <f t="shared" ca="1" si="50"/>
        <v/>
      </c>
      <c r="ER32">
        <f t="shared" ca="1" si="51"/>
        <v>0</v>
      </c>
      <c r="ES32" s="19" t="str">
        <f t="shared" si="52"/>
        <v/>
      </c>
      <c r="ET32" s="19" t="str">
        <f>IF(ISBLANK(G32),"",IF(DT32&gt;0.625,G32&amp;" Moneyline ("&amp;#REF!&amp;")",""))</f>
        <v/>
      </c>
      <c r="EU32" s="1" t="str">
        <f>IF(ISNUMBER(CODE(ET32)),#REF!,"")</f>
        <v/>
      </c>
      <c r="EV32" s="1" t="str">
        <f t="shared" si="53"/>
        <v/>
      </c>
      <c r="EW32" s="3"/>
      <c r="EX32" s="1" t="e">
        <f t="shared" ca="1" si="54"/>
        <v>#N/A</v>
      </c>
      <c r="EY32" s="1" t="e">
        <f t="shared" ca="1" si="55"/>
        <v>#N/A</v>
      </c>
      <c r="EZ32" s="3" t="e">
        <f t="shared" ca="1" si="56"/>
        <v>#N/A</v>
      </c>
      <c r="FA32" s="19"/>
      <c r="FB32" s="19"/>
      <c r="FC32" s="19"/>
      <c r="FD32" s="19"/>
      <c r="FE32" s="19"/>
    </row>
    <row r="33" spans="129:161" x14ac:dyDescent="0.25">
      <c r="DY33" t="str">
        <f ca="1">IFERROR(VLOOKUP(ROW(F31),$EN$3:$EQ$33,3,0),"")</f>
        <v/>
      </c>
      <c r="DZ33" s="39" t="str">
        <f ca="1">IFERROR(VLOOKUP(ROW(F31),$EN$3:$EQ$33,4,0),"")</f>
        <v/>
      </c>
      <c r="EA33" t="str">
        <f t="shared" si="42"/>
        <v/>
      </c>
      <c r="EB33" t="str">
        <f t="shared" si="31"/>
        <v/>
      </c>
      <c r="EC33" t="str">
        <f t="shared" si="43"/>
        <v/>
      </c>
      <c r="ED33" t="str">
        <f t="shared" si="60"/>
        <v/>
      </c>
      <c r="EE33" t="str">
        <f t="shared" si="32"/>
        <v/>
      </c>
      <c r="EF33" t="str">
        <f t="shared" si="44"/>
        <v/>
      </c>
      <c r="EG33" t="str">
        <f t="shared" si="33"/>
        <v/>
      </c>
      <c r="EH33" t="str">
        <f t="shared" si="45"/>
        <v/>
      </c>
      <c r="EI33" t="str">
        <f t="shared" si="34"/>
        <v/>
      </c>
      <c r="EJ33">
        <f t="shared" si="46"/>
        <v>0</v>
      </c>
      <c r="EK33" t="str">
        <f t="shared" si="47"/>
        <v/>
      </c>
      <c r="EL33" t="str">
        <f>IF(ISBLANK(G33),"",IF(DQ33&lt;0.5,IF(DP33&gt;0.5*$FG$7,G33&amp;" Moneyline (+"&amp;#REF!&amp;")",""),IF(DP33&gt;$FG$6*DQ33,G33&amp;" Moneyline ("&amp;#REF!&amp;")","")))</f>
        <v/>
      </c>
      <c r="EN33">
        <f t="shared" ca="1" si="48"/>
        <v>12</v>
      </c>
      <c r="EO33" t="str">
        <f t="shared" si="35"/>
        <v xml:space="preserve"> @ </v>
      </c>
      <c r="EP33" t="str">
        <f t="shared" ca="1" si="49"/>
        <v/>
      </c>
      <c r="EQ33" s="19" t="str">
        <f t="shared" ca="1" si="50"/>
        <v/>
      </c>
      <c r="ER33">
        <f t="shared" ca="1" si="51"/>
        <v>0</v>
      </c>
      <c r="ES33" s="19" t="str">
        <f t="shared" si="52"/>
        <v/>
      </c>
      <c r="ET33" s="19" t="str">
        <f>IF(ISBLANK(G33),"",IF(DT33&gt;0.625,G33&amp;" Moneyline ("&amp;#REF!&amp;")",""))</f>
        <v/>
      </c>
      <c r="EU33" s="1" t="str">
        <f>IF(ISNUMBER(CODE(ET33)),#REF!,"")</f>
        <v/>
      </c>
      <c r="EV33" s="1" t="str">
        <f t="shared" si="53"/>
        <v/>
      </c>
      <c r="EW33" s="3"/>
      <c r="EX33" s="1" t="e">
        <f t="shared" ca="1" si="54"/>
        <v>#N/A</v>
      </c>
      <c r="EY33" s="1" t="e">
        <f t="shared" ca="1" si="55"/>
        <v>#N/A</v>
      </c>
      <c r="EZ33" s="3" t="e">
        <f t="shared" ca="1" si="56"/>
        <v>#N/A</v>
      </c>
      <c r="FA33" s="19"/>
      <c r="FB33" s="19"/>
      <c r="FC33" s="19"/>
      <c r="FD33" s="19"/>
      <c r="FE33" s="19"/>
    </row>
    <row r="34" spans="129:161" x14ac:dyDescent="0.25">
      <c r="EN34">
        <f t="shared" ca="1" si="48"/>
        <v>12</v>
      </c>
      <c r="EO34" t="str">
        <f t="shared" si="35"/>
        <v xml:space="preserve"> @ </v>
      </c>
      <c r="EP34" t="str">
        <f t="shared" ca="1" si="49"/>
        <v/>
      </c>
      <c r="EQ34" s="19" t="str">
        <f t="shared" ca="1" si="50"/>
        <v/>
      </c>
      <c r="ER34">
        <f t="shared" ca="1" si="51"/>
        <v>0</v>
      </c>
      <c r="ES34" s="19" t="str">
        <f t="shared" si="52"/>
        <v/>
      </c>
      <c r="ET34" s="19" t="str">
        <f>IF(ISBLANK(G34),"",IF(DT34&gt;0.625,G34&amp;" Moneyline ("&amp;#REF!&amp;")",""))</f>
        <v/>
      </c>
      <c r="EU34" s="1" t="str">
        <f>IF(ISNUMBER(CODE(ET34)),#REF!,"")</f>
        <v/>
      </c>
      <c r="EV34" s="1" t="str">
        <f t="shared" si="53"/>
        <v/>
      </c>
      <c r="EW34" s="3"/>
      <c r="EX34" s="1" t="e">
        <f t="shared" ca="1" si="54"/>
        <v>#N/A</v>
      </c>
      <c r="EY34" s="1" t="e">
        <f t="shared" ca="1" si="55"/>
        <v>#N/A</v>
      </c>
      <c r="EZ34" s="3" t="e">
        <f t="shared" ca="1" si="56"/>
        <v>#N/A</v>
      </c>
    </row>
    <row r="35" spans="129:161" x14ac:dyDescent="0.25">
      <c r="EN35">
        <f t="shared" ca="1" si="48"/>
        <v>12</v>
      </c>
      <c r="EO35" t="str">
        <f t="shared" si="35"/>
        <v xml:space="preserve"> @ </v>
      </c>
      <c r="EP35" t="str">
        <f t="shared" ca="1" si="49"/>
        <v/>
      </c>
      <c r="EQ35" s="19" t="str">
        <f t="shared" ca="1" si="50"/>
        <v/>
      </c>
      <c r="ER35">
        <f t="shared" ca="1" si="51"/>
        <v>0</v>
      </c>
      <c r="ES35" s="19" t="str">
        <f t="shared" si="52"/>
        <v/>
      </c>
      <c r="ET35" s="19" t="str">
        <f>IF(ISBLANK(G35),"",IF(DT35&gt;0.625,G35&amp;" Moneyline ("&amp;#REF!&amp;")",""))</f>
        <v/>
      </c>
      <c r="EU35" s="1" t="str">
        <f>IF(ISNUMBER(CODE(ET35)),#REF!,"")</f>
        <v/>
      </c>
      <c r="EV35" s="1" t="str">
        <f t="shared" si="53"/>
        <v/>
      </c>
      <c r="EW35" s="3"/>
      <c r="EX35" s="1" t="e">
        <f t="shared" ca="1" si="54"/>
        <v>#N/A</v>
      </c>
      <c r="EY35" s="1" t="e">
        <f t="shared" ca="1" si="55"/>
        <v>#N/A</v>
      </c>
      <c r="EZ35" s="3" t="e">
        <f t="shared" ca="1" si="56"/>
        <v>#N/A</v>
      </c>
    </row>
    <row r="36" spans="129:161" x14ac:dyDescent="0.25">
      <c r="EN36">
        <f t="shared" ca="1" si="48"/>
        <v>12</v>
      </c>
      <c r="EO36" t="str">
        <f t="shared" si="35"/>
        <v xml:space="preserve"> @ </v>
      </c>
      <c r="EP36" t="str">
        <f t="shared" ca="1" si="49"/>
        <v/>
      </c>
      <c r="EQ36" s="19" t="str">
        <f t="shared" ca="1" si="50"/>
        <v/>
      </c>
      <c r="ER36">
        <f t="shared" ca="1" si="51"/>
        <v>0</v>
      </c>
      <c r="ES36" s="19" t="str">
        <f t="shared" si="52"/>
        <v/>
      </c>
      <c r="ET36" s="19" t="str">
        <f>IF(ISBLANK(G36),"",IF(DT36&gt;0.625,G36&amp;" Moneyline ("&amp;#REF!&amp;")",""))</f>
        <v/>
      </c>
      <c r="EU36" s="1" t="str">
        <f>IF(ISNUMBER(CODE(ET36)),#REF!,"")</f>
        <v/>
      </c>
      <c r="EV36" s="1" t="str">
        <f t="shared" si="53"/>
        <v/>
      </c>
      <c r="EW36" s="3"/>
      <c r="EX36" s="1" t="e">
        <f t="shared" ca="1" si="54"/>
        <v>#N/A</v>
      </c>
      <c r="EY36" s="1" t="e">
        <f t="shared" ca="1" si="55"/>
        <v>#N/A</v>
      </c>
      <c r="EZ36" s="3" t="e">
        <f t="shared" ca="1" si="56"/>
        <v>#N/A</v>
      </c>
    </row>
    <row r="37" spans="129:161" x14ac:dyDescent="0.25">
      <c r="EN37">
        <f t="shared" ca="1" si="48"/>
        <v>12</v>
      </c>
      <c r="EO37" t="str">
        <f t="shared" si="35"/>
        <v xml:space="preserve"> @ </v>
      </c>
      <c r="EP37" t="str">
        <f t="shared" ca="1" si="49"/>
        <v/>
      </c>
      <c r="EQ37" s="19" t="str">
        <f t="shared" ca="1" si="50"/>
        <v/>
      </c>
      <c r="ER37">
        <f t="shared" ca="1" si="51"/>
        <v>0</v>
      </c>
      <c r="ES37" s="19" t="str">
        <f t="shared" si="52"/>
        <v/>
      </c>
      <c r="ET37" s="19" t="str">
        <f>IF(ISBLANK(G37),"",IF(DT37&gt;0.625,G37&amp;" Moneyline ("&amp;#REF!&amp;")",""))</f>
        <v/>
      </c>
      <c r="EU37" s="1" t="str">
        <f>IF(ISNUMBER(CODE(ET37)),#REF!,"")</f>
        <v/>
      </c>
      <c r="EV37" s="1" t="str">
        <f t="shared" si="53"/>
        <v/>
      </c>
      <c r="EW37" s="3"/>
      <c r="EX37" s="1" t="e">
        <f t="shared" ca="1" si="54"/>
        <v>#N/A</v>
      </c>
      <c r="EY37" s="1" t="e">
        <f t="shared" ca="1" si="55"/>
        <v>#N/A</v>
      </c>
      <c r="EZ37" s="3" t="e">
        <f t="shared" ca="1" si="56"/>
        <v>#N/A</v>
      </c>
    </row>
    <row r="38" spans="129:161" x14ac:dyDescent="0.25">
      <c r="EN38">
        <f t="shared" ca="1" si="48"/>
        <v>12</v>
      </c>
      <c r="EO38" t="str">
        <f t="shared" si="35"/>
        <v xml:space="preserve"> @ </v>
      </c>
      <c r="EP38" t="str">
        <f t="shared" ca="1" si="49"/>
        <v/>
      </c>
      <c r="EQ38" s="19" t="str">
        <f t="shared" ca="1" si="50"/>
        <v/>
      </c>
      <c r="ER38">
        <f t="shared" ca="1" si="51"/>
        <v>0</v>
      </c>
      <c r="ES38" s="19" t="str">
        <f t="shared" si="52"/>
        <v/>
      </c>
      <c r="ET38" s="19" t="str">
        <f>IF(ISBLANK(G38),"",IF(DT38&gt;0.625,G38&amp;" Moneyline ("&amp;#REF!&amp;")",""))</f>
        <v/>
      </c>
      <c r="EU38" s="1" t="str">
        <f>IF(ISNUMBER(CODE(ET38)),#REF!,"")</f>
        <v/>
      </c>
      <c r="EV38" s="1" t="str">
        <f t="shared" si="53"/>
        <v/>
      </c>
      <c r="EW38" s="3"/>
      <c r="EX38" s="1" t="e">
        <f t="shared" ca="1" si="54"/>
        <v>#N/A</v>
      </c>
      <c r="EY38" s="1" t="e">
        <f t="shared" ca="1" si="55"/>
        <v>#N/A</v>
      </c>
      <c r="EZ38" s="3" t="e">
        <f t="shared" ca="1" si="56"/>
        <v>#N/A</v>
      </c>
    </row>
    <row r="39" spans="129:161" x14ac:dyDescent="0.25">
      <c r="EN39">
        <f t="shared" ca="1" si="48"/>
        <v>12</v>
      </c>
      <c r="EO39" t="str">
        <f t="shared" si="35"/>
        <v xml:space="preserve"> @ </v>
      </c>
      <c r="EP39" t="str">
        <f t="shared" ca="1" si="49"/>
        <v/>
      </c>
      <c r="EQ39" s="19" t="str">
        <f t="shared" ca="1" si="50"/>
        <v/>
      </c>
      <c r="ER39">
        <f t="shared" ca="1" si="51"/>
        <v>0</v>
      </c>
      <c r="ES39" s="19" t="str">
        <f t="shared" si="52"/>
        <v/>
      </c>
      <c r="ET39" s="19" t="str">
        <f>IF(ISBLANK(G39),"",IF(DT39&gt;0.625,G39&amp;" Moneyline ("&amp;#REF!&amp;")",""))</f>
        <v/>
      </c>
      <c r="EU39" s="1" t="str">
        <f>IF(ISNUMBER(CODE(ET39)),#REF!,"")</f>
        <v/>
      </c>
      <c r="EV39" s="1" t="str">
        <f t="shared" si="53"/>
        <v/>
      </c>
      <c r="EW39" s="3"/>
      <c r="EX39" s="1" t="e">
        <f t="shared" ca="1" si="54"/>
        <v>#N/A</v>
      </c>
      <c r="EY39" s="1" t="e">
        <f t="shared" ca="1" si="55"/>
        <v>#N/A</v>
      </c>
      <c r="EZ39" s="3" t="e">
        <f t="shared" ca="1" si="56"/>
        <v>#N/A</v>
      </c>
    </row>
    <row r="40" spans="129:161" x14ac:dyDescent="0.25">
      <c r="EN40">
        <f t="shared" ca="1" si="48"/>
        <v>12</v>
      </c>
      <c r="EO40" t="str">
        <f t="shared" si="35"/>
        <v xml:space="preserve"> @ </v>
      </c>
      <c r="EP40" t="str">
        <f t="shared" ca="1" si="49"/>
        <v/>
      </c>
      <c r="EQ40" s="19" t="str">
        <f t="shared" ca="1" si="50"/>
        <v/>
      </c>
      <c r="ER40">
        <f t="shared" ca="1" si="51"/>
        <v>0</v>
      </c>
      <c r="ES40" s="19" t="str">
        <f t="shared" si="52"/>
        <v/>
      </c>
      <c r="ET40" s="19" t="str">
        <f>IF(ISBLANK(G40),"",IF(DT40&gt;0.625,G40&amp;" Moneyline ("&amp;#REF!&amp;")",""))</f>
        <v/>
      </c>
      <c r="EU40" s="1" t="str">
        <f>IF(ISNUMBER(CODE(ET40)),#REF!,"")</f>
        <v/>
      </c>
      <c r="EV40" s="1" t="str">
        <f t="shared" si="53"/>
        <v/>
      </c>
      <c r="EW40" s="3"/>
      <c r="EX40" s="1" t="e">
        <f t="shared" ca="1" si="54"/>
        <v>#N/A</v>
      </c>
      <c r="EY40" s="1" t="e">
        <f t="shared" ca="1" si="55"/>
        <v>#N/A</v>
      </c>
      <c r="EZ40" s="3" t="e">
        <f t="shared" ca="1" si="56"/>
        <v>#N/A</v>
      </c>
    </row>
    <row r="41" spans="129:161" x14ac:dyDescent="0.25">
      <c r="EN41">
        <f t="shared" ca="1" si="48"/>
        <v>12</v>
      </c>
      <c r="EO41" t="str">
        <f t="shared" si="35"/>
        <v xml:space="preserve"> @ </v>
      </c>
      <c r="EP41" t="str">
        <f t="shared" ca="1" si="49"/>
        <v/>
      </c>
      <c r="EQ41" s="19" t="str">
        <f t="shared" ca="1" si="50"/>
        <v/>
      </c>
      <c r="ER41">
        <f t="shared" ca="1" si="51"/>
        <v>0</v>
      </c>
      <c r="ES41" s="19" t="str">
        <f t="shared" si="52"/>
        <v/>
      </c>
      <c r="ET41" s="19" t="str">
        <f>IF(ISBLANK(G41),"",IF(DT41&gt;0.625,G41&amp;" Moneyline ("&amp;#REF!&amp;")",""))</f>
        <v/>
      </c>
      <c r="EU41" s="1" t="str">
        <f>IF(ISNUMBER(CODE(ET41)),#REF!,"")</f>
        <v/>
      </c>
      <c r="EV41" s="1" t="str">
        <f t="shared" si="53"/>
        <v/>
      </c>
      <c r="EW41" s="3"/>
      <c r="EX41" s="1" t="e">
        <f t="shared" ca="1" si="54"/>
        <v>#N/A</v>
      </c>
      <c r="EY41" s="1" t="e">
        <f t="shared" ca="1" si="55"/>
        <v>#N/A</v>
      </c>
      <c r="EZ41" s="3" t="e">
        <f t="shared" ca="1" si="56"/>
        <v>#N/A</v>
      </c>
    </row>
    <row r="42" spans="129:161" x14ac:dyDescent="0.25">
      <c r="EN42">
        <f t="shared" ca="1" si="48"/>
        <v>12</v>
      </c>
      <c r="EO42" t="str">
        <f t="shared" si="35"/>
        <v xml:space="preserve"> @ </v>
      </c>
      <c r="EP42" t="str">
        <f t="shared" ca="1" si="49"/>
        <v/>
      </c>
      <c r="EQ42" s="19" t="str">
        <f t="shared" ca="1" si="50"/>
        <v/>
      </c>
      <c r="ER42">
        <f t="shared" ca="1" si="51"/>
        <v>0</v>
      </c>
      <c r="ES42" s="19" t="str">
        <f t="shared" si="52"/>
        <v/>
      </c>
      <c r="ET42" s="19" t="str">
        <f>IF(ISBLANK(G42),"",IF(DT42&gt;0.625,G42&amp;" Moneyline ("&amp;#REF!&amp;")",""))</f>
        <v/>
      </c>
      <c r="EU42" s="1" t="str">
        <f>IF(ISNUMBER(CODE(ET42)),#REF!,"")</f>
        <v/>
      </c>
      <c r="EV42" s="1" t="str">
        <f t="shared" si="53"/>
        <v/>
      </c>
      <c r="EW42" s="3"/>
      <c r="EX42" s="1" t="e">
        <f t="shared" ca="1" si="54"/>
        <v>#N/A</v>
      </c>
      <c r="EY42" s="1" t="e">
        <f t="shared" ca="1" si="55"/>
        <v>#N/A</v>
      </c>
      <c r="EZ42" s="3" t="e">
        <f t="shared" ca="1" si="56"/>
        <v>#N/A</v>
      </c>
    </row>
    <row r="43" spans="129:161" x14ac:dyDescent="0.25">
      <c r="EN43">
        <f t="shared" ca="1" si="48"/>
        <v>12</v>
      </c>
      <c r="EO43" t="str">
        <f t="shared" si="35"/>
        <v xml:space="preserve"> @ </v>
      </c>
      <c r="EP43" t="str">
        <f t="shared" ca="1" si="49"/>
        <v/>
      </c>
      <c r="EQ43" s="19" t="str">
        <f t="shared" ca="1" si="50"/>
        <v/>
      </c>
      <c r="ER43">
        <f t="shared" ca="1" si="51"/>
        <v>0</v>
      </c>
      <c r="ES43" s="19" t="str">
        <f t="shared" si="52"/>
        <v/>
      </c>
      <c r="ET43" s="19" t="str">
        <f>IF(ISBLANK(G43),"",IF(DT43&gt;0.625,G43&amp;" Moneyline ("&amp;#REF!&amp;")",""))</f>
        <v/>
      </c>
      <c r="EU43" s="1" t="str">
        <f>IF(ISNUMBER(CODE(ET43)),#REF!,"")</f>
        <v/>
      </c>
      <c r="EV43" s="1" t="str">
        <f t="shared" si="53"/>
        <v/>
      </c>
      <c r="EW43" s="3"/>
      <c r="EX43" s="1" t="e">
        <f t="shared" ca="1" si="54"/>
        <v>#N/A</v>
      </c>
      <c r="EY43" s="1" t="e">
        <f t="shared" ca="1" si="55"/>
        <v>#N/A</v>
      </c>
      <c r="EZ43" s="3" t="e">
        <f t="shared" ca="1" si="56"/>
        <v>#N/A</v>
      </c>
    </row>
    <row r="44" spans="129:161" x14ac:dyDescent="0.25">
      <c r="EN44">
        <f t="shared" ca="1" si="48"/>
        <v>12</v>
      </c>
      <c r="EO44" t="str">
        <f t="shared" si="35"/>
        <v xml:space="preserve"> @ </v>
      </c>
      <c r="EP44" t="str">
        <f t="shared" ca="1" si="49"/>
        <v/>
      </c>
      <c r="EQ44" s="19" t="str">
        <f t="shared" ca="1" si="50"/>
        <v/>
      </c>
      <c r="ER44">
        <f t="shared" ca="1" si="51"/>
        <v>0</v>
      </c>
      <c r="ES44" s="19" t="str">
        <f t="shared" si="52"/>
        <v/>
      </c>
      <c r="ET44" s="19" t="str">
        <f>IF(ISBLANK(G44),"",IF(DT44&gt;0.625,G44&amp;" Moneyline ("&amp;#REF!&amp;")",""))</f>
        <v/>
      </c>
      <c r="EU44" s="1" t="str">
        <f>IF(ISNUMBER(CODE(ET44)),#REF!,"")</f>
        <v/>
      </c>
      <c r="EV44" s="1" t="str">
        <f t="shared" si="53"/>
        <v/>
      </c>
      <c r="EW44" s="3"/>
      <c r="EX44" s="1" t="e">
        <f t="shared" ca="1" si="54"/>
        <v>#N/A</v>
      </c>
      <c r="EY44" s="1" t="e">
        <f t="shared" ca="1" si="55"/>
        <v>#N/A</v>
      </c>
      <c r="EZ44" s="3" t="e">
        <f t="shared" ca="1" si="56"/>
        <v>#N/A</v>
      </c>
    </row>
    <row r="45" spans="129:161" x14ac:dyDescent="0.25">
      <c r="EN45">
        <f t="shared" ca="1" si="48"/>
        <v>12</v>
      </c>
      <c r="EO45" t="str">
        <f t="shared" si="35"/>
        <v xml:space="preserve"> @ </v>
      </c>
      <c r="EP45" t="str">
        <f t="shared" ca="1" si="49"/>
        <v/>
      </c>
      <c r="EQ45" s="19" t="str">
        <f t="shared" ca="1" si="50"/>
        <v/>
      </c>
      <c r="ER45">
        <f t="shared" ca="1" si="51"/>
        <v>0</v>
      </c>
      <c r="ES45" s="19" t="str">
        <f t="shared" si="52"/>
        <v/>
      </c>
      <c r="ET45" s="19" t="str">
        <f>IF(ISBLANK(G45),"",IF(DT45&gt;0.625,G45&amp;" Moneyline ("&amp;#REF!&amp;")",""))</f>
        <v/>
      </c>
      <c r="EU45" s="1" t="str">
        <f>IF(ISNUMBER(CODE(ET45)),#REF!,"")</f>
        <v/>
      </c>
      <c r="EV45" s="1" t="str">
        <f t="shared" si="53"/>
        <v/>
      </c>
      <c r="EW45" s="3"/>
      <c r="EX45" s="1" t="e">
        <f t="shared" ca="1" si="54"/>
        <v>#N/A</v>
      </c>
      <c r="EY45" s="1" t="e">
        <f t="shared" ca="1" si="55"/>
        <v>#N/A</v>
      </c>
      <c r="EZ45" s="3" t="e">
        <f t="shared" ca="1" si="56"/>
        <v>#N/A</v>
      </c>
    </row>
    <row r="46" spans="129:161" x14ac:dyDescent="0.25">
      <c r="EN46">
        <f t="shared" ca="1" si="48"/>
        <v>12</v>
      </c>
      <c r="EO46" t="str">
        <f t="shared" si="35"/>
        <v xml:space="preserve"> @ </v>
      </c>
      <c r="EP46" t="str">
        <f t="shared" ca="1" si="49"/>
        <v/>
      </c>
      <c r="EQ46" s="19" t="str">
        <f t="shared" ca="1" si="50"/>
        <v/>
      </c>
      <c r="ER46">
        <f t="shared" ca="1" si="51"/>
        <v>0</v>
      </c>
      <c r="ES46" s="19" t="str">
        <f t="shared" si="52"/>
        <v/>
      </c>
      <c r="ET46" s="19" t="str">
        <f>IF(ISBLANK(G46),"",IF(DT46&gt;0.625,G46&amp;" Moneyline ("&amp;#REF!&amp;")",""))</f>
        <v/>
      </c>
      <c r="EU46" s="1" t="str">
        <f>IF(ISNUMBER(CODE(ET46)),#REF!,"")</f>
        <v/>
      </c>
      <c r="EV46" s="1" t="str">
        <f t="shared" si="53"/>
        <v/>
      </c>
      <c r="EW46" s="3"/>
      <c r="EX46" s="1" t="e">
        <f t="shared" ca="1" si="54"/>
        <v>#N/A</v>
      </c>
      <c r="EY46" s="1" t="e">
        <f t="shared" ca="1" si="55"/>
        <v>#N/A</v>
      </c>
      <c r="EZ46" s="3" t="e">
        <f t="shared" ca="1" si="56"/>
        <v>#N/A</v>
      </c>
    </row>
    <row r="47" spans="129:161" x14ac:dyDescent="0.25">
      <c r="EN47">
        <f t="shared" ca="1" si="48"/>
        <v>12</v>
      </c>
      <c r="EO47" t="str">
        <f t="shared" si="35"/>
        <v xml:space="preserve"> @ </v>
      </c>
      <c r="EP47" t="str">
        <f t="shared" ca="1" si="49"/>
        <v/>
      </c>
      <c r="EQ47" s="19" t="str">
        <f t="shared" ca="1" si="50"/>
        <v/>
      </c>
      <c r="ER47">
        <f t="shared" ca="1" si="51"/>
        <v>0</v>
      </c>
      <c r="ES47" s="19" t="str">
        <f t="shared" si="52"/>
        <v/>
      </c>
      <c r="ET47" s="19" t="str">
        <f>IF(ISBLANK(G47),"",IF(DT47&gt;0.625,G47&amp;" Moneyline ("&amp;#REF!&amp;")",""))</f>
        <v/>
      </c>
      <c r="EU47" s="1" t="str">
        <f>IF(ISNUMBER(CODE(ET47)),#REF!,"")</f>
        <v/>
      </c>
      <c r="EV47" s="1" t="str">
        <f t="shared" si="53"/>
        <v/>
      </c>
      <c r="EW47" s="3"/>
      <c r="EX47" s="1" t="e">
        <f t="shared" ca="1" si="54"/>
        <v>#N/A</v>
      </c>
      <c r="EY47" s="1" t="e">
        <f t="shared" ca="1" si="55"/>
        <v>#N/A</v>
      </c>
      <c r="EZ47" s="3" t="e">
        <f t="shared" ca="1" si="56"/>
        <v>#N/A</v>
      </c>
    </row>
    <row r="48" spans="129:161" x14ac:dyDescent="0.25">
      <c r="EN48">
        <f t="shared" ca="1" si="48"/>
        <v>12</v>
      </c>
      <c r="EO48" t="str">
        <f t="shared" si="35"/>
        <v xml:space="preserve"> @ </v>
      </c>
      <c r="EP48" t="str">
        <f t="shared" ca="1" si="49"/>
        <v/>
      </c>
      <c r="EQ48" s="19" t="str">
        <f t="shared" ca="1" si="50"/>
        <v/>
      </c>
      <c r="ER48">
        <f t="shared" ca="1" si="51"/>
        <v>0</v>
      </c>
      <c r="ES48" s="19" t="str">
        <f t="shared" si="52"/>
        <v/>
      </c>
      <c r="ET48" s="19" t="str">
        <f>IF(ISBLANK(G48),"",IF(DT48&gt;0.625,G48&amp;" Moneyline ("&amp;#REF!&amp;")",""))</f>
        <v/>
      </c>
      <c r="EU48" s="1" t="str">
        <f>IF(ISNUMBER(CODE(ET48)),#REF!,"")</f>
        <v/>
      </c>
      <c r="EV48" s="1" t="str">
        <f t="shared" si="53"/>
        <v/>
      </c>
      <c r="EW48" s="3"/>
      <c r="EX48" s="1" t="e">
        <f t="shared" ca="1" si="54"/>
        <v>#N/A</v>
      </c>
      <c r="EY48" s="1" t="e">
        <f t="shared" ca="1" si="55"/>
        <v>#N/A</v>
      </c>
      <c r="EZ48" s="3" t="e">
        <f t="shared" ca="1" si="56"/>
        <v>#N/A</v>
      </c>
    </row>
  </sheetData>
  <mergeCells count="37">
    <mergeCell ref="CD1:CU1"/>
    <mergeCell ref="B2:F2"/>
    <mergeCell ref="J17:J18"/>
    <mergeCell ref="J3:J4"/>
    <mergeCell ref="J5:J6"/>
    <mergeCell ref="K1:AF1"/>
    <mergeCell ref="AH1:AY1"/>
    <mergeCell ref="AZ1:BP1"/>
    <mergeCell ref="BS1:CC1"/>
    <mergeCell ref="J7:J8"/>
    <mergeCell ref="J31:J32"/>
    <mergeCell ref="J25:J26"/>
    <mergeCell ref="J27:J28"/>
    <mergeCell ref="J29:J30"/>
    <mergeCell ref="DV31:DV32"/>
    <mergeCell ref="J19:J20"/>
    <mergeCell ref="J21:J22"/>
    <mergeCell ref="J23:J24"/>
    <mergeCell ref="J9:J10"/>
    <mergeCell ref="J11:J12"/>
    <mergeCell ref="J13:J14"/>
    <mergeCell ref="J15:J16"/>
    <mergeCell ref="DV23:DV24"/>
    <mergeCell ref="DV25:DV26"/>
    <mergeCell ref="DV27:DV28"/>
    <mergeCell ref="DV29:DV30"/>
    <mergeCell ref="CV1:DM1"/>
    <mergeCell ref="DV3:DV4"/>
    <mergeCell ref="DV5:DV6"/>
    <mergeCell ref="DV7:DV8"/>
    <mergeCell ref="DV9:DV10"/>
    <mergeCell ref="DV11:DV12"/>
    <mergeCell ref="DV13:DV14"/>
    <mergeCell ref="DV15:DV16"/>
    <mergeCell ref="DV17:DV18"/>
    <mergeCell ref="DV19:DV20"/>
    <mergeCell ref="DV21:DV22"/>
  </mergeCells>
  <conditionalFormatting sqref="DX3:DZ32">
    <cfRule type="expression" dxfId="164" priority="3">
      <formula>IF(ISNUMBER(CODE($DX3)),1,0)</formula>
    </cfRule>
  </conditionalFormatting>
  <conditionalFormatting sqref="DX3:DX32">
    <cfRule type="expression" dxfId="163" priority="2">
      <formula>IF(ISNUMBER(CODE($DX3)),1,0)</formula>
    </cfRule>
  </conditionalFormatting>
  <conditionalFormatting sqref="DZ3:DZ33">
    <cfRule type="expression" dxfId="162" priority="1">
      <formula>IF(ISNUMBER(CODE($DX3)),1,0)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A32"/>
  <sheetViews>
    <sheetView workbookViewId="0">
      <selection activeCell="B3" sqref="B3:B32"/>
    </sheetView>
  </sheetViews>
  <sheetFormatPr defaultRowHeight="15" x14ac:dyDescent="0.25"/>
  <cols>
    <col min="2" max="2" width="9.5703125" customWidth="1"/>
    <col min="20" max="20" width="26.85546875" customWidth="1"/>
    <col min="21" max="22" width="27.140625" customWidth="1"/>
    <col min="23" max="23" width="28.28515625" customWidth="1"/>
  </cols>
  <sheetData>
    <row r="1" spans="2:53" x14ac:dyDescent="0.25">
      <c r="G1" s="5">
        <v>1</v>
      </c>
      <c r="H1" s="5">
        <f>G1+1</f>
        <v>2</v>
      </c>
      <c r="I1" s="5">
        <f t="shared" ref="I1:W1" si="0">H1+1</f>
        <v>3</v>
      </c>
      <c r="J1" s="5">
        <f t="shared" si="0"/>
        <v>4</v>
      </c>
      <c r="K1" s="5">
        <f t="shared" si="0"/>
        <v>5</v>
      </c>
      <c r="L1" s="5">
        <f t="shared" si="0"/>
        <v>6</v>
      </c>
      <c r="M1" s="5">
        <f t="shared" si="0"/>
        <v>7</v>
      </c>
      <c r="N1" s="5">
        <f t="shared" si="0"/>
        <v>8</v>
      </c>
      <c r="O1" s="5">
        <f t="shared" si="0"/>
        <v>9</v>
      </c>
      <c r="P1" s="5">
        <f t="shared" si="0"/>
        <v>10</v>
      </c>
      <c r="Q1" s="5">
        <f t="shared" si="0"/>
        <v>11</v>
      </c>
      <c r="R1" s="5">
        <f t="shared" si="0"/>
        <v>12</v>
      </c>
      <c r="S1" s="5">
        <f t="shared" si="0"/>
        <v>13</v>
      </c>
      <c r="T1" s="5">
        <f t="shared" si="0"/>
        <v>14</v>
      </c>
      <c r="U1" s="5">
        <f t="shared" si="0"/>
        <v>15</v>
      </c>
      <c r="V1" s="5">
        <f t="shared" si="0"/>
        <v>16</v>
      </c>
      <c r="W1" s="5">
        <f t="shared" si="0"/>
        <v>17</v>
      </c>
    </row>
    <row r="2" spans="2:53" x14ac:dyDescent="0.25">
      <c r="B2" t="s">
        <v>203</v>
      </c>
      <c r="C2" t="s">
        <v>1</v>
      </c>
      <c r="D2" t="s">
        <v>193</v>
      </c>
      <c r="E2" t="s">
        <v>2</v>
      </c>
      <c r="F2" t="s">
        <v>3</v>
      </c>
      <c r="G2" t="s">
        <v>5</v>
      </c>
      <c r="H2" t="s">
        <v>6</v>
      </c>
      <c r="I2" t="s">
        <v>8</v>
      </c>
      <c r="J2" t="s">
        <v>9</v>
      </c>
      <c r="K2" t="s">
        <v>14</v>
      </c>
      <c r="L2" t="s">
        <v>15</v>
      </c>
      <c r="M2" t="s">
        <v>16</v>
      </c>
      <c r="N2" t="s">
        <v>17</v>
      </c>
      <c r="O2" t="s">
        <v>19</v>
      </c>
      <c r="P2" t="s">
        <v>20</v>
      </c>
      <c r="Q2" t="s">
        <v>21</v>
      </c>
      <c r="R2" t="s">
        <v>22</v>
      </c>
      <c r="S2" t="s">
        <v>23</v>
      </c>
      <c r="T2" t="s">
        <v>70</v>
      </c>
      <c r="U2" t="s">
        <v>71</v>
      </c>
      <c r="V2" t="s">
        <v>72</v>
      </c>
      <c r="W2" t="s">
        <v>73</v>
      </c>
      <c r="X2" t="s">
        <v>62</v>
      </c>
      <c r="Y2" t="s">
        <v>66</v>
      </c>
      <c r="Z2" t="s">
        <v>205</v>
      </c>
      <c r="AA2" t="s">
        <v>928</v>
      </c>
      <c r="AB2">
        <v>17</v>
      </c>
      <c r="AC2">
        <f>AB2-1</f>
        <v>16</v>
      </c>
      <c r="AD2">
        <f t="shared" ref="AD2:AY2" si="1">AC2-1</f>
        <v>15</v>
      </c>
      <c r="AE2">
        <f t="shared" si="1"/>
        <v>14</v>
      </c>
      <c r="AF2">
        <f t="shared" si="1"/>
        <v>13</v>
      </c>
      <c r="AG2">
        <f t="shared" si="1"/>
        <v>12</v>
      </c>
      <c r="AH2">
        <f t="shared" si="1"/>
        <v>11</v>
      </c>
      <c r="AI2">
        <f t="shared" si="1"/>
        <v>10</v>
      </c>
      <c r="AJ2">
        <f t="shared" si="1"/>
        <v>9</v>
      </c>
      <c r="AK2">
        <f t="shared" si="1"/>
        <v>8</v>
      </c>
      <c r="AL2">
        <f t="shared" si="1"/>
        <v>7</v>
      </c>
      <c r="AM2">
        <f t="shared" si="1"/>
        <v>6</v>
      </c>
      <c r="AN2">
        <f t="shared" si="1"/>
        <v>5</v>
      </c>
      <c r="AO2">
        <f t="shared" si="1"/>
        <v>4</v>
      </c>
      <c r="AP2">
        <f t="shared" si="1"/>
        <v>3</v>
      </c>
      <c r="AQ2">
        <f>AP2-1</f>
        <v>2</v>
      </c>
      <c r="AR2">
        <f t="shared" si="1"/>
        <v>1</v>
      </c>
      <c r="AS2">
        <f t="shared" si="1"/>
        <v>0</v>
      </c>
      <c r="AT2">
        <f t="shared" si="1"/>
        <v>-1</v>
      </c>
      <c r="AU2">
        <f t="shared" si="1"/>
        <v>-2</v>
      </c>
      <c r="AV2">
        <f t="shared" si="1"/>
        <v>-3</v>
      </c>
      <c r="AW2">
        <f t="shared" si="1"/>
        <v>-4</v>
      </c>
      <c r="AX2">
        <f t="shared" si="1"/>
        <v>-5</v>
      </c>
      <c r="AY2">
        <f t="shared" si="1"/>
        <v>-6</v>
      </c>
      <c r="AZ2">
        <f>AY2-1</f>
        <v>-7</v>
      </c>
    </row>
    <row r="3" spans="2:53" x14ac:dyDescent="0.25">
      <c r="B3" t="s">
        <v>2025</v>
      </c>
      <c r="C3" t="s">
        <v>186</v>
      </c>
      <c r="D3">
        <f>INDEX(Misc[],MATCH($B3,Misc[Team],0),MATCH("ORTG",Misc[#Headers],0))</f>
        <v>113.6</v>
      </c>
      <c r="E3">
        <f>INDEX(Offense[],MATCH($B3,Offense[Team],0),MATCH(E$2,Offense[#Headers],0))</f>
        <v>64</v>
      </c>
      <c r="F3">
        <f>INDEX(Offense[],MATCH($B3,Offense[Team],0),MATCH(F$2,Offense[#Headers],0))</f>
        <v>15435</v>
      </c>
      <c r="G3">
        <f>INDEX(Offense[],MATCH($B3,Offense[Team],0),MATCH(G$2,Offense[#Headers],0))</f>
        <v>87.7</v>
      </c>
      <c r="H3">
        <f>INDEX(Offense[],MATCH($B3,Offense[Team],0),MATCH(H$2,Offense[#Headers],0))</f>
        <v>0.46400000000000002</v>
      </c>
      <c r="I3">
        <f>INDEX(Offense[],MATCH($B3,Offense[Team],0),MATCH(I$2,Offense[#Headers],0))</f>
        <v>32.4</v>
      </c>
      <c r="J3">
        <f>INDEX(Offense[],MATCH($B3,Offense[Team],0),MATCH(J$2,Offense[#Headers],0))</f>
        <v>0.36599999999999999</v>
      </c>
      <c r="K3">
        <f>INDEX(Offense[],MATCH($B3,Offense[Team],0),MATCH(K$2,Offense[#Headers],0))</f>
        <v>25.6</v>
      </c>
      <c r="L3">
        <f>INDEX(Offense[],MATCH($B3,Offense[Team],0),MATCH(L$2,Offense[#Headers],0))</f>
        <v>0.79200000000000004</v>
      </c>
      <c r="M3">
        <f>INDEX(Offense[],MATCH($B3,Offense[Team],0),MATCH(M$2,Offense[#Headers],0))</f>
        <v>10.7</v>
      </c>
      <c r="N3">
        <f>INDEX(Offense[],MATCH($B3,Offense[Team],0),MATCH(N$2,Offense[#Headers],0))</f>
        <v>36.200000000000003</v>
      </c>
      <c r="O3">
        <f>INDEX(Offense[],MATCH($B3,Offense[Team],0),MATCH(O$2,Offense[#Headers],0))</f>
        <v>23.3</v>
      </c>
      <c r="P3">
        <f>INDEX(Offense[],MATCH($B3,Offense[Team],0),MATCH(P$2,Offense[#Headers],0))</f>
        <v>7</v>
      </c>
      <c r="Q3">
        <f>INDEX(Offense[],MATCH($B3,Offense[Team],0),MATCH(Q$2,Offense[#Headers],0))</f>
        <v>4.9000000000000004</v>
      </c>
      <c r="R3">
        <f>INDEX(Offense[],MATCH($B3,Offense[Team],0),MATCH(R$2,Offense[#Headers],0))</f>
        <v>14.4</v>
      </c>
      <c r="S3">
        <f>INDEX(Offense[],MATCH($B3,Offense[Team],0),MATCH(S$2,Offense[#Headers],0))</f>
        <v>21.6</v>
      </c>
      <c r="T3" s="3">
        <f>INDEX(Misc[],MATCH($B3,Misc[Team],0),MATCH(T$2,Misc[#Headers],0))</f>
        <v>0.53200000000000003</v>
      </c>
      <c r="U3" s="3">
        <f>INDEX(Misc[],MATCH($B3,Misc[Team],0),MATCH(U$2,Misc[#Headers],0))</f>
        <v>12.7</v>
      </c>
      <c r="V3" s="3">
        <f>INDEX(Misc[],MATCH($B3,Misc[Team],0),MATCH(V$2,Misc[#Headers],0))</f>
        <v>24</v>
      </c>
      <c r="W3" s="3">
        <f>INDEX(Misc[],MATCH($B3,Misc[Team],0),MATCH(W$2,Misc[#Headers],0))</f>
        <v>0.23200000000000001</v>
      </c>
      <c r="X3">
        <f>INDEX(Misc[],MATCH($B3,Misc[Team],0),MATCH(X$2,Misc[#Headers],0))</f>
        <v>6.73</v>
      </c>
      <c r="Y3">
        <f>INDEX(Misc[],MATCH($B3,Misc[Team],0),MATCH(Y$2,Misc[#Headers],0))</f>
        <v>101.8</v>
      </c>
      <c r="Z3" s="3">
        <f>6-ROUND(INDEX(Offense[],MATCH($B3,Offense[Team],0),MATCH("Rk",Offense[#Headers],0))/6,0)</f>
        <v>5</v>
      </c>
      <c r="AA3" s="3">
        <f>OLook[[#This Row],[Pace]]-AVERAGE(OLook[Pace])</f>
        <v>1.589999999999975</v>
      </c>
      <c r="AB3" t="str">
        <f t="shared" ref="AB3:AR3" si="2">INDEX($G$1:$W$2,2,AB2)</f>
        <v>Offense Four Factors FT/FGA</v>
      </c>
      <c r="AC3" t="str">
        <f t="shared" si="2"/>
        <v>Offense Four Factors ORB%</v>
      </c>
      <c r="AD3" t="str">
        <f t="shared" si="2"/>
        <v>Offense Four Factors TOV%</v>
      </c>
      <c r="AE3" t="str">
        <f t="shared" si="2"/>
        <v>Offense Four Factors eFG%</v>
      </c>
      <c r="AF3" t="str">
        <f t="shared" si="2"/>
        <v>PF</v>
      </c>
      <c r="AG3" t="str">
        <f t="shared" si="2"/>
        <v>TOV</v>
      </c>
      <c r="AH3" t="str">
        <f t="shared" si="2"/>
        <v>BLK</v>
      </c>
      <c r="AI3" t="str">
        <f t="shared" si="2"/>
        <v>STL</v>
      </c>
      <c r="AJ3" t="str">
        <f t="shared" si="2"/>
        <v>AST</v>
      </c>
      <c r="AK3" t="str">
        <f t="shared" si="2"/>
        <v>DRB</v>
      </c>
      <c r="AL3" t="str">
        <f t="shared" si="2"/>
        <v>ORB</v>
      </c>
      <c r="AM3" t="str">
        <f t="shared" si="2"/>
        <v>FT%</v>
      </c>
      <c r="AN3" t="str">
        <f t="shared" si="2"/>
        <v>FTA</v>
      </c>
      <c r="AO3" t="str">
        <f t="shared" si="2"/>
        <v>3P%</v>
      </c>
      <c r="AP3" t="str">
        <f t="shared" si="2"/>
        <v>3PA</v>
      </c>
      <c r="AQ3" t="str">
        <f t="shared" si="2"/>
        <v>FG%</v>
      </c>
      <c r="AR3" t="str">
        <f t="shared" si="2"/>
        <v>FGA</v>
      </c>
      <c r="AS3" t="s">
        <v>200</v>
      </c>
      <c r="AT3" t="e">
        <f t="shared" ref="AT3:AY3" si="3">INDEX($G$1:$W$2,2,AT2)</f>
        <v>#VALUE!</v>
      </c>
      <c r="AU3" t="e">
        <f t="shared" si="3"/>
        <v>#VALUE!</v>
      </c>
      <c r="AV3" t="e">
        <f t="shared" si="3"/>
        <v>#VALUE!</v>
      </c>
      <c r="AW3" t="e">
        <f t="shared" si="3"/>
        <v>#VALUE!</v>
      </c>
      <c r="AX3" t="e">
        <f t="shared" si="3"/>
        <v>#VALUE!</v>
      </c>
      <c r="AY3" t="e">
        <f t="shared" si="3"/>
        <v>#VALUE!</v>
      </c>
      <c r="AZ3" t="s">
        <v>204</v>
      </c>
      <c r="BA3" t="s">
        <v>200</v>
      </c>
    </row>
    <row r="4" spans="2:53" x14ac:dyDescent="0.25">
      <c r="B4" t="s">
        <v>2026</v>
      </c>
      <c r="C4" t="s">
        <v>163</v>
      </c>
      <c r="D4" s="3">
        <f>INDEX(Misc[],MATCH($B4,Misc[Team],0),MATCH("ORTG",Misc[#Headers],0))</f>
        <v>110.5</v>
      </c>
      <c r="E4">
        <f>INDEX(Offense[],MATCH($B4,Offense[Team],0),MATCH(E$2,Offense[#Headers],0))</f>
        <v>65</v>
      </c>
      <c r="F4">
        <f>INDEX(Offense[],MATCH($B4,Offense[Team],0),MATCH(F$2,Offense[#Headers],0))</f>
        <v>15675</v>
      </c>
      <c r="G4">
        <f>INDEX(Offense[],MATCH($B4,Offense[Team],0),MATCH(G$2,Offense[#Headers],0))</f>
        <v>86.2</v>
      </c>
      <c r="H4">
        <f>INDEX(Offense[],MATCH($B4,Offense[Team],0),MATCH(H$2,Offense[#Headers],0))</f>
        <v>0.46400000000000002</v>
      </c>
      <c r="I4">
        <f>INDEX(Offense[],MATCH($B4,Offense[Team],0),MATCH(I$2,Offense[#Headers],0))</f>
        <v>31.1</v>
      </c>
      <c r="J4">
        <f>INDEX(Offense[],MATCH($B4,Offense[Team],0),MATCH(J$2,Offense[#Headers],0))</f>
        <v>0.35299999999999998</v>
      </c>
      <c r="K4">
        <f>INDEX(Offense[],MATCH($B4,Offense[Team],0),MATCH(K$2,Offense[#Headers],0))</f>
        <v>23.6</v>
      </c>
      <c r="L4">
        <f>INDEX(Offense[],MATCH($B4,Offense[Team],0),MATCH(L$2,Offense[#Headers],0))</f>
        <v>0.82599999999999996</v>
      </c>
      <c r="M4">
        <f>INDEX(Offense[],MATCH($B4,Offense[Team],0),MATCH(M$2,Offense[#Headers],0))</f>
        <v>9.6</v>
      </c>
      <c r="N4">
        <f>INDEX(Offense[],MATCH($B4,Offense[Team],0),MATCH(N$2,Offense[#Headers],0))</f>
        <v>32.700000000000003</v>
      </c>
      <c r="O4">
        <f>INDEX(Offense[],MATCH($B4,Offense[Team],0),MATCH(O$2,Offense[#Headers],0))</f>
        <v>26.7</v>
      </c>
      <c r="P4">
        <f>INDEX(Offense[],MATCH($B4,Offense[Team],0),MATCH(P$2,Offense[#Headers],0))</f>
        <v>7.7</v>
      </c>
      <c r="Q4">
        <f>INDEX(Offense[],MATCH($B4,Offense[Team],0),MATCH(Q$2,Offense[#Headers],0))</f>
        <v>3.9</v>
      </c>
      <c r="R4">
        <f>INDEX(Offense[],MATCH($B4,Offense[Team],0),MATCH(R$2,Offense[#Headers],0))</f>
        <v>14.8</v>
      </c>
      <c r="S4">
        <f>INDEX(Offense[],MATCH($B4,Offense[Team],0),MATCH(S$2,Offense[#Headers],0))</f>
        <v>21.7</v>
      </c>
      <c r="T4" s="3">
        <f>INDEX(Misc[],MATCH($B4,Misc[Team],0),MATCH(T$2,Misc[#Headers],0))</f>
        <v>0.52800000000000002</v>
      </c>
      <c r="U4" s="3">
        <f>INDEX(Misc[],MATCH($B4,Misc[Team],0),MATCH(U$2,Misc[#Headers],0))</f>
        <v>13.3</v>
      </c>
      <c r="V4" s="3">
        <f>INDEX(Misc[],MATCH($B4,Misc[Team],0),MATCH(V$2,Misc[#Headers],0))</f>
        <v>22.2</v>
      </c>
      <c r="W4" s="3">
        <f>INDEX(Misc[],MATCH($B4,Misc[Team],0),MATCH(W$2,Misc[#Headers],0))</f>
        <v>0.22600000000000001</v>
      </c>
      <c r="X4" s="3">
        <f>INDEX(Misc[],MATCH($B4,Misc[Team],0),MATCH(X$2,Misc[#Headers],0))</f>
        <v>-1.05</v>
      </c>
      <c r="Y4" s="3">
        <f>INDEX(Misc[],MATCH($B4,Misc[Team],0),MATCH(Y$2,Misc[#Headers],0))</f>
        <v>101.4</v>
      </c>
      <c r="Z4" s="3">
        <f>6-ROUND(INDEX(Offense[],MATCH($B4,Offense[Team],0),MATCH("Rk",Offense[#Headers],0))/6,0)</f>
        <v>4</v>
      </c>
      <c r="AA4" s="3">
        <f>OLook[[#This Row],[Pace]]-AVERAGE(OLook[Pace])</f>
        <v>1.1899999999999835</v>
      </c>
      <c r="AB4">
        <f t="array" ref="AB4:AS8">LINEST(D3:D32,$G$3:$W$32,1,1)</f>
        <v>65.336144739305752</v>
      </c>
      <c r="AC4">
        <v>0.19885166787903463</v>
      </c>
      <c r="AD4">
        <v>-0.41522539338692127</v>
      </c>
      <c r="AE4">
        <v>84.693499827495899</v>
      </c>
      <c r="AF4">
        <v>1.3645952114017732E-3</v>
      </c>
      <c r="AG4">
        <v>9.8474663700154286E-2</v>
      </c>
      <c r="AH4">
        <v>-5.4876472195541252E-2</v>
      </c>
      <c r="AI4">
        <v>-3.5192292427553826E-2</v>
      </c>
      <c r="AJ4">
        <v>1.816205347682766E-4</v>
      </c>
      <c r="AK4">
        <v>-1.5058230699739127E-2</v>
      </c>
      <c r="AL4">
        <v>-0.20243279756818017</v>
      </c>
      <c r="AM4">
        <v>5.4421042890783919</v>
      </c>
      <c r="AN4">
        <v>8.6824407438745616E-2</v>
      </c>
      <c r="AO4">
        <v>15.281981293875587</v>
      </c>
      <c r="AP4">
        <v>0.18969054669932336</v>
      </c>
      <c r="AQ4">
        <v>85.640824181858136</v>
      </c>
      <c r="AR4">
        <v>0.94854285448896025</v>
      </c>
      <c r="AS4">
        <v>-85.690558012232202</v>
      </c>
    </row>
    <row r="5" spans="2:53" x14ac:dyDescent="0.25">
      <c r="B5" t="s">
        <v>2007</v>
      </c>
      <c r="C5" t="s">
        <v>164</v>
      </c>
      <c r="D5" s="3">
        <f>INDEX(Misc[],MATCH($B5,Misc[Team],0),MATCH("ORTG",Misc[#Headers],0))</f>
        <v>111.6</v>
      </c>
      <c r="E5">
        <f>INDEX(Offense[],MATCH($B5,Offense[Team],0),MATCH(E$2,Offense[#Headers],0))</f>
        <v>64</v>
      </c>
      <c r="F5">
        <f>INDEX(Offense[],MATCH($B5,Offense[Team],0),MATCH(F$2,Offense[#Headers],0))</f>
        <v>15460</v>
      </c>
      <c r="G5">
        <f>INDEX(Offense[],MATCH($B5,Offense[Team],0),MATCH(G$2,Offense[#Headers],0))</f>
        <v>87.4</v>
      </c>
      <c r="H5">
        <f>INDEX(Offense[],MATCH($B5,Offense[Team],0),MATCH(H$2,Offense[#Headers],0))</f>
        <v>0.45800000000000002</v>
      </c>
      <c r="I5">
        <f>INDEX(Offense[],MATCH($B5,Offense[Team],0),MATCH(I$2,Offense[#Headers],0))</f>
        <v>36.6</v>
      </c>
      <c r="J5">
        <f>INDEX(Offense[],MATCH($B5,Offense[Team],0),MATCH(J$2,Offense[#Headers],0))</f>
        <v>0.371</v>
      </c>
      <c r="K5">
        <f>INDEX(Offense[],MATCH($B5,Offense[Team],0),MATCH(K$2,Offense[#Headers],0))</f>
        <v>22.3</v>
      </c>
      <c r="L5">
        <f>INDEX(Offense[],MATCH($B5,Offense[Team],0),MATCH(L$2,Offense[#Headers],0))</f>
        <v>0.8</v>
      </c>
      <c r="M5">
        <f>INDEX(Offense[],MATCH($B5,Offense[Team],0),MATCH(M$2,Offense[#Headers],0))</f>
        <v>9.5</v>
      </c>
      <c r="N5">
        <f>INDEX(Offense[],MATCH($B5,Offense[Team],0),MATCH(N$2,Offense[#Headers],0))</f>
        <v>35.1</v>
      </c>
      <c r="O5">
        <f>INDEX(Offense[],MATCH($B5,Offense[Team],0),MATCH(O$2,Offense[#Headers],0))</f>
        <v>25.1</v>
      </c>
      <c r="P5">
        <f>INDEX(Offense[],MATCH($B5,Offense[Team],0),MATCH(P$2,Offense[#Headers],0))</f>
        <v>8.6999999999999993</v>
      </c>
      <c r="Q5">
        <f>INDEX(Offense[],MATCH($B5,Offense[Team],0),MATCH(Q$2,Offense[#Headers],0))</f>
        <v>4.9000000000000004</v>
      </c>
      <c r="R5">
        <f>INDEX(Offense[],MATCH($B5,Offense[Team],0),MATCH(R$2,Offense[#Headers],0))</f>
        <v>14.3</v>
      </c>
      <c r="S5">
        <f>INDEX(Offense[],MATCH($B5,Offense[Team],0),MATCH(S$2,Offense[#Headers],0))</f>
        <v>21.2</v>
      </c>
      <c r="T5" s="3">
        <f>INDEX(Misc[],MATCH($B5,Misc[Team],0),MATCH(T$2,Misc[#Headers],0))</f>
        <v>0.53600000000000003</v>
      </c>
      <c r="U5" s="3">
        <f>INDEX(Misc[],MATCH($B5,Misc[Team],0),MATCH(U$2,Misc[#Headers],0))</f>
        <v>12.8</v>
      </c>
      <c r="V5" s="3">
        <f>INDEX(Misc[],MATCH($B5,Misc[Team],0),MATCH(V$2,Misc[#Headers],0))</f>
        <v>21.6</v>
      </c>
      <c r="W5" s="3">
        <f>INDEX(Misc[],MATCH($B5,Misc[Team],0),MATCH(W$2,Misc[#Headers],0))</f>
        <v>0.20499999999999999</v>
      </c>
      <c r="X5" s="3">
        <f>INDEX(Misc[],MATCH($B5,Misc[Team],0),MATCH(X$2,Misc[#Headers],0))</f>
        <v>5.86</v>
      </c>
      <c r="Y5" s="3">
        <f>INDEX(Misc[],MATCH($B5,Misc[Team],0),MATCH(Y$2,Misc[#Headers],0))</f>
        <v>100.6</v>
      </c>
      <c r="Z5" s="3">
        <f>6-ROUND(INDEX(Offense[],MATCH($B5,Offense[Team],0),MATCH("Rk",Offense[#Headers],0))/6,0)</f>
        <v>4</v>
      </c>
      <c r="AA5" s="3">
        <f>OLook[[#This Row],[Pace]]-AVERAGE(OLook[Pace])</f>
        <v>0.38999999999997215</v>
      </c>
      <c r="AB5">
        <v>65.729290568118984</v>
      </c>
      <c r="AC5">
        <v>0.17862002730655038</v>
      </c>
      <c r="AD5">
        <v>0.8095071326645622</v>
      </c>
      <c r="AE5">
        <v>60.21456447464287</v>
      </c>
      <c r="AF5">
        <v>2.5471272605077318E-2</v>
      </c>
      <c r="AG5">
        <v>0.65260312935710929</v>
      </c>
      <c r="AH5">
        <v>4.4898099582753162E-2</v>
      </c>
      <c r="AI5">
        <v>3.8642662225161842E-2</v>
      </c>
      <c r="AJ5">
        <v>1.8059590317010238E-2</v>
      </c>
      <c r="AK5">
        <v>1.8477500812471702E-2</v>
      </c>
      <c r="AL5">
        <v>0.31158966066769211</v>
      </c>
      <c r="AM5">
        <v>18.044634146265096</v>
      </c>
      <c r="AN5">
        <v>0.60510079308214337</v>
      </c>
      <c r="AO5">
        <v>12.225405655736006</v>
      </c>
      <c r="AP5">
        <v>0.12123242303860664</v>
      </c>
      <c r="AQ5">
        <v>57.287735951383247</v>
      </c>
      <c r="AR5">
        <v>0.19856473208564074</v>
      </c>
      <c r="AS5">
        <v>17.460458413248301</v>
      </c>
    </row>
    <row r="6" spans="2:53" x14ac:dyDescent="0.25">
      <c r="B6" t="s">
        <v>2027</v>
      </c>
      <c r="C6" t="s">
        <v>165</v>
      </c>
      <c r="D6" s="3">
        <f>INDEX(Misc[],MATCH($B6,Misc[Team],0),MATCH("ORTG",Misc[#Headers],0))</f>
        <v>112.5</v>
      </c>
      <c r="E6">
        <f>INDEX(Offense[],MATCH($B6,Offense[Team],0),MATCH(E$2,Offense[#Headers],0))</f>
        <v>66</v>
      </c>
      <c r="F6">
        <f>INDEX(Offense[],MATCH($B6,Offense[Team],0),MATCH(F$2,Offense[#Headers],0))</f>
        <v>15890</v>
      </c>
      <c r="G6">
        <f>INDEX(Offense[],MATCH($B6,Offense[Team],0),MATCH(G$2,Offense[#Headers],0))</f>
        <v>90</v>
      </c>
      <c r="H6">
        <f>INDEX(Offense[],MATCH($B6,Offense[Team],0),MATCH(H$2,Offense[#Headers],0))</f>
        <v>0.46100000000000002</v>
      </c>
      <c r="I6">
        <f>INDEX(Offense[],MATCH($B6,Offense[Team],0),MATCH(I$2,Offense[#Headers],0))</f>
        <v>33.4</v>
      </c>
      <c r="J6">
        <f>INDEX(Offense[],MATCH($B6,Offense[Team],0),MATCH(J$2,Offense[#Headers],0))</f>
        <v>0.372</v>
      </c>
      <c r="K6">
        <f>INDEX(Offense[],MATCH($B6,Offense[Team],0),MATCH(K$2,Offense[#Headers],0))</f>
        <v>21.5</v>
      </c>
      <c r="L6">
        <f>INDEX(Offense[],MATCH($B6,Offense[Team],0),MATCH(L$2,Offense[#Headers],0))</f>
        <v>0.79800000000000004</v>
      </c>
      <c r="M6">
        <f>INDEX(Offense[],MATCH($B6,Offense[Team],0),MATCH(M$2,Offense[#Headers],0))</f>
        <v>10</v>
      </c>
      <c r="N6">
        <f>INDEX(Offense[],MATCH($B6,Offense[Team],0),MATCH(N$2,Offense[#Headers],0))</f>
        <v>35</v>
      </c>
      <c r="O6">
        <f>INDEX(Offense[],MATCH($B6,Offense[Team],0),MATCH(O$2,Offense[#Headers],0))</f>
        <v>20</v>
      </c>
      <c r="P6">
        <f>INDEX(Offense[],MATCH($B6,Offense[Team],0),MATCH(P$2,Offense[#Headers],0))</f>
        <v>6</v>
      </c>
      <c r="Q6">
        <f>INDEX(Offense[],MATCH($B6,Offense[Team],0),MATCH(Q$2,Offense[#Headers],0))</f>
        <v>6.2</v>
      </c>
      <c r="R6">
        <f>INDEX(Offense[],MATCH($B6,Offense[Team],0),MATCH(R$2,Offense[#Headers],0))</f>
        <v>12.9</v>
      </c>
      <c r="S6">
        <f>INDEX(Offense[],MATCH($B6,Offense[Team],0),MATCH(S$2,Offense[#Headers],0))</f>
        <v>21.2</v>
      </c>
      <c r="T6" s="3">
        <f>INDEX(Misc[],MATCH($B6,Misc[Team],0),MATCH(T$2,Misc[#Headers],0))</f>
        <v>0.53</v>
      </c>
      <c r="U6" s="3">
        <f>INDEX(Misc[],MATCH($B6,Misc[Team],0),MATCH(U$2,Misc[#Headers],0))</f>
        <v>11.5</v>
      </c>
      <c r="V6" s="3">
        <f>INDEX(Misc[],MATCH($B6,Misc[Team],0),MATCH(V$2,Misc[#Headers],0))</f>
        <v>22</v>
      </c>
      <c r="W6" s="3">
        <f>INDEX(Misc[],MATCH($B6,Misc[Team],0),MATCH(W$2,Misc[#Headers],0))</f>
        <v>0.191</v>
      </c>
      <c r="X6" s="3">
        <f>INDEX(Misc[],MATCH($B6,Misc[Team],0),MATCH(X$2,Misc[#Headers],0))</f>
        <v>-1.1200000000000001</v>
      </c>
      <c r="Y6" s="3">
        <f>INDEX(Misc[],MATCH($B6,Misc[Team],0),MATCH(Y$2,Misc[#Headers],0))</f>
        <v>100.7</v>
      </c>
      <c r="Z6" s="3">
        <f>6-ROUND(INDEX(Offense[],MATCH($B6,Offense[Team],0),MATCH("Rk",Offense[#Headers],0))/6,0)</f>
        <v>5</v>
      </c>
      <c r="AA6" s="3">
        <f>OLook[[#This Row],[Pace]]-AVERAGE(OLook[Pace])</f>
        <v>0.48999999999998067</v>
      </c>
      <c r="AB6">
        <v>0.99940612936815809</v>
      </c>
      <c r="AC6">
        <v>0.10495455637530739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  <c r="AR6" t="e">
        <v>#N/A</v>
      </c>
      <c r="AS6" t="e">
        <v>#N/A</v>
      </c>
    </row>
    <row r="7" spans="2:53" x14ac:dyDescent="0.25">
      <c r="B7" t="s">
        <v>2028</v>
      </c>
      <c r="C7" t="s">
        <v>166</v>
      </c>
      <c r="D7" s="3">
        <f>INDEX(Misc[],MATCH($B7,Misc[Team],0),MATCH("ORTG",Misc[#Headers],0))</f>
        <v>106.1</v>
      </c>
      <c r="E7">
        <f>INDEX(Offense[],MATCH($B7,Offense[Team],0),MATCH(E$2,Offense[#Headers],0))</f>
        <v>64</v>
      </c>
      <c r="F7">
        <f>INDEX(Offense[],MATCH($B7,Offense[Team],0),MATCH(F$2,Offense[#Headers],0))</f>
        <v>15510</v>
      </c>
      <c r="G7">
        <f>INDEX(Offense[],MATCH($B7,Offense[Team],0),MATCH(G$2,Offense[#Headers],0))</f>
        <v>88.8</v>
      </c>
      <c r="H7">
        <f>INDEX(Offense[],MATCH($B7,Offense[Team],0),MATCH(H$2,Offense[#Headers],0))</f>
        <v>0.434</v>
      </c>
      <c r="I7">
        <f>INDEX(Offense[],MATCH($B7,Offense[Team],0),MATCH(I$2,Offense[#Headers],0))</f>
        <v>35.4</v>
      </c>
      <c r="J7">
        <f>INDEX(Offense[],MATCH($B7,Offense[Team],0),MATCH(J$2,Offense[#Headers],0))</f>
        <v>0.35</v>
      </c>
      <c r="K7">
        <f>INDEX(Offense[],MATCH($B7,Offense[Team],0),MATCH(K$2,Offense[#Headers],0))</f>
        <v>22.3</v>
      </c>
      <c r="L7">
        <f>INDEX(Offense[],MATCH($B7,Offense[Team],0),MATCH(L$2,Offense[#Headers],0))</f>
        <v>0.747</v>
      </c>
      <c r="M7">
        <f>INDEX(Offense[],MATCH($B7,Offense[Team],0),MATCH(M$2,Offense[#Headers],0))</f>
        <v>11.3</v>
      </c>
      <c r="N7">
        <f>INDEX(Offense[],MATCH($B7,Offense[Team],0),MATCH(N$2,Offense[#Headers],0))</f>
        <v>32.799999999999997</v>
      </c>
      <c r="O7">
        <f>INDEX(Offense[],MATCH($B7,Offense[Team],0),MATCH(O$2,Offense[#Headers],0))</f>
        <v>24.7</v>
      </c>
      <c r="P7">
        <f>INDEX(Offense[],MATCH($B7,Offense[Team],0),MATCH(P$2,Offense[#Headers],0))</f>
        <v>6.8</v>
      </c>
      <c r="Q7">
        <f>INDEX(Offense[],MATCH($B7,Offense[Team],0),MATCH(Q$2,Offense[#Headers],0))</f>
        <v>4.3</v>
      </c>
      <c r="R7">
        <f>INDEX(Offense[],MATCH($B7,Offense[Team],0),MATCH(R$2,Offense[#Headers],0))</f>
        <v>15.1</v>
      </c>
      <c r="S7">
        <f>INDEX(Offense[],MATCH($B7,Offense[Team],0),MATCH(S$2,Offense[#Headers],0))</f>
        <v>19.600000000000001</v>
      </c>
      <c r="T7" s="3">
        <f>INDEX(Misc[],MATCH($B7,Misc[Team],0),MATCH(T$2,Misc[#Headers],0))</f>
        <v>0.504</v>
      </c>
      <c r="U7" s="3">
        <f>INDEX(Misc[],MATCH($B7,Misc[Team],0),MATCH(U$2,Misc[#Headers],0))</f>
        <v>13.3</v>
      </c>
      <c r="V7" s="3">
        <f>INDEX(Misc[],MATCH($B7,Misc[Team],0),MATCH(V$2,Misc[#Headers],0))</f>
        <v>23.7</v>
      </c>
      <c r="W7" s="3">
        <f>INDEX(Misc[],MATCH($B7,Misc[Team],0),MATCH(W$2,Misc[#Headers],0))</f>
        <v>0.188</v>
      </c>
      <c r="X7" s="3">
        <f>INDEX(Misc[],MATCH($B7,Misc[Team],0),MATCH(X$2,Misc[#Headers],0))</f>
        <v>-7.2</v>
      </c>
      <c r="Y7" s="3">
        <f>INDEX(Misc[],MATCH($B7,Misc[Team],0),MATCH(Y$2,Misc[#Headers],0))</f>
        <v>95.9</v>
      </c>
      <c r="Z7" s="3">
        <f>6-ROUND(INDEX(Offense[],MATCH($B7,Offense[Team],0),MATCH("Rk",Offense[#Headers],0))/6,0)</f>
        <v>1</v>
      </c>
      <c r="AA7" s="3">
        <f>OLook[[#This Row],[Pace]]-AVERAGE(OLook[Pace])</f>
        <v>-4.3100000000000165</v>
      </c>
      <c r="AB7">
        <v>1187.9071170000473</v>
      </c>
      <c r="AC7">
        <v>12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  <c r="AR7" t="e">
        <v>#N/A</v>
      </c>
      <c r="AS7" t="e">
        <v>#N/A</v>
      </c>
    </row>
    <row r="8" spans="2:53" x14ac:dyDescent="0.25">
      <c r="B8" t="s">
        <v>2029</v>
      </c>
      <c r="C8" t="s">
        <v>167</v>
      </c>
      <c r="D8" s="3">
        <f>INDEX(Misc[],MATCH($B8,Misc[Team],0),MATCH("ORTG",Misc[#Headers],0))</f>
        <v>109</v>
      </c>
      <c r="E8">
        <f>INDEX(Offense[],MATCH($B8,Offense[Team],0),MATCH(E$2,Offense[#Headers],0))</f>
        <v>65</v>
      </c>
      <c r="F8">
        <f>INDEX(Offense[],MATCH($B8,Offense[Team],0),MATCH(F$2,Offense[#Headers],0))</f>
        <v>15725</v>
      </c>
      <c r="G8">
        <f>INDEX(Offense[],MATCH($B8,Offense[Team],0),MATCH(G$2,Offense[#Headers],0))</f>
        <v>87.2</v>
      </c>
      <c r="H8">
        <f>INDEX(Offense[],MATCH($B8,Offense[Team],0),MATCH(H$2,Offense[#Headers],0))</f>
        <v>0.45900000000000002</v>
      </c>
      <c r="I8">
        <f>INDEX(Offense[],MATCH($B8,Offense[Team],0),MATCH(I$2,Offense[#Headers],0))</f>
        <v>33.200000000000003</v>
      </c>
      <c r="J8">
        <f>INDEX(Offense[],MATCH($B8,Offense[Team],0),MATCH(J$2,Offense[#Headers],0))</f>
        <v>0.36799999999999999</v>
      </c>
      <c r="K8">
        <f>INDEX(Offense[],MATCH($B8,Offense[Team],0),MATCH(K$2,Offense[#Headers],0))</f>
        <v>22.7</v>
      </c>
      <c r="L8">
        <f>INDEX(Offense[],MATCH($B8,Offense[Team],0),MATCH(L$2,Offense[#Headers],0))</f>
        <v>0.74399999999999999</v>
      </c>
      <c r="M8">
        <f>INDEX(Offense[],MATCH($B8,Offense[Team],0),MATCH(M$2,Offense[#Headers],0))</f>
        <v>10</v>
      </c>
      <c r="N8">
        <f>INDEX(Offense[],MATCH($B8,Offense[Team],0),MATCH(N$2,Offense[#Headers],0))</f>
        <v>32.6</v>
      </c>
      <c r="O8">
        <f>INDEX(Offense[],MATCH($B8,Offense[Team],0),MATCH(O$2,Offense[#Headers],0))</f>
        <v>24.5</v>
      </c>
      <c r="P8">
        <f>INDEX(Offense[],MATCH($B8,Offense[Team],0),MATCH(P$2,Offense[#Headers],0))</f>
        <v>7.5</v>
      </c>
      <c r="Q8">
        <f>INDEX(Offense[],MATCH($B8,Offense[Team],0),MATCH(Q$2,Offense[#Headers],0))</f>
        <v>4.5999999999999996</v>
      </c>
      <c r="R8">
        <f>INDEX(Offense[],MATCH($B8,Offense[Team],0),MATCH(R$2,Offense[#Headers],0))</f>
        <v>15.6</v>
      </c>
      <c r="S8">
        <f>INDEX(Offense[],MATCH($B8,Offense[Team],0),MATCH(S$2,Offense[#Headers],0))</f>
        <v>19.899999999999999</v>
      </c>
      <c r="T8" s="3">
        <f>INDEX(Misc[],MATCH($B8,Misc[Team],0),MATCH(T$2,Misc[#Headers],0))</f>
        <v>0.52900000000000003</v>
      </c>
      <c r="U8" s="3">
        <f>INDEX(Misc[],MATCH($B8,Misc[Team],0),MATCH(U$2,Misc[#Headers],0))</f>
        <v>13.9</v>
      </c>
      <c r="V8" s="3">
        <f>INDEX(Misc[],MATCH($B8,Misc[Team],0),MATCH(V$2,Misc[#Headers],0))</f>
        <v>22.7</v>
      </c>
      <c r="W8" s="3">
        <f>INDEX(Misc[],MATCH($B8,Misc[Team],0),MATCH(W$2,Misc[#Headers],0))</f>
        <v>0.19400000000000001</v>
      </c>
      <c r="X8" s="3">
        <f>INDEX(Misc[],MATCH($B8,Misc[Team],0),MATCH(X$2,Misc[#Headers],0))</f>
        <v>-4.07</v>
      </c>
      <c r="Y8" s="3">
        <f>INDEX(Misc[],MATCH($B8,Misc[Team],0),MATCH(Y$2,Misc[#Headers],0))</f>
        <v>97.6</v>
      </c>
      <c r="Z8" s="3">
        <f>6-ROUND(INDEX(Offense[],MATCH($B8,Offense[Team],0),MATCH("Rk",Offense[#Headers],0))/6,0)</f>
        <v>2</v>
      </c>
      <c r="AA8" s="3">
        <f>OLook[[#This Row],[Pace]]-AVERAGE(OLook[Pace])</f>
        <v>-2.6100000000000279</v>
      </c>
      <c r="AB8">
        <v>222.45081449315276</v>
      </c>
      <c r="AC8">
        <v>0.13218550684725092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  <c r="AR8" t="e">
        <v>#N/A</v>
      </c>
      <c r="AS8" t="e">
        <v>#N/A</v>
      </c>
    </row>
    <row r="9" spans="2:53" x14ac:dyDescent="0.25">
      <c r="B9" t="s">
        <v>2030</v>
      </c>
      <c r="C9" t="s">
        <v>168</v>
      </c>
      <c r="D9" s="3">
        <f>INDEX(Misc[],MATCH($B9,Misc[Team],0),MATCH("ORTG",Misc[#Headers],0))</f>
        <v>106.7</v>
      </c>
      <c r="E9">
        <f>INDEX(Offense[],MATCH($B9,Offense[Team],0),MATCH(E$2,Offense[#Headers],0))</f>
        <v>65</v>
      </c>
      <c r="F9">
        <f>INDEX(Offense[],MATCH($B9,Offense[Team],0),MATCH(F$2,Offense[#Headers],0))</f>
        <v>15675</v>
      </c>
      <c r="G9">
        <f>INDEX(Offense[],MATCH($B9,Offense[Team],0),MATCH(G$2,Offense[#Headers],0))</f>
        <v>88.5</v>
      </c>
      <c r="H9">
        <f>INDEX(Offense[],MATCH($B9,Offense[Team],0),MATCH(H$2,Offense[#Headers],0))</f>
        <v>0.44700000000000001</v>
      </c>
      <c r="I9">
        <f>INDEX(Offense[],MATCH($B9,Offense[Team],0),MATCH(I$2,Offense[#Headers],0))</f>
        <v>35.1</v>
      </c>
      <c r="J9">
        <f>INDEX(Offense[],MATCH($B9,Offense[Team],0),MATCH(J$2,Offense[#Headers],0))</f>
        <v>0.34799999999999998</v>
      </c>
      <c r="K9">
        <f>INDEX(Offense[],MATCH($B9,Offense[Team],0),MATCH(K$2,Offense[#Headers],0))</f>
        <v>20.5</v>
      </c>
      <c r="L9">
        <f>INDEX(Offense[],MATCH($B9,Offense[Team],0),MATCH(L$2,Offense[#Headers],0))</f>
        <v>0.755</v>
      </c>
      <c r="M9">
        <f>INDEX(Offense[],MATCH($B9,Offense[Team],0),MATCH(M$2,Offense[#Headers],0))</f>
        <v>10.4</v>
      </c>
      <c r="N9">
        <f>INDEX(Offense[],MATCH($B9,Offense[Team],0),MATCH(N$2,Offense[#Headers],0))</f>
        <v>31.4</v>
      </c>
      <c r="O9">
        <f>INDEX(Offense[],MATCH($B9,Offense[Team],0),MATCH(O$2,Offense[#Headers],0))</f>
        <v>23.2</v>
      </c>
      <c r="P9">
        <f>INDEX(Offense[],MATCH($B9,Offense[Team],0),MATCH(P$2,Offense[#Headers],0))</f>
        <v>10</v>
      </c>
      <c r="Q9">
        <f>INDEX(Offense[],MATCH($B9,Offense[Team],0),MATCH(Q$2,Offense[#Headers],0))</f>
        <v>4.0999999999999996</v>
      </c>
      <c r="R9">
        <f>INDEX(Offense[],MATCH($B9,Offense[Team],0),MATCH(R$2,Offense[#Headers],0))</f>
        <v>15.4</v>
      </c>
      <c r="S9">
        <f>INDEX(Offense[],MATCH($B9,Offense[Team],0),MATCH(S$2,Offense[#Headers],0))</f>
        <v>21.8</v>
      </c>
      <c r="T9" s="3">
        <f>INDEX(Misc[],MATCH($B9,Misc[Team],0),MATCH(T$2,Misc[#Headers],0))</f>
        <v>0.51500000000000001</v>
      </c>
      <c r="U9" s="3">
        <f>INDEX(Misc[],MATCH($B9,Misc[Team],0),MATCH(U$2,Misc[#Headers],0))</f>
        <v>13.7</v>
      </c>
      <c r="V9" s="3">
        <f>INDEX(Misc[],MATCH($B9,Misc[Team],0),MATCH(V$2,Misc[#Headers],0))</f>
        <v>22.8</v>
      </c>
      <c r="W9" s="3">
        <f>INDEX(Misc[],MATCH($B9,Misc[Team],0),MATCH(W$2,Misc[#Headers],0))</f>
        <v>0.17499999999999999</v>
      </c>
      <c r="X9" s="3">
        <f>INDEX(Misc[],MATCH($B9,Misc[Team],0),MATCH(X$2,Misc[#Headers],0))</f>
        <v>-3.83</v>
      </c>
      <c r="Y9" s="3">
        <f>INDEX(Misc[],MATCH($B9,Misc[Team],0),MATCH(Y$2,Misc[#Headers],0))</f>
        <v>99.7</v>
      </c>
      <c r="Z9" s="3">
        <f>6-ROUND(INDEX(Offense[],MATCH($B9,Offense[Team],0),MATCH("Rk",Offense[#Headers],0))/6,0)</f>
        <v>2</v>
      </c>
      <c r="AA9" s="3">
        <f>OLook[[#This Row],[Pace]]-AVERAGE(OLook[Pace])</f>
        <v>-0.51000000000001933</v>
      </c>
    </row>
    <row r="10" spans="2:53" x14ac:dyDescent="0.25">
      <c r="B10" t="s">
        <v>2031</v>
      </c>
      <c r="C10" t="s">
        <v>169</v>
      </c>
      <c r="D10" s="3">
        <f>INDEX(Misc[],MATCH($B10,Misc[Team],0),MATCH("ORTG",Misc[#Headers],0))</f>
        <v>113.8</v>
      </c>
      <c r="E10">
        <f>INDEX(Offense[],MATCH($B10,Offense[Team],0),MATCH(E$2,Offense[#Headers],0))</f>
        <v>64</v>
      </c>
      <c r="F10">
        <f>INDEX(Offense[],MATCH($B10,Offense[Team],0),MATCH(F$2,Offense[#Headers],0))</f>
        <v>15435</v>
      </c>
      <c r="G10">
        <f>INDEX(Offense[],MATCH($B10,Offense[Team],0),MATCH(G$2,Offense[#Headers],0))</f>
        <v>87.3</v>
      </c>
      <c r="H10">
        <f>INDEX(Offense[],MATCH($B10,Offense[Team],0),MATCH(H$2,Offense[#Headers],0))</f>
        <v>0.45400000000000001</v>
      </c>
      <c r="I10">
        <f>INDEX(Offense[],MATCH($B10,Offense[Team],0),MATCH(I$2,Offense[#Headers],0))</f>
        <v>42.6</v>
      </c>
      <c r="J10">
        <f>INDEX(Offense[],MATCH($B10,Offense[Team],0),MATCH(J$2,Offense[#Headers],0))</f>
        <v>0.34799999999999998</v>
      </c>
      <c r="K10">
        <f>INDEX(Offense[],MATCH($B10,Offense[Team],0),MATCH(K$2,Offense[#Headers],0))</f>
        <v>25</v>
      </c>
      <c r="L10">
        <f>INDEX(Offense[],MATCH($B10,Offense[Team],0),MATCH(L$2,Offense[#Headers],0))</f>
        <v>0.78700000000000003</v>
      </c>
      <c r="M10">
        <f>INDEX(Offense[],MATCH($B10,Offense[Team],0),MATCH(M$2,Offense[#Headers],0))</f>
        <v>10</v>
      </c>
      <c r="N10">
        <f>INDEX(Offense[],MATCH($B10,Offense[Team],0),MATCH(N$2,Offense[#Headers],0))</f>
        <v>33.299999999999997</v>
      </c>
      <c r="O10">
        <f>INDEX(Offense[],MATCH($B10,Offense[Team],0),MATCH(O$2,Offense[#Headers],0))</f>
        <v>20.7</v>
      </c>
      <c r="P10">
        <f>INDEX(Offense[],MATCH($B10,Offense[Team],0),MATCH(P$2,Offense[#Headers],0))</f>
        <v>8.1</v>
      </c>
      <c r="Q10">
        <f>INDEX(Offense[],MATCH($B10,Offense[Team],0),MATCH(Q$2,Offense[#Headers],0))</f>
        <v>5</v>
      </c>
      <c r="R10">
        <f>INDEX(Offense[],MATCH($B10,Offense[Team],0),MATCH(R$2,Offense[#Headers],0))</f>
        <v>14.1</v>
      </c>
      <c r="S10">
        <f>INDEX(Offense[],MATCH($B10,Offense[Team],0),MATCH(S$2,Offense[#Headers],0))</f>
        <v>20.8</v>
      </c>
      <c r="T10" s="3">
        <f>INDEX(Misc[],MATCH($B10,Misc[Team],0),MATCH(T$2,Misc[#Headers],0))</f>
        <v>0.53900000000000003</v>
      </c>
      <c r="U10" s="3">
        <f>INDEX(Misc[],MATCH($B10,Misc[Team],0),MATCH(U$2,Misc[#Headers],0))</f>
        <v>12.6</v>
      </c>
      <c r="V10" s="3">
        <f>INDEX(Misc[],MATCH($B10,Misc[Team],0),MATCH(V$2,Misc[#Headers],0))</f>
        <v>22.4</v>
      </c>
      <c r="W10" s="3">
        <f>INDEX(Misc[],MATCH($B10,Misc[Team],0),MATCH(W$2,Misc[#Headers],0))</f>
        <v>0.22600000000000001</v>
      </c>
      <c r="X10" s="3">
        <f>INDEX(Misc[],MATCH($B10,Misc[Team],0),MATCH(X$2,Misc[#Headers],0))</f>
        <v>3.77</v>
      </c>
      <c r="Y10" s="3">
        <f>INDEX(Misc[],MATCH($B10,Misc[Team],0),MATCH(Y$2,Misc[#Headers],0))</f>
        <v>103.3</v>
      </c>
      <c r="Z10" s="3">
        <f>6-ROUND(INDEX(Offense[],MATCH($B10,Offense[Team],0),MATCH("Rk",Offense[#Headers],0))/6,0)</f>
        <v>5</v>
      </c>
      <c r="AA10" s="3">
        <f>OLook[[#This Row],[Pace]]-AVERAGE(OLook[Pace])</f>
        <v>3.089999999999975</v>
      </c>
    </row>
    <row r="11" spans="2:53" x14ac:dyDescent="0.25">
      <c r="B11" t="s">
        <v>2032</v>
      </c>
      <c r="C11" t="s">
        <v>187</v>
      </c>
      <c r="D11" s="3">
        <f>INDEX(Misc[],MATCH($B11,Misc[Team],0),MATCH("ORTG",Misc[#Headers],0))</f>
        <v>111.6</v>
      </c>
      <c r="E11">
        <f>INDEX(Offense[],MATCH($B11,Offense[Team],0),MATCH(E$2,Offense[#Headers],0))</f>
        <v>64</v>
      </c>
      <c r="F11">
        <f>INDEX(Offense[],MATCH($B11,Offense[Team],0),MATCH(F$2,Offense[#Headers],0))</f>
        <v>15460</v>
      </c>
      <c r="G11">
        <f>INDEX(Offense[],MATCH($B11,Offense[Team],0),MATCH(G$2,Offense[#Headers],0))</f>
        <v>85.8</v>
      </c>
      <c r="H11">
        <f>INDEX(Offense[],MATCH($B11,Offense[Team],0),MATCH(H$2,Offense[#Headers],0))</f>
        <v>0.47299999999999998</v>
      </c>
      <c r="I11">
        <f>INDEX(Offense[],MATCH($B11,Offense[Team],0),MATCH(I$2,Offense[#Headers],0))</f>
        <v>29.6</v>
      </c>
      <c r="J11">
        <f>INDEX(Offense[],MATCH($B11,Offense[Team],0),MATCH(J$2,Offense[#Headers],0))</f>
        <v>0.35499999999999998</v>
      </c>
      <c r="K11">
        <f>INDEX(Offense[],MATCH($B11,Offense[Team],0),MATCH(K$2,Offense[#Headers],0))</f>
        <v>25</v>
      </c>
      <c r="L11">
        <f>INDEX(Offense[],MATCH($B11,Offense[Team],0),MATCH(L$2,Offense[#Headers],0))</f>
        <v>0.79700000000000004</v>
      </c>
      <c r="M11">
        <f>INDEX(Offense[],MATCH($B11,Offense[Team],0),MATCH(M$2,Offense[#Headers],0))</f>
        <v>8.1</v>
      </c>
      <c r="N11">
        <f>INDEX(Offense[],MATCH($B11,Offense[Team],0),MATCH(N$2,Offense[#Headers],0))</f>
        <v>34.799999999999997</v>
      </c>
      <c r="O11">
        <f>INDEX(Offense[],MATCH($B11,Offense[Team],0),MATCH(O$2,Offense[#Headers],0))</f>
        <v>22</v>
      </c>
      <c r="P11">
        <f>INDEX(Offense[],MATCH($B11,Offense[Team],0),MATCH(P$2,Offense[#Headers],0))</f>
        <v>7.7</v>
      </c>
      <c r="Q11">
        <f>INDEX(Offense[],MATCH($B11,Offense[Team],0),MATCH(Q$2,Offense[#Headers],0))</f>
        <v>5.0999999999999996</v>
      </c>
      <c r="R11">
        <f>INDEX(Offense[],MATCH($B11,Offense[Team],0),MATCH(R$2,Offense[#Headers],0))</f>
        <v>13.6</v>
      </c>
      <c r="S11">
        <f>INDEX(Offense[],MATCH($B11,Offense[Team],0),MATCH(S$2,Offense[#Headers],0))</f>
        <v>19</v>
      </c>
      <c r="T11" s="3">
        <f>INDEX(Misc[],MATCH($B11,Misc[Team],0),MATCH(T$2,Misc[#Headers],0))</f>
        <v>0.53400000000000003</v>
      </c>
      <c r="U11" s="3">
        <f>INDEX(Misc[],MATCH($B11,Misc[Team],0),MATCH(U$2,Misc[#Headers],0))</f>
        <v>12.3</v>
      </c>
      <c r="V11" s="3">
        <f>INDEX(Misc[],MATCH($B11,Misc[Team],0),MATCH(V$2,Misc[#Headers],0))</f>
        <v>19.2</v>
      </c>
      <c r="W11" s="3">
        <f>INDEX(Misc[],MATCH($B11,Misc[Team],0),MATCH(W$2,Misc[#Headers],0))</f>
        <v>0.23300000000000001</v>
      </c>
      <c r="X11" s="3">
        <f>INDEX(Misc[],MATCH($B11,Misc[Team],0),MATCH(X$2,Misc[#Headers],0))</f>
        <v>2.78</v>
      </c>
      <c r="Y11" s="3">
        <f>INDEX(Misc[],MATCH($B11,Misc[Team],0),MATCH(Y$2,Misc[#Headers],0))</f>
        <v>98.6</v>
      </c>
      <c r="Z11" s="3">
        <f>6-ROUND(INDEX(Offense[],MATCH($B11,Offense[Team],0),MATCH("Rk",Offense[#Headers],0))/6,0)</f>
        <v>3</v>
      </c>
      <c r="AA11" s="3">
        <f>OLook[[#This Row],[Pace]]-AVERAGE(OLook[Pace])</f>
        <v>-1.6100000000000279</v>
      </c>
    </row>
    <row r="12" spans="2:53" x14ac:dyDescent="0.25">
      <c r="B12" t="s">
        <v>2033</v>
      </c>
      <c r="C12" t="s">
        <v>170</v>
      </c>
      <c r="D12" s="3">
        <f>INDEX(Misc[],MATCH($B12,Misc[Team],0),MATCH("ORTG",Misc[#Headers],0))</f>
        <v>112.6</v>
      </c>
      <c r="E12">
        <f>INDEX(Offense[],MATCH($B12,Offense[Team],0),MATCH(E$2,Offense[#Headers],0))</f>
        <v>64</v>
      </c>
      <c r="F12">
        <f>INDEX(Offense[],MATCH($B12,Offense[Team],0),MATCH(F$2,Offense[#Headers],0))</f>
        <v>15385</v>
      </c>
      <c r="G12">
        <f>INDEX(Offense[],MATCH($B12,Offense[Team],0),MATCH(G$2,Offense[#Headers],0))</f>
        <v>85.8</v>
      </c>
      <c r="H12">
        <f>INDEX(Offense[],MATCH($B12,Offense[Team],0),MATCH(H$2,Offense[#Headers],0))</f>
        <v>0.47499999999999998</v>
      </c>
      <c r="I12">
        <f>INDEX(Offense[],MATCH($B12,Offense[Team],0),MATCH(I$2,Offense[#Headers],0))</f>
        <v>34.9</v>
      </c>
      <c r="J12">
        <f>INDEX(Offense[],MATCH($B12,Offense[Team],0),MATCH(J$2,Offense[#Headers],0))</f>
        <v>0.38300000000000001</v>
      </c>
      <c r="K12">
        <f>INDEX(Offense[],MATCH($B12,Offense[Team],0),MATCH(K$2,Offense[#Headers],0))</f>
        <v>23.1</v>
      </c>
      <c r="L12">
        <f>INDEX(Offense[],MATCH($B12,Offense[Team],0),MATCH(L$2,Offense[#Headers],0))</f>
        <v>0.77200000000000002</v>
      </c>
      <c r="M12">
        <f>INDEX(Offense[],MATCH($B12,Offense[Team],0),MATCH(M$2,Offense[#Headers],0))</f>
        <v>9</v>
      </c>
      <c r="N12">
        <f>INDEX(Offense[],MATCH($B12,Offense[Team],0),MATCH(N$2,Offense[#Headers],0))</f>
        <v>36.799999999999997</v>
      </c>
      <c r="O12">
        <f>INDEX(Offense[],MATCH($B12,Offense[Team],0),MATCH(O$2,Offense[#Headers],0))</f>
        <v>22.5</v>
      </c>
      <c r="P12">
        <f>INDEX(Offense[],MATCH($B12,Offense[Team],0),MATCH(P$2,Offense[#Headers],0))</f>
        <v>6</v>
      </c>
      <c r="Q12">
        <f>INDEX(Offense[],MATCH($B12,Offense[Team],0),MATCH(Q$2,Offense[#Headers],0))</f>
        <v>4.0999999999999996</v>
      </c>
      <c r="R12">
        <f>INDEX(Offense[],MATCH($B12,Offense[Team],0),MATCH(R$2,Offense[#Headers],0))</f>
        <v>15.1</v>
      </c>
      <c r="S12">
        <f>INDEX(Offense[],MATCH($B12,Offense[Team],0),MATCH(S$2,Offense[#Headers],0))</f>
        <v>20.3</v>
      </c>
      <c r="T12" s="3">
        <f>INDEX(Misc[],MATCH($B12,Misc[Team],0),MATCH(T$2,Misc[#Headers],0))</f>
        <v>0.55200000000000005</v>
      </c>
      <c r="U12" s="3">
        <f>INDEX(Misc[],MATCH($B12,Misc[Team],0),MATCH(U$2,Misc[#Headers],0))</f>
        <v>13.6</v>
      </c>
      <c r="V12" s="3">
        <f>INDEX(Misc[],MATCH($B12,Misc[Team],0),MATCH(V$2,Misc[#Headers],0))</f>
        <v>21.2</v>
      </c>
      <c r="W12" s="3">
        <f>INDEX(Misc[],MATCH($B12,Misc[Team],0),MATCH(W$2,Misc[#Headers],0))</f>
        <v>0.20799999999999999</v>
      </c>
      <c r="X12" s="3">
        <f>INDEX(Misc[],MATCH($B12,Misc[Team],0),MATCH(X$2,Misc[#Headers],0))</f>
        <v>3.19</v>
      </c>
      <c r="Y12" s="3">
        <f>INDEX(Misc[],MATCH($B12,Misc[Team],0),MATCH(Y$2,Misc[#Headers],0))</f>
        <v>98.4</v>
      </c>
      <c r="Z12" s="3">
        <f>6-ROUND(INDEX(Offense[],MATCH($B12,Offense[Team],0),MATCH("Rk",Offense[#Headers],0))/6,0)</f>
        <v>3</v>
      </c>
      <c r="AA12" s="3">
        <f>OLook[[#This Row],[Pace]]-AVERAGE(OLook[Pace])</f>
        <v>-1.8100000000000165</v>
      </c>
    </row>
    <row r="13" spans="2:53" x14ac:dyDescent="0.25">
      <c r="B13" t="s">
        <v>2034</v>
      </c>
      <c r="C13" t="s">
        <v>188</v>
      </c>
      <c r="D13" s="3">
        <f>INDEX(Misc[],MATCH($B13,Misc[Team],0),MATCH("ORTG",Misc[#Headers],0))</f>
        <v>106.3</v>
      </c>
      <c r="E13">
        <f>INDEX(Offense[],MATCH($B13,Offense[Team],0),MATCH(E$2,Offense[#Headers],0))</f>
        <v>65</v>
      </c>
      <c r="F13">
        <f>INDEX(Offense[],MATCH($B13,Offense[Team],0),MATCH(F$2,Offense[#Headers],0))</f>
        <v>15700</v>
      </c>
      <c r="G13">
        <f>INDEX(Offense[],MATCH($B13,Offense[Team],0),MATCH(G$2,Offense[#Headers],0))</f>
        <v>90.1</v>
      </c>
      <c r="H13">
        <f>INDEX(Offense[],MATCH($B13,Offense[Team],0),MATCH(H$2,Offense[#Headers],0))</f>
        <v>0.44600000000000001</v>
      </c>
      <c r="I13">
        <f>INDEX(Offense[],MATCH($B13,Offense[Team],0),MATCH(I$2,Offense[#Headers],0))</f>
        <v>28.6</v>
      </c>
      <c r="J13">
        <f>INDEX(Offense[],MATCH($B13,Offense[Team],0),MATCH(J$2,Offense[#Headers],0))</f>
        <v>0.33600000000000002</v>
      </c>
      <c r="K13">
        <f>INDEX(Offense[],MATCH($B13,Offense[Team],0),MATCH(K$2,Offense[#Headers],0))</f>
        <v>23.5</v>
      </c>
      <c r="L13">
        <f>INDEX(Offense[],MATCH($B13,Offense[Team],0),MATCH(L$2,Offense[#Headers],0))</f>
        <v>0.69299999999999995</v>
      </c>
      <c r="M13">
        <f>INDEX(Offense[],MATCH($B13,Offense[Team],0),MATCH(M$2,Offense[#Headers],0))</f>
        <v>12.2</v>
      </c>
      <c r="N13">
        <f>INDEX(Offense[],MATCH($B13,Offense[Team],0),MATCH(N$2,Offense[#Headers],0))</f>
        <v>34.700000000000003</v>
      </c>
      <c r="O13">
        <f>INDEX(Offense[],MATCH($B13,Offense[Team],0),MATCH(O$2,Offense[#Headers],0))</f>
        <v>22.1</v>
      </c>
      <c r="P13">
        <f>INDEX(Offense[],MATCH($B13,Offense[Team],0),MATCH(P$2,Offense[#Headers],0))</f>
        <v>7.6</v>
      </c>
      <c r="Q13">
        <f>INDEX(Offense[],MATCH($B13,Offense[Team],0),MATCH(Q$2,Offense[#Headers],0))</f>
        <v>4.7</v>
      </c>
      <c r="R13">
        <f>INDEX(Offense[],MATCH($B13,Offense[Team],0),MATCH(R$2,Offense[#Headers],0))</f>
        <v>14.5</v>
      </c>
      <c r="S13">
        <f>INDEX(Offense[],MATCH($B13,Offense[Team],0),MATCH(S$2,Offense[#Headers],0))</f>
        <v>22.4</v>
      </c>
      <c r="T13" s="3">
        <f>INDEX(Misc[],MATCH($B13,Misc[Team],0),MATCH(T$2,Misc[#Headers],0))</f>
        <v>0.499</v>
      </c>
      <c r="U13" s="3">
        <f>INDEX(Misc[],MATCH($B13,Misc[Team],0),MATCH(U$2,Misc[#Headers],0))</f>
        <v>12.6</v>
      </c>
      <c r="V13" s="3">
        <f>INDEX(Misc[],MATCH($B13,Misc[Team],0),MATCH(V$2,Misc[#Headers],0))</f>
        <v>26</v>
      </c>
      <c r="W13" s="3">
        <f>INDEX(Misc[],MATCH($B13,Misc[Team],0),MATCH(W$2,Misc[#Headers],0))</f>
        <v>0.18099999999999999</v>
      </c>
      <c r="X13" s="3">
        <f>INDEX(Misc[],MATCH($B13,Misc[Team],0),MATCH(X$2,Misc[#Headers],0))</f>
        <v>-6.63</v>
      </c>
      <c r="Y13" s="3">
        <f>INDEX(Misc[],MATCH($B13,Misc[Team],0),MATCH(Y$2,Misc[#Headers],0))</f>
        <v>98.5</v>
      </c>
      <c r="Z13" s="3">
        <f>6-ROUND(INDEX(Offense[],MATCH($B13,Offense[Team],0),MATCH("Rk",Offense[#Headers],0))/6,0)</f>
        <v>1</v>
      </c>
      <c r="AA13" s="3">
        <f>OLook[[#This Row],[Pace]]-AVERAGE(OLook[Pace])</f>
        <v>-1.7100000000000222</v>
      </c>
    </row>
    <row r="14" spans="2:53" x14ac:dyDescent="0.25">
      <c r="B14" t="s">
        <v>2035</v>
      </c>
      <c r="C14" t="s">
        <v>171</v>
      </c>
      <c r="D14" s="3">
        <f>INDEX(Misc[],MATCH($B14,Misc[Team],0),MATCH("ORTG",Misc[#Headers],0))</f>
        <v>109.7</v>
      </c>
      <c r="E14">
        <f>INDEX(Offense[],MATCH($B14,Offense[Team],0),MATCH(E$2,Offense[#Headers],0))</f>
        <v>64</v>
      </c>
      <c r="F14">
        <f>INDEX(Offense[],MATCH($B14,Offense[Team],0),MATCH(F$2,Offense[#Headers],0))</f>
        <v>15510</v>
      </c>
      <c r="G14">
        <f>INDEX(Offense[],MATCH($B14,Offense[Team],0),MATCH(G$2,Offense[#Headers],0))</f>
        <v>88.4</v>
      </c>
      <c r="H14">
        <f>INDEX(Offense[],MATCH($B14,Offense[Team],0),MATCH(H$2,Offense[#Headers],0))</f>
        <v>0.45900000000000002</v>
      </c>
      <c r="I14">
        <f>INDEX(Offense[],MATCH($B14,Offense[Team],0),MATCH(I$2,Offense[#Headers],0))</f>
        <v>34.9</v>
      </c>
      <c r="J14">
        <f>INDEX(Offense[],MATCH($B14,Offense[Team],0),MATCH(J$2,Offense[#Headers],0))</f>
        <v>0.36399999999999999</v>
      </c>
      <c r="K14">
        <f>INDEX(Offense[],MATCH($B14,Offense[Team],0),MATCH(K$2,Offense[#Headers],0))</f>
        <v>20.5</v>
      </c>
      <c r="L14">
        <f>INDEX(Offense[],MATCH($B14,Offense[Team],0),MATCH(L$2,Offense[#Headers],0))</f>
        <v>0.76900000000000002</v>
      </c>
      <c r="M14">
        <f>INDEX(Offense[],MATCH($B14,Offense[Team],0),MATCH(M$2,Offense[#Headers],0))</f>
        <v>9.6999999999999993</v>
      </c>
      <c r="N14">
        <f>INDEX(Offense[],MATCH($B14,Offense[Team],0),MATCH(N$2,Offense[#Headers],0))</f>
        <v>33.1</v>
      </c>
      <c r="O14">
        <f>INDEX(Offense[],MATCH($B14,Offense[Team],0),MATCH(O$2,Offense[#Headers],0))</f>
        <v>23.5</v>
      </c>
      <c r="P14">
        <f>INDEX(Offense[],MATCH($B14,Offense[Team],0),MATCH(P$2,Offense[#Headers],0))</f>
        <v>7.7</v>
      </c>
      <c r="Q14">
        <f>INDEX(Offense[],MATCH($B14,Offense[Team],0),MATCH(Q$2,Offense[#Headers],0))</f>
        <v>4.3</v>
      </c>
      <c r="R14">
        <f>INDEX(Offense[],MATCH($B14,Offense[Team],0),MATCH(R$2,Offense[#Headers],0))</f>
        <v>14.5</v>
      </c>
      <c r="S14">
        <f>INDEX(Offense[],MATCH($B14,Offense[Team],0),MATCH(S$2,Offense[#Headers],0))</f>
        <v>22</v>
      </c>
      <c r="T14" s="3">
        <f>INDEX(Misc[],MATCH($B14,Misc[Team],0),MATCH(T$2,Misc[#Headers],0))</f>
        <v>0.53100000000000003</v>
      </c>
      <c r="U14" s="3">
        <f>INDEX(Misc[],MATCH($B14,Misc[Team],0),MATCH(U$2,Misc[#Headers],0))</f>
        <v>13</v>
      </c>
      <c r="V14" s="3">
        <f>INDEX(Misc[],MATCH($B14,Misc[Team],0),MATCH(V$2,Misc[#Headers],0))</f>
        <v>21.8</v>
      </c>
      <c r="W14" s="3">
        <f>INDEX(Misc[],MATCH($B14,Misc[Team],0),MATCH(W$2,Misc[#Headers],0))</f>
        <v>0.17799999999999999</v>
      </c>
      <c r="X14" s="3">
        <f>INDEX(Misc[],MATCH($B14,Misc[Team],0),MATCH(X$2,Misc[#Headers],0))</f>
        <v>-1.45</v>
      </c>
      <c r="Y14" s="3">
        <f>INDEX(Misc[],MATCH($B14,Misc[Team],0),MATCH(Y$2,Misc[#Headers],0))</f>
        <v>98.4</v>
      </c>
      <c r="Z14" s="3">
        <f>6-ROUND(INDEX(Offense[],MATCH($B14,Offense[Team],0),MATCH("Rk",Offense[#Headers],0))/6,0)</f>
        <v>2</v>
      </c>
      <c r="AA14" s="3">
        <f>OLook[[#This Row],[Pace]]-AVERAGE(OLook[Pace])</f>
        <v>-1.8100000000000165</v>
      </c>
    </row>
    <row r="15" spans="2:53" x14ac:dyDescent="0.25">
      <c r="B15" t="s">
        <v>2036</v>
      </c>
      <c r="C15" t="s">
        <v>189</v>
      </c>
      <c r="D15" s="3">
        <f>INDEX(Misc[],MATCH($B15,Misc[Team],0),MATCH("ORTG",Misc[#Headers],0))</f>
        <v>110.8</v>
      </c>
      <c r="E15">
        <f>INDEX(Offense[],MATCH($B15,Offense[Team],0),MATCH(E$2,Offense[#Headers],0))</f>
        <v>64</v>
      </c>
      <c r="F15">
        <f>INDEX(Offense[],MATCH($B15,Offense[Team],0),MATCH(F$2,Offense[#Headers],0))</f>
        <v>15510</v>
      </c>
      <c r="G15">
        <f>INDEX(Offense[],MATCH($B15,Offense[Team],0),MATCH(G$2,Offense[#Headers],0))</f>
        <v>87.9</v>
      </c>
      <c r="H15">
        <f>INDEX(Offense[],MATCH($B15,Offense[Team],0),MATCH(H$2,Offense[#Headers],0))</f>
        <v>0.46200000000000002</v>
      </c>
      <c r="I15">
        <f>INDEX(Offense[],MATCH($B15,Offense[Team],0),MATCH(I$2,Offense[#Headers],0))</f>
        <v>35.9</v>
      </c>
      <c r="J15">
        <f>INDEX(Offense[],MATCH($B15,Offense[Team],0),MATCH(J$2,Offense[#Headers],0))</f>
        <v>0.372</v>
      </c>
      <c r="K15">
        <f>INDEX(Offense[],MATCH($B15,Offense[Team],0),MATCH(K$2,Offense[#Headers],0))</f>
        <v>22.1</v>
      </c>
      <c r="L15">
        <f>INDEX(Offense[],MATCH($B15,Offense[Team],0),MATCH(L$2,Offense[#Headers],0))</f>
        <v>0.72899999999999998</v>
      </c>
      <c r="M15">
        <f>INDEX(Offense[],MATCH($B15,Offense[Team],0),MATCH(M$2,Offense[#Headers],0))</f>
        <v>10.7</v>
      </c>
      <c r="N15">
        <f>INDEX(Offense[],MATCH($B15,Offense[Team],0),MATCH(N$2,Offense[#Headers],0))</f>
        <v>34.1</v>
      </c>
      <c r="O15">
        <f>INDEX(Offense[],MATCH($B15,Offense[Team],0),MATCH(O$2,Offense[#Headers],0))</f>
        <v>25.7</v>
      </c>
      <c r="P15">
        <f>INDEX(Offense[],MATCH($B15,Offense[Team],0),MATCH(P$2,Offense[#Headers],0))</f>
        <v>7.2</v>
      </c>
      <c r="Q15">
        <f>INDEX(Offense[],MATCH($B15,Offense[Team],0),MATCH(Q$2,Offense[#Headers],0))</f>
        <v>4.9000000000000004</v>
      </c>
      <c r="R15">
        <f>INDEX(Offense[],MATCH($B15,Offense[Team],0),MATCH(R$2,Offense[#Headers],0))</f>
        <v>15.5</v>
      </c>
      <c r="S15">
        <f>INDEX(Offense[],MATCH($B15,Offense[Team],0),MATCH(S$2,Offense[#Headers],0))</f>
        <v>20</v>
      </c>
      <c r="T15" s="3">
        <f>INDEX(Misc[],MATCH($B15,Misc[Team],0),MATCH(T$2,Misc[#Headers],0))</f>
        <v>0.53800000000000003</v>
      </c>
      <c r="U15" s="3">
        <f>INDEX(Misc[],MATCH($B15,Misc[Team],0),MATCH(U$2,Misc[#Headers],0))</f>
        <v>13.7</v>
      </c>
      <c r="V15" s="3">
        <f>INDEX(Misc[],MATCH($B15,Misc[Team],0),MATCH(V$2,Misc[#Headers],0))</f>
        <v>24.3</v>
      </c>
      <c r="W15" s="3">
        <f>INDEX(Misc[],MATCH($B15,Misc[Team],0),MATCH(W$2,Misc[#Headers],0))</f>
        <v>0.183</v>
      </c>
      <c r="X15" s="3">
        <f>INDEX(Misc[],MATCH($B15,Misc[Team],0),MATCH(X$2,Misc[#Headers],0))</f>
        <v>0.28999999999999998</v>
      </c>
      <c r="Y15" s="3">
        <f>INDEX(Misc[],MATCH($B15,Misc[Team],0),MATCH(Y$2,Misc[#Headers],0))</f>
        <v>103.9</v>
      </c>
      <c r="Z15" s="3">
        <f>6-ROUND(INDEX(Offense[],MATCH($B15,Offense[Team],0),MATCH("Rk",Offense[#Headers],0))/6,0)</f>
        <v>5</v>
      </c>
      <c r="AA15" s="3">
        <f>OLook[[#This Row],[Pace]]-AVERAGE(OLook[Pace])</f>
        <v>3.6899999999999835</v>
      </c>
    </row>
    <row r="16" spans="2:53" x14ac:dyDescent="0.25">
      <c r="B16" t="s">
        <v>2037</v>
      </c>
      <c r="C16" t="s">
        <v>172</v>
      </c>
      <c r="D16" s="3">
        <f>INDEX(Misc[],MATCH($B16,Misc[Team],0),MATCH("ORTG",Misc[#Headers],0))</f>
        <v>108.1</v>
      </c>
      <c r="E16">
        <f>INDEX(Offense[],MATCH($B16,Offense[Team],0),MATCH(E$2,Offense[#Headers],0))</f>
        <v>64</v>
      </c>
      <c r="F16">
        <f>INDEX(Offense[],MATCH($B16,Offense[Team],0),MATCH(F$2,Offense[#Headers],0))</f>
        <v>15560</v>
      </c>
      <c r="G16">
        <f>INDEX(Offense[],MATCH($B16,Offense[Team],0),MATCH(G$2,Offense[#Headers],0))</f>
        <v>87.9</v>
      </c>
      <c r="H16">
        <f>INDEX(Offense[],MATCH($B16,Offense[Team],0),MATCH(H$2,Offense[#Headers],0))</f>
        <v>0.44400000000000001</v>
      </c>
      <c r="I16">
        <f>INDEX(Offense[],MATCH($B16,Offense[Team],0),MATCH(I$2,Offense[#Headers],0))</f>
        <v>36.9</v>
      </c>
      <c r="J16">
        <f>INDEX(Offense[],MATCH($B16,Offense[Team],0),MATCH(J$2,Offense[#Headers],0))</f>
        <v>0.34</v>
      </c>
      <c r="K16">
        <f>INDEX(Offense[],MATCH($B16,Offense[Team],0),MATCH(K$2,Offense[#Headers],0))</f>
        <v>23.6</v>
      </c>
      <c r="L16">
        <f>INDEX(Offense[],MATCH($B16,Offense[Team],0),MATCH(L$2,Offense[#Headers],0))</f>
        <v>0.74399999999999999</v>
      </c>
      <c r="M16">
        <f>INDEX(Offense[],MATCH($B16,Offense[Team],0),MATCH(M$2,Offense[#Headers],0))</f>
        <v>10.6</v>
      </c>
      <c r="N16">
        <f>INDEX(Offense[],MATCH($B16,Offense[Team],0),MATCH(N$2,Offense[#Headers],0))</f>
        <v>36.700000000000003</v>
      </c>
      <c r="O16">
        <f>INDEX(Offense[],MATCH($B16,Offense[Team],0),MATCH(O$2,Offense[#Headers],0))</f>
        <v>23.5</v>
      </c>
      <c r="P16">
        <f>INDEX(Offense[],MATCH($B16,Offense[Team],0),MATCH(P$2,Offense[#Headers],0))</f>
        <v>6.3</v>
      </c>
      <c r="Q16">
        <f>INDEX(Offense[],MATCH($B16,Offense[Team],0),MATCH(Q$2,Offense[#Headers],0))</f>
        <v>4.5</v>
      </c>
      <c r="R16">
        <f>INDEX(Offense[],MATCH($B16,Offense[Team],0),MATCH(R$2,Offense[#Headers],0))</f>
        <v>15.1</v>
      </c>
      <c r="S16">
        <f>INDEX(Offense[],MATCH($B16,Offense[Team],0),MATCH(S$2,Offense[#Headers],0))</f>
        <v>20.2</v>
      </c>
      <c r="T16" s="3">
        <f>INDEX(Misc[],MATCH($B16,Misc[Team],0),MATCH(T$2,Misc[#Headers],0))</f>
        <v>0.51500000000000001</v>
      </c>
      <c r="U16" s="3">
        <f>INDEX(Misc[],MATCH($B16,Misc[Team],0),MATCH(U$2,Misc[#Headers],0))</f>
        <v>13.4</v>
      </c>
      <c r="V16" s="3">
        <f>INDEX(Misc[],MATCH($B16,Misc[Team],0),MATCH(V$2,Misc[#Headers],0))</f>
        <v>23.5</v>
      </c>
      <c r="W16" s="3">
        <f>INDEX(Misc[],MATCH($B16,Misc[Team],0),MATCH(W$2,Misc[#Headers],0))</f>
        <v>0.19900000000000001</v>
      </c>
      <c r="X16" s="3">
        <f>INDEX(Misc[],MATCH($B16,Misc[Team],0),MATCH(X$2,Misc[#Headers],0))</f>
        <v>-1.2</v>
      </c>
      <c r="Y16" s="3">
        <f>INDEX(Misc[],MATCH($B16,Misc[Team],0),MATCH(Y$2,Misc[#Headers],0))</f>
        <v>101.2</v>
      </c>
      <c r="Z16" s="3">
        <f>6-ROUND(INDEX(Offense[],MATCH($B16,Offense[Team],0),MATCH("Rk",Offense[#Headers],0))/6,0)</f>
        <v>3</v>
      </c>
      <c r="AA16" s="3">
        <f>OLook[[#This Row],[Pace]]-AVERAGE(OLook[Pace])</f>
        <v>0.98999999999998067</v>
      </c>
    </row>
    <row r="17" spans="2:30" x14ac:dyDescent="0.25">
      <c r="B17" t="s">
        <v>2008</v>
      </c>
      <c r="C17" t="s">
        <v>173</v>
      </c>
      <c r="D17" s="3">
        <f>INDEX(Misc[],MATCH($B17,Misc[Team],0),MATCH("ORTG",Misc[#Headers],0))</f>
        <v>112.6</v>
      </c>
      <c r="E17">
        <f>INDEX(Offense[],MATCH($B17,Offense[Team],0),MATCH(E$2,Offense[#Headers],0))</f>
        <v>65</v>
      </c>
      <c r="F17">
        <f>INDEX(Offense[],MATCH($B17,Offense[Team],0),MATCH(F$2,Offense[#Headers],0))</f>
        <v>15650</v>
      </c>
      <c r="G17">
        <f>INDEX(Offense[],MATCH($B17,Offense[Team],0),MATCH(G$2,Offense[#Headers],0))</f>
        <v>86.6</v>
      </c>
      <c r="H17">
        <f>INDEX(Offense[],MATCH($B17,Offense[Team],0),MATCH(H$2,Offense[#Headers],0))</f>
        <v>0.47699999999999998</v>
      </c>
      <c r="I17">
        <f>INDEX(Offense[],MATCH($B17,Offense[Team],0),MATCH(I$2,Offense[#Headers],0))</f>
        <v>36.700000000000003</v>
      </c>
      <c r="J17">
        <f>INDEX(Offense[],MATCH($B17,Offense[Team],0),MATCH(J$2,Offense[#Headers],0))</f>
        <v>0.35599999999999998</v>
      </c>
      <c r="K17">
        <f>INDEX(Offense[],MATCH($B17,Offense[Team],0),MATCH(K$2,Offense[#Headers],0))</f>
        <v>22.8</v>
      </c>
      <c r="L17">
        <f>INDEX(Offense[],MATCH($B17,Offense[Team],0),MATCH(L$2,Offense[#Headers],0))</f>
        <v>0.74199999999999999</v>
      </c>
      <c r="M17">
        <f>INDEX(Offense[],MATCH($B17,Offense[Team],0),MATCH(M$2,Offense[#Headers],0))</f>
        <v>9</v>
      </c>
      <c r="N17">
        <f>INDEX(Offense[],MATCH($B17,Offense[Team],0),MATCH(N$2,Offense[#Headers],0))</f>
        <v>40.1</v>
      </c>
      <c r="O17">
        <f>INDEX(Offense[],MATCH($B17,Offense[Team],0),MATCH(O$2,Offense[#Headers],0))</f>
        <v>24.6</v>
      </c>
      <c r="P17">
        <f>INDEX(Offense[],MATCH($B17,Offense[Team],0),MATCH(P$2,Offense[#Headers],0))</f>
        <v>7</v>
      </c>
      <c r="Q17">
        <f>INDEX(Offense[],MATCH($B17,Offense[Team],0),MATCH(Q$2,Offense[#Headers],0))</f>
        <v>5.7</v>
      </c>
      <c r="R17">
        <f>INDEX(Offense[],MATCH($B17,Offense[Team],0),MATCH(R$2,Offense[#Headers],0))</f>
        <v>14.1</v>
      </c>
      <c r="S17">
        <f>INDEX(Offense[],MATCH($B17,Offense[Team],0),MATCH(S$2,Offense[#Headers],0))</f>
        <v>18.2</v>
      </c>
      <c r="T17" s="3">
        <f>INDEX(Misc[],MATCH($B17,Misc[Team],0),MATCH(T$2,Misc[#Headers],0))</f>
        <v>0.55300000000000005</v>
      </c>
      <c r="U17" s="3">
        <f>INDEX(Misc[],MATCH($B17,Misc[Team],0),MATCH(U$2,Misc[#Headers],0))</f>
        <v>12.8</v>
      </c>
      <c r="V17" s="3">
        <f>INDEX(Misc[],MATCH($B17,Misc[Team],0),MATCH(V$2,Misc[#Headers],0))</f>
        <v>20.7</v>
      </c>
      <c r="W17" s="3">
        <f>INDEX(Misc[],MATCH($B17,Misc[Team],0),MATCH(W$2,Misc[#Headers],0))</f>
        <v>0.19600000000000001</v>
      </c>
      <c r="X17" s="3">
        <f>INDEX(Misc[],MATCH($B17,Misc[Team],0),MATCH(X$2,Misc[#Headers],0))</f>
        <v>10.43</v>
      </c>
      <c r="Y17" s="3">
        <f>INDEX(Misc[],MATCH($B17,Misc[Team],0),MATCH(Y$2,Misc[#Headers],0))</f>
        <v>105</v>
      </c>
      <c r="Z17" s="3">
        <f>6-ROUND(INDEX(Offense[],MATCH($B17,Offense[Team],0),MATCH("Rk",Offense[#Headers],0))/6,0)</f>
        <v>6</v>
      </c>
      <c r="AA17" s="3">
        <f>OLook[[#This Row],[Pace]]-AVERAGE(OLook[Pace])</f>
        <v>4.7899999999999778</v>
      </c>
      <c r="AD17">
        <f>MAX(OLook[Pace Tier])</f>
        <v>4.7899999999999778</v>
      </c>
    </row>
    <row r="18" spans="2:30" x14ac:dyDescent="0.25">
      <c r="B18" t="s">
        <v>2038</v>
      </c>
      <c r="C18" t="s">
        <v>174</v>
      </c>
      <c r="D18" s="3">
        <f>INDEX(Misc[],MATCH($B18,Misc[Team],0),MATCH("ORTG",Misc[#Headers],0))</f>
        <v>111.9</v>
      </c>
      <c r="E18">
        <f>INDEX(Offense[],MATCH($B18,Offense[Team],0),MATCH(E$2,Offense[#Headers],0))</f>
        <v>64</v>
      </c>
      <c r="F18">
        <f>INDEX(Offense[],MATCH($B18,Offense[Team],0),MATCH(F$2,Offense[#Headers],0))</f>
        <v>15435</v>
      </c>
      <c r="G18">
        <f>INDEX(Offense[],MATCH($B18,Offense[Team],0),MATCH(G$2,Offense[#Headers],0))</f>
        <v>88</v>
      </c>
      <c r="H18">
        <f>INDEX(Offense[],MATCH($B18,Offense[Team],0),MATCH(H$2,Offense[#Headers],0))</f>
        <v>0.46100000000000002</v>
      </c>
      <c r="I18">
        <f>INDEX(Offense[],MATCH($B18,Offense[Team],0),MATCH(I$2,Offense[#Headers],0))</f>
        <v>32</v>
      </c>
      <c r="J18">
        <f>INDEX(Offense[],MATCH($B18,Offense[Team],0),MATCH(J$2,Offense[#Headers],0))</f>
        <v>0.372</v>
      </c>
      <c r="K18">
        <f>INDEX(Offense[],MATCH($B18,Offense[Team],0),MATCH(K$2,Offense[#Headers],0))</f>
        <v>24</v>
      </c>
      <c r="L18">
        <f>INDEX(Offense[],MATCH($B18,Offense[Team],0),MATCH(L$2,Offense[#Headers],0))</f>
        <v>0.78700000000000003</v>
      </c>
      <c r="M18">
        <f>INDEX(Offense[],MATCH($B18,Offense[Team],0),MATCH(M$2,Offense[#Headers],0))</f>
        <v>9.6999999999999993</v>
      </c>
      <c r="N18">
        <f>INDEX(Offense[],MATCH($B18,Offense[Team],0),MATCH(N$2,Offense[#Headers],0))</f>
        <v>30.6</v>
      </c>
      <c r="O18">
        <f>INDEX(Offense[],MATCH($B18,Offense[Team],0),MATCH(O$2,Offense[#Headers],0))</f>
        <v>24.5</v>
      </c>
      <c r="P18">
        <f>INDEX(Offense[],MATCH($B18,Offense[Team],0),MATCH(P$2,Offense[#Headers],0))</f>
        <v>7.8</v>
      </c>
      <c r="Q18">
        <f>INDEX(Offense[],MATCH($B18,Offense[Team],0),MATCH(Q$2,Offense[#Headers],0))</f>
        <v>4.0999999999999996</v>
      </c>
      <c r="R18">
        <f>INDEX(Offense[],MATCH($B18,Offense[Team],0),MATCH(R$2,Offense[#Headers],0))</f>
        <v>13.6</v>
      </c>
      <c r="S18">
        <f>INDEX(Offense[],MATCH($B18,Offense[Team],0),MATCH(S$2,Offense[#Headers],0))</f>
        <v>21.8</v>
      </c>
      <c r="T18" s="3">
        <f>INDEX(Misc[],MATCH($B18,Misc[Team],0),MATCH(T$2,Misc[#Headers],0))</f>
        <v>0.52800000000000002</v>
      </c>
      <c r="U18" s="3">
        <f>INDEX(Misc[],MATCH($B18,Misc[Team],0),MATCH(U$2,Misc[#Headers],0))</f>
        <v>12.1</v>
      </c>
      <c r="V18" s="3">
        <f>INDEX(Misc[],MATCH($B18,Misc[Team],0),MATCH(V$2,Misc[#Headers],0))</f>
        <v>22</v>
      </c>
      <c r="W18" s="3">
        <f>INDEX(Misc[],MATCH($B18,Misc[Team],0),MATCH(W$2,Misc[#Headers],0))</f>
        <v>0.214</v>
      </c>
      <c r="X18" s="3">
        <f>INDEX(Misc[],MATCH($B18,Misc[Team],0),MATCH(X$2,Misc[#Headers],0))</f>
        <v>-4.8600000000000003</v>
      </c>
      <c r="Y18" s="3">
        <f>INDEX(Misc[],MATCH($B18,Misc[Team],0),MATCH(Y$2,Misc[#Headers],0))</f>
        <v>102.8</v>
      </c>
      <c r="Z18" s="3">
        <f>6-ROUND(INDEX(Offense[],MATCH($B18,Offense[Team],0),MATCH("Rk",Offense[#Headers],0))/6,0)</f>
        <v>5</v>
      </c>
      <c r="AA18" s="3">
        <f>OLook[[#This Row],[Pace]]-AVERAGE(OLook[Pace])</f>
        <v>2.589999999999975</v>
      </c>
      <c r="AD18">
        <f>MIN(OLook[Pace Tier])</f>
        <v>-4.3100000000000165</v>
      </c>
    </row>
    <row r="19" spans="2:30" x14ac:dyDescent="0.25">
      <c r="B19" t="s">
        <v>2039</v>
      </c>
      <c r="C19" t="s">
        <v>175</v>
      </c>
      <c r="D19" s="3">
        <f>INDEX(Misc[],MATCH($B19,Misc[Team],0),MATCH("ORTG",Misc[#Headers],0))</f>
        <v>112.7</v>
      </c>
      <c r="E19">
        <f>INDEX(Offense[],MATCH($B19,Offense[Team],0),MATCH(E$2,Offense[#Headers],0))</f>
        <v>64</v>
      </c>
      <c r="F19">
        <f>INDEX(Offense[],MATCH($B19,Offense[Team],0),MATCH(F$2,Offense[#Headers],0))</f>
        <v>15585</v>
      </c>
      <c r="G19">
        <f>INDEX(Offense[],MATCH($B19,Offense[Team],0),MATCH(G$2,Offense[#Headers],0))</f>
        <v>84.7</v>
      </c>
      <c r="H19">
        <f>INDEX(Offense[],MATCH($B19,Offense[Team],0),MATCH(H$2,Offense[#Headers],0))</f>
        <v>0.47</v>
      </c>
      <c r="I19">
        <f>INDEX(Offense[],MATCH($B19,Offense[Team],0),MATCH(I$2,Offense[#Headers],0))</f>
        <v>34.799999999999997</v>
      </c>
      <c r="J19">
        <f>INDEX(Offense[],MATCH($B19,Offense[Team],0),MATCH(J$2,Offense[#Headers],0))</f>
        <v>0.38400000000000001</v>
      </c>
      <c r="K19">
        <f>INDEX(Offense[],MATCH($B19,Offense[Team],0),MATCH(K$2,Offense[#Headers],0))</f>
        <v>25.5</v>
      </c>
      <c r="L19">
        <f>INDEX(Offense[],MATCH($B19,Offense[Team],0),MATCH(L$2,Offense[#Headers],0))</f>
        <v>0.77800000000000002</v>
      </c>
      <c r="M19">
        <f>INDEX(Offense[],MATCH($B19,Offense[Team],0),MATCH(M$2,Offense[#Headers],0))</f>
        <v>8.5</v>
      </c>
      <c r="N19">
        <f>INDEX(Offense[],MATCH($B19,Offense[Team],0),MATCH(N$2,Offense[#Headers],0))</f>
        <v>36.299999999999997</v>
      </c>
      <c r="O19">
        <f>INDEX(Offense[],MATCH($B19,Offense[Team],0),MATCH(O$2,Offense[#Headers],0))</f>
        <v>26</v>
      </c>
      <c r="P19">
        <f>INDEX(Offense[],MATCH($B19,Offense[Team],0),MATCH(P$2,Offense[#Headers],0))</f>
        <v>7.4</v>
      </c>
      <c r="Q19">
        <f>INDEX(Offense[],MATCH($B19,Offense[Team],0),MATCH(Q$2,Offense[#Headers],0))</f>
        <v>4.5</v>
      </c>
      <c r="R19">
        <f>INDEX(Offense[],MATCH($B19,Offense[Team],0),MATCH(R$2,Offense[#Headers],0))</f>
        <v>15</v>
      </c>
      <c r="S19">
        <f>INDEX(Offense[],MATCH($B19,Offense[Team],0),MATCH(S$2,Offense[#Headers],0))</f>
        <v>20.5</v>
      </c>
      <c r="T19" s="3">
        <f>INDEX(Misc[],MATCH($B19,Misc[Team],0),MATCH(T$2,Misc[#Headers],0))</f>
        <v>0.54900000000000004</v>
      </c>
      <c r="U19" s="3">
        <f>INDEX(Misc[],MATCH($B19,Misc[Team],0),MATCH(U$2,Misc[#Headers],0))</f>
        <v>13.5</v>
      </c>
      <c r="V19" s="3">
        <f>INDEX(Misc[],MATCH($B19,Misc[Team],0),MATCH(V$2,Misc[#Headers],0))</f>
        <v>20.5</v>
      </c>
      <c r="W19" s="3">
        <f>INDEX(Misc[],MATCH($B19,Misc[Team],0),MATCH(W$2,Misc[#Headers],0))</f>
        <v>0.23400000000000001</v>
      </c>
      <c r="X19" s="3">
        <f>INDEX(Misc[],MATCH($B19,Misc[Team],0),MATCH(X$2,Misc[#Headers],0))</f>
        <v>2.87</v>
      </c>
      <c r="Y19" s="3">
        <f>INDEX(Misc[],MATCH($B19,Misc[Team],0),MATCH(Y$2,Misc[#Headers],0))</f>
        <v>98.2</v>
      </c>
      <c r="Z19" s="3">
        <f>6-ROUND(INDEX(Offense[],MATCH($B19,Offense[Team],0),MATCH("Rk",Offense[#Headers],0))/6,0)</f>
        <v>3</v>
      </c>
      <c r="AA19" s="3">
        <f>OLook[[#This Row],[Pace]]-AVERAGE(OLook[Pace])</f>
        <v>-2.0100000000000193</v>
      </c>
    </row>
    <row r="20" spans="2:30" x14ac:dyDescent="0.25">
      <c r="B20" t="s">
        <v>2040</v>
      </c>
      <c r="C20" t="s">
        <v>176</v>
      </c>
      <c r="D20" s="3">
        <f>INDEX(Misc[],MATCH($B20,Misc[Team],0),MATCH("ORTG",Misc[#Headers],0))</f>
        <v>108.1</v>
      </c>
      <c r="E20">
        <f>INDEX(Offense[],MATCH($B20,Offense[Team],0),MATCH(E$2,Offense[#Headers],0))</f>
        <v>64</v>
      </c>
      <c r="F20">
        <f>INDEX(Offense[],MATCH($B20,Offense[Team],0),MATCH(F$2,Offense[#Headers],0))</f>
        <v>15560</v>
      </c>
      <c r="G20">
        <f>INDEX(Offense[],MATCH($B20,Offense[Team],0),MATCH(G$2,Offense[#Headers],0))</f>
        <v>87.5</v>
      </c>
      <c r="H20">
        <f>INDEX(Offense[],MATCH($B20,Offense[Team],0),MATCH(H$2,Offense[#Headers],0))</f>
        <v>0.441</v>
      </c>
      <c r="I20">
        <f>INDEX(Offense[],MATCH($B20,Offense[Team],0),MATCH(I$2,Offense[#Headers],0))</f>
        <v>37.9</v>
      </c>
      <c r="J20">
        <f>INDEX(Offense[],MATCH($B20,Offense[Team],0),MATCH(J$2,Offense[#Headers],0))</f>
        <v>0.33600000000000002</v>
      </c>
      <c r="K20">
        <f>INDEX(Offense[],MATCH($B20,Offense[Team],0),MATCH(K$2,Offense[#Headers],0))</f>
        <v>24.2</v>
      </c>
      <c r="L20">
        <f>INDEX(Offense[],MATCH($B20,Offense[Team],0),MATCH(L$2,Offense[#Headers],0))</f>
        <v>0.753</v>
      </c>
      <c r="M20">
        <f>INDEX(Offense[],MATCH($B20,Offense[Team],0),MATCH(M$2,Offense[#Headers],0))</f>
        <v>10.1</v>
      </c>
      <c r="N20">
        <f>INDEX(Offense[],MATCH($B20,Offense[Team],0),MATCH(N$2,Offense[#Headers],0))</f>
        <v>32.700000000000003</v>
      </c>
      <c r="O20">
        <f>INDEX(Offense[],MATCH($B20,Offense[Team],0),MATCH(O$2,Offense[#Headers],0))</f>
        <v>22.7</v>
      </c>
      <c r="P20">
        <f>INDEX(Offense[],MATCH($B20,Offense[Team],0),MATCH(P$2,Offense[#Headers],0))</f>
        <v>8.3000000000000007</v>
      </c>
      <c r="Q20">
        <f>INDEX(Offense[],MATCH($B20,Offense[Team],0),MATCH(Q$2,Offense[#Headers],0))</f>
        <v>5.4</v>
      </c>
      <c r="R20">
        <f>INDEX(Offense[],MATCH($B20,Offense[Team],0),MATCH(R$2,Offense[#Headers],0))</f>
        <v>14.6</v>
      </c>
      <c r="S20">
        <f>INDEX(Offense[],MATCH($B20,Offense[Team],0),MATCH(S$2,Offense[#Headers],0))</f>
        <v>20.399999999999999</v>
      </c>
      <c r="T20" s="3">
        <f>INDEX(Misc[],MATCH($B20,Misc[Team],0),MATCH(T$2,Misc[#Headers],0))</f>
        <v>0.51400000000000001</v>
      </c>
      <c r="U20" s="3">
        <f>INDEX(Misc[],MATCH($B20,Misc[Team],0),MATCH(U$2,Misc[#Headers],0))</f>
        <v>13</v>
      </c>
      <c r="V20" s="3">
        <f>INDEX(Misc[],MATCH($B20,Misc[Team],0),MATCH(V$2,Misc[#Headers],0))</f>
        <v>22.1</v>
      </c>
      <c r="W20" s="3">
        <f>INDEX(Misc[],MATCH($B20,Misc[Team],0),MATCH(W$2,Misc[#Headers],0))</f>
        <v>0.20899999999999999</v>
      </c>
      <c r="X20" s="3">
        <f>INDEX(Misc[],MATCH($B20,Misc[Team],0),MATCH(X$2,Misc[#Headers],0))</f>
        <v>-3.79</v>
      </c>
      <c r="Y20" s="3">
        <f>INDEX(Misc[],MATCH($B20,Misc[Team],0),MATCH(Y$2,Misc[#Headers],0))</f>
        <v>103.4</v>
      </c>
      <c r="Z20" s="3">
        <f>6-ROUND(INDEX(Offense[],MATCH($B20,Offense[Team],0),MATCH("Rk",Offense[#Headers],0))/6,0)</f>
        <v>4</v>
      </c>
      <c r="AA20" s="3">
        <f>OLook[[#This Row],[Pace]]-AVERAGE(OLook[Pace])</f>
        <v>3.1899999999999835</v>
      </c>
    </row>
    <row r="21" spans="2:30" x14ac:dyDescent="0.25">
      <c r="B21" t="s">
        <v>2041</v>
      </c>
      <c r="C21" t="s">
        <v>177</v>
      </c>
      <c r="D21" s="3">
        <f>INDEX(Misc[],MATCH($B21,Misc[Team],0),MATCH("ORTG",Misc[#Headers],0))</f>
        <v>116.7</v>
      </c>
      <c r="E21">
        <f>INDEX(Offense[],MATCH($B21,Offense[Team],0),MATCH(E$2,Offense[#Headers],0))</f>
        <v>66</v>
      </c>
      <c r="F21">
        <f>INDEX(Offense[],MATCH($B21,Offense[Team],0),MATCH(F$2,Offense[#Headers],0))</f>
        <v>15940</v>
      </c>
      <c r="G21">
        <f>INDEX(Offense[],MATCH($B21,Offense[Team],0),MATCH(G$2,Offense[#Headers],0))</f>
        <v>90.1</v>
      </c>
      <c r="H21">
        <f>INDEX(Offense[],MATCH($B21,Offense[Team],0),MATCH(H$2,Offense[#Headers],0))</f>
        <v>0.46300000000000002</v>
      </c>
      <c r="I21">
        <f>INDEX(Offense[],MATCH($B21,Offense[Team],0),MATCH(I$2,Offense[#Headers],0))</f>
        <v>41.7</v>
      </c>
      <c r="J21">
        <f>INDEX(Offense[],MATCH($B21,Offense[Team],0),MATCH(J$2,Offense[#Headers],0))</f>
        <v>0.37</v>
      </c>
      <c r="K21">
        <f>INDEX(Offense[],MATCH($B21,Offense[Team],0),MATCH(K$2,Offense[#Headers],0))</f>
        <v>23.2</v>
      </c>
      <c r="L21">
        <f>INDEX(Offense[],MATCH($B21,Offense[Team],0),MATCH(L$2,Offense[#Headers],0))</f>
        <v>0.77300000000000002</v>
      </c>
      <c r="M21">
        <f>INDEX(Offense[],MATCH($B21,Offense[Team],0),MATCH(M$2,Offense[#Headers],0))</f>
        <v>10.6</v>
      </c>
      <c r="N21">
        <f>INDEX(Offense[],MATCH($B21,Offense[Team],0),MATCH(N$2,Offense[#Headers],0))</f>
        <v>36.4</v>
      </c>
      <c r="O21">
        <f>INDEX(Offense[],MATCH($B21,Offense[Team],0),MATCH(O$2,Offense[#Headers],0))</f>
        <v>24.6</v>
      </c>
      <c r="P21">
        <f>INDEX(Offense[],MATCH($B21,Offense[Team],0),MATCH(P$2,Offense[#Headers],0))</f>
        <v>6.2</v>
      </c>
      <c r="Q21">
        <f>INDEX(Offense[],MATCH($B21,Offense[Team],0),MATCH(Q$2,Offense[#Headers],0))</f>
        <v>5</v>
      </c>
      <c r="R21">
        <f>INDEX(Offense[],MATCH($B21,Offense[Team],0),MATCH(R$2,Offense[#Headers],0))</f>
        <v>12.8</v>
      </c>
      <c r="S21">
        <f>INDEX(Offense[],MATCH($B21,Offense[Team],0),MATCH(S$2,Offense[#Headers],0))</f>
        <v>19.2</v>
      </c>
      <c r="T21" s="3">
        <f>INDEX(Misc[],MATCH($B21,Misc[Team],0),MATCH(T$2,Misc[#Headers],0))</f>
        <v>0.54800000000000004</v>
      </c>
      <c r="U21" s="3">
        <f>INDEX(Misc[],MATCH($B21,Misc[Team],0),MATCH(U$2,Misc[#Headers],0))</f>
        <v>11.4</v>
      </c>
      <c r="V21" s="3">
        <f>INDEX(Misc[],MATCH($B21,Misc[Team],0),MATCH(V$2,Misc[#Headers],0))</f>
        <v>23.4</v>
      </c>
      <c r="W21" s="3">
        <f>INDEX(Misc[],MATCH($B21,Misc[Team],0),MATCH(W$2,Misc[#Headers],0))</f>
        <v>0.19900000000000001</v>
      </c>
      <c r="X21" s="3">
        <f>INDEX(Misc[],MATCH($B21,Misc[Team],0),MATCH(X$2,Misc[#Headers],0))</f>
        <v>5.63</v>
      </c>
      <c r="Y21" s="3">
        <f>INDEX(Misc[],MATCH($B21,Misc[Team],0),MATCH(Y$2,Misc[#Headers],0))</f>
        <v>99.1</v>
      </c>
      <c r="Z21" s="3">
        <f>6-ROUND(INDEX(Offense[],MATCH($B21,Offense[Team],0),MATCH("Rk",Offense[#Headers],0))/6,0)</f>
        <v>6</v>
      </c>
      <c r="AA21" s="3">
        <f>OLook[[#This Row],[Pace]]-AVERAGE(OLook[Pace])</f>
        <v>-1.1100000000000279</v>
      </c>
    </row>
    <row r="22" spans="2:30" x14ac:dyDescent="0.25">
      <c r="B22" t="s">
        <v>2042</v>
      </c>
      <c r="C22" t="s">
        <v>190</v>
      </c>
      <c r="D22" s="3">
        <f>INDEX(Misc[],MATCH($B22,Misc[Team],0),MATCH("ORTG",Misc[#Headers],0))</f>
        <v>105.2</v>
      </c>
      <c r="E22">
        <f>INDEX(Offense[],MATCH($B22,Offense[Team],0),MATCH(E$2,Offense[#Headers],0))</f>
        <v>65</v>
      </c>
      <c r="F22">
        <f>INDEX(Offense[],MATCH($B22,Offense[Team],0),MATCH(F$2,Offense[#Headers],0))</f>
        <v>15725</v>
      </c>
      <c r="G22">
        <f>INDEX(Offense[],MATCH($B22,Offense[Team],0),MATCH(G$2,Offense[#Headers],0))</f>
        <v>87.2</v>
      </c>
      <c r="H22">
        <f>INDEX(Offense[],MATCH($B22,Offense[Team],0),MATCH(H$2,Offense[#Headers],0))</f>
        <v>0.438</v>
      </c>
      <c r="I22">
        <f>INDEX(Offense[],MATCH($B22,Offense[Team],0),MATCH(I$2,Offense[#Headers],0))</f>
        <v>30.9</v>
      </c>
      <c r="J22">
        <f>INDEX(Offense[],MATCH($B22,Offense[Team],0),MATCH(J$2,Offense[#Headers],0))</f>
        <v>0.33400000000000002</v>
      </c>
      <c r="K22">
        <f>INDEX(Offense[],MATCH($B22,Offense[Team],0),MATCH(K$2,Offense[#Headers],0))</f>
        <v>23</v>
      </c>
      <c r="L22">
        <f>INDEX(Offense[],MATCH($B22,Offense[Team],0),MATCH(L$2,Offense[#Headers],0))</f>
        <v>0.80300000000000005</v>
      </c>
      <c r="M22">
        <f>INDEX(Offense[],MATCH($B22,Offense[Team],0),MATCH(M$2,Offense[#Headers],0))</f>
        <v>9.8000000000000007</v>
      </c>
      <c r="N22">
        <f>INDEX(Offense[],MATCH($B22,Offense[Team],0),MATCH(N$2,Offense[#Headers],0))</f>
        <v>32.5</v>
      </c>
      <c r="O22">
        <f>INDEX(Offense[],MATCH($B22,Offense[Team],0),MATCH(O$2,Offense[#Headers],0))</f>
        <v>25.3</v>
      </c>
      <c r="P22">
        <f>INDEX(Offense[],MATCH($B22,Offense[Team],0),MATCH(P$2,Offense[#Headers],0))</f>
        <v>8.1</v>
      </c>
      <c r="Q22">
        <f>INDEX(Offense[],MATCH($B22,Offense[Team],0),MATCH(Q$2,Offense[#Headers],0))</f>
        <v>4.5</v>
      </c>
      <c r="R22">
        <f>INDEX(Offense[],MATCH($B22,Offense[Team],0),MATCH(R$2,Offense[#Headers],0))</f>
        <v>14.7</v>
      </c>
      <c r="S22">
        <f>INDEX(Offense[],MATCH($B22,Offense[Team],0),MATCH(S$2,Offense[#Headers],0))</f>
        <v>19.8</v>
      </c>
      <c r="T22" s="3">
        <f>INDEX(Misc[],MATCH($B22,Misc[Team],0),MATCH(T$2,Misc[#Headers],0))</f>
        <v>0.497</v>
      </c>
      <c r="U22" s="3">
        <f>INDEX(Misc[],MATCH($B22,Misc[Team],0),MATCH(U$2,Misc[#Headers],0))</f>
        <v>13.2</v>
      </c>
      <c r="V22" s="3">
        <f>INDEX(Misc[],MATCH($B22,Misc[Team],0),MATCH(V$2,Misc[#Headers],0))</f>
        <v>21.5</v>
      </c>
      <c r="W22" s="3">
        <f>INDEX(Misc[],MATCH($B22,Misc[Team],0),MATCH(W$2,Misc[#Headers],0))</f>
        <v>0.21199999999999999</v>
      </c>
      <c r="X22" s="3">
        <f>INDEX(Misc[],MATCH($B22,Misc[Team],0),MATCH(X$2,Misc[#Headers],0))</f>
        <v>-7.94</v>
      </c>
      <c r="Y22" s="3">
        <f>INDEX(Misc[],MATCH($B22,Misc[Team],0),MATCH(Y$2,Misc[#Headers],0))</f>
        <v>100.3</v>
      </c>
      <c r="Z22" s="3">
        <f>6-ROUND(INDEX(Offense[],MATCH($B22,Offense[Team],0),MATCH("Rk",Offense[#Headers],0))/6,0)</f>
        <v>1</v>
      </c>
      <c r="AA22" s="3">
        <f>OLook[[#This Row],[Pace]]-AVERAGE(OLook[Pace])</f>
        <v>8.9999999999974989E-2</v>
      </c>
    </row>
    <row r="23" spans="2:30" x14ac:dyDescent="0.25">
      <c r="B23" t="s">
        <v>2043</v>
      </c>
      <c r="C23" t="s">
        <v>178</v>
      </c>
      <c r="D23" s="3">
        <f>INDEX(Misc[],MATCH($B23,Misc[Team],0),MATCH("ORTG",Misc[#Headers],0))</f>
        <v>110.1</v>
      </c>
      <c r="E23">
        <f>INDEX(Offense[],MATCH($B23,Offense[Team],0),MATCH(E$2,Offense[#Headers],0))</f>
        <v>64</v>
      </c>
      <c r="F23">
        <f>INDEX(Offense[],MATCH($B23,Offense[Team],0),MATCH(F$2,Offense[#Headers],0))</f>
        <v>15435</v>
      </c>
      <c r="G23">
        <f>INDEX(Offense[],MATCH($B23,Offense[Team],0),MATCH(G$2,Offense[#Headers],0))</f>
        <v>88.4</v>
      </c>
      <c r="H23">
        <f>INDEX(Offense[],MATCH($B23,Offense[Team],0),MATCH(H$2,Offense[#Headers],0))</f>
        <v>0.46400000000000002</v>
      </c>
      <c r="I23">
        <f>INDEX(Offense[],MATCH($B23,Offense[Team],0),MATCH(I$2,Offense[#Headers],0))</f>
        <v>31.8</v>
      </c>
      <c r="J23">
        <f>INDEX(Offense[],MATCH($B23,Offense[Team],0),MATCH(J$2,Offense[#Headers],0))</f>
        <v>0.36099999999999999</v>
      </c>
      <c r="K23">
        <f>INDEX(Offense[],MATCH($B23,Offense[Team],0),MATCH(K$2,Offense[#Headers],0))</f>
        <v>22.1</v>
      </c>
      <c r="L23">
        <f>INDEX(Offense[],MATCH($B23,Offense[Team],0),MATCH(L$2,Offense[#Headers],0))</f>
        <v>0.751</v>
      </c>
      <c r="M23">
        <f>INDEX(Offense[],MATCH($B23,Offense[Team],0),MATCH(M$2,Offense[#Headers],0))</f>
        <v>10.4</v>
      </c>
      <c r="N23">
        <f>INDEX(Offense[],MATCH($B23,Offense[Team],0),MATCH(N$2,Offense[#Headers],0))</f>
        <v>35.299999999999997</v>
      </c>
      <c r="O23">
        <f>INDEX(Offense[],MATCH($B23,Offense[Team],0),MATCH(O$2,Offense[#Headers],0))</f>
        <v>26</v>
      </c>
      <c r="P23">
        <f>INDEX(Offense[],MATCH($B23,Offense[Team],0),MATCH(P$2,Offense[#Headers],0))</f>
        <v>8.1999999999999993</v>
      </c>
      <c r="Q23">
        <f>INDEX(Offense[],MATCH($B23,Offense[Team],0),MATCH(Q$2,Offense[#Headers],0))</f>
        <v>5.4</v>
      </c>
      <c r="R23">
        <f>INDEX(Offense[],MATCH($B23,Offense[Team],0),MATCH(R$2,Offense[#Headers],0))</f>
        <v>14.3</v>
      </c>
      <c r="S23">
        <f>INDEX(Offense[],MATCH($B23,Offense[Team],0),MATCH(S$2,Offense[#Headers],0))</f>
        <v>20.8</v>
      </c>
      <c r="T23" s="3">
        <f>INDEX(Misc[],MATCH($B23,Misc[Team],0),MATCH(T$2,Misc[#Headers],0))</f>
        <v>0.52900000000000003</v>
      </c>
      <c r="U23" s="3">
        <f>INDEX(Misc[],MATCH($B23,Misc[Team],0),MATCH(U$2,Misc[#Headers],0))</f>
        <v>12.7</v>
      </c>
      <c r="V23" s="3">
        <f>INDEX(Misc[],MATCH($B23,Misc[Team],0),MATCH(V$2,Misc[#Headers],0))</f>
        <v>23.6</v>
      </c>
      <c r="W23" s="3">
        <f>INDEX(Misc[],MATCH($B23,Misc[Team],0),MATCH(W$2,Misc[#Headers],0))</f>
        <v>0.187</v>
      </c>
      <c r="X23" s="3">
        <f>INDEX(Misc[],MATCH($B23,Misc[Team],0),MATCH(X$2,Misc[#Headers],0))</f>
        <v>2.0499999999999998</v>
      </c>
      <c r="Y23" s="3">
        <f>INDEX(Misc[],MATCH($B23,Misc[Team],0),MATCH(Y$2,Misc[#Headers],0))</f>
        <v>98.8</v>
      </c>
      <c r="Z23" s="3">
        <f>6-ROUND(INDEX(Offense[],MATCH($B23,Offense[Team],0),MATCH("Rk",Offense[#Headers],0))/6,0)</f>
        <v>2</v>
      </c>
      <c r="AA23" s="3">
        <f>OLook[[#This Row],[Pace]]-AVERAGE(OLook[Pace])</f>
        <v>-1.410000000000025</v>
      </c>
    </row>
    <row r="24" spans="2:30" x14ac:dyDescent="0.25">
      <c r="B24" t="s">
        <v>2044</v>
      </c>
      <c r="C24" t="s">
        <v>179</v>
      </c>
      <c r="D24" s="3">
        <f>INDEX(Misc[],MATCH($B24,Misc[Team],0),MATCH("ORTG",Misc[#Headers],0))</f>
        <v>112.9</v>
      </c>
      <c r="E24">
        <f>INDEX(Offense[],MATCH($B24,Offense[Team],0),MATCH(E$2,Offense[#Headers],0))</f>
        <v>64</v>
      </c>
      <c r="F24">
        <f>INDEX(Offense[],MATCH($B24,Offense[Team],0),MATCH(F$2,Offense[#Headers],0))</f>
        <v>15485</v>
      </c>
      <c r="G24">
        <f>INDEX(Offense[],MATCH($B24,Offense[Team],0),MATCH(G$2,Offense[#Headers],0))</f>
        <v>89.6</v>
      </c>
      <c r="H24">
        <f>INDEX(Offense[],MATCH($B24,Offense[Team],0),MATCH(H$2,Offense[#Headers],0))</f>
        <v>0.45900000000000002</v>
      </c>
      <c r="I24">
        <f>INDEX(Offense[],MATCH($B24,Offense[Team],0),MATCH(I$2,Offense[#Headers],0))</f>
        <v>34.200000000000003</v>
      </c>
      <c r="J24">
        <f>INDEX(Offense[],MATCH($B24,Offense[Team],0),MATCH(J$2,Offense[#Headers],0))</f>
        <v>0.36299999999999999</v>
      </c>
      <c r="K24">
        <f>INDEX(Offense[],MATCH($B24,Offense[Team],0),MATCH(K$2,Offense[#Headers],0))</f>
        <v>22.8</v>
      </c>
      <c r="L24">
        <f>INDEX(Offense[],MATCH($B24,Offense[Team],0),MATCH(L$2,Offense[#Headers],0))</f>
        <v>0.80100000000000005</v>
      </c>
      <c r="M24">
        <f>INDEX(Offense[],MATCH($B24,Offense[Team],0),MATCH(M$2,Offense[#Headers],0))</f>
        <v>10.7</v>
      </c>
      <c r="N24">
        <f>INDEX(Offense[],MATCH($B24,Offense[Team],0),MATCH(N$2,Offense[#Headers],0))</f>
        <v>35.299999999999997</v>
      </c>
      <c r="O24">
        <f>INDEX(Offense[],MATCH($B24,Offense[Team],0),MATCH(O$2,Offense[#Headers],0))</f>
        <v>22.8</v>
      </c>
      <c r="P24">
        <f>INDEX(Offense[],MATCH($B24,Offense[Team],0),MATCH(P$2,Offense[#Headers],0))</f>
        <v>8.3000000000000007</v>
      </c>
      <c r="Q24">
        <f>INDEX(Offense[],MATCH($B24,Offense[Team],0),MATCH(Q$2,Offense[#Headers],0))</f>
        <v>5.6</v>
      </c>
      <c r="R24">
        <f>INDEX(Offense[],MATCH($B24,Offense[Team],0),MATCH(R$2,Offense[#Headers],0))</f>
        <v>13.6</v>
      </c>
      <c r="S24">
        <f>INDEX(Offense[],MATCH($B24,Offense[Team],0),MATCH(S$2,Offense[#Headers],0))</f>
        <v>21.3</v>
      </c>
      <c r="T24" s="3">
        <f>INDEX(Misc[],MATCH($B24,Misc[Team],0),MATCH(T$2,Misc[#Headers],0))</f>
        <v>0.52900000000000003</v>
      </c>
      <c r="U24" s="3">
        <f>INDEX(Misc[],MATCH($B24,Misc[Team],0),MATCH(U$2,Misc[#Headers],0))</f>
        <v>12</v>
      </c>
      <c r="V24" s="3">
        <f>INDEX(Misc[],MATCH($B24,Misc[Team],0),MATCH(V$2,Misc[#Headers],0))</f>
        <v>23.9</v>
      </c>
      <c r="W24" s="3">
        <f>INDEX(Misc[],MATCH($B24,Misc[Team],0),MATCH(W$2,Misc[#Headers],0))</f>
        <v>0.20399999999999999</v>
      </c>
      <c r="X24" s="3">
        <f>INDEX(Misc[],MATCH($B24,Misc[Team],0),MATCH(X$2,Misc[#Headers],0))</f>
        <v>5.67</v>
      </c>
      <c r="Y24" s="3">
        <f>INDEX(Misc[],MATCH($B24,Misc[Team],0),MATCH(Y$2,Misc[#Headers],0))</f>
        <v>99.3</v>
      </c>
      <c r="Z24" s="3">
        <f>6-ROUND(INDEX(Offense[],MATCH($B24,Offense[Team],0),MATCH("Rk",Offense[#Headers],0))/6,0)</f>
        <v>4</v>
      </c>
      <c r="AA24" s="3">
        <f>OLook[[#This Row],[Pace]]-AVERAGE(OLook[Pace])</f>
        <v>-0.91000000000002501</v>
      </c>
    </row>
    <row r="25" spans="2:30" x14ac:dyDescent="0.25">
      <c r="B25" t="s">
        <v>2006</v>
      </c>
      <c r="C25" t="s">
        <v>191</v>
      </c>
      <c r="D25" s="3">
        <f>INDEX(Misc[],MATCH($B25,Misc[Team],0),MATCH("ORTG",Misc[#Headers],0))</f>
        <v>113</v>
      </c>
      <c r="E25">
        <f>INDEX(Offense[],MATCH($B25,Offense[Team],0),MATCH(E$2,Offense[#Headers],0))</f>
        <v>63</v>
      </c>
      <c r="F25">
        <f>INDEX(Offense[],MATCH($B25,Offense[Team],0),MATCH(F$2,Offense[#Headers],0))</f>
        <v>15170</v>
      </c>
      <c r="G25">
        <f>INDEX(Offense[],MATCH($B25,Offense[Team],0),MATCH(G$2,Offense[#Headers],0))</f>
        <v>87.5</v>
      </c>
      <c r="H25">
        <f>INDEX(Offense[],MATCH($B25,Offense[Team],0),MATCH(H$2,Offense[#Headers],0))</f>
        <v>0.48499999999999999</v>
      </c>
      <c r="I25">
        <f>INDEX(Offense[],MATCH($B25,Offense[Team],0),MATCH(I$2,Offense[#Headers],0))</f>
        <v>31.1</v>
      </c>
      <c r="J25">
        <f>INDEX(Offense[],MATCH($B25,Offense[Team],0),MATCH(J$2,Offense[#Headers],0))</f>
        <v>0.35499999999999998</v>
      </c>
      <c r="K25">
        <f>INDEX(Offense[],MATCH($B25,Offense[Team],0),MATCH(K$2,Offense[#Headers],0))</f>
        <v>23.5</v>
      </c>
      <c r="L25">
        <f>INDEX(Offense[],MATCH($B25,Offense[Team],0),MATCH(L$2,Offense[#Headers],0))</f>
        <v>0.73</v>
      </c>
      <c r="M25">
        <f>INDEX(Offense[],MATCH($B25,Offense[Team],0),MATCH(M$2,Offense[#Headers],0))</f>
        <v>10.5</v>
      </c>
      <c r="N25">
        <f>INDEX(Offense[],MATCH($B25,Offense[Team],0),MATCH(N$2,Offense[#Headers],0))</f>
        <v>35.1</v>
      </c>
      <c r="O25">
        <f>INDEX(Offense[],MATCH($B25,Offense[Team],0),MATCH(O$2,Offense[#Headers],0))</f>
        <v>25.6</v>
      </c>
      <c r="P25">
        <f>INDEX(Offense[],MATCH($B25,Offense[Team],0),MATCH(P$2,Offense[#Headers],0))</f>
        <v>8.5</v>
      </c>
      <c r="Q25">
        <f>INDEX(Offense[],MATCH($B25,Offense[Team],0),MATCH(Q$2,Offense[#Headers],0))</f>
        <v>6.7</v>
      </c>
      <c r="R25">
        <f>INDEX(Offense[],MATCH($B25,Offense[Team],0),MATCH(R$2,Offense[#Headers],0))</f>
        <v>14.9</v>
      </c>
      <c r="S25">
        <f>INDEX(Offense[],MATCH($B25,Offense[Team],0),MATCH(S$2,Offense[#Headers],0))</f>
        <v>20.399999999999999</v>
      </c>
      <c r="T25" s="3">
        <f>INDEX(Misc[],MATCH($B25,Misc[Team],0),MATCH(T$2,Misc[#Headers],0))</f>
        <v>0.54800000000000004</v>
      </c>
      <c r="U25" s="3">
        <f>INDEX(Misc[],MATCH($B25,Misc[Team],0),MATCH(U$2,Misc[#Headers],0))</f>
        <v>13.2</v>
      </c>
      <c r="V25" s="3">
        <f>INDEX(Misc[],MATCH($B25,Misc[Team],0),MATCH(V$2,Misc[#Headers],0))</f>
        <v>24.6</v>
      </c>
      <c r="W25" s="3">
        <f>INDEX(Misc[],MATCH($B25,Misc[Team],0),MATCH(W$2,Misc[#Headers],0))</f>
        <v>0.19600000000000001</v>
      </c>
      <c r="X25" s="3">
        <f>INDEX(Misc[],MATCH($B25,Misc[Team],0),MATCH(X$2,Misc[#Headers],0))</f>
        <v>7.74</v>
      </c>
      <c r="Y25" s="3">
        <f>INDEX(Misc[],MATCH($B25,Misc[Team],0),MATCH(Y$2,Misc[#Headers],0))</f>
        <v>100.9</v>
      </c>
      <c r="Z25" s="3">
        <f>6-ROUND(INDEX(Offense[],MATCH($B25,Offense[Team],0),MATCH("Rk",Offense[#Headers],0))/6,0)</f>
        <v>4</v>
      </c>
      <c r="AA25" s="3">
        <f>OLook[[#This Row],[Pace]]-AVERAGE(OLook[Pace])</f>
        <v>0.68999999999998352</v>
      </c>
    </row>
    <row r="26" spans="2:30" x14ac:dyDescent="0.25">
      <c r="B26" t="s">
        <v>2045</v>
      </c>
      <c r="C26" t="s">
        <v>180</v>
      </c>
      <c r="D26" s="3">
        <f>INDEX(Misc[],MATCH($B26,Misc[Team],0),MATCH("ORTG",Misc[#Headers],0))</f>
        <v>109.4</v>
      </c>
      <c r="E26">
        <f>INDEX(Offense[],MATCH($B26,Offense[Team],0),MATCH(E$2,Offense[#Headers],0))</f>
        <v>65</v>
      </c>
      <c r="F26">
        <f>INDEX(Offense[],MATCH($B26,Offense[Team],0),MATCH(F$2,Offense[#Headers],0))</f>
        <v>15625</v>
      </c>
      <c r="G26">
        <f>INDEX(Offense[],MATCH($B26,Offense[Team],0),MATCH(G$2,Offense[#Headers],0))</f>
        <v>88.4</v>
      </c>
      <c r="H26">
        <f>INDEX(Offense[],MATCH($B26,Offense[Team],0),MATCH(H$2,Offense[#Headers],0))</f>
        <v>0.47</v>
      </c>
      <c r="I26">
        <f>INDEX(Offense[],MATCH($B26,Offense[Team],0),MATCH(I$2,Offense[#Headers],0))</f>
        <v>30.2</v>
      </c>
      <c r="J26">
        <f>INDEX(Offense[],MATCH($B26,Offense[Team],0),MATCH(J$2,Offense[#Headers],0))</f>
        <v>0.35199999999999998</v>
      </c>
      <c r="K26">
        <f>INDEX(Offense[],MATCH($B26,Offense[Team],0),MATCH(K$2,Offense[#Headers],0))</f>
        <v>20.7</v>
      </c>
      <c r="L26">
        <f>INDEX(Offense[],MATCH($B26,Offense[Team],0),MATCH(L$2,Offense[#Headers],0))</f>
        <v>0.76100000000000001</v>
      </c>
      <c r="M26">
        <f>INDEX(Offense[],MATCH($B26,Offense[Team],0),MATCH(M$2,Offense[#Headers],0))</f>
        <v>10.1</v>
      </c>
      <c r="N26">
        <f>INDEX(Offense[],MATCH($B26,Offense[Team],0),MATCH(N$2,Offense[#Headers],0))</f>
        <v>35.200000000000003</v>
      </c>
      <c r="O26">
        <f>INDEX(Offense[],MATCH($B26,Offense[Team],0),MATCH(O$2,Offense[#Headers],0))</f>
        <v>26.3</v>
      </c>
      <c r="P26">
        <f>INDEX(Offense[],MATCH($B26,Offense[Team],0),MATCH(P$2,Offense[#Headers],0))</f>
        <v>7.8</v>
      </c>
      <c r="Q26">
        <f>INDEX(Offense[],MATCH($B26,Offense[Team],0),MATCH(Q$2,Offense[#Headers],0))</f>
        <v>5.4</v>
      </c>
      <c r="R26">
        <f>INDEX(Offense[],MATCH($B26,Offense[Team],0),MATCH(R$2,Offense[#Headers],0))</f>
        <v>14.8</v>
      </c>
      <c r="S26">
        <f>INDEX(Offense[],MATCH($B26,Offense[Team],0),MATCH(S$2,Offense[#Headers],0))</f>
        <v>20.2</v>
      </c>
      <c r="T26" s="3">
        <f>INDEX(Misc[],MATCH($B26,Misc[Team],0),MATCH(T$2,Misc[#Headers],0))</f>
        <v>0.53</v>
      </c>
      <c r="U26" s="3">
        <f>INDEX(Misc[],MATCH($B26,Misc[Team],0),MATCH(U$2,Misc[#Headers],0))</f>
        <v>13.2</v>
      </c>
      <c r="V26" s="3">
        <f>INDEX(Misc[],MATCH($B26,Misc[Team],0),MATCH(V$2,Misc[#Headers],0))</f>
        <v>23.2</v>
      </c>
      <c r="W26" s="3">
        <f>INDEX(Misc[],MATCH($B26,Misc[Team],0),MATCH(W$2,Misc[#Headers],0))</f>
        <v>0.17799999999999999</v>
      </c>
      <c r="X26" s="3">
        <f>INDEX(Misc[],MATCH($B26,Misc[Team],0),MATCH(X$2,Misc[#Headers],0))</f>
        <v>-1.06</v>
      </c>
      <c r="Y26" s="3">
        <f>INDEX(Misc[],MATCH($B26,Misc[Team],0),MATCH(Y$2,Misc[#Headers],0))</f>
        <v>102.8</v>
      </c>
      <c r="Z26" s="3">
        <f>6-ROUND(INDEX(Offense[],MATCH($B26,Offense[Team],0),MATCH("Rk",Offense[#Headers],0))/6,0)</f>
        <v>4</v>
      </c>
      <c r="AA26" s="3">
        <f>OLook[[#This Row],[Pace]]-AVERAGE(OLook[Pace])</f>
        <v>2.589999999999975</v>
      </c>
    </row>
    <row r="27" spans="2:30" x14ac:dyDescent="0.25">
      <c r="B27" t="s">
        <v>2046</v>
      </c>
      <c r="C27" t="s">
        <v>181</v>
      </c>
      <c r="D27" s="3">
        <f>INDEX(Misc[],MATCH($B27,Misc[Team],0),MATCH("ORTG",Misc[#Headers],0))</f>
        <v>107.5</v>
      </c>
      <c r="E27">
        <f>INDEX(Offense[],MATCH($B27,Offense[Team],0),MATCH(E$2,Offense[#Headers],0))</f>
        <v>65</v>
      </c>
      <c r="F27">
        <f>INDEX(Offense[],MATCH($B27,Offense[Team],0),MATCH(F$2,Offense[#Headers],0))</f>
        <v>15725</v>
      </c>
      <c r="G27">
        <f>INDEX(Offense[],MATCH($B27,Offense[Team],0),MATCH(G$2,Offense[#Headers],0))</f>
        <v>88.4</v>
      </c>
      <c r="H27">
        <f>INDEX(Offense[],MATCH($B27,Offense[Team],0),MATCH(H$2,Offense[#Headers],0))</f>
        <v>0.45800000000000002</v>
      </c>
      <c r="I27">
        <f>INDEX(Offense[],MATCH($B27,Offense[Team],0),MATCH(I$2,Offense[#Headers],0))</f>
        <v>32</v>
      </c>
      <c r="J27">
        <f>INDEX(Offense[],MATCH($B27,Offense[Team],0),MATCH(J$2,Offense[#Headers],0))</f>
        <v>0.35099999999999998</v>
      </c>
      <c r="K27">
        <f>INDEX(Offense[],MATCH($B27,Offense[Team],0),MATCH(K$2,Offense[#Headers],0))</f>
        <v>20</v>
      </c>
      <c r="L27">
        <f>INDEX(Offense[],MATCH($B27,Offense[Team],0),MATCH(L$2,Offense[#Headers],0))</f>
        <v>0.75800000000000001</v>
      </c>
      <c r="M27">
        <f>INDEX(Offense[],MATCH($B27,Offense[Team],0),MATCH(M$2,Offense[#Headers],0))</f>
        <v>10.9</v>
      </c>
      <c r="N27">
        <f>INDEX(Offense[],MATCH($B27,Offense[Team],0),MATCH(N$2,Offense[#Headers],0))</f>
        <v>33.6</v>
      </c>
      <c r="O27">
        <f>INDEX(Offense[],MATCH($B27,Offense[Team],0),MATCH(O$2,Offense[#Headers],0))</f>
        <v>23.2</v>
      </c>
      <c r="P27">
        <f>INDEX(Offense[],MATCH($B27,Offense[Team],0),MATCH(P$2,Offense[#Headers],0))</f>
        <v>6.9</v>
      </c>
      <c r="Q27">
        <f>INDEX(Offense[],MATCH($B27,Offense[Team],0),MATCH(Q$2,Offense[#Headers],0))</f>
        <v>3.3</v>
      </c>
      <c r="R27">
        <f>INDEX(Offense[],MATCH($B27,Offense[Team],0),MATCH(R$2,Offense[#Headers],0))</f>
        <v>16.600000000000001</v>
      </c>
      <c r="S27">
        <f>INDEX(Offense[],MATCH($B27,Offense[Team],0),MATCH(S$2,Offense[#Headers],0))</f>
        <v>18.399999999999999</v>
      </c>
      <c r="T27" s="3">
        <f>INDEX(Misc[],MATCH($B27,Misc[Team],0),MATCH(T$2,Misc[#Headers],0))</f>
        <v>0.52200000000000002</v>
      </c>
      <c r="U27" s="3">
        <f>INDEX(Misc[],MATCH($B27,Misc[Team],0),MATCH(U$2,Misc[#Headers],0))</f>
        <v>14.6</v>
      </c>
      <c r="V27" s="3">
        <f>INDEX(Misc[],MATCH($B27,Misc[Team],0),MATCH(V$2,Misc[#Headers],0))</f>
        <v>24.6</v>
      </c>
      <c r="W27" s="3">
        <f>INDEX(Misc[],MATCH($B27,Misc[Team],0),MATCH(W$2,Misc[#Headers],0))</f>
        <v>0.17199999999999999</v>
      </c>
      <c r="X27" s="3">
        <f>INDEX(Misc[],MATCH($B27,Misc[Team],0),MATCH(X$2,Misc[#Headers],0))</f>
        <v>-7.57</v>
      </c>
      <c r="Y27" s="3">
        <f>INDEX(Misc[],MATCH($B27,Misc[Team],0),MATCH(Y$2,Misc[#Headers],0))</f>
        <v>98.7</v>
      </c>
      <c r="Z27" s="3">
        <f>6-ROUND(INDEX(Offense[],MATCH($B27,Offense[Team],0),MATCH("Rk",Offense[#Headers],0))/6,0)</f>
        <v>2</v>
      </c>
      <c r="AA27" s="3">
        <f>OLook[[#This Row],[Pace]]-AVERAGE(OLook[Pace])</f>
        <v>-1.5100000000000193</v>
      </c>
    </row>
    <row r="28" spans="2:30" x14ac:dyDescent="0.25">
      <c r="B28" t="s">
        <v>2047</v>
      </c>
      <c r="C28" t="s">
        <v>182</v>
      </c>
      <c r="D28" s="3">
        <f>INDEX(Misc[],MATCH($B28,Misc[Team],0),MATCH("ORTG",Misc[#Headers],0))</f>
        <v>112.7</v>
      </c>
      <c r="E28">
        <f>INDEX(Offense[],MATCH($B28,Offense[Team],0),MATCH(E$2,Offense[#Headers],0))</f>
        <v>64</v>
      </c>
      <c r="F28">
        <f>INDEX(Offense[],MATCH($B28,Offense[Team],0),MATCH(F$2,Offense[#Headers],0))</f>
        <v>15510</v>
      </c>
      <c r="G28">
        <f>INDEX(Offense[],MATCH($B28,Offense[Team],0),MATCH(G$2,Offense[#Headers],0))</f>
        <v>90.7</v>
      </c>
      <c r="H28">
        <f>INDEX(Offense[],MATCH($B28,Offense[Team],0),MATCH(H$2,Offense[#Headers],0))</f>
        <v>0.47099999999999997</v>
      </c>
      <c r="I28">
        <f>INDEX(Offense[],MATCH($B28,Offense[Team],0),MATCH(I$2,Offense[#Headers],0))</f>
        <v>30.9</v>
      </c>
      <c r="J28">
        <f>INDEX(Offense[],MATCH($B28,Offense[Team],0),MATCH(J$2,Offense[#Headers],0))</f>
        <v>0.35799999999999998</v>
      </c>
      <c r="K28">
        <f>INDEX(Offense[],MATCH($B28,Offense[Team],0),MATCH(K$2,Offense[#Headers],0))</f>
        <v>21.1</v>
      </c>
      <c r="L28">
        <f>INDEX(Offense[],MATCH($B28,Offense[Team],0),MATCH(L$2,Offense[#Headers],0))</f>
        <v>0.77600000000000002</v>
      </c>
      <c r="M28">
        <f>INDEX(Offense[],MATCH($B28,Offense[Team],0),MATCH(M$2,Offense[#Headers],0))</f>
        <v>11.1</v>
      </c>
      <c r="N28">
        <f>INDEX(Offense[],MATCH($B28,Offense[Team],0),MATCH(N$2,Offense[#Headers],0))</f>
        <v>34.1</v>
      </c>
      <c r="O28">
        <f>INDEX(Offense[],MATCH($B28,Offense[Team],0),MATCH(O$2,Offense[#Headers],0))</f>
        <v>27.1</v>
      </c>
      <c r="P28">
        <f>INDEX(Offense[],MATCH($B28,Offense[Team],0),MATCH(P$2,Offense[#Headers],0))</f>
        <v>8.3000000000000007</v>
      </c>
      <c r="Q28">
        <f>INDEX(Offense[],MATCH($B28,Offense[Team],0),MATCH(Q$2,Offense[#Headers],0))</f>
        <v>4.7</v>
      </c>
      <c r="R28">
        <f>INDEX(Offense[],MATCH($B28,Offense[Team],0),MATCH(R$2,Offense[#Headers],0))</f>
        <v>13.9</v>
      </c>
      <c r="S28">
        <f>INDEX(Offense[],MATCH($B28,Offense[Team],0),MATCH(S$2,Offense[#Headers],0))</f>
        <v>20.399999999999999</v>
      </c>
      <c r="T28" s="3">
        <f>INDEX(Misc[],MATCH($B28,Misc[Team],0),MATCH(T$2,Misc[#Headers],0))</f>
        <v>0.53100000000000003</v>
      </c>
      <c r="U28" s="3">
        <f>INDEX(Misc[],MATCH($B28,Misc[Team],0),MATCH(U$2,Misc[#Headers],0))</f>
        <v>12.2</v>
      </c>
      <c r="V28" s="3">
        <f>INDEX(Misc[],MATCH($B28,Misc[Team],0),MATCH(V$2,Misc[#Headers],0))</f>
        <v>24.9</v>
      </c>
      <c r="W28" s="3">
        <f>INDEX(Misc[],MATCH($B28,Misc[Team],0),MATCH(W$2,Misc[#Headers],0))</f>
        <v>0.18</v>
      </c>
      <c r="X28" s="3">
        <f>INDEX(Misc[],MATCH($B28,Misc[Team],0),MATCH(X$2,Misc[#Headers],0))</f>
        <v>3.2</v>
      </c>
      <c r="Y28" s="3">
        <f>INDEX(Misc[],MATCH($B28,Misc[Team],0),MATCH(Y$2,Misc[#Headers],0))</f>
        <v>97.2</v>
      </c>
      <c r="Z28" s="3">
        <f>6-ROUND(INDEX(Offense[],MATCH($B28,Offense[Team],0),MATCH("Rk",Offense[#Headers],0))/6,0)</f>
        <v>2</v>
      </c>
      <c r="AA28" s="3">
        <f>OLook[[#This Row],[Pace]]-AVERAGE(OLook[Pace])</f>
        <v>-3.0100000000000193</v>
      </c>
    </row>
    <row r="29" spans="2:30" x14ac:dyDescent="0.25">
      <c r="B29" t="s">
        <v>2048</v>
      </c>
      <c r="C29" t="s">
        <v>183</v>
      </c>
      <c r="D29" s="3">
        <f>INDEX(Misc[],MATCH($B29,Misc[Team],0),MATCH("ORTG",Misc[#Headers],0))</f>
        <v>110.3</v>
      </c>
      <c r="E29">
        <f>INDEX(Offense[],MATCH($B29,Offense[Team],0),MATCH(E$2,Offense[#Headers],0))</f>
        <v>65</v>
      </c>
      <c r="F29">
        <f>INDEX(Offense[],MATCH($B29,Offense[Team],0),MATCH(F$2,Offense[#Headers],0))</f>
        <v>15700</v>
      </c>
      <c r="G29">
        <f>INDEX(Offense[],MATCH($B29,Offense[Team],0),MATCH(G$2,Offense[#Headers],0))</f>
        <v>89.1</v>
      </c>
      <c r="H29">
        <f>INDEX(Offense[],MATCH($B29,Offense[Team],0),MATCH(H$2,Offense[#Headers],0))</f>
        <v>0.47699999999999998</v>
      </c>
      <c r="I29">
        <f>INDEX(Offense[],MATCH($B29,Offense[Team],0),MATCH(I$2,Offense[#Headers],0))</f>
        <v>27.7</v>
      </c>
      <c r="J29">
        <f>INDEX(Offense[],MATCH($B29,Offense[Team],0),MATCH(J$2,Offense[#Headers],0))</f>
        <v>0.36299999999999999</v>
      </c>
      <c r="K29">
        <f>INDEX(Offense[],MATCH($B29,Offense[Team],0),MATCH(K$2,Offense[#Headers],0))</f>
        <v>19.3</v>
      </c>
      <c r="L29">
        <f>INDEX(Offense[],MATCH($B29,Offense[Team],0),MATCH(L$2,Offense[#Headers],0))</f>
        <v>0.78700000000000003</v>
      </c>
      <c r="M29">
        <f>INDEX(Offense[],MATCH($B29,Offense[Team],0),MATCH(M$2,Offense[#Headers],0))</f>
        <v>8.9</v>
      </c>
      <c r="N29">
        <f>INDEX(Offense[],MATCH($B29,Offense[Team],0),MATCH(N$2,Offense[#Headers],0))</f>
        <v>34.299999999999997</v>
      </c>
      <c r="O29">
        <f>INDEX(Offense[],MATCH($B29,Offense[Team],0),MATCH(O$2,Offense[#Headers],0))</f>
        <v>26.2</v>
      </c>
      <c r="P29">
        <f>INDEX(Offense[],MATCH($B29,Offense[Team],0),MATCH(P$2,Offense[#Headers],0))</f>
        <v>7.3</v>
      </c>
      <c r="Q29">
        <f>INDEX(Offense[],MATCH($B29,Offense[Team],0),MATCH(Q$2,Offense[#Headers],0))</f>
        <v>5.2</v>
      </c>
      <c r="R29">
        <f>INDEX(Offense[],MATCH($B29,Offense[Team],0),MATCH(R$2,Offense[#Headers],0))</f>
        <v>13.2</v>
      </c>
      <c r="S29">
        <f>INDEX(Offense[],MATCH($B29,Offense[Team],0),MATCH(S$2,Offense[#Headers],0))</f>
        <v>19.8</v>
      </c>
      <c r="T29" s="3">
        <f>INDEX(Misc[],MATCH($B29,Misc[Team],0),MATCH(T$2,Misc[#Headers],0))</f>
        <v>0.53300000000000003</v>
      </c>
      <c r="U29" s="3">
        <f>INDEX(Misc[],MATCH($B29,Misc[Team],0),MATCH(U$2,Misc[#Headers],0))</f>
        <v>11.9</v>
      </c>
      <c r="V29" s="3">
        <f>INDEX(Misc[],MATCH($B29,Misc[Team],0),MATCH(V$2,Misc[#Headers],0))</f>
        <v>20.3</v>
      </c>
      <c r="W29" s="3">
        <f>INDEX(Misc[],MATCH($B29,Misc[Team],0),MATCH(W$2,Misc[#Headers],0))</f>
        <v>0.17</v>
      </c>
      <c r="X29" s="3">
        <f>INDEX(Misc[],MATCH($B29,Misc[Team],0),MATCH(X$2,Misc[#Headers],0))</f>
        <v>1.59</v>
      </c>
      <c r="Y29" s="3">
        <f>INDEX(Misc[],MATCH($B29,Misc[Team],0),MATCH(Y$2,Misc[#Headers],0))</f>
        <v>98.5</v>
      </c>
      <c r="Z29" s="3">
        <f>6-ROUND(INDEX(Offense[],MATCH($B29,Offense[Team],0),MATCH("Rk",Offense[#Headers],0))/6,0)</f>
        <v>3</v>
      </c>
      <c r="AA29" s="3">
        <f>OLook[[#This Row],[Pace]]-AVERAGE(OLook[Pace])</f>
        <v>-1.7100000000000222</v>
      </c>
    </row>
    <row r="30" spans="2:30" x14ac:dyDescent="0.25">
      <c r="B30" t="s">
        <v>2049</v>
      </c>
      <c r="C30" t="s">
        <v>184</v>
      </c>
      <c r="D30" s="3">
        <f>INDEX(Misc[],MATCH($B30,Misc[Team],0),MATCH("ORTG",Misc[#Headers],0))</f>
        <v>107</v>
      </c>
      <c r="E30">
        <f>INDEX(Offense[],MATCH($B30,Offense[Team],0),MATCH(E$2,Offense[#Headers],0))</f>
        <v>66</v>
      </c>
      <c r="F30">
        <f>INDEX(Offense[],MATCH($B30,Offense[Team],0),MATCH(F$2,Offense[#Headers],0))</f>
        <v>16015</v>
      </c>
      <c r="G30">
        <f>INDEX(Offense[],MATCH($B30,Offense[Team],0),MATCH(G$2,Offense[#Headers],0))</f>
        <v>86.7</v>
      </c>
      <c r="H30">
        <f>INDEX(Offense[],MATCH($B30,Offense[Team],0),MATCH(H$2,Offense[#Headers],0))</f>
        <v>0.44900000000000001</v>
      </c>
      <c r="I30">
        <f>INDEX(Offense[],MATCH($B30,Offense[Team],0),MATCH(I$2,Offense[#Headers],0))</f>
        <v>34.6</v>
      </c>
      <c r="J30">
        <f>INDEX(Offense[],MATCH($B30,Offense[Team],0),MATCH(J$2,Offense[#Headers],0))</f>
        <v>0.33300000000000002</v>
      </c>
      <c r="K30">
        <f>INDEX(Offense[],MATCH($B30,Offense[Team],0),MATCH(K$2,Offense[#Headers],0))</f>
        <v>22.4</v>
      </c>
      <c r="L30">
        <f>INDEX(Offense[],MATCH($B30,Offense[Team],0),MATCH(L$2,Offense[#Headers],0))</f>
        <v>0.79</v>
      </c>
      <c r="M30">
        <f>INDEX(Offense[],MATCH($B30,Offense[Team],0),MATCH(M$2,Offense[#Headers],0))</f>
        <v>9.4</v>
      </c>
      <c r="N30">
        <f>INDEX(Offense[],MATCH($B30,Offense[Team],0),MATCH(N$2,Offense[#Headers],0))</f>
        <v>32</v>
      </c>
      <c r="O30">
        <f>INDEX(Offense[],MATCH($B30,Offense[Team],0),MATCH(O$2,Offense[#Headers],0))</f>
        <v>23</v>
      </c>
      <c r="P30">
        <f>INDEX(Offense[],MATCH($B30,Offense[Team],0),MATCH(P$2,Offense[#Headers],0))</f>
        <v>7.5</v>
      </c>
      <c r="Q30">
        <f>INDEX(Offense[],MATCH($B30,Offense[Team],0),MATCH(Q$2,Offense[#Headers],0))</f>
        <v>4.9000000000000004</v>
      </c>
      <c r="R30">
        <f>INDEX(Offense[],MATCH($B30,Offense[Team],0),MATCH(R$2,Offense[#Headers],0))</f>
        <v>15.6</v>
      </c>
      <c r="S30">
        <f>INDEX(Offense[],MATCH($B30,Offense[Team],0),MATCH(S$2,Offense[#Headers],0))</f>
        <v>22.2</v>
      </c>
      <c r="T30" s="3">
        <f>INDEX(Misc[],MATCH($B30,Misc[Team],0),MATCH(T$2,Misc[#Headers],0))</f>
        <v>0.51500000000000001</v>
      </c>
      <c r="U30" s="3">
        <f>INDEX(Misc[],MATCH($B30,Misc[Team],0),MATCH(U$2,Misc[#Headers],0))</f>
        <v>13.9</v>
      </c>
      <c r="V30" s="3">
        <f>INDEX(Misc[],MATCH($B30,Misc[Team],0),MATCH(V$2,Misc[#Headers],0))</f>
        <v>21.5</v>
      </c>
      <c r="W30" s="3">
        <f>INDEX(Misc[],MATCH($B30,Misc[Team],0),MATCH(W$2,Misc[#Headers],0))</f>
        <v>0.20399999999999999</v>
      </c>
      <c r="X30" s="3">
        <f>INDEX(Misc[],MATCH($B30,Misc[Team],0),MATCH(X$2,Misc[#Headers],0))</f>
        <v>-7.51</v>
      </c>
      <c r="Y30" s="3">
        <f>INDEX(Misc[],MATCH($B30,Misc[Team],0),MATCH(Y$2,Misc[#Headers],0))</f>
        <v>103</v>
      </c>
      <c r="Z30" s="3">
        <f>6-ROUND(INDEX(Offense[],MATCH($B30,Offense[Team],0),MATCH("Rk",Offense[#Headers],0))/6,0)</f>
        <v>5</v>
      </c>
      <c r="AA30" s="3">
        <f>OLook[[#This Row],[Pace]]-AVERAGE(OLook[Pace])</f>
        <v>2.7899999999999778</v>
      </c>
    </row>
    <row r="31" spans="2:30" x14ac:dyDescent="0.25">
      <c r="B31" t="s">
        <v>2050</v>
      </c>
      <c r="C31" t="s">
        <v>185</v>
      </c>
      <c r="D31" s="3">
        <f>INDEX(Misc[],MATCH($B31,Misc[Team],0),MATCH("ORTG",Misc[#Headers],0))</f>
        <v>108</v>
      </c>
      <c r="E31">
        <f>INDEX(Offense[],MATCH($B31,Offense[Team],0),MATCH(E$2,Offense[#Headers],0))</f>
        <v>65</v>
      </c>
      <c r="F31">
        <f>INDEX(Offense[],MATCH($B31,Offense[Team],0),MATCH(F$2,Offense[#Headers],0))</f>
        <v>15625</v>
      </c>
      <c r="G31">
        <f>INDEX(Offense[],MATCH($B31,Offense[Team],0),MATCH(G$2,Offense[#Headers],0))</f>
        <v>90.2</v>
      </c>
      <c r="H31">
        <f>INDEX(Offense[],MATCH($B31,Offense[Team],0),MATCH(H$2,Offense[#Headers],0))</f>
        <v>0.442</v>
      </c>
      <c r="I31">
        <f>INDEX(Offense[],MATCH($B31,Offense[Team],0),MATCH(I$2,Offense[#Headers],0))</f>
        <v>32.5</v>
      </c>
      <c r="J31">
        <f>INDEX(Offense[],MATCH($B31,Offense[Team],0),MATCH(J$2,Offense[#Headers],0))</f>
        <v>0.34100000000000003</v>
      </c>
      <c r="K31">
        <f>INDEX(Offense[],MATCH($B31,Offense[Team],0),MATCH(K$2,Offense[#Headers],0))</f>
        <v>22.4</v>
      </c>
      <c r="L31">
        <f>INDEX(Offense[],MATCH($B31,Offense[Team],0),MATCH(L$2,Offense[#Headers],0))</f>
        <v>0.77</v>
      </c>
      <c r="M31">
        <f>INDEX(Offense[],MATCH($B31,Offense[Team],0),MATCH(M$2,Offense[#Headers],0))</f>
        <v>10.5</v>
      </c>
      <c r="N31">
        <f>INDEX(Offense[],MATCH($B31,Offense[Team],0),MATCH(N$2,Offense[#Headers],0))</f>
        <v>34.700000000000003</v>
      </c>
      <c r="O31">
        <f>INDEX(Offense[],MATCH($B31,Offense[Team],0),MATCH(O$2,Offense[#Headers],0))</f>
        <v>24.4</v>
      </c>
      <c r="P31">
        <f>INDEX(Offense[],MATCH($B31,Offense[Team],0),MATCH(P$2,Offense[#Headers],0))</f>
        <v>8.5</v>
      </c>
      <c r="Q31">
        <f>INDEX(Offense[],MATCH($B31,Offense[Team],0),MATCH(Q$2,Offense[#Headers],0))</f>
        <v>5.8</v>
      </c>
      <c r="R31">
        <f>INDEX(Offense[],MATCH($B31,Offense[Team],0),MATCH(R$2,Offense[#Headers],0))</f>
        <v>12.8</v>
      </c>
      <c r="S31">
        <f>INDEX(Offense[],MATCH($B31,Offense[Team],0),MATCH(S$2,Offense[#Headers],0))</f>
        <v>17.899999999999999</v>
      </c>
      <c r="T31" s="3">
        <f>INDEX(Misc[],MATCH($B31,Misc[Team],0),MATCH(T$2,Misc[#Headers],0))</f>
        <v>0.503</v>
      </c>
      <c r="U31" s="3">
        <f>INDEX(Misc[],MATCH($B31,Misc[Team],0),MATCH(U$2,Misc[#Headers],0))</f>
        <v>11.4</v>
      </c>
      <c r="V31" s="3">
        <f>INDEX(Misc[],MATCH($B31,Misc[Team],0),MATCH(V$2,Misc[#Headers],0))</f>
        <v>22.4</v>
      </c>
      <c r="W31" s="3">
        <f>INDEX(Misc[],MATCH($B31,Misc[Team],0),MATCH(W$2,Misc[#Headers],0))</f>
        <v>0.191</v>
      </c>
      <c r="X31" s="3">
        <f>INDEX(Misc[],MATCH($B31,Misc[Team],0),MATCH(X$2,Misc[#Headers],0))</f>
        <v>-0.85</v>
      </c>
      <c r="Y31" s="3">
        <f>INDEX(Misc[],MATCH($B31,Misc[Team],0),MATCH(Y$2,Misc[#Headers],0))</f>
        <v>98.3</v>
      </c>
      <c r="Z31" s="3">
        <f>6-ROUND(INDEX(Offense[],MATCH($B31,Offense[Team],0),MATCH("Rk",Offense[#Headers],0))/6,0)</f>
        <v>1</v>
      </c>
      <c r="AA31" s="3">
        <f>OLook[[#This Row],[Pace]]-AVERAGE(OLook[Pace])</f>
        <v>-1.910000000000025</v>
      </c>
    </row>
    <row r="32" spans="2:30" x14ac:dyDescent="0.25">
      <c r="B32" t="s">
        <v>2051</v>
      </c>
      <c r="C32" t="s">
        <v>192</v>
      </c>
      <c r="D32" s="3">
        <f>INDEX(Misc[],MATCH($B32,Misc[Team],0),MATCH("ORTG",Misc[#Headers],0))</f>
        <v>111.9</v>
      </c>
      <c r="E32">
        <f>INDEX(Offense[],MATCH($B32,Offense[Team],0),MATCH(E$2,Offense[#Headers],0))</f>
        <v>63</v>
      </c>
      <c r="F32">
        <f>INDEX(Offense[],MATCH($B32,Offense[Team],0),MATCH(F$2,Offense[#Headers],0))</f>
        <v>15295</v>
      </c>
      <c r="G32">
        <f>INDEX(Offense[],MATCH($B32,Offense[Team],0),MATCH(G$2,Offense[#Headers],0))</f>
        <v>88.5</v>
      </c>
      <c r="H32">
        <f>INDEX(Offense[],MATCH($B32,Offense[Team],0),MATCH(H$2,Offense[#Headers],0))</f>
        <v>0.47</v>
      </c>
      <c r="I32">
        <f>INDEX(Offense[],MATCH($B32,Offense[Team],0),MATCH(I$2,Offense[#Headers],0))</f>
        <v>28.4</v>
      </c>
      <c r="J32">
        <f>INDEX(Offense[],MATCH($B32,Offense[Team],0),MATCH(J$2,Offense[#Headers],0))</f>
        <v>0.371</v>
      </c>
      <c r="K32">
        <f>INDEX(Offense[],MATCH($B32,Offense[Team],0),MATCH(K$2,Offense[#Headers],0))</f>
        <v>22.5</v>
      </c>
      <c r="L32">
        <f>INDEX(Offense[],MATCH($B32,Offense[Team],0),MATCH(L$2,Offense[#Headers],0))</f>
        <v>0.80900000000000005</v>
      </c>
      <c r="M32">
        <f>INDEX(Offense[],MATCH($B32,Offense[Team],0),MATCH(M$2,Offense[#Headers],0))</f>
        <v>8.6999999999999993</v>
      </c>
      <c r="N32">
        <f>INDEX(Offense[],MATCH($B32,Offense[Team],0),MATCH(N$2,Offense[#Headers],0))</f>
        <v>35.200000000000003</v>
      </c>
      <c r="O32">
        <f>INDEX(Offense[],MATCH($B32,Offense[Team],0),MATCH(O$2,Offense[#Headers],0))</f>
        <v>24.3</v>
      </c>
      <c r="P32">
        <f>INDEX(Offense[],MATCH($B32,Offense[Team],0),MATCH(P$2,Offense[#Headers],0))</f>
        <v>7.1</v>
      </c>
      <c r="Q32">
        <f>INDEX(Offense[],MATCH($B32,Offense[Team],0),MATCH(Q$2,Offense[#Headers],0))</f>
        <v>5.4</v>
      </c>
      <c r="R32">
        <f>INDEX(Offense[],MATCH($B32,Offense[Team],0),MATCH(R$2,Offense[#Headers],0))</f>
        <v>12.1</v>
      </c>
      <c r="S32">
        <f>INDEX(Offense[],MATCH($B32,Offense[Team],0),MATCH(S$2,Offense[#Headers],0))</f>
        <v>19</v>
      </c>
      <c r="T32" s="3">
        <f>INDEX(Misc[],MATCH($B32,Misc[Team],0),MATCH(T$2,Misc[#Headers],0))</f>
        <v>0.52900000000000003</v>
      </c>
      <c r="U32" s="3">
        <f>INDEX(Misc[],MATCH($B32,Misc[Team],0),MATCH(U$2,Misc[#Headers],0))</f>
        <v>11</v>
      </c>
      <c r="V32" s="3">
        <f>INDEX(Misc[],MATCH($B32,Misc[Team],0),MATCH(V$2,Misc[#Headers],0))</f>
        <v>19.5</v>
      </c>
      <c r="W32" s="3">
        <f>INDEX(Misc[],MATCH($B32,Misc[Team],0),MATCH(W$2,Misc[#Headers],0))</f>
        <v>0.20599999999999999</v>
      </c>
      <c r="X32" s="3">
        <f>INDEX(Misc[],MATCH($B32,Misc[Team],0),MATCH(X$2,Misc[#Headers],0))</f>
        <v>-1.21</v>
      </c>
      <c r="Y32" s="3">
        <f>INDEX(Misc[],MATCH($B32,Misc[Team],0),MATCH(Y$2,Misc[#Headers],0))</f>
        <v>100</v>
      </c>
      <c r="Z32" s="3">
        <f>6-ROUND(INDEX(Offense[],MATCH($B32,Offense[Team],0),MATCH("Rk",Offense[#Headers],0))/6,0)</f>
        <v>3</v>
      </c>
      <c r="AA32" s="3">
        <f>OLook[[#This Row],[Pace]]-AVERAGE(OLook[Pace])</f>
        <v>-0.21000000000002217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A32"/>
  <sheetViews>
    <sheetView workbookViewId="0">
      <selection activeCell="B3" sqref="B3:B32"/>
    </sheetView>
  </sheetViews>
  <sheetFormatPr defaultRowHeight="15" x14ac:dyDescent="0.25"/>
  <cols>
    <col min="2" max="2" width="9.5703125" customWidth="1"/>
    <col min="20" max="20" width="27.140625" customWidth="1"/>
    <col min="21" max="21" width="27.42578125" customWidth="1"/>
    <col min="22" max="22" width="27.28515625" customWidth="1"/>
    <col min="23" max="23" width="28.5703125" customWidth="1"/>
  </cols>
  <sheetData>
    <row r="1" spans="2:53" x14ac:dyDescent="0.25">
      <c r="G1" s="5">
        <v>2</v>
      </c>
      <c r="H1" s="5">
        <v>3</v>
      </c>
      <c r="I1" s="5">
        <v>5</v>
      </c>
      <c r="J1" s="5">
        <v>6</v>
      </c>
      <c r="K1" s="5">
        <v>11</v>
      </c>
      <c r="L1" s="5">
        <v>12</v>
      </c>
      <c r="M1" s="5">
        <v>13</v>
      </c>
      <c r="N1" s="5">
        <v>14</v>
      </c>
      <c r="O1" s="5">
        <v>16</v>
      </c>
      <c r="P1" s="5">
        <v>17</v>
      </c>
      <c r="Q1" s="5">
        <v>18</v>
      </c>
      <c r="R1" s="5">
        <v>19</v>
      </c>
      <c r="S1" s="5">
        <v>20</v>
      </c>
      <c r="T1" s="5">
        <v>21</v>
      </c>
      <c r="U1" s="5">
        <v>22</v>
      </c>
      <c r="V1" s="5">
        <v>23</v>
      </c>
      <c r="W1" s="5">
        <v>24</v>
      </c>
    </row>
    <row r="2" spans="2:53" x14ac:dyDescent="0.25">
      <c r="B2" t="s">
        <v>203</v>
      </c>
      <c r="C2" t="s">
        <v>1</v>
      </c>
      <c r="D2" t="s">
        <v>193</v>
      </c>
      <c r="E2" t="s">
        <v>2</v>
      </c>
      <c r="F2" t="s">
        <v>3</v>
      </c>
      <c r="G2" t="s">
        <v>5</v>
      </c>
      <c r="H2" t="s">
        <v>6</v>
      </c>
      <c r="I2" t="s">
        <v>8</v>
      </c>
      <c r="J2" t="s">
        <v>9</v>
      </c>
      <c r="K2" t="s">
        <v>14</v>
      </c>
      <c r="L2" t="s">
        <v>15</v>
      </c>
      <c r="M2" t="s">
        <v>16</v>
      </c>
      <c r="N2" t="s">
        <v>17</v>
      </c>
      <c r="O2" t="s">
        <v>19</v>
      </c>
      <c r="P2" t="s">
        <v>20</v>
      </c>
      <c r="Q2" t="s">
        <v>21</v>
      </c>
      <c r="R2" t="s">
        <v>22</v>
      </c>
      <c r="S2" t="s">
        <v>23</v>
      </c>
      <c r="T2" t="s">
        <v>74</v>
      </c>
      <c r="U2" t="s">
        <v>75</v>
      </c>
      <c r="V2" t="s">
        <v>76</v>
      </c>
      <c r="W2" t="s">
        <v>77</v>
      </c>
      <c r="X2" t="s">
        <v>205</v>
      </c>
      <c r="AB2">
        <v>17</v>
      </c>
      <c r="AC2">
        <f>AB2-1</f>
        <v>16</v>
      </c>
      <c r="AD2">
        <f t="shared" ref="AD2:AY2" si="0">AC2-1</f>
        <v>15</v>
      </c>
      <c r="AE2">
        <f t="shared" si="0"/>
        <v>14</v>
      </c>
      <c r="AF2">
        <f t="shared" si="0"/>
        <v>13</v>
      </c>
      <c r="AG2">
        <f t="shared" si="0"/>
        <v>12</v>
      </c>
      <c r="AH2">
        <f t="shared" si="0"/>
        <v>11</v>
      </c>
      <c r="AI2">
        <f t="shared" si="0"/>
        <v>10</v>
      </c>
      <c r="AJ2">
        <f t="shared" si="0"/>
        <v>9</v>
      </c>
      <c r="AK2">
        <f t="shared" si="0"/>
        <v>8</v>
      </c>
      <c r="AL2">
        <f t="shared" si="0"/>
        <v>7</v>
      </c>
      <c r="AM2">
        <f t="shared" si="0"/>
        <v>6</v>
      </c>
      <c r="AN2">
        <f t="shared" si="0"/>
        <v>5</v>
      </c>
      <c r="AO2">
        <f t="shared" si="0"/>
        <v>4</v>
      </c>
      <c r="AP2">
        <f t="shared" si="0"/>
        <v>3</v>
      </c>
      <c r="AQ2">
        <f>AP2-1</f>
        <v>2</v>
      </c>
      <c r="AR2">
        <f t="shared" si="0"/>
        <v>1</v>
      </c>
      <c r="AS2">
        <f t="shared" si="0"/>
        <v>0</v>
      </c>
      <c r="AT2">
        <f t="shared" si="0"/>
        <v>-1</v>
      </c>
      <c r="AU2">
        <f t="shared" si="0"/>
        <v>-2</v>
      </c>
      <c r="AV2">
        <f t="shared" si="0"/>
        <v>-3</v>
      </c>
      <c r="AW2">
        <f t="shared" si="0"/>
        <v>-4</v>
      </c>
      <c r="AX2">
        <f t="shared" si="0"/>
        <v>-5</v>
      </c>
      <c r="AY2">
        <f t="shared" si="0"/>
        <v>-6</v>
      </c>
      <c r="AZ2">
        <f>AY2-1</f>
        <v>-7</v>
      </c>
    </row>
    <row r="3" spans="2:53" x14ac:dyDescent="0.25">
      <c r="B3" t="s">
        <v>2025</v>
      </c>
      <c r="C3" t="s">
        <v>186</v>
      </c>
      <c r="D3">
        <f>INDEX(Misc[],MATCH($B3,Misc[Team],0),MATCH("DRTG",Misc[#Headers],0))</f>
        <v>107.2</v>
      </c>
      <c r="E3">
        <f>INDEX(Defense[],MATCH($B3,Defense[Team],0),MATCH(E$2,Defense[#Headers],0))</f>
        <v>64</v>
      </c>
      <c r="F3">
        <f>INDEX(Defense[],MATCH($B3,Defense[Team],0),MATCH(F$2,Defense[#Headers],0))</f>
        <v>15435</v>
      </c>
      <c r="G3">
        <f>INDEX(Defense[],MATCH($B3,Defense[Team],0),MATCH(G$2,Defense[#Headers],0))</f>
        <v>88.2</v>
      </c>
      <c r="H3">
        <f>INDEX(Defense[],MATCH($B3,Defense[Team],0),MATCH(H$2,Defense[#Headers],0))</f>
        <v>0.436</v>
      </c>
      <c r="I3">
        <f>INDEX(Defense[],MATCH($B3,Defense[Team],0),MATCH(I$2,Defense[#Headers],0))</f>
        <v>34.4</v>
      </c>
      <c r="J3">
        <f>INDEX(Defense[],MATCH($B3,Defense[Team],0),MATCH(J$2,Defense[#Headers],0))</f>
        <v>0.34100000000000003</v>
      </c>
      <c r="K3">
        <f>INDEX(Defense[],MATCH($B3,Defense[Team],0),MATCH(K$2,Defense[#Headers],0))</f>
        <v>24.3</v>
      </c>
      <c r="L3">
        <f>INDEX(Defense[],MATCH($B3,Defense[Team],0),MATCH(L$2,Defense[#Headers],0))</f>
        <v>0.76200000000000001</v>
      </c>
      <c r="M3">
        <f>INDEX(Defense[],MATCH($B3,Defense[Team],0),MATCH(M$2,Defense[#Headers],0))</f>
        <v>10.6</v>
      </c>
      <c r="N3">
        <f>INDEX(Defense[],MATCH($B3,Defense[Team],0),MATCH(N$2,Defense[#Headers],0))</f>
        <v>33.799999999999997</v>
      </c>
      <c r="O3">
        <f>INDEX(Defense[],MATCH($B3,Defense[Team],0),MATCH(O$2,Defense[#Headers],0))</f>
        <v>23</v>
      </c>
      <c r="P3">
        <f>INDEX(Defense[],MATCH($B3,Defense[Team],0),MATCH(P$2,Defense[#Headers],0))</f>
        <v>7.7</v>
      </c>
      <c r="Q3">
        <f>INDEX(Defense[],MATCH($B3,Defense[Team],0),MATCH(Q$2,Defense[#Headers],0))</f>
        <v>4.8</v>
      </c>
      <c r="R3">
        <f>INDEX(Defense[],MATCH($B3,Defense[Team],0),MATCH(R$2,Defense[#Headers],0))</f>
        <v>13.9</v>
      </c>
      <c r="S3">
        <f>INDEX(Defense[],MATCH($B3,Defense[Team],0),MATCH(S$2,Defense[#Headers],0))</f>
        <v>22.3</v>
      </c>
      <c r="T3" s="3">
        <f>INDEX(Misc[],MATCH($B3,Misc[Team],0),MATCH(T$2,Misc[#Headers],0))</f>
        <v>0.503</v>
      </c>
      <c r="U3" s="3">
        <f>INDEX(Misc[],MATCH($B3,Misc[Team],0),MATCH(U$2,Misc[#Headers],0))</f>
        <v>12.3</v>
      </c>
      <c r="V3" s="3">
        <f>INDEX(Misc[],MATCH($B3,Misc[Team],0),MATCH(V$2,Misc[#Headers],0))</f>
        <v>77.3</v>
      </c>
      <c r="W3" s="3">
        <f>INDEX(Misc[],MATCH($B3,Misc[Team],0),MATCH(W$2,Misc[#Headers],0))</f>
        <v>0.21</v>
      </c>
      <c r="X3" s="3">
        <f>6-ROUND(INDEX(Defense[],MATCH($B3,Defense[Team],0),MATCH("Rk",Defense[#Headers],0))/6,0)</f>
        <v>4</v>
      </c>
      <c r="AB3" t="str">
        <f t="shared" ref="AB3:AR3" si="1">INDEX($G$1:$W$2,2,AB2)</f>
        <v>Defense Four Factors FT/FGA</v>
      </c>
      <c r="AC3" t="str">
        <f t="shared" si="1"/>
        <v>Defense Four Factors DRB%</v>
      </c>
      <c r="AD3" t="str">
        <f t="shared" si="1"/>
        <v>Defense Four Factors TOV%</v>
      </c>
      <c r="AE3" t="str">
        <f t="shared" si="1"/>
        <v>Defense Four Factors eFG%</v>
      </c>
      <c r="AF3" t="str">
        <f t="shared" si="1"/>
        <v>PF</v>
      </c>
      <c r="AG3" t="str">
        <f t="shared" si="1"/>
        <v>TOV</v>
      </c>
      <c r="AH3" t="str">
        <f t="shared" si="1"/>
        <v>BLK</v>
      </c>
      <c r="AI3" t="str">
        <f t="shared" si="1"/>
        <v>STL</v>
      </c>
      <c r="AJ3" t="str">
        <f t="shared" si="1"/>
        <v>AST</v>
      </c>
      <c r="AK3" t="str">
        <f t="shared" si="1"/>
        <v>DRB</v>
      </c>
      <c r="AL3" t="str">
        <f t="shared" si="1"/>
        <v>ORB</v>
      </c>
      <c r="AM3" t="str">
        <f t="shared" si="1"/>
        <v>FT%</v>
      </c>
      <c r="AN3" t="str">
        <f t="shared" si="1"/>
        <v>FTA</v>
      </c>
      <c r="AO3" t="str">
        <f t="shared" si="1"/>
        <v>3P%</v>
      </c>
      <c r="AP3" t="str">
        <f t="shared" si="1"/>
        <v>3PA</v>
      </c>
      <c r="AQ3" t="str">
        <f t="shared" si="1"/>
        <v>FG%</v>
      </c>
      <c r="AR3" t="str">
        <f t="shared" si="1"/>
        <v>FGA</v>
      </c>
      <c r="AS3" t="s">
        <v>200</v>
      </c>
      <c r="AT3" t="e">
        <f t="shared" ref="AT3:AY3" si="2">INDEX($G$1:$W$2,2,AT2)</f>
        <v>#VALUE!</v>
      </c>
      <c r="AU3" t="e">
        <f t="shared" si="2"/>
        <v>#VALUE!</v>
      </c>
      <c r="AV3" t="e">
        <f t="shared" si="2"/>
        <v>#VALUE!</v>
      </c>
      <c r="AW3" t="e">
        <f t="shared" si="2"/>
        <v>#VALUE!</v>
      </c>
      <c r="AX3" t="e">
        <f t="shared" si="2"/>
        <v>#VALUE!</v>
      </c>
      <c r="AY3" t="e">
        <f t="shared" si="2"/>
        <v>#VALUE!</v>
      </c>
      <c r="AZ3" t="s">
        <v>200</v>
      </c>
      <c r="BA3" t="s">
        <v>200</v>
      </c>
    </row>
    <row r="4" spans="2:53" x14ac:dyDescent="0.25">
      <c r="B4" t="s">
        <v>2026</v>
      </c>
      <c r="C4" t="s">
        <v>163</v>
      </c>
      <c r="D4" s="3">
        <f>INDEX(Misc[],MATCH($B4,Misc[Team],0),MATCH("DRTG",Misc[#Headers],0))</f>
        <v>111.8</v>
      </c>
      <c r="E4">
        <f>INDEX(Defense[],MATCH($B4,Defense[Team],0),MATCH(E$2,Defense[#Headers],0))</f>
        <v>65</v>
      </c>
      <c r="F4">
        <f>INDEX(Defense[],MATCH($B4,Defense[Team],0),MATCH(F$2,Defense[#Headers],0))</f>
        <v>15675</v>
      </c>
      <c r="G4">
        <f>INDEX(Defense[],MATCH($B4,Defense[Team],0),MATCH(G$2,Defense[#Headers],0))</f>
        <v>85.6</v>
      </c>
      <c r="H4">
        <f>INDEX(Defense[],MATCH($B4,Defense[Team],0),MATCH(H$2,Defense[#Headers],0))</f>
        <v>0.47499999999999998</v>
      </c>
      <c r="I4">
        <f>INDEX(Defense[],MATCH($B4,Defense[Team],0),MATCH(I$2,Defense[#Headers],0))</f>
        <v>31.6</v>
      </c>
      <c r="J4">
        <f>INDEX(Defense[],MATCH($B4,Defense[Team],0),MATCH(J$2,Defense[#Headers],0))</f>
        <v>0.36799999999999999</v>
      </c>
      <c r="K4">
        <f>INDEX(Defense[],MATCH($B4,Defense[Team],0),MATCH(K$2,Defense[#Headers],0))</f>
        <v>24.2</v>
      </c>
      <c r="L4">
        <f>INDEX(Defense[],MATCH($B4,Defense[Team],0),MATCH(L$2,Defense[#Headers],0))</f>
        <v>0.78100000000000003</v>
      </c>
      <c r="M4">
        <f>INDEX(Defense[],MATCH($B4,Defense[Team],0),MATCH(M$2,Defense[#Headers],0))</f>
        <v>9.1</v>
      </c>
      <c r="N4">
        <f>INDEX(Defense[],MATCH($B4,Defense[Team],0),MATCH(N$2,Defense[#Headers],0))</f>
        <v>33.799999999999997</v>
      </c>
      <c r="O4">
        <f>INDEX(Defense[],MATCH($B4,Defense[Team],0),MATCH(O$2,Defense[#Headers],0))</f>
        <v>23.3</v>
      </c>
      <c r="P4">
        <f>INDEX(Defense[],MATCH($B4,Defense[Team],0),MATCH(P$2,Defense[#Headers],0))</f>
        <v>8</v>
      </c>
      <c r="Q4">
        <f>INDEX(Defense[],MATCH($B4,Defense[Team],0),MATCH(Q$2,Defense[#Headers],0))</f>
        <v>5.5</v>
      </c>
      <c r="R4">
        <f>INDEX(Defense[],MATCH($B4,Defense[Team],0),MATCH(R$2,Defense[#Headers],0))</f>
        <v>15.7</v>
      </c>
      <c r="S4">
        <f>INDEX(Defense[],MATCH($B4,Defense[Team],0),MATCH(S$2,Defense[#Headers],0))</f>
        <v>22.4</v>
      </c>
      <c r="T4" s="3">
        <f>INDEX(Misc[],MATCH($B4,Misc[Team],0),MATCH(T$2,Misc[#Headers],0))</f>
        <v>0.54300000000000004</v>
      </c>
      <c r="U4" s="3">
        <f>INDEX(Misc[],MATCH($B4,Misc[Team],0),MATCH(U$2,Misc[#Headers],0))</f>
        <v>14</v>
      </c>
      <c r="V4" s="3">
        <f>INDEX(Misc[],MATCH($B4,Misc[Team],0),MATCH(V$2,Misc[#Headers],0))</f>
        <v>78.3</v>
      </c>
      <c r="W4" s="3">
        <f>INDEX(Misc[],MATCH($B4,Misc[Team],0),MATCH(W$2,Misc[#Headers],0))</f>
        <v>0.221</v>
      </c>
      <c r="X4" s="3">
        <f>6-ROUND(INDEX(Defense[],MATCH($B4,Defense[Team],0),MATCH("Rk",Defense[#Headers],0))/6,0)</f>
        <v>2</v>
      </c>
      <c r="AB4">
        <f t="array" ref="AB4:AS8">LINEST(D3:D32,$G$3:$W$32,1,1)</f>
        <v>-13.759669623776899</v>
      </c>
      <c r="AC4">
        <v>0.10198746342122103</v>
      </c>
      <c r="AD4">
        <v>0.15454953937048871</v>
      </c>
      <c r="AE4">
        <v>160.75587555196628</v>
      </c>
      <c r="AF4">
        <v>-8.5450857094943424E-4</v>
      </c>
      <c r="AG4">
        <v>3.4820867870809513E-2</v>
      </c>
      <c r="AH4">
        <v>1.5770727592026978E-2</v>
      </c>
      <c r="AI4">
        <v>2.2130116153199469E-2</v>
      </c>
      <c r="AJ4">
        <v>3.3980730825493605E-2</v>
      </c>
      <c r="AK4">
        <v>4.3643719755598418E-3</v>
      </c>
      <c r="AL4">
        <v>4.3333160259283868E-2</v>
      </c>
      <c r="AM4">
        <v>24.899423599851655</v>
      </c>
      <c r="AN4">
        <v>0.96847375256109303</v>
      </c>
      <c r="AO4">
        <v>0.82665533501354516</v>
      </c>
      <c r="AP4">
        <v>3.8108594084794688E-2</v>
      </c>
      <c r="AQ4">
        <v>20.37695032952751</v>
      </c>
      <c r="AR4">
        <v>1.1881973445510248</v>
      </c>
      <c r="AS4">
        <v>-140.43646301959095</v>
      </c>
    </row>
    <row r="5" spans="2:53" x14ac:dyDescent="0.25">
      <c r="B5" t="s">
        <v>2007</v>
      </c>
      <c r="C5" t="s">
        <v>164</v>
      </c>
      <c r="D5" s="3">
        <f>INDEX(Misc[],MATCH($B5,Misc[Team],0),MATCH("DRTG",Misc[#Headers],0))</f>
        <v>105.2</v>
      </c>
      <c r="E5">
        <f>INDEX(Defense[],MATCH($B5,Defense[Team],0),MATCH(E$2,Defense[#Headers],0))</f>
        <v>64</v>
      </c>
      <c r="F5">
        <f>INDEX(Defense[],MATCH($B5,Defense[Team],0),MATCH(F$2,Defense[#Headers],0))</f>
        <v>15460</v>
      </c>
      <c r="G5">
        <f>INDEX(Defense[],MATCH($B5,Defense[Team],0),MATCH(G$2,Defense[#Headers],0))</f>
        <v>87.4</v>
      </c>
      <c r="H5">
        <f>INDEX(Defense[],MATCH($B5,Defense[Team],0),MATCH(H$2,Defense[#Headers],0))</f>
        <v>0.42899999999999999</v>
      </c>
      <c r="I5">
        <f>INDEX(Defense[],MATCH($B5,Defense[Team],0),MATCH(I$2,Defense[#Headers],0))</f>
        <v>38</v>
      </c>
      <c r="J5">
        <f>INDEX(Defense[],MATCH($B5,Defense[Team],0),MATCH(J$2,Defense[#Headers],0))</f>
        <v>0.33700000000000002</v>
      </c>
      <c r="K5">
        <f>INDEX(Defense[],MATCH($B5,Defense[Team],0),MATCH(K$2,Defense[#Headers],0))</f>
        <v>22.7</v>
      </c>
      <c r="L5">
        <f>INDEX(Defense[],MATCH($B5,Defense[Team],0),MATCH(L$2,Defense[#Headers],0))</f>
        <v>0.76800000000000002</v>
      </c>
      <c r="M5">
        <f>INDEX(Defense[],MATCH($B5,Defense[Team],0),MATCH(M$2,Defense[#Headers],0))</f>
        <v>11</v>
      </c>
      <c r="N5">
        <f>INDEX(Defense[],MATCH($B5,Defense[Team],0),MATCH(N$2,Defense[#Headers],0))</f>
        <v>34.700000000000003</v>
      </c>
      <c r="O5">
        <f>INDEX(Defense[],MATCH($B5,Defense[Team],0),MATCH(O$2,Defense[#Headers],0))</f>
        <v>25.3</v>
      </c>
      <c r="P5">
        <f>INDEX(Defense[],MATCH($B5,Defense[Team],0),MATCH(P$2,Defense[#Headers],0))</f>
        <v>7</v>
      </c>
      <c r="Q5">
        <f>INDEX(Defense[],MATCH($B5,Defense[Team],0),MATCH(Q$2,Defense[#Headers],0))</f>
        <v>5.2</v>
      </c>
      <c r="R5">
        <f>INDEX(Defense[],MATCH($B5,Defense[Team],0),MATCH(R$2,Defense[#Headers],0))</f>
        <v>16.600000000000001</v>
      </c>
      <c r="S5">
        <f>INDEX(Defense[],MATCH($B5,Defense[Team],0),MATCH(S$2,Defense[#Headers],0))</f>
        <v>19.7</v>
      </c>
      <c r="T5" s="3">
        <f>INDEX(Misc[],MATCH($B5,Misc[Team],0),MATCH(T$2,Misc[#Headers],0))</f>
        <v>0.502</v>
      </c>
      <c r="U5" s="3">
        <f>INDEX(Misc[],MATCH($B5,Misc[Team],0),MATCH(U$2,Misc[#Headers],0))</f>
        <v>14.6</v>
      </c>
      <c r="V5" s="3">
        <f>INDEX(Misc[],MATCH($B5,Misc[Team],0),MATCH(V$2,Misc[#Headers],0))</f>
        <v>76.099999999999994</v>
      </c>
      <c r="W5" s="3">
        <f>INDEX(Misc[],MATCH($B5,Misc[Team],0),MATCH(W$2,Misc[#Headers],0))</f>
        <v>0.2</v>
      </c>
      <c r="X5" s="3">
        <f>6-ROUND(INDEX(Defense[],MATCH($B5,Defense[Team],0),MATCH("Rk",Defense[#Headers],0))/6,0)</f>
        <v>6</v>
      </c>
      <c r="AB5">
        <v>56.986735200393895</v>
      </c>
      <c r="AC5">
        <v>0.19082339479550969</v>
      </c>
      <c r="AD5">
        <v>0.82943314486360953</v>
      </c>
      <c r="AE5">
        <v>75.975272047333931</v>
      </c>
      <c r="AF5">
        <v>2.5899670204799569E-2</v>
      </c>
      <c r="AG5">
        <v>0.65143934081105859</v>
      </c>
      <c r="AH5">
        <v>6.1571664964201057E-2</v>
      </c>
      <c r="AI5">
        <v>6.0949966745938104E-2</v>
      </c>
      <c r="AJ5">
        <v>4.6543773118954919E-2</v>
      </c>
      <c r="AK5">
        <v>3.3607966360804223E-2</v>
      </c>
      <c r="AL5">
        <v>0.36551595007067927</v>
      </c>
      <c r="AM5">
        <v>15.177516133388442</v>
      </c>
      <c r="AN5">
        <v>0.53063187195212891</v>
      </c>
      <c r="AO5">
        <v>14.514425737548409</v>
      </c>
      <c r="AP5">
        <v>0.15780965042527259</v>
      </c>
      <c r="AQ5">
        <v>80.920522199698794</v>
      </c>
      <c r="AR5">
        <v>0.1810501593270496</v>
      </c>
      <c r="AS5">
        <v>34.005851961819488</v>
      </c>
    </row>
    <row r="6" spans="2:53" x14ac:dyDescent="0.25">
      <c r="B6" t="s">
        <v>2027</v>
      </c>
      <c r="C6" t="s">
        <v>165</v>
      </c>
      <c r="D6" s="3">
        <f>INDEX(Misc[],MATCH($B6,Misc[Team],0),MATCH("DRTG",Misc[#Headers],0))</f>
        <v>114.1</v>
      </c>
      <c r="E6">
        <f>INDEX(Defense[],MATCH($B6,Defense[Team],0),MATCH(E$2,Defense[#Headers],0))</f>
        <v>66</v>
      </c>
      <c r="F6">
        <f>INDEX(Defense[],MATCH($B6,Defense[Team],0),MATCH(F$2,Defense[#Headers],0))</f>
        <v>15890</v>
      </c>
      <c r="G6">
        <f>INDEX(Defense[],MATCH($B6,Defense[Team],0),MATCH(G$2,Defense[#Headers],0))</f>
        <v>91.2</v>
      </c>
      <c r="H6">
        <f>INDEX(Defense[],MATCH($B6,Defense[Team],0),MATCH(H$2,Defense[#Headers],0))</f>
        <v>0.45100000000000001</v>
      </c>
      <c r="I6">
        <f>INDEX(Defense[],MATCH($B6,Defense[Team],0),MATCH(I$2,Defense[#Headers],0))</f>
        <v>34.9</v>
      </c>
      <c r="J6">
        <f>INDEX(Defense[],MATCH($B6,Defense[Team],0),MATCH(J$2,Defense[#Headers],0))</f>
        <v>0.377</v>
      </c>
      <c r="K6">
        <f>INDEX(Defense[],MATCH($B6,Defense[Team],0),MATCH(K$2,Defense[#Headers],0))</f>
        <v>24.1</v>
      </c>
      <c r="L6">
        <f>INDEX(Defense[],MATCH($B6,Defense[Team],0),MATCH(L$2,Defense[#Headers],0))</f>
        <v>0.77300000000000002</v>
      </c>
      <c r="M6">
        <f>INDEX(Defense[],MATCH($B6,Defense[Team],0),MATCH(M$2,Defense[#Headers],0))</f>
        <v>11.7</v>
      </c>
      <c r="N6">
        <f>INDEX(Defense[],MATCH($B6,Defense[Team],0),MATCH(N$2,Defense[#Headers],0))</f>
        <v>35.299999999999997</v>
      </c>
      <c r="O6">
        <f>INDEX(Defense[],MATCH($B6,Defense[Team],0),MATCH(O$2,Defense[#Headers],0))</f>
        <v>24.5</v>
      </c>
      <c r="P6">
        <f>INDEX(Defense[],MATCH($B6,Defense[Team],0),MATCH(P$2,Defense[#Headers],0))</f>
        <v>6.8</v>
      </c>
      <c r="Q6">
        <f>INDEX(Defense[],MATCH($B6,Defense[Team],0),MATCH(Q$2,Defense[#Headers],0))</f>
        <v>5</v>
      </c>
      <c r="R6">
        <f>INDEX(Defense[],MATCH($B6,Defense[Team],0),MATCH(R$2,Defense[#Headers],0))</f>
        <v>12.6</v>
      </c>
      <c r="S6">
        <f>INDEX(Defense[],MATCH($B6,Defense[Team],0),MATCH(S$2,Defense[#Headers],0))</f>
        <v>19.5</v>
      </c>
      <c r="T6" s="3">
        <f>INDEX(Misc[],MATCH($B6,Misc[Team],0),MATCH(T$2,Misc[#Headers],0))</f>
        <v>0.52300000000000002</v>
      </c>
      <c r="U6" s="3">
        <f>INDEX(Misc[],MATCH($B6,Misc[Team],0),MATCH(U$2,Misc[#Headers],0))</f>
        <v>11</v>
      </c>
      <c r="V6" s="3">
        <f>INDEX(Misc[],MATCH($B6,Misc[Team],0),MATCH(V$2,Misc[#Headers],0))</f>
        <v>75</v>
      </c>
      <c r="W6" s="3">
        <f>INDEX(Misc[],MATCH($B6,Misc[Team],0),MATCH(W$2,Misc[#Headers],0))</f>
        <v>0.20399999999999999</v>
      </c>
      <c r="X6" s="3">
        <f>6-ROUND(INDEX(Defense[],MATCH($B6,Defense[Team],0),MATCH("Rk",Defense[#Headers],0))/6,0)</f>
        <v>1</v>
      </c>
      <c r="AB6">
        <v>0.99957942532480215</v>
      </c>
      <c r="AC6">
        <v>0.10290698883709015</v>
      </c>
      <c r="AD6" t="e">
        <v>#N/A</v>
      </c>
      <c r="AE6" t="e">
        <v>#N/A</v>
      </c>
      <c r="AF6" t="e">
        <v>#N/A</v>
      </c>
      <c r="AG6" t="e">
        <v>#N/A</v>
      </c>
      <c r="AH6" t="e">
        <v>#N/A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e">
        <v>#N/A</v>
      </c>
      <c r="AR6" t="e">
        <v>#N/A</v>
      </c>
      <c r="AS6" t="e">
        <v>#N/A</v>
      </c>
    </row>
    <row r="7" spans="2:53" x14ac:dyDescent="0.25">
      <c r="B7" t="s">
        <v>2028</v>
      </c>
      <c r="C7" t="s">
        <v>166</v>
      </c>
      <c r="D7" s="3">
        <f>INDEX(Misc[],MATCH($B7,Misc[Team],0),MATCH("DRTG",Misc[#Headers],0))</f>
        <v>113.4</v>
      </c>
      <c r="E7">
        <f>INDEX(Defense[],MATCH($B7,Defense[Team],0),MATCH(E$2,Defense[#Headers],0))</f>
        <v>64</v>
      </c>
      <c r="F7">
        <f>INDEX(Defense[],MATCH($B7,Defense[Team],0),MATCH(F$2,Defense[#Headers],0))</f>
        <v>15510</v>
      </c>
      <c r="G7">
        <f>INDEX(Defense[],MATCH($B7,Defense[Team],0),MATCH(G$2,Defense[#Headers],0))</f>
        <v>90.4</v>
      </c>
      <c r="H7">
        <f>INDEX(Defense[],MATCH($B7,Defense[Team],0),MATCH(H$2,Defense[#Headers],0))</f>
        <v>0.47599999999999998</v>
      </c>
      <c r="I7">
        <f>INDEX(Defense[],MATCH($B7,Defense[Team],0),MATCH(I$2,Defense[#Headers],0))</f>
        <v>36.1</v>
      </c>
      <c r="J7">
        <f>INDEX(Defense[],MATCH($B7,Defense[Team],0),MATCH(J$2,Defense[#Headers],0))</f>
        <v>0.35299999999999998</v>
      </c>
      <c r="K7">
        <f>INDEX(Defense[],MATCH($B7,Defense[Team],0),MATCH(K$2,Defense[#Headers],0))</f>
        <v>19.2</v>
      </c>
      <c r="L7">
        <f>INDEX(Defense[],MATCH($B7,Defense[Team],0),MATCH(L$2,Defense[#Headers],0))</f>
        <v>0.75700000000000001</v>
      </c>
      <c r="M7">
        <f>INDEX(Defense[],MATCH($B7,Defense[Team],0),MATCH(M$2,Defense[#Headers],0))</f>
        <v>11.3</v>
      </c>
      <c r="N7">
        <f>INDEX(Defense[],MATCH($B7,Defense[Team],0),MATCH(N$2,Defense[#Headers],0))</f>
        <v>36.299999999999997</v>
      </c>
      <c r="O7">
        <f>INDEX(Defense[],MATCH($B7,Defense[Team],0),MATCH(O$2,Defense[#Headers],0))</f>
        <v>27.4</v>
      </c>
      <c r="P7">
        <f>INDEX(Defense[],MATCH($B7,Defense[Team],0),MATCH(P$2,Defense[#Headers],0))</f>
        <v>8.3000000000000007</v>
      </c>
      <c r="Q7">
        <f>INDEX(Defense[],MATCH($B7,Defense[Team],0),MATCH(Q$2,Defense[#Headers],0))</f>
        <v>5.2</v>
      </c>
      <c r="R7">
        <f>INDEX(Defense[],MATCH($B7,Defense[Team],0),MATCH(R$2,Defense[#Headers],0))</f>
        <v>14.9</v>
      </c>
      <c r="S7">
        <f>INDEX(Defense[],MATCH($B7,Defense[Team],0),MATCH(S$2,Defense[#Headers],0))</f>
        <v>21.3</v>
      </c>
      <c r="T7" s="3">
        <f>INDEX(Misc[],MATCH($B7,Misc[Team],0),MATCH(T$2,Misc[#Headers],0))</f>
        <v>0.54600000000000004</v>
      </c>
      <c r="U7" s="3">
        <f>INDEX(Misc[],MATCH($B7,Misc[Team],0),MATCH(U$2,Misc[#Headers],0))</f>
        <v>13.1</v>
      </c>
      <c r="V7" s="3">
        <f>INDEX(Misc[],MATCH($B7,Misc[Team],0),MATCH(V$2,Misc[#Headers],0))</f>
        <v>74.3</v>
      </c>
      <c r="W7" s="3">
        <f>INDEX(Misc[],MATCH($B7,Misc[Team],0),MATCH(W$2,Misc[#Headers],0))</f>
        <v>0.161</v>
      </c>
      <c r="X7" s="3">
        <f>6-ROUND(INDEX(Defense[],MATCH($B7,Defense[Team],0),MATCH("Rk",Defense[#Headers],0))/6,0)</f>
        <v>4</v>
      </c>
      <c r="AB7">
        <v>1677.6699081269226</v>
      </c>
      <c r="AC7">
        <v>12</v>
      </c>
      <c r="AD7" t="e">
        <v>#N/A</v>
      </c>
      <c r="AE7" t="e">
        <v>#N/A</v>
      </c>
      <c r="AF7" t="e">
        <v>#N/A</v>
      </c>
      <c r="AG7" t="e">
        <v>#N/A</v>
      </c>
      <c r="AH7" t="e">
        <v>#N/A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e">
        <v>#N/A</v>
      </c>
      <c r="AR7" t="e">
        <v>#N/A</v>
      </c>
      <c r="AS7" t="e">
        <v>#N/A</v>
      </c>
    </row>
    <row r="8" spans="2:53" x14ac:dyDescent="0.25">
      <c r="B8" t="s">
        <v>2029</v>
      </c>
      <c r="C8" t="s">
        <v>167</v>
      </c>
      <c r="D8" s="3">
        <f>INDEX(Misc[],MATCH($B8,Misc[Team],0),MATCH("DRTG",Misc[#Headers],0))</f>
        <v>112.4</v>
      </c>
      <c r="E8">
        <f>INDEX(Defense[],MATCH($B8,Defense[Team],0),MATCH(E$2,Defense[#Headers],0))</f>
        <v>65</v>
      </c>
      <c r="F8">
        <f>INDEX(Defense[],MATCH($B8,Defense[Team],0),MATCH(F$2,Defense[#Headers],0))</f>
        <v>15725</v>
      </c>
      <c r="G8">
        <f>INDEX(Defense[],MATCH($B8,Defense[Team],0),MATCH(G$2,Defense[#Headers],0))</f>
        <v>88.8</v>
      </c>
      <c r="H8">
        <f>INDEX(Defense[],MATCH($B8,Defense[Team],0),MATCH(H$2,Defense[#Headers],0))</f>
        <v>0.48</v>
      </c>
      <c r="I8">
        <f>INDEX(Defense[],MATCH($B8,Defense[Team],0),MATCH(I$2,Defense[#Headers],0))</f>
        <v>30</v>
      </c>
      <c r="J8">
        <f>INDEX(Defense[],MATCH($B8,Defense[Team],0),MATCH(J$2,Defense[#Headers],0))</f>
        <v>0.36</v>
      </c>
      <c r="K8">
        <f>INDEX(Defense[],MATCH($B8,Defense[Team],0),MATCH(K$2,Defense[#Headers],0))</f>
        <v>21.1</v>
      </c>
      <c r="L8">
        <f>INDEX(Defense[],MATCH($B8,Defense[Team],0),MATCH(L$2,Defense[#Headers],0))</f>
        <v>0.77700000000000002</v>
      </c>
      <c r="M8">
        <f>INDEX(Defense[],MATCH($B8,Defense[Team],0),MATCH(M$2,Defense[#Headers],0))</f>
        <v>10.199999999999999</v>
      </c>
      <c r="N8">
        <f>INDEX(Defense[],MATCH($B8,Defense[Team],0),MATCH(N$2,Defense[#Headers],0))</f>
        <v>33.9</v>
      </c>
      <c r="O8">
        <f>INDEX(Defense[],MATCH($B8,Defense[Team],0),MATCH(O$2,Defense[#Headers],0))</f>
        <v>25</v>
      </c>
      <c r="P8">
        <f>INDEX(Defense[],MATCH($B8,Defense[Team],0),MATCH(P$2,Defense[#Headers],0))</f>
        <v>8.4</v>
      </c>
      <c r="Q8">
        <f>INDEX(Defense[],MATCH($B8,Defense[Team],0),MATCH(Q$2,Defense[#Headers],0))</f>
        <v>5.7</v>
      </c>
      <c r="R8">
        <f>INDEX(Defense[],MATCH($B8,Defense[Team],0),MATCH(R$2,Defense[#Headers],0))</f>
        <v>14.2</v>
      </c>
      <c r="S8">
        <f>INDEX(Defense[],MATCH($B8,Defense[Team],0),MATCH(S$2,Defense[#Headers],0))</f>
        <v>20.2</v>
      </c>
      <c r="T8" s="3">
        <f>INDEX(Misc[],MATCH($B8,Misc[Team],0),MATCH(T$2,Misc[#Headers],0))</f>
        <v>0.54100000000000004</v>
      </c>
      <c r="U8" s="3">
        <f>INDEX(Misc[],MATCH($B8,Misc[Team],0),MATCH(U$2,Misc[#Headers],0))</f>
        <v>12.7</v>
      </c>
      <c r="V8" s="3">
        <f>INDEX(Misc[],MATCH($B8,Misc[Team],0),MATCH(V$2,Misc[#Headers],0))</f>
        <v>76.099999999999994</v>
      </c>
      <c r="W8" s="3">
        <f>INDEX(Misc[],MATCH($B8,Misc[Team],0),MATCH(W$2,Misc[#Headers],0))</f>
        <v>0.184</v>
      </c>
      <c r="X8" s="3">
        <f>6-ROUND(INDEX(Defense[],MATCH($B8,Defense[Team],0),MATCH("Rk",Defense[#Headers],0))/6,0)</f>
        <v>3</v>
      </c>
      <c r="AB8">
        <v>302.02658848644853</v>
      </c>
      <c r="AC8">
        <v>0.12707818021820397</v>
      </c>
      <c r="AD8" t="e">
        <v>#N/A</v>
      </c>
      <c r="AE8" t="e">
        <v>#N/A</v>
      </c>
      <c r="AF8" t="e">
        <v>#N/A</v>
      </c>
      <c r="AG8" t="e">
        <v>#N/A</v>
      </c>
      <c r="AH8" t="e">
        <v>#N/A</v>
      </c>
      <c r="AI8" t="e">
        <v>#N/A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  <c r="AR8" t="e">
        <v>#N/A</v>
      </c>
      <c r="AS8" t="e">
        <v>#N/A</v>
      </c>
    </row>
    <row r="9" spans="2:53" x14ac:dyDescent="0.25">
      <c r="B9" t="s">
        <v>2030</v>
      </c>
      <c r="C9" t="s">
        <v>168</v>
      </c>
      <c r="D9" s="3">
        <f>INDEX(Misc[],MATCH($B9,Misc[Team],0),MATCH("DRTG",Misc[#Headers],0))</f>
        <v>109.8</v>
      </c>
      <c r="E9">
        <f>INDEX(Defense[],MATCH($B9,Defense[Team],0),MATCH(E$2,Defense[#Headers],0))</f>
        <v>65</v>
      </c>
      <c r="F9">
        <f>INDEX(Defense[],MATCH($B9,Defense[Team],0),MATCH(F$2,Defense[#Headers],0))</f>
        <v>15675</v>
      </c>
      <c r="G9">
        <f>INDEX(Defense[],MATCH($B9,Defense[Team],0),MATCH(G$2,Defense[#Headers],0))</f>
        <v>82.4</v>
      </c>
      <c r="H9">
        <f>INDEX(Defense[],MATCH($B9,Defense[Team],0),MATCH(H$2,Defense[#Headers],0))</f>
        <v>0.47899999999999998</v>
      </c>
      <c r="I9">
        <f>INDEX(Defense[],MATCH($B9,Defense[Team],0),MATCH(I$2,Defense[#Headers],0))</f>
        <v>31.6</v>
      </c>
      <c r="J9">
        <f>INDEX(Defense[],MATCH($B9,Defense[Team],0),MATCH(J$2,Defense[#Headers],0))</f>
        <v>0.35299999999999998</v>
      </c>
      <c r="K9">
        <f>INDEX(Defense[],MATCH($B9,Defense[Team],0),MATCH(K$2,Defense[#Headers],0))</f>
        <v>26</v>
      </c>
      <c r="L9">
        <f>INDEX(Defense[],MATCH($B9,Defense[Team],0),MATCH(L$2,Defense[#Headers],0))</f>
        <v>0.75900000000000001</v>
      </c>
      <c r="M9">
        <f>INDEX(Defense[],MATCH($B9,Defense[Team],0),MATCH(M$2,Defense[#Headers],0))</f>
        <v>10.1</v>
      </c>
      <c r="N9">
        <f>INDEX(Defense[],MATCH($B9,Defense[Team],0),MATCH(N$2,Defense[#Headers],0))</f>
        <v>35.299999999999997</v>
      </c>
      <c r="O9">
        <f>INDEX(Defense[],MATCH($B9,Defense[Team],0),MATCH(O$2,Defense[#Headers],0))</f>
        <v>25.4</v>
      </c>
      <c r="P9">
        <f>INDEX(Defense[],MATCH($B9,Defense[Team],0),MATCH(P$2,Defense[#Headers],0))</f>
        <v>8.1</v>
      </c>
      <c r="Q9">
        <f>INDEX(Defense[],MATCH($B9,Defense[Team],0),MATCH(Q$2,Defense[#Headers],0))</f>
        <v>5.9</v>
      </c>
      <c r="R9">
        <f>INDEX(Defense[],MATCH($B9,Defense[Team],0),MATCH(R$2,Defense[#Headers],0))</f>
        <v>18.2</v>
      </c>
      <c r="S9">
        <f>INDEX(Defense[],MATCH($B9,Defense[Team],0),MATCH(S$2,Defense[#Headers],0))</f>
        <v>19.100000000000001</v>
      </c>
      <c r="T9" s="3">
        <f>INDEX(Misc[],MATCH($B9,Misc[Team],0),MATCH(T$2,Misc[#Headers],0))</f>
        <v>0.54600000000000004</v>
      </c>
      <c r="U9" s="3">
        <f>INDEX(Misc[],MATCH($B9,Misc[Team],0),MATCH(U$2,Misc[#Headers],0))</f>
        <v>16.3</v>
      </c>
      <c r="V9" s="3">
        <f>INDEX(Misc[],MATCH($B9,Misc[Team],0),MATCH(V$2,Misc[#Headers],0))</f>
        <v>75.599999999999994</v>
      </c>
      <c r="W9" s="3">
        <f>INDEX(Misc[],MATCH($B9,Misc[Team],0),MATCH(W$2,Misc[#Headers],0))</f>
        <v>0.23899999999999999</v>
      </c>
      <c r="X9" s="3">
        <f>6-ROUND(INDEX(Defense[],MATCH($B9,Defense[Team],0),MATCH("Rk",Defense[#Headers],0))/6,0)</f>
        <v>3</v>
      </c>
    </row>
    <row r="10" spans="2:53" x14ac:dyDescent="0.25">
      <c r="B10" t="s">
        <v>2031</v>
      </c>
      <c r="C10" t="s">
        <v>169</v>
      </c>
      <c r="D10" s="3">
        <f>INDEX(Misc[],MATCH($B10,Misc[Team],0),MATCH("DRTG",Misc[#Headers],0))</f>
        <v>110.2</v>
      </c>
      <c r="E10">
        <f>INDEX(Defense[],MATCH($B10,Defense[Team],0),MATCH(E$2,Defense[#Headers],0))</f>
        <v>64</v>
      </c>
      <c r="F10">
        <f>INDEX(Defense[],MATCH($B10,Defense[Team],0),MATCH(F$2,Defense[#Headers],0))</f>
        <v>15435</v>
      </c>
      <c r="G10">
        <f>INDEX(Defense[],MATCH($B10,Defense[Team],0),MATCH(G$2,Defense[#Headers],0))</f>
        <v>88.1</v>
      </c>
      <c r="H10">
        <f>INDEX(Defense[],MATCH($B10,Defense[Team],0),MATCH(H$2,Defense[#Headers],0))</f>
        <v>0.46100000000000002</v>
      </c>
      <c r="I10">
        <f>INDEX(Defense[],MATCH($B10,Defense[Team],0),MATCH(I$2,Defense[#Headers],0))</f>
        <v>33.9</v>
      </c>
      <c r="J10">
        <f>INDEX(Defense[],MATCH($B10,Defense[Team],0),MATCH(J$2,Defense[#Headers],0))</f>
        <v>0.34799999999999998</v>
      </c>
      <c r="K10">
        <f>INDEX(Defense[],MATCH($B10,Defense[Team],0),MATCH(K$2,Defense[#Headers],0))</f>
        <v>22.5</v>
      </c>
      <c r="L10">
        <f>INDEX(Defense[],MATCH($B10,Defense[Team],0),MATCH(L$2,Defense[#Headers],0))</f>
        <v>0.76100000000000001</v>
      </c>
      <c r="M10">
        <f>INDEX(Defense[],MATCH($B10,Defense[Team],0),MATCH(M$2,Defense[#Headers],0))</f>
        <v>10.7</v>
      </c>
      <c r="N10">
        <f>INDEX(Defense[],MATCH($B10,Defense[Team],0),MATCH(N$2,Defense[#Headers],0))</f>
        <v>34.6</v>
      </c>
      <c r="O10">
        <f>INDEX(Defense[],MATCH($B10,Defense[Team],0),MATCH(O$2,Defense[#Headers],0))</f>
        <v>24.4</v>
      </c>
      <c r="P10">
        <f>INDEX(Defense[],MATCH($B10,Defense[Team],0),MATCH(P$2,Defense[#Headers],0))</f>
        <v>7.6</v>
      </c>
      <c r="Q10">
        <f>INDEX(Defense[],MATCH($B10,Defense[Team],0),MATCH(Q$2,Defense[#Headers],0))</f>
        <v>4.7</v>
      </c>
      <c r="R10">
        <f>INDEX(Defense[],MATCH($B10,Defense[Team],0),MATCH(R$2,Defense[#Headers],0))</f>
        <v>15.2</v>
      </c>
      <c r="S10">
        <f>INDEX(Defense[],MATCH($B10,Defense[Team],0),MATCH(S$2,Defense[#Headers],0))</f>
        <v>20</v>
      </c>
      <c r="T10" s="3">
        <f>INDEX(Misc[],MATCH($B10,Misc[Team],0),MATCH(T$2,Misc[#Headers],0))</f>
        <v>0.52800000000000002</v>
      </c>
      <c r="U10" s="3">
        <f>INDEX(Misc[],MATCH($B10,Misc[Team],0),MATCH(U$2,Misc[#Headers],0))</f>
        <v>13.5</v>
      </c>
      <c r="V10" s="3">
        <f>INDEX(Misc[],MATCH($B10,Misc[Team],0),MATCH(V$2,Misc[#Headers],0))</f>
        <v>75.599999999999994</v>
      </c>
      <c r="W10" s="3">
        <f>INDEX(Misc[],MATCH($B10,Misc[Team],0),MATCH(W$2,Misc[#Headers],0))</f>
        <v>0.19400000000000001</v>
      </c>
      <c r="X10" s="3">
        <f>6-ROUND(INDEX(Defense[],MATCH($B10,Defense[Team],0),MATCH("Rk",Defense[#Headers],0))/6,0)</f>
        <v>2</v>
      </c>
    </row>
    <row r="11" spans="2:53" x14ac:dyDescent="0.25">
      <c r="B11" t="s">
        <v>2032</v>
      </c>
      <c r="C11" t="s">
        <v>187</v>
      </c>
      <c r="D11" s="3">
        <f>INDEX(Misc[],MATCH($B11,Misc[Team],0),MATCH("DRTG",Misc[#Headers],0))</f>
        <v>109.1</v>
      </c>
      <c r="E11">
        <f>INDEX(Defense[],MATCH($B11,Defense[Team],0),MATCH(E$2,Defense[#Headers],0))</f>
        <v>64</v>
      </c>
      <c r="F11">
        <f>INDEX(Defense[],MATCH($B11,Defense[Team],0),MATCH(F$2,Defense[#Headers],0))</f>
        <v>15460</v>
      </c>
      <c r="G11">
        <f>INDEX(Defense[],MATCH($B11,Defense[Team],0),MATCH(G$2,Defense[#Headers],0))</f>
        <v>90.6</v>
      </c>
      <c r="H11">
        <f>INDEX(Defense[],MATCH($B11,Defense[Team],0),MATCH(H$2,Defense[#Headers],0))</f>
        <v>0.45600000000000002</v>
      </c>
      <c r="I11">
        <f>INDEX(Defense[],MATCH($B11,Defense[Team],0),MATCH(I$2,Defense[#Headers],0))</f>
        <v>33.4</v>
      </c>
      <c r="J11">
        <f>INDEX(Defense[],MATCH($B11,Defense[Team],0),MATCH(J$2,Defense[#Headers],0))</f>
        <v>0.34399999999999997</v>
      </c>
      <c r="K11">
        <f>INDEX(Defense[],MATCH($B11,Defense[Team],0),MATCH(K$2,Defense[#Headers],0))</f>
        <v>18.7</v>
      </c>
      <c r="L11">
        <f>INDEX(Defense[],MATCH($B11,Defense[Team],0),MATCH(L$2,Defense[#Headers],0))</f>
        <v>0.79500000000000004</v>
      </c>
      <c r="M11">
        <f>INDEX(Defense[],MATCH($B11,Defense[Team],0),MATCH(M$2,Defense[#Headers],0))</f>
        <v>10.5</v>
      </c>
      <c r="N11">
        <f>INDEX(Defense[],MATCH($B11,Defense[Team],0),MATCH(N$2,Defense[#Headers],0))</f>
        <v>34.200000000000003</v>
      </c>
      <c r="O11">
        <f>INDEX(Defense[],MATCH($B11,Defense[Team],0),MATCH(O$2,Defense[#Headers],0))</f>
        <v>23.2</v>
      </c>
      <c r="P11">
        <f>INDEX(Defense[],MATCH($B11,Defense[Team],0),MATCH(P$2,Defense[#Headers],0))</f>
        <v>6.8</v>
      </c>
      <c r="Q11">
        <f>INDEX(Defense[],MATCH($B11,Defense[Team],0),MATCH(Q$2,Defense[#Headers],0))</f>
        <v>4.0999999999999996</v>
      </c>
      <c r="R11">
        <f>INDEX(Defense[],MATCH($B11,Defense[Team],0),MATCH(R$2,Defense[#Headers],0))</f>
        <v>14.1</v>
      </c>
      <c r="S11">
        <f>INDEX(Defense[],MATCH($B11,Defense[Team],0),MATCH(S$2,Defense[#Headers],0))</f>
        <v>23</v>
      </c>
      <c r="T11" s="3">
        <f>INDEX(Misc[],MATCH($B11,Misc[Team],0),MATCH(T$2,Misc[#Headers],0))</f>
        <v>0.52</v>
      </c>
      <c r="U11" s="3">
        <f>INDEX(Misc[],MATCH($B11,Misc[Team],0),MATCH(U$2,Misc[#Headers],0))</f>
        <v>12.4</v>
      </c>
      <c r="V11" s="3">
        <f>INDEX(Misc[],MATCH($B11,Misc[Team],0),MATCH(V$2,Misc[#Headers],0))</f>
        <v>76.8</v>
      </c>
      <c r="W11" s="3">
        <f>INDEX(Misc[],MATCH($B11,Misc[Team],0),MATCH(W$2,Misc[#Headers],0))</f>
        <v>0.16400000000000001</v>
      </c>
      <c r="X11" s="3">
        <f>6-ROUND(INDEX(Defense[],MATCH($B11,Defense[Team],0),MATCH("Rk",Defense[#Headers],0))/6,0)</f>
        <v>5</v>
      </c>
    </row>
    <row r="12" spans="2:53" x14ac:dyDescent="0.25">
      <c r="B12" t="s">
        <v>2033</v>
      </c>
      <c r="C12" t="s">
        <v>170</v>
      </c>
      <c r="D12" s="3">
        <f>INDEX(Misc[],MATCH($B12,Misc[Team],0),MATCH("DRTG",Misc[#Headers],0))</f>
        <v>109.4</v>
      </c>
      <c r="E12">
        <f>INDEX(Defense[],MATCH($B12,Defense[Team],0),MATCH(E$2,Defense[#Headers],0))</f>
        <v>64</v>
      </c>
      <c r="F12">
        <f>INDEX(Defense[],MATCH($B12,Defense[Team],0),MATCH(F$2,Defense[#Headers],0))</f>
        <v>15385</v>
      </c>
      <c r="G12">
        <f>INDEX(Defense[],MATCH($B12,Defense[Team],0),MATCH(G$2,Defense[#Headers],0))</f>
        <v>90.5</v>
      </c>
      <c r="H12">
        <f>INDEX(Defense[],MATCH($B12,Defense[Team],0),MATCH(H$2,Defense[#Headers],0))</f>
        <v>0.45200000000000001</v>
      </c>
      <c r="I12">
        <f>INDEX(Defense[],MATCH($B12,Defense[Team],0),MATCH(I$2,Defense[#Headers],0))</f>
        <v>32</v>
      </c>
      <c r="J12">
        <f>INDEX(Defense[],MATCH($B12,Defense[Team],0),MATCH(J$2,Defense[#Headers],0))</f>
        <v>0.35099999999999998</v>
      </c>
      <c r="K12">
        <f>INDEX(Defense[],MATCH($B12,Defense[Team],0),MATCH(K$2,Defense[#Headers],0))</f>
        <v>21.2</v>
      </c>
      <c r="L12">
        <f>INDEX(Defense[],MATCH($B12,Defense[Team],0),MATCH(L$2,Defense[#Headers],0))</f>
        <v>0.76900000000000002</v>
      </c>
      <c r="M12">
        <f>INDEX(Defense[],MATCH($B12,Defense[Team],0),MATCH(M$2,Defense[#Headers],0))</f>
        <v>9.8000000000000007</v>
      </c>
      <c r="N12">
        <f>INDEX(Defense[],MATCH($B12,Defense[Team],0),MATCH(N$2,Defense[#Headers],0))</f>
        <v>33.4</v>
      </c>
      <c r="O12">
        <f>INDEX(Defense[],MATCH($B12,Defense[Team],0),MATCH(O$2,Defense[#Headers],0))</f>
        <v>21.5</v>
      </c>
      <c r="P12">
        <f>INDEX(Defense[],MATCH($B12,Defense[Team],0),MATCH(P$2,Defense[#Headers],0))</f>
        <v>7.9</v>
      </c>
      <c r="Q12">
        <f>INDEX(Defense[],MATCH($B12,Defense[Team],0),MATCH(Q$2,Defense[#Headers],0))</f>
        <v>4.5999999999999996</v>
      </c>
      <c r="R12">
        <f>INDEX(Defense[],MATCH($B12,Defense[Team],0),MATCH(R$2,Defense[#Headers],0))</f>
        <v>12.2</v>
      </c>
      <c r="S12">
        <f>INDEX(Defense[],MATCH($B12,Defense[Team],0),MATCH(S$2,Defense[#Headers],0))</f>
        <v>20.9</v>
      </c>
      <c r="T12" s="3">
        <f>INDEX(Misc[],MATCH($B12,Misc[Team],0),MATCH(T$2,Misc[#Headers],0))</f>
        <v>0.51400000000000001</v>
      </c>
      <c r="U12" s="3">
        <f>INDEX(Misc[],MATCH($B12,Misc[Team],0),MATCH(U$2,Misc[#Headers],0))</f>
        <v>10.9</v>
      </c>
      <c r="V12" s="3">
        <f>INDEX(Misc[],MATCH($B12,Misc[Team],0),MATCH(V$2,Misc[#Headers],0))</f>
        <v>79</v>
      </c>
      <c r="W12" s="3">
        <f>INDEX(Misc[],MATCH($B12,Misc[Team],0),MATCH(W$2,Misc[#Headers],0))</f>
        <v>0.18</v>
      </c>
      <c r="X12" s="3">
        <f>6-ROUND(INDEX(Defense[],MATCH($B12,Defense[Team],0),MATCH("Rk",Defense[#Headers],0))/6,0)</f>
        <v>5</v>
      </c>
    </row>
    <row r="13" spans="2:53" x14ac:dyDescent="0.25">
      <c r="B13" t="s">
        <v>2034</v>
      </c>
      <c r="C13" t="s">
        <v>188</v>
      </c>
      <c r="D13" s="3">
        <f>INDEX(Misc[],MATCH($B13,Misc[Team],0),MATCH("DRTG",Misc[#Headers],0))</f>
        <v>113</v>
      </c>
      <c r="E13">
        <f>INDEX(Defense[],MATCH($B13,Defense[Team],0),MATCH(E$2,Defense[#Headers],0))</f>
        <v>65</v>
      </c>
      <c r="F13">
        <f>INDEX(Defense[],MATCH($B13,Defense[Team],0),MATCH(F$2,Defense[#Headers],0))</f>
        <v>15700</v>
      </c>
      <c r="G13">
        <f>INDEX(Defense[],MATCH($B13,Defense[Team],0),MATCH(G$2,Defense[#Headers],0))</f>
        <v>86.5</v>
      </c>
      <c r="H13">
        <f>INDEX(Defense[],MATCH($B13,Defense[Team],0),MATCH(H$2,Defense[#Headers],0))</f>
        <v>0.46400000000000002</v>
      </c>
      <c r="I13">
        <f>INDEX(Defense[],MATCH($B13,Defense[Team],0),MATCH(I$2,Defense[#Headers],0))</f>
        <v>35.1</v>
      </c>
      <c r="J13">
        <f>INDEX(Defense[],MATCH($B13,Defense[Team],0),MATCH(J$2,Defense[#Headers],0))</f>
        <v>0.38200000000000001</v>
      </c>
      <c r="K13">
        <f>INDEX(Defense[],MATCH($B13,Defense[Team],0),MATCH(K$2,Defense[#Headers],0))</f>
        <v>25.9</v>
      </c>
      <c r="L13">
        <f>INDEX(Defense[],MATCH($B13,Defense[Team],0),MATCH(L$2,Defense[#Headers],0))</f>
        <v>0.748</v>
      </c>
      <c r="M13">
        <f>INDEX(Defense[],MATCH($B13,Defense[Team],0),MATCH(M$2,Defense[#Headers],0))</f>
        <v>9.6</v>
      </c>
      <c r="N13">
        <f>INDEX(Defense[],MATCH($B13,Defense[Team],0),MATCH(N$2,Defense[#Headers],0))</f>
        <v>34.9</v>
      </c>
      <c r="O13">
        <f>INDEX(Defense[],MATCH($B13,Defense[Team],0),MATCH(O$2,Defense[#Headers],0))</f>
        <v>24.5</v>
      </c>
      <c r="P13">
        <f>INDEX(Defense[],MATCH($B13,Defense[Team],0),MATCH(P$2,Defense[#Headers],0))</f>
        <v>7.3</v>
      </c>
      <c r="Q13">
        <f>INDEX(Defense[],MATCH($B13,Defense[Team],0),MATCH(Q$2,Defense[#Headers],0))</f>
        <v>5.0999999999999996</v>
      </c>
      <c r="R13">
        <f>INDEX(Defense[],MATCH($B13,Defense[Team],0),MATCH(R$2,Defense[#Headers],0))</f>
        <v>13.8</v>
      </c>
      <c r="S13">
        <f>INDEX(Defense[],MATCH($B13,Defense[Team],0),MATCH(S$2,Defense[#Headers],0))</f>
        <v>19.899999999999999</v>
      </c>
      <c r="T13" s="3">
        <f>INDEX(Misc[],MATCH($B13,Misc[Team],0),MATCH(T$2,Misc[#Headers],0))</f>
        <v>0.54100000000000004</v>
      </c>
      <c r="U13" s="3">
        <f>INDEX(Misc[],MATCH($B13,Misc[Team],0),MATCH(U$2,Misc[#Headers],0))</f>
        <v>12.4</v>
      </c>
      <c r="V13" s="3">
        <f>INDEX(Misc[],MATCH($B13,Misc[Team],0),MATCH(V$2,Misc[#Headers],0))</f>
        <v>78.400000000000006</v>
      </c>
      <c r="W13" s="3">
        <f>INDEX(Misc[],MATCH($B13,Misc[Team],0),MATCH(W$2,Misc[#Headers],0))</f>
        <v>0.224</v>
      </c>
      <c r="X13" s="3">
        <f>6-ROUND(INDEX(Defense[],MATCH($B13,Defense[Team],0),MATCH("Rk",Defense[#Headers],0))/6,0)</f>
        <v>3</v>
      </c>
    </row>
    <row r="14" spans="2:53" x14ac:dyDescent="0.25">
      <c r="B14" t="s">
        <v>2035</v>
      </c>
      <c r="C14" t="s">
        <v>171</v>
      </c>
      <c r="D14" s="3">
        <f>INDEX(Misc[],MATCH($B14,Misc[Team],0),MATCH("DRTG",Misc[#Headers],0))</f>
        <v>111.6</v>
      </c>
      <c r="E14">
        <f>INDEX(Defense[],MATCH($B14,Defense[Team],0),MATCH(E$2,Defense[#Headers],0))</f>
        <v>64</v>
      </c>
      <c r="F14">
        <f>INDEX(Defense[],MATCH($B14,Defense[Team],0),MATCH(F$2,Defense[#Headers],0))</f>
        <v>15510</v>
      </c>
      <c r="G14">
        <f>INDEX(Defense[],MATCH($B14,Defense[Team],0),MATCH(G$2,Defense[#Headers],0))</f>
        <v>85.8</v>
      </c>
      <c r="H14">
        <f>INDEX(Defense[],MATCH($B14,Defense[Team],0),MATCH(H$2,Defense[#Headers],0))</f>
        <v>0.46800000000000003</v>
      </c>
      <c r="I14">
        <f>INDEX(Defense[],MATCH($B14,Defense[Team],0),MATCH(I$2,Defense[#Headers],0))</f>
        <v>34.799999999999997</v>
      </c>
      <c r="J14">
        <f>INDEX(Defense[],MATCH($B14,Defense[Team],0),MATCH(J$2,Defense[#Headers],0))</f>
        <v>0.35499999999999998</v>
      </c>
      <c r="K14">
        <f>INDEX(Defense[],MATCH($B14,Defense[Team],0),MATCH(K$2,Defense[#Headers],0))</f>
        <v>24</v>
      </c>
      <c r="L14">
        <f>INDEX(Defense[],MATCH($B14,Defense[Team],0),MATCH(L$2,Defense[#Headers],0))</f>
        <v>0.79300000000000004</v>
      </c>
      <c r="M14">
        <f>INDEX(Defense[],MATCH($B14,Defense[Team],0),MATCH(M$2,Defense[#Headers],0))</f>
        <v>9.1</v>
      </c>
      <c r="N14">
        <f>INDEX(Defense[],MATCH($B14,Defense[Team],0),MATCH(N$2,Defense[#Headers],0))</f>
        <v>34.700000000000003</v>
      </c>
      <c r="O14">
        <f>INDEX(Defense[],MATCH($B14,Defense[Team],0),MATCH(O$2,Defense[#Headers],0))</f>
        <v>24.7</v>
      </c>
      <c r="P14">
        <f>INDEX(Defense[],MATCH($B14,Defense[Team],0),MATCH(P$2,Defense[#Headers],0))</f>
        <v>7.9</v>
      </c>
      <c r="Q14">
        <f>INDEX(Defense[],MATCH($B14,Defense[Team],0),MATCH(Q$2,Defense[#Headers],0))</f>
        <v>4.4000000000000004</v>
      </c>
      <c r="R14">
        <f>INDEX(Defense[],MATCH($B14,Defense[Team],0),MATCH(R$2,Defense[#Headers],0))</f>
        <v>15.2</v>
      </c>
      <c r="S14">
        <f>INDEX(Defense[],MATCH($B14,Defense[Team],0),MATCH(S$2,Defense[#Headers],0))</f>
        <v>19.5</v>
      </c>
      <c r="T14" s="3">
        <f>INDEX(Misc[],MATCH($B14,Misc[Team],0),MATCH(T$2,Misc[#Headers],0))</f>
        <v>0.54</v>
      </c>
      <c r="U14" s="3">
        <f>INDEX(Misc[],MATCH($B14,Misc[Team],0),MATCH(U$2,Misc[#Headers],0))</f>
        <v>13.6</v>
      </c>
      <c r="V14" s="3">
        <f>INDEX(Misc[],MATCH($B14,Misc[Team],0),MATCH(V$2,Misc[#Headers],0))</f>
        <v>78.5</v>
      </c>
      <c r="W14" s="3">
        <f>INDEX(Misc[],MATCH($B14,Misc[Team],0),MATCH(W$2,Misc[#Headers],0))</f>
        <v>0.222</v>
      </c>
      <c r="X14" s="3">
        <f>6-ROUND(INDEX(Defense[],MATCH($B14,Defense[Team],0),MATCH("Rk",Defense[#Headers],0))/6,0)</f>
        <v>4</v>
      </c>
    </row>
    <row r="15" spans="2:53" x14ac:dyDescent="0.25">
      <c r="B15" t="s">
        <v>2036</v>
      </c>
      <c r="C15" t="s">
        <v>189</v>
      </c>
      <c r="D15" s="3">
        <f>INDEX(Misc[],MATCH($B15,Misc[Team],0),MATCH("DRTG",Misc[#Headers],0))</f>
        <v>111.6</v>
      </c>
      <c r="E15">
        <f>INDEX(Defense[],MATCH($B15,Defense[Team],0),MATCH(E$2,Defense[#Headers],0))</f>
        <v>64</v>
      </c>
      <c r="F15">
        <f>INDEX(Defense[],MATCH($B15,Defense[Team],0),MATCH(F$2,Defense[#Headers],0))</f>
        <v>15510</v>
      </c>
      <c r="G15">
        <f>INDEX(Defense[],MATCH($B15,Defense[Team],0),MATCH(G$2,Defense[#Headers],0))</f>
        <v>87.9</v>
      </c>
      <c r="H15">
        <f>INDEX(Defense[],MATCH($B15,Defense[Team],0),MATCH(H$2,Defense[#Headers],0))</f>
        <v>0.46500000000000002</v>
      </c>
      <c r="I15">
        <f>INDEX(Defense[],MATCH($B15,Defense[Team],0),MATCH(I$2,Defense[#Headers],0))</f>
        <v>32.4</v>
      </c>
      <c r="J15">
        <f>INDEX(Defense[],MATCH($B15,Defense[Team],0),MATCH(J$2,Defense[#Headers],0))</f>
        <v>0.35499999999999998</v>
      </c>
      <c r="K15">
        <f>INDEX(Defense[],MATCH($B15,Defense[Team],0),MATCH(K$2,Defense[#Headers],0))</f>
        <v>23.3</v>
      </c>
      <c r="L15">
        <f>INDEX(Defense[],MATCH($B15,Defense[Team],0),MATCH(L$2,Defense[#Headers],0))</f>
        <v>0.78200000000000003</v>
      </c>
      <c r="M15">
        <f>INDEX(Defense[],MATCH($B15,Defense[Team],0),MATCH(M$2,Defense[#Headers],0))</f>
        <v>9.5</v>
      </c>
      <c r="N15">
        <f>INDEX(Defense[],MATCH($B15,Defense[Team],0),MATCH(N$2,Defense[#Headers],0))</f>
        <v>33.4</v>
      </c>
      <c r="O15">
        <f>INDEX(Defense[],MATCH($B15,Defense[Team],0),MATCH(O$2,Defense[#Headers],0))</f>
        <v>23.5</v>
      </c>
      <c r="P15">
        <f>INDEX(Defense[],MATCH($B15,Defense[Team],0),MATCH(P$2,Defense[#Headers],0))</f>
        <v>8.1999999999999993</v>
      </c>
      <c r="Q15">
        <f>INDEX(Defense[],MATCH($B15,Defense[Team],0),MATCH(Q$2,Defense[#Headers],0))</f>
        <v>4.5999999999999996</v>
      </c>
      <c r="R15">
        <f>INDEX(Defense[],MATCH($B15,Defense[Team],0),MATCH(R$2,Defense[#Headers],0))</f>
        <v>13.8</v>
      </c>
      <c r="S15">
        <f>INDEX(Defense[],MATCH($B15,Defense[Team],0),MATCH(S$2,Defense[#Headers],0))</f>
        <v>19.600000000000001</v>
      </c>
      <c r="T15" s="3">
        <f>INDEX(Misc[],MATCH($B15,Misc[Team],0),MATCH(T$2,Misc[#Headers],0))</f>
        <v>0.53100000000000003</v>
      </c>
      <c r="U15" s="3">
        <f>INDEX(Misc[],MATCH($B15,Misc[Team],0),MATCH(U$2,Misc[#Headers],0))</f>
        <v>12.3</v>
      </c>
      <c r="V15" s="3">
        <f>INDEX(Misc[],MATCH($B15,Misc[Team],0),MATCH(V$2,Misc[#Headers],0))</f>
        <v>78.099999999999994</v>
      </c>
      <c r="W15" s="3">
        <f>INDEX(Misc[],MATCH($B15,Misc[Team],0),MATCH(W$2,Misc[#Headers],0))</f>
        <v>0.20699999999999999</v>
      </c>
      <c r="X15" s="3">
        <f>6-ROUND(INDEX(Defense[],MATCH($B15,Defense[Team],0),MATCH("Rk",Defense[#Headers],0))/6,0)</f>
        <v>2</v>
      </c>
    </row>
    <row r="16" spans="2:53" x14ac:dyDescent="0.25">
      <c r="B16" t="s">
        <v>2037</v>
      </c>
      <c r="C16" t="s">
        <v>172</v>
      </c>
      <c r="D16" s="3">
        <f>INDEX(Misc[],MATCH($B16,Misc[Team],0),MATCH("DRTG",Misc[#Headers],0))</f>
        <v>108.7</v>
      </c>
      <c r="E16">
        <f>INDEX(Defense[],MATCH($B16,Defense[Team],0),MATCH(E$2,Defense[#Headers],0))</f>
        <v>64</v>
      </c>
      <c r="F16">
        <f>INDEX(Defense[],MATCH($B16,Defense[Team],0),MATCH(F$2,Defense[#Headers],0))</f>
        <v>15560</v>
      </c>
      <c r="G16">
        <f>INDEX(Defense[],MATCH($B16,Defense[Team],0),MATCH(G$2,Defense[#Headers],0))</f>
        <v>91</v>
      </c>
      <c r="H16">
        <f>INDEX(Defense[],MATCH($B16,Defense[Team],0),MATCH(H$2,Defense[#Headers],0))</f>
        <v>0.442</v>
      </c>
      <c r="I16">
        <f>INDEX(Defense[],MATCH($B16,Defense[Team],0),MATCH(I$2,Defense[#Headers],0))</f>
        <v>33.799999999999997</v>
      </c>
      <c r="J16">
        <f>INDEX(Defense[],MATCH($B16,Defense[Team],0),MATCH(J$2,Defense[#Headers],0))</f>
        <v>0.35</v>
      </c>
      <c r="K16">
        <f>INDEX(Defense[],MATCH($B16,Defense[Team],0),MATCH(K$2,Defense[#Headers],0))</f>
        <v>21.6</v>
      </c>
      <c r="L16">
        <f>INDEX(Defense[],MATCH($B16,Defense[Team],0),MATCH(L$2,Defense[#Headers],0))</f>
        <v>0.76300000000000001</v>
      </c>
      <c r="M16">
        <f>INDEX(Defense[],MATCH($B16,Defense[Team],0),MATCH(M$2,Defense[#Headers],0))</f>
        <v>10.5</v>
      </c>
      <c r="N16">
        <f>INDEX(Defense[],MATCH($B16,Defense[Team],0),MATCH(N$2,Defense[#Headers],0))</f>
        <v>34.4</v>
      </c>
      <c r="O16">
        <f>INDEX(Defense[],MATCH($B16,Defense[Team],0),MATCH(O$2,Defense[#Headers],0))</f>
        <v>21.9</v>
      </c>
      <c r="P16">
        <f>INDEX(Defense[],MATCH($B16,Defense[Team],0),MATCH(P$2,Defense[#Headers],0))</f>
        <v>7.6</v>
      </c>
      <c r="Q16">
        <f>INDEX(Defense[],MATCH($B16,Defense[Team],0),MATCH(Q$2,Defense[#Headers],0))</f>
        <v>5.2</v>
      </c>
      <c r="R16">
        <f>INDEX(Defense[],MATCH($B16,Defense[Team],0),MATCH(R$2,Defense[#Headers],0))</f>
        <v>12.3</v>
      </c>
      <c r="S16">
        <f>INDEX(Defense[],MATCH($B16,Defense[Team],0),MATCH(S$2,Defense[#Headers],0))</f>
        <v>20.399999999999999</v>
      </c>
      <c r="T16" s="3">
        <f>INDEX(Misc[],MATCH($B16,Misc[Team],0),MATCH(T$2,Misc[#Headers],0))</f>
        <v>0.50700000000000001</v>
      </c>
      <c r="U16" s="3">
        <f>INDEX(Misc[],MATCH($B16,Misc[Team],0),MATCH(U$2,Misc[#Headers],0))</f>
        <v>10.9</v>
      </c>
      <c r="V16" s="3">
        <f>INDEX(Misc[],MATCH($B16,Misc[Team],0),MATCH(V$2,Misc[#Headers],0))</f>
        <v>77.8</v>
      </c>
      <c r="W16" s="3">
        <f>INDEX(Misc[],MATCH($B16,Misc[Team],0),MATCH(W$2,Misc[#Headers],0))</f>
        <v>0.18099999999999999</v>
      </c>
      <c r="X16" s="3">
        <f>6-ROUND(INDEX(Defense[],MATCH($B16,Defense[Team],0),MATCH("Rk",Defense[#Headers],0))/6,0)</f>
        <v>3</v>
      </c>
    </row>
    <row r="17" spans="2:24" x14ac:dyDescent="0.25">
      <c r="B17" t="s">
        <v>2008</v>
      </c>
      <c r="C17" t="s">
        <v>173</v>
      </c>
      <c r="D17" s="3">
        <f>INDEX(Misc[],MATCH($B17,Misc[Team],0),MATCH("DRTG",Misc[#Headers],0))</f>
        <v>101.9</v>
      </c>
      <c r="E17">
        <f>INDEX(Defense[],MATCH($B17,Defense[Team],0),MATCH(E$2,Defense[#Headers],0))</f>
        <v>65</v>
      </c>
      <c r="F17">
        <f>INDEX(Defense[],MATCH($B17,Defense[Team],0),MATCH(F$2,Defense[#Headers],0))</f>
        <v>15650</v>
      </c>
      <c r="G17">
        <f>INDEX(Defense[],MATCH($B17,Defense[Team],0),MATCH(G$2,Defense[#Headers],0))</f>
        <v>89</v>
      </c>
      <c r="H17">
        <f>INDEX(Defense[],MATCH($B17,Defense[Team],0),MATCH(H$2,Defense[#Headers],0))</f>
        <v>0.41299999999999998</v>
      </c>
      <c r="I17">
        <f>INDEX(Defense[],MATCH($B17,Defense[Team],0),MATCH(I$2,Defense[#Headers],0))</f>
        <v>36.6</v>
      </c>
      <c r="J17">
        <f>INDEX(Defense[],MATCH($B17,Defense[Team],0),MATCH(J$2,Defense[#Headers],0))</f>
        <v>0.35599999999999998</v>
      </c>
      <c r="K17">
        <f>INDEX(Defense[],MATCH($B17,Defense[Team],0),MATCH(K$2,Defense[#Headers],0))</f>
        <v>19.600000000000001</v>
      </c>
      <c r="L17">
        <f>INDEX(Defense[],MATCH($B17,Defense[Team],0),MATCH(L$2,Defense[#Headers],0))</f>
        <v>0.78400000000000003</v>
      </c>
      <c r="M17">
        <f>INDEX(Defense[],MATCH($B17,Defense[Team],0),MATCH(M$2,Defense[#Headers],0))</f>
        <v>9</v>
      </c>
      <c r="N17">
        <f>INDEX(Defense[],MATCH($B17,Defense[Team],0),MATCH(N$2,Defense[#Headers],0))</f>
        <v>34.4</v>
      </c>
      <c r="O17">
        <f>INDEX(Defense[],MATCH($B17,Defense[Team],0),MATCH(O$2,Defense[#Headers],0))</f>
        <v>22.6</v>
      </c>
      <c r="P17">
        <f>INDEX(Defense[],MATCH($B17,Defense[Team],0),MATCH(P$2,Defense[#Headers],0))</f>
        <v>7</v>
      </c>
      <c r="Q17">
        <f>INDEX(Defense[],MATCH($B17,Defense[Team],0),MATCH(Q$2,Defense[#Headers],0))</f>
        <v>4.3</v>
      </c>
      <c r="R17">
        <f>INDEX(Defense[],MATCH($B17,Defense[Team],0),MATCH(R$2,Defense[#Headers],0))</f>
        <v>13.6</v>
      </c>
      <c r="S17">
        <f>INDEX(Defense[],MATCH($B17,Defense[Team],0),MATCH(S$2,Defense[#Headers],0))</f>
        <v>20.2</v>
      </c>
      <c r="T17" s="3">
        <f>INDEX(Misc[],MATCH($B17,Misc[Team],0),MATCH(T$2,Misc[#Headers],0))</f>
        <v>0.48599999999999999</v>
      </c>
      <c r="U17" s="3">
        <f>INDEX(Misc[],MATCH($B17,Misc[Team],0),MATCH(U$2,Misc[#Headers],0))</f>
        <v>12.2</v>
      </c>
      <c r="V17" s="3">
        <f>INDEX(Misc[],MATCH($B17,Misc[Team],0),MATCH(V$2,Misc[#Headers],0))</f>
        <v>81.7</v>
      </c>
      <c r="W17" s="3">
        <f>INDEX(Misc[],MATCH($B17,Misc[Team],0),MATCH(W$2,Misc[#Headers],0))</f>
        <v>0.17199999999999999</v>
      </c>
      <c r="X17" s="3">
        <f>6-ROUND(INDEX(Defense[],MATCH($B17,Defense[Team],0),MATCH("Rk",Defense[#Headers],0))/6,0)</f>
        <v>4</v>
      </c>
    </row>
    <row r="18" spans="2:24" x14ac:dyDescent="0.25">
      <c r="B18" t="s">
        <v>2038</v>
      </c>
      <c r="C18" t="s">
        <v>174</v>
      </c>
      <c r="D18" s="3">
        <f>INDEX(Misc[],MATCH($B18,Misc[Team],0),MATCH("DRTG",Misc[#Headers],0))</f>
        <v>115.8</v>
      </c>
      <c r="E18">
        <f>INDEX(Defense[],MATCH($B18,Defense[Team],0),MATCH(E$2,Defense[#Headers],0))</f>
        <v>64</v>
      </c>
      <c r="F18">
        <f>INDEX(Defense[],MATCH($B18,Defense[Team],0),MATCH(F$2,Defense[#Headers],0))</f>
        <v>15435</v>
      </c>
      <c r="G18">
        <f>INDEX(Defense[],MATCH($B18,Defense[Team],0),MATCH(G$2,Defense[#Headers],0))</f>
        <v>85.8</v>
      </c>
      <c r="H18">
        <f>INDEX(Defense[],MATCH($B18,Defense[Team],0),MATCH(H$2,Defense[#Headers],0))</f>
        <v>0.49</v>
      </c>
      <c r="I18">
        <f>INDEX(Defense[],MATCH($B18,Defense[Team],0),MATCH(I$2,Defense[#Headers],0))</f>
        <v>32</v>
      </c>
      <c r="J18">
        <f>INDEX(Defense[],MATCH($B18,Defense[Team],0),MATCH(J$2,Defense[#Headers],0))</f>
        <v>0.378</v>
      </c>
      <c r="K18">
        <f>INDEX(Defense[],MATCH($B18,Defense[Team],0),MATCH(K$2,Defense[#Headers],0))</f>
        <v>25.5</v>
      </c>
      <c r="L18">
        <f>INDEX(Defense[],MATCH($B18,Defense[Team],0),MATCH(L$2,Defense[#Headers],0))</f>
        <v>0.77200000000000002</v>
      </c>
      <c r="M18">
        <f>INDEX(Defense[],MATCH($B18,Defense[Team],0),MATCH(M$2,Defense[#Headers],0))</f>
        <v>10.3</v>
      </c>
      <c r="N18">
        <f>INDEX(Defense[],MATCH($B18,Defense[Team],0),MATCH(N$2,Defense[#Headers],0))</f>
        <v>34.5</v>
      </c>
      <c r="O18">
        <f>INDEX(Defense[],MATCH($B18,Defense[Team],0),MATCH(O$2,Defense[#Headers],0))</f>
        <v>24.5</v>
      </c>
      <c r="P18">
        <f>INDEX(Defense[],MATCH($B18,Defense[Team],0),MATCH(P$2,Defense[#Headers],0))</f>
        <v>7.3</v>
      </c>
      <c r="Q18">
        <f>INDEX(Defense[],MATCH($B18,Defense[Team],0),MATCH(Q$2,Defense[#Headers],0))</f>
        <v>4.9000000000000004</v>
      </c>
      <c r="R18">
        <f>INDEX(Defense[],MATCH($B18,Defense[Team],0),MATCH(R$2,Defense[#Headers],0))</f>
        <v>15.8</v>
      </c>
      <c r="S18">
        <f>INDEX(Defense[],MATCH($B18,Defense[Team],0),MATCH(S$2,Defense[#Headers],0))</f>
        <v>21.7</v>
      </c>
      <c r="T18" s="3">
        <f>INDEX(Misc[],MATCH($B18,Misc[Team],0),MATCH(T$2,Misc[#Headers],0))</f>
        <v>0.56000000000000005</v>
      </c>
      <c r="U18" s="3">
        <f>INDEX(Misc[],MATCH($B18,Misc[Team],0),MATCH(U$2,Misc[#Headers],0))</f>
        <v>14</v>
      </c>
      <c r="V18" s="3">
        <f>INDEX(Misc[],MATCH($B18,Misc[Team],0),MATCH(V$2,Misc[#Headers],0))</f>
        <v>74.900000000000006</v>
      </c>
      <c r="W18" s="3">
        <f>INDEX(Misc[],MATCH($B18,Misc[Team],0),MATCH(W$2,Misc[#Headers],0))</f>
        <v>0.23</v>
      </c>
      <c r="X18" s="3">
        <f>6-ROUND(INDEX(Defense[],MATCH($B18,Defense[Team],0),MATCH("Rk",Defense[#Headers],0))/6,0)</f>
        <v>1</v>
      </c>
    </row>
    <row r="19" spans="2:24" x14ac:dyDescent="0.25">
      <c r="B19" t="s">
        <v>2039</v>
      </c>
      <c r="C19" t="s">
        <v>175</v>
      </c>
      <c r="D19" s="3">
        <f>INDEX(Misc[],MATCH($B19,Misc[Team],0),MATCH("DRTG",Misc[#Headers],0))</f>
        <v>109.3</v>
      </c>
      <c r="E19">
        <f>INDEX(Defense[],MATCH($B19,Defense[Team],0),MATCH(E$2,Defense[#Headers],0))</f>
        <v>64</v>
      </c>
      <c r="F19">
        <f>INDEX(Defense[],MATCH($B19,Defense[Team],0),MATCH(F$2,Defense[#Headers],0))</f>
        <v>15585</v>
      </c>
      <c r="G19">
        <f>INDEX(Defense[],MATCH($B19,Defense[Team],0),MATCH(G$2,Defense[#Headers],0))</f>
        <v>87.3</v>
      </c>
      <c r="H19">
        <f>INDEX(Defense[],MATCH($B19,Defense[Team],0),MATCH(H$2,Defense[#Headers],0))</f>
        <v>0.44700000000000001</v>
      </c>
      <c r="I19">
        <f>INDEX(Defense[],MATCH($B19,Defense[Team],0),MATCH(I$2,Defense[#Headers],0))</f>
        <v>38.200000000000003</v>
      </c>
      <c r="J19">
        <f>INDEX(Defense[],MATCH($B19,Defense[Team],0),MATCH(J$2,Defense[#Headers],0))</f>
        <v>0.34399999999999997</v>
      </c>
      <c r="K19">
        <f>INDEX(Defense[],MATCH($B19,Defense[Team],0),MATCH(K$2,Defense[#Headers],0))</f>
        <v>23.4</v>
      </c>
      <c r="L19">
        <f>INDEX(Defense[],MATCH($B19,Defense[Team],0),MATCH(L$2,Defense[#Headers],0))</f>
        <v>0.77600000000000002</v>
      </c>
      <c r="M19">
        <f>INDEX(Defense[],MATCH($B19,Defense[Team],0),MATCH(M$2,Defense[#Headers],0))</f>
        <v>9.1</v>
      </c>
      <c r="N19">
        <f>INDEX(Defense[],MATCH($B19,Defense[Team],0),MATCH(N$2,Defense[#Headers],0))</f>
        <v>33.1</v>
      </c>
      <c r="O19">
        <f>INDEX(Defense[],MATCH($B19,Defense[Team],0),MATCH(O$2,Defense[#Headers],0))</f>
        <v>24.9</v>
      </c>
      <c r="P19">
        <f>INDEX(Defense[],MATCH($B19,Defense[Team],0),MATCH(P$2,Defense[#Headers],0))</f>
        <v>7.6</v>
      </c>
      <c r="Q19">
        <f>INDEX(Defense[],MATCH($B19,Defense[Team],0),MATCH(Q$2,Defense[#Headers],0))</f>
        <v>4.2</v>
      </c>
      <c r="R19">
        <f>INDEX(Defense[],MATCH($B19,Defense[Team],0),MATCH(R$2,Defense[#Headers],0))</f>
        <v>13.7</v>
      </c>
      <c r="S19">
        <f>INDEX(Defense[],MATCH($B19,Defense[Team],0),MATCH(S$2,Defense[#Headers],0))</f>
        <v>21.8</v>
      </c>
      <c r="T19" s="3">
        <f>INDEX(Misc[],MATCH($B19,Misc[Team],0),MATCH(T$2,Misc[#Headers],0))</f>
        <v>0.52200000000000002</v>
      </c>
      <c r="U19" s="3">
        <f>INDEX(Misc[],MATCH($B19,Misc[Team],0),MATCH(U$2,Misc[#Headers],0))</f>
        <v>12.3</v>
      </c>
      <c r="V19" s="3">
        <f>INDEX(Misc[],MATCH($B19,Misc[Team],0),MATCH(V$2,Misc[#Headers],0))</f>
        <v>80</v>
      </c>
      <c r="W19" s="3">
        <f>INDEX(Misc[],MATCH($B19,Misc[Team],0),MATCH(W$2,Misc[#Headers],0))</f>
        <v>0.20799999999999999</v>
      </c>
      <c r="X19" s="3">
        <f>6-ROUND(INDEX(Defense[],MATCH($B19,Defense[Team],0),MATCH("Rk",Defense[#Headers],0))/6,0)</f>
        <v>5</v>
      </c>
    </row>
    <row r="20" spans="2:24" x14ac:dyDescent="0.25">
      <c r="B20" t="s">
        <v>2040</v>
      </c>
      <c r="C20" t="s">
        <v>176</v>
      </c>
      <c r="D20" s="3">
        <f>INDEX(Misc[],MATCH($B20,Misc[Team],0),MATCH("DRTG",Misc[#Headers],0))</f>
        <v>112.2</v>
      </c>
      <c r="E20">
        <f>INDEX(Defense[],MATCH($B20,Defense[Team],0),MATCH(E$2,Defense[#Headers],0))</f>
        <v>64</v>
      </c>
      <c r="F20">
        <f>INDEX(Defense[],MATCH($B20,Defense[Team],0),MATCH(F$2,Defense[#Headers],0))</f>
        <v>15560</v>
      </c>
      <c r="G20">
        <f>INDEX(Defense[],MATCH($B20,Defense[Team],0),MATCH(G$2,Defense[#Headers],0))</f>
        <v>86.3</v>
      </c>
      <c r="H20">
        <f>INDEX(Defense[],MATCH($B20,Defense[Team],0),MATCH(H$2,Defense[#Headers],0))</f>
        <v>0.47699999999999998</v>
      </c>
      <c r="I20">
        <f>INDEX(Defense[],MATCH($B20,Defense[Team],0),MATCH(I$2,Defense[#Headers],0))</f>
        <v>30.4</v>
      </c>
      <c r="J20">
        <f>INDEX(Defense[],MATCH($B20,Defense[Team],0),MATCH(J$2,Defense[#Headers],0))</f>
        <v>0.36299999999999999</v>
      </c>
      <c r="K20">
        <f>INDEX(Defense[],MATCH($B20,Defense[Team],0),MATCH(K$2,Defense[#Headers],0))</f>
        <v>24.1</v>
      </c>
      <c r="L20">
        <f>INDEX(Defense[],MATCH($B20,Defense[Team],0),MATCH(L$2,Defense[#Headers],0))</f>
        <v>0.78300000000000003</v>
      </c>
      <c r="M20">
        <f>INDEX(Defense[],MATCH($B20,Defense[Team],0),MATCH(M$2,Defense[#Headers],0))</f>
        <v>9.6999999999999993</v>
      </c>
      <c r="N20">
        <f>INDEX(Defense[],MATCH($B20,Defense[Team],0),MATCH(N$2,Defense[#Headers],0))</f>
        <v>35.5</v>
      </c>
      <c r="O20">
        <f>INDEX(Defense[],MATCH($B20,Defense[Team],0),MATCH(O$2,Defense[#Headers],0))</f>
        <v>23.3</v>
      </c>
      <c r="P20">
        <f>INDEX(Defense[],MATCH($B20,Defense[Team],0),MATCH(P$2,Defense[#Headers],0))</f>
        <v>7.4</v>
      </c>
      <c r="Q20">
        <f>INDEX(Defense[],MATCH($B20,Defense[Team],0),MATCH(Q$2,Defense[#Headers],0))</f>
        <v>5.3</v>
      </c>
      <c r="R20">
        <f>INDEX(Defense[],MATCH($B20,Defense[Team],0),MATCH(R$2,Defense[#Headers],0))</f>
        <v>14.8</v>
      </c>
      <c r="S20">
        <f>INDEX(Defense[],MATCH($B20,Defense[Team],0),MATCH(S$2,Defense[#Headers],0))</f>
        <v>20.6</v>
      </c>
      <c r="T20" s="3">
        <f>INDEX(Misc[],MATCH($B20,Misc[Team],0),MATCH(T$2,Misc[#Headers],0))</f>
        <v>0.54100000000000004</v>
      </c>
      <c r="U20" s="3">
        <f>INDEX(Misc[],MATCH($B20,Misc[Team],0),MATCH(U$2,Misc[#Headers],0))</f>
        <v>13.2</v>
      </c>
      <c r="V20" s="3">
        <f>INDEX(Misc[],MATCH($B20,Misc[Team],0),MATCH(V$2,Misc[#Headers],0))</f>
        <v>77.2</v>
      </c>
      <c r="W20" s="3">
        <f>INDEX(Misc[],MATCH($B20,Misc[Team],0),MATCH(W$2,Misc[#Headers],0))</f>
        <v>0.218</v>
      </c>
      <c r="X20" s="3">
        <f>6-ROUND(INDEX(Defense[],MATCH($B20,Defense[Team],0),MATCH("Rk",Defense[#Headers],0))/6,0)</f>
        <v>1</v>
      </c>
    </row>
    <row r="21" spans="2:24" x14ac:dyDescent="0.25">
      <c r="B21" t="s">
        <v>2041</v>
      </c>
      <c r="C21" t="s">
        <v>177</v>
      </c>
      <c r="D21" s="3">
        <f>INDEX(Misc[],MATCH($B21,Misc[Team],0),MATCH("DRTG",Misc[#Headers],0))</f>
        <v>110.8</v>
      </c>
      <c r="E21">
        <f>INDEX(Defense[],MATCH($B21,Defense[Team],0),MATCH(E$2,Defense[#Headers],0))</f>
        <v>66</v>
      </c>
      <c r="F21">
        <f>INDEX(Defense[],MATCH($B21,Defense[Team],0),MATCH(F$2,Defense[#Headers],0))</f>
        <v>15940</v>
      </c>
      <c r="G21">
        <f>INDEX(Defense[],MATCH($B21,Defense[Team],0),MATCH(G$2,Defense[#Headers],0))</f>
        <v>91.5</v>
      </c>
      <c r="H21">
        <f>INDEX(Defense[],MATCH($B21,Defense[Team],0),MATCH(H$2,Defense[#Headers],0))</f>
        <v>0.45400000000000001</v>
      </c>
      <c r="I21">
        <f>INDEX(Defense[],MATCH($B21,Defense[Team],0),MATCH(I$2,Defense[#Headers],0))</f>
        <v>34.299999999999997</v>
      </c>
      <c r="J21">
        <f>INDEX(Defense[],MATCH($B21,Defense[Team],0),MATCH(J$2,Defense[#Headers],0))</f>
        <v>0.34499999999999997</v>
      </c>
      <c r="K21">
        <f>INDEX(Defense[],MATCH($B21,Defense[Team],0),MATCH(K$2,Defense[#Headers],0))</f>
        <v>20.9</v>
      </c>
      <c r="L21">
        <f>INDEX(Defense[],MATCH($B21,Defense[Team],0),MATCH(L$2,Defense[#Headers],0))</f>
        <v>0.75700000000000001</v>
      </c>
      <c r="M21">
        <f>INDEX(Defense[],MATCH($B21,Defense[Team],0),MATCH(M$2,Defense[#Headers],0))</f>
        <v>10.8</v>
      </c>
      <c r="N21">
        <f>INDEX(Defense[],MATCH($B21,Defense[Team],0),MATCH(N$2,Defense[#Headers],0))</f>
        <v>34.700000000000003</v>
      </c>
      <c r="O21">
        <f>INDEX(Defense[],MATCH($B21,Defense[Team],0),MATCH(O$2,Defense[#Headers],0))</f>
        <v>23.8</v>
      </c>
      <c r="P21">
        <f>INDEX(Defense[],MATCH($B21,Defense[Team],0),MATCH(P$2,Defense[#Headers],0))</f>
        <v>7.1</v>
      </c>
      <c r="Q21">
        <f>INDEX(Defense[],MATCH($B21,Defense[Team],0),MATCH(Q$2,Defense[#Headers],0))</f>
        <v>4</v>
      </c>
      <c r="R21">
        <f>INDEX(Defense[],MATCH($B21,Defense[Team],0),MATCH(R$2,Defense[#Headers],0))</f>
        <v>12.2</v>
      </c>
      <c r="S21">
        <f>INDEX(Defense[],MATCH($B21,Defense[Team],0),MATCH(S$2,Defense[#Headers],0))</f>
        <v>20.9</v>
      </c>
      <c r="T21" s="3">
        <f>INDEX(Misc[],MATCH($B21,Misc[Team],0),MATCH(T$2,Misc[#Headers],0))</f>
        <v>0.51900000000000002</v>
      </c>
      <c r="U21" s="3">
        <f>INDEX(Misc[],MATCH($B21,Misc[Team],0),MATCH(U$2,Misc[#Headers],0))</f>
        <v>10.8</v>
      </c>
      <c r="V21" s="3">
        <f>INDEX(Misc[],MATCH($B21,Misc[Team],0),MATCH(V$2,Misc[#Headers],0))</f>
        <v>77.2</v>
      </c>
      <c r="W21" s="3">
        <f>INDEX(Misc[],MATCH($B21,Misc[Team],0),MATCH(W$2,Misc[#Headers],0))</f>
        <v>0.17299999999999999</v>
      </c>
      <c r="X21" s="3">
        <f>6-ROUND(INDEX(Defense[],MATCH($B21,Defense[Team],0),MATCH("Rk",Defense[#Headers],0))/6,0)</f>
        <v>3</v>
      </c>
    </row>
    <row r="22" spans="2:24" x14ac:dyDescent="0.25">
      <c r="B22" t="s">
        <v>2042</v>
      </c>
      <c r="C22" t="s">
        <v>190</v>
      </c>
      <c r="D22" s="3">
        <f>INDEX(Misc[],MATCH($B22,Misc[Team],0),MATCH("DRTG",Misc[#Headers],0))</f>
        <v>113.8</v>
      </c>
      <c r="E22">
        <f>INDEX(Defense[],MATCH($B22,Defense[Team],0),MATCH(E$2,Defense[#Headers],0))</f>
        <v>65</v>
      </c>
      <c r="F22">
        <f>INDEX(Defense[],MATCH($B22,Defense[Team],0),MATCH(F$2,Defense[#Headers],0))</f>
        <v>15725</v>
      </c>
      <c r="G22">
        <f>INDEX(Defense[],MATCH($B22,Defense[Team],0),MATCH(G$2,Defense[#Headers],0))</f>
        <v>87.6</v>
      </c>
      <c r="H22">
        <f>INDEX(Defense[],MATCH($B22,Defense[Team],0),MATCH(H$2,Defense[#Headers],0))</f>
        <v>0.47599999999999998</v>
      </c>
      <c r="I22">
        <f>INDEX(Defense[],MATCH($B22,Defense[Team],0),MATCH(I$2,Defense[#Headers],0))</f>
        <v>34.4</v>
      </c>
      <c r="J22">
        <f>INDEX(Defense[],MATCH($B22,Defense[Team],0),MATCH(J$2,Defense[#Headers],0))</f>
        <v>0.38900000000000001</v>
      </c>
      <c r="K22">
        <f>INDEX(Defense[],MATCH($B22,Defense[Team],0),MATCH(K$2,Defense[#Headers],0))</f>
        <v>21.6</v>
      </c>
      <c r="L22">
        <f>INDEX(Defense[],MATCH($B22,Defense[Team],0),MATCH(L$2,Defense[#Headers],0))</f>
        <v>0.78300000000000003</v>
      </c>
      <c r="M22">
        <f>INDEX(Defense[],MATCH($B22,Defense[Team],0),MATCH(M$2,Defense[#Headers],0))</f>
        <v>10.1</v>
      </c>
      <c r="N22">
        <f>INDEX(Defense[],MATCH($B22,Defense[Team],0),MATCH(N$2,Defense[#Headers],0))</f>
        <v>35.9</v>
      </c>
      <c r="O22">
        <f>INDEX(Defense[],MATCH($B22,Defense[Team],0),MATCH(O$2,Defense[#Headers],0))</f>
        <v>25.8</v>
      </c>
      <c r="P22">
        <f>INDEX(Defense[],MATCH($B22,Defense[Team],0),MATCH(P$2,Defense[#Headers],0))</f>
        <v>8.1999999999999993</v>
      </c>
      <c r="Q22">
        <f>INDEX(Defense[],MATCH($B22,Defense[Team],0),MATCH(Q$2,Defense[#Headers],0))</f>
        <v>4.9000000000000004</v>
      </c>
      <c r="R22">
        <f>INDEX(Defense[],MATCH($B22,Defense[Team],0),MATCH(R$2,Defense[#Headers],0))</f>
        <v>15.5</v>
      </c>
      <c r="S22">
        <f>INDEX(Defense[],MATCH($B22,Defense[Team],0),MATCH(S$2,Defense[#Headers],0))</f>
        <v>19.899999999999999</v>
      </c>
      <c r="T22" s="3">
        <f>INDEX(Misc[],MATCH($B22,Misc[Team],0),MATCH(T$2,Misc[#Headers],0))</f>
        <v>0.55300000000000005</v>
      </c>
      <c r="U22" s="3">
        <f>INDEX(Misc[],MATCH($B22,Misc[Team],0),MATCH(U$2,Misc[#Headers],0))</f>
        <v>13.7</v>
      </c>
      <c r="V22" s="3">
        <f>INDEX(Misc[],MATCH($B22,Misc[Team],0),MATCH(V$2,Misc[#Headers],0))</f>
        <v>76.400000000000006</v>
      </c>
      <c r="W22" s="3">
        <f>INDEX(Misc[],MATCH($B22,Misc[Team],0),MATCH(W$2,Misc[#Headers],0))</f>
        <v>0.193</v>
      </c>
      <c r="X22" s="3">
        <f>6-ROUND(INDEX(Defense[],MATCH($B22,Defense[Team],0),MATCH("Rk",Defense[#Headers],0))/6,0)</f>
        <v>2</v>
      </c>
    </row>
    <row r="23" spans="2:24" x14ac:dyDescent="0.25">
      <c r="B23" t="s">
        <v>2043</v>
      </c>
      <c r="C23" t="s">
        <v>178</v>
      </c>
      <c r="D23" s="3">
        <f>INDEX(Misc[],MATCH($B23,Misc[Team],0),MATCH("DRTG",Misc[#Headers],0))</f>
        <v>108.1</v>
      </c>
      <c r="E23">
        <f>INDEX(Defense[],MATCH($B23,Defense[Team],0),MATCH(E$2,Defense[#Headers],0))</f>
        <v>64</v>
      </c>
      <c r="F23">
        <f>INDEX(Defense[],MATCH($B23,Defense[Team],0),MATCH(F$2,Defense[#Headers],0))</f>
        <v>15435</v>
      </c>
      <c r="G23">
        <f>INDEX(Defense[],MATCH($B23,Defense[Team],0),MATCH(G$2,Defense[#Headers],0))</f>
        <v>86.2</v>
      </c>
      <c r="H23">
        <f>INDEX(Defense[],MATCH($B23,Defense[Team],0),MATCH(H$2,Defense[#Headers],0))</f>
        <v>0.46200000000000002</v>
      </c>
      <c r="I23">
        <f>INDEX(Defense[],MATCH($B23,Defense[Team],0),MATCH(I$2,Defense[#Headers],0))</f>
        <v>29</v>
      </c>
      <c r="J23">
        <f>INDEX(Defense[],MATCH($B23,Defense[Team],0),MATCH(J$2,Defense[#Headers],0))</f>
        <v>0.35399999999999998</v>
      </c>
      <c r="K23">
        <f>INDEX(Defense[],MATCH($B23,Defense[Team],0),MATCH(K$2,Defense[#Headers],0))</f>
        <v>24.4</v>
      </c>
      <c r="L23">
        <f>INDEX(Defense[],MATCH($B23,Defense[Team],0),MATCH(L$2,Defense[#Headers],0))</f>
        <v>0.74299999999999999</v>
      </c>
      <c r="M23">
        <f>INDEX(Defense[],MATCH($B23,Defense[Team],0),MATCH(M$2,Defense[#Headers],0))</f>
        <v>8.6999999999999993</v>
      </c>
      <c r="N23">
        <f>INDEX(Defense[],MATCH($B23,Defense[Team],0),MATCH(N$2,Defense[#Headers],0))</f>
        <v>33.700000000000003</v>
      </c>
      <c r="O23">
        <f>INDEX(Defense[],MATCH($B23,Defense[Team],0),MATCH(O$2,Defense[#Headers],0))</f>
        <v>22.8</v>
      </c>
      <c r="P23">
        <f>INDEX(Defense[],MATCH($B23,Defense[Team],0),MATCH(P$2,Defense[#Headers],0))</f>
        <v>7</v>
      </c>
      <c r="Q23">
        <f>INDEX(Defense[],MATCH($B23,Defense[Team],0),MATCH(Q$2,Defense[#Headers],0))</f>
        <v>3.9</v>
      </c>
      <c r="R23">
        <f>INDEX(Defense[],MATCH($B23,Defense[Team],0),MATCH(R$2,Defense[#Headers],0))</f>
        <v>14.2</v>
      </c>
      <c r="S23">
        <f>INDEX(Defense[],MATCH($B23,Defense[Team],0),MATCH(S$2,Defense[#Headers],0))</f>
        <v>20.399999999999999</v>
      </c>
      <c r="T23" s="3">
        <f>INDEX(Misc[],MATCH($B23,Misc[Team],0),MATCH(T$2,Misc[#Headers],0))</f>
        <v>0.52200000000000002</v>
      </c>
      <c r="U23" s="3">
        <f>INDEX(Misc[],MATCH($B23,Misc[Team],0),MATCH(U$2,Misc[#Headers],0))</f>
        <v>12.8</v>
      </c>
      <c r="V23" s="3">
        <f>INDEX(Misc[],MATCH($B23,Misc[Team],0),MATCH(V$2,Misc[#Headers],0))</f>
        <v>80.3</v>
      </c>
      <c r="W23" s="3">
        <f>INDEX(Misc[],MATCH($B23,Misc[Team],0),MATCH(W$2,Misc[#Headers],0))</f>
        <v>0.21099999999999999</v>
      </c>
      <c r="X23" s="3">
        <f>6-ROUND(INDEX(Defense[],MATCH($B23,Defense[Team],0),MATCH("Rk",Defense[#Headers],0))/6,0)</f>
        <v>5</v>
      </c>
    </row>
    <row r="24" spans="2:24" x14ac:dyDescent="0.25">
      <c r="B24" t="s">
        <v>2044</v>
      </c>
      <c r="C24" t="s">
        <v>179</v>
      </c>
      <c r="D24" s="3">
        <f>INDEX(Misc[],MATCH($B24,Misc[Team],0),MATCH("DRTG",Misc[#Headers],0))</f>
        <v>106.8</v>
      </c>
      <c r="E24">
        <f>INDEX(Defense[],MATCH($B24,Defense[Team],0),MATCH(E$2,Defense[#Headers],0))</f>
        <v>64</v>
      </c>
      <c r="F24">
        <f>INDEX(Defense[],MATCH($B24,Defense[Team],0),MATCH(F$2,Defense[#Headers],0))</f>
        <v>15485</v>
      </c>
      <c r="G24">
        <f>INDEX(Defense[],MATCH($B24,Defense[Team],0),MATCH(G$2,Defense[#Headers],0))</f>
        <v>86.7</v>
      </c>
      <c r="H24">
        <f>INDEX(Defense[],MATCH($B24,Defense[Team],0),MATCH(H$2,Defense[#Headers],0))</f>
        <v>0.442</v>
      </c>
      <c r="I24">
        <f>INDEX(Defense[],MATCH($B24,Defense[Team],0),MATCH(I$2,Defense[#Headers],0))</f>
        <v>34.4</v>
      </c>
      <c r="J24">
        <f>INDEX(Defense[],MATCH($B24,Defense[Team],0),MATCH(J$2,Defense[#Headers],0))</f>
        <v>0.34200000000000003</v>
      </c>
      <c r="K24">
        <f>INDEX(Defense[],MATCH($B24,Defense[Team],0),MATCH(K$2,Defense[#Headers],0))</f>
        <v>24.1</v>
      </c>
      <c r="L24">
        <f>INDEX(Defense[],MATCH($B24,Defense[Team],0),MATCH(L$2,Defense[#Headers],0))</f>
        <v>0.76100000000000001</v>
      </c>
      <c r="M24">
        <f>INDEX(Defense[],MATCH($B24,Defense[Team],0),MATCH(M$2,Defense[#Headers],0))</f>
        <v>10.199999999999999</v>
      </c>
      <c r="N24">
        <f>INDEX(Defense[],MATCH($B24,Defense[Team],0),MATCH(N$2,Defense[#Headers],0))</f>
        <v>34</v>
      </c>
      <c r="O24">
        <f>INDEX(Defense[],MATCH($B24,Defense[Team],0),MATCH(O$2,Defense[#Headers],0))</f>
        <v>22.2</v>
      </c>
      <c r="P24">
        <f>INDEX(Defense[],MATCH($B24,Defense[Team],0),MATCH(P$2,Defense[#Headers],0))</f>
        <v>7</v>
      </c>
      <c r="Q24">
        <f>INDEX(Defense[],MATCH($B24,Defense[Team],0),MATCH(Q$2,Defense[#Headers],0))</f>
        <v>5.6</v>
      </c>
      <c r="R24">
        <f>INDEX(Defense[],MATCH($B24,Defense[Team],0),MATCH(R$2,Defense[#Headers],0))</f>
        <v>15.3</v>
      </c>
      <c r="S24">
        <f>INDEX(Defense[],MATCH($B24,Defense[Team],0),MATCH(S$2,Defense[#Headers],0))</f>
        <v>20.6</v>
      </c>
      <c r="T24" s="3">
        <f>INDEX(Misc[],MATCH($B24,Misc[Team],0),MATCH(T$2,Misc[#Headers],0))</f>
        <v>0.51</v>
      </c>
      <c r="U24" s="3">
        <f>INDEX(Misc[],MATCH($B24,Misc[Team],0),MATCH(U$2,Misc[#Headers],0))</f>
        <v>13.6</v>
      </c>
      <c r="V24" s="3">
        <f>INDEX(Misc[],MATCH($B24,Misc[Team],0),MATCH(V$2,Misc[#Headers],0))</f>
        <v>77.5</v>
      </c>
      <c r="W24" s="3">
        <f>INDEX(Misc[],MATCH($B24,Misc[Team],0),MATCH(W$2,Misc[#Headers],0))</f>
        <v>0.21199999999999999</v>
      </c>
      <c r="X24" s="3">
        <f>6-ROUND(INDEX(Defense[],MATCH($B24,Defense[Team],0),MATCH("Rk",Defense[#Headers],0))/6,0)</f>
        <v>5</v>
      </c>
    </row>
    <row r="25" spans="2:24" x14ac:dyDescent="0.25">
      <c r="B25" t="s">
        <v>2006</v>
      </c>
      <c r="C25" t="s">
        <v>191</v>
      </c>
      <c r="D25" s="3">
        <f>INDEX(Misc[],MATCH($B25,Misc[Team],0),MATCH("DRTG",Misc[#Headers],0))</f>
        <v>105.6</v>
      </c>
      <c r="E25">
        <f>INDEX(Defense[],MATCH($B25,Defense[Team],0),MATCH(E$2,Defense[#Headers],0))</f>
        <v>63</v>
      </c>
      <c r="F25">
        <f>INDEX(Defense[],MATCH($B25,Defense[Team],0),MATCH(F$2,Defense[#Headers],0))</f>
        <v>15170</v>
      </c>
      <c r="G25">
        <f>INDEX(Defense[],MATCH($B25,Defense[Team],0),MATCH(G$2,Defense[#Headers],0))</f>
        <v>86.7</v>
      </c>
      <c r="H25">
        <f>INDEX(Defense[],MATCH($B25,Defense[Team],0),MATCH(H$2,Defense[#Headers],0))</f>
        <v>0.44400000000000001</v>
      </c>
      <c r="I25">
        <f>INDEX(Defense[],MATCH($B25,Defense[Team],0),MATCH(I$2,Defense[#Headers],0))</f>
        <v>32.6</v>
      </c>
      <c r="J25">
        <f>INDEX(Defense[],MATCH($B25,Defense[Team],0),MATCH(J$2,Defense[#Headers],0))</f>
        <v>0.34200000000000003</v>
      </c>
      <c r="K25">
        <f>INDEX(Defense[],MATCH($B25,Defense[Team],0),MATCH(K$2,Defense[#Headers],0))</f>
        <v>22.6</v>
      </c>
      <c r="L25">
        <f>INDEX(Defense[],MATCH($B25,Defense[Team],0),MATCH(L$2,Defense[#Headers],0))</f>
        <v>0.77400000000000002</v>
      </c>
      <c r="M25">
        <f>INDEX(Defense[],MATCH($B25,Defense[Team],0),MATCH(M$2,Defense[#Headers],0))</f>
        <v>9.6999999999999993</v>
      </c>
      <c r="N25">
        <f>INDEX(Defense[],MATCH($B25,Defense[Team],0),MATCH(N$2,Defense[#Headers],0))</f>
        <v>32.1</v>
      </c>
      <c r="O25">
        <f>INDEX(Defense[],MATCH($B25,Defense[Team],0),MATCH(O$2,Defense[#Headers],0))</f>
        <v>23</v>
      </c>
      <c r="P25">
        <f>INDEX(Defense[],MATCH($B25,Defense[Team],0),MATCH(P$2,Defense[#Headers],0))</f>
        <v>8.1</v>
      </c>
      <c r="Q25">
        <f>INDEX(Defense[],MATCH($B25,Defense[Team],0),MATCH(Q$2,Defense[#Headers],0))</f>
        <v>3.7</v>
      </c>
      <c r="R25">
        <f>INDEX(Defense[],MATCH($B25,Defense[Team],0),MATCH(R$2,Defense[#Headers],0))</f>
        <v>15.5</v>
      </c>
      <c r="S25">
        <f>INDEX(Defense[],MATCH($B25,Defense[Team],0),MATCH(S$2,Defense[#Headers],0))</f>
        <v>21.2</v>
      </c>
      <c r="T25" s="3">
        <f>INDEX(Misc[],MATCH($B25,Misc[Team],0),MATCH(T$2,Misc[#Headers],0))</f>
        <v>0.50900000000000001</v>
      </c>
      <c r="U25" s="3">
        <f>INDEX(Misc[],MATCH($B25,Misc[Team],0),MATCH(U$2,Misc[#Headers],0))</f>
        <v>13.8</v>
      </c>
      <c r="V25" s="3">
        <f>INDEX(Misc[],MATCH($B25,Misc[Team],0),MATCH(V$2,Misc[#Headers],0))</f>
        <v>78.400000000000006</v>
      </c>
      <c r="W25" s="3">
        <f>INDEX(Misc[],MATCH($B25,Misc[Team],0),MATCH(W$2,Misc[#Headers],0))</f>
        <v>0.20200000000000001</v>
      </c>
      <c r="X25" s="3">
        <f>6-ROUND(INDEX(Defense[],MATCH($B25,Defense[Team],0),MATCH("Rk",Defense[#Headers],0))/6,0)</f>
        <v>6</v>
      </c>
    </row>
    <row r="26" spans="2:24" x14ac:dyDescent="0.25">
      <c r="B26" t="s">
        <v>2045</v>
      </c>
      <c r="C26" t="s">
        <v>180</v>
      </c>
      <c r="D26" s="3">
        <f>INDEX(Misc[],MATCH($B26,Misc[Team],0),MATCH("DRTG",Misc[#Headers],0))</f>
        <v>110.4</v>
      </c>
      <c r="E26">
        <f>INDEX(Defense[],MATCH($B26,Defense[Team],0),MATCH(E$2,Defense[#Headers],0))</f>
        <v>65</v>
      </c>
      <c r="F26">
        <f>INDEX(Defense[],MATCH($B26,Defense[Team],0),MATCH(F$2,Defense[#Headers],0))</f>
        <v>15625</v>
      </c>
      <c r="G26">
        <f>INDEX(Defense[],MATCH($B26,Defense[Team],0),MATCH(G$2,Defense[#Headers],0))</f>
        <v>88.1</v>
      </c>
      <c r="H26">
        <f>INDEX(Defense[],MATCH($B26,Defense[Team],0),MATCH(H$2,Defense[#Headers],0))</f>
        <v>0.45</v>
      </c>
      <c r="I26">
        <f>INDEX(Defense[],MATCH($B26,Defense[Team],0),MATCH(I$2,Defense[#Headers],0))</f>
        <v>34.200000000000003</v>
      </c>
      <c r="J26">
        <f>INDEX(Defense[],MATCH($B26,Defense[Team],0),MATCH(J$2,Defense[#Headers],0))</f>
        <v>0.36299999999999999</v>
      </c>
      <c r="K26">
        <f>INDEX(Defense[],MATCH($B26,Defense[Team],0),MATCH(K$2,Defense[#Headers],0))</f>
        <v>23.8</v>
      </c>
      <c r="L26">
        <f>INDEX(Defense[],MATCH($B26,Defense[Team],0),MATCH(L$2,Defense[#Headers],0))</f>
        <v>0.78600000000000003</v>
      </c>
      <c r="M26">
        <f>INDEX(Defense[],MATCH($B26,Defense[Team],0),MATCH(M$2,Defense[#Headers],0))</f>
        <v>10.199999999999999</v>
      </c>
      <c r="N26">
        <f>INDEX(Defense[],MATCH($B26,Defense[Team],0),MATCH(N$2,Defense[#Headers],0))</f>
        <v>33.5</v>
      </c>
      <c r="O26">
        <f>INDEX(Defense[],MATCH($B26,Defense[Team],0),MATCH(O$2,Defense[#Headers],0))</f>
        <v>24.1</v>
      </c>
      <c r="P26">
        <f>INDEX(Defense[],MATCH($B26,Defense[Team],0),MATCH(P$2,Defense[#Headers],0))</f>
        <v>7.7</v>
      </c>
      <c r="Q26">
        <f>INDEX(Defense[],MATCH($B26,Defense[Team],0),MATCH(Q$2,Defense[#Headers],0))</f>
        <v>5.2</v>
      </c>
      <c r="R26">
        <f>INDEX(Defense[],MATCH($B26,Defense[Team],0),MATCH(R$2,Defense[#Headers],0))</f>
        <v>14.2</v>
      </c>
      <c r="S26">
        <f>INDEX(Defense[],MATCH($B26,Defense[Team],0),MATCH(S$2,Defense[#Headers],0))</f>
        <v>19.2</v>
      </c>
      <c r="T26" s="3">
        <f>INDEX(Misc[],MATCH($B26,Misc[Team],0),MATCH(T$2,Misc[#Headers],0))</f>
        <v>0.52</v>
      </c>
      <c r="U26" s="3">
        <f>INDEX(Misc[],MATCH($B26,Misc[Team],0),MATCH(U$2,Misc[#Headers],0))</f>
        <v>12.6</v>
      </c>
      <c r="V26" s="3">
        <f>INDEX(Misc[],MATCH($B26,Misc[Team],0),MATCH(V$2,Misc[#Headers],0))</f>
        <v>77.599999999999994</v>
      </c>
      <c r="W26" s="3">
        <f>INDEX(Misc[],MATCH($B26,Misc[Team],0),MATCH(W$2,Misc[#Headers],0))</f>
        <v>0.21299999999999999</v>
      </c>
      <c r="X26" s="3">
        <f>6-ROUND(INDEX(Defense[],MATCH($B26,Defense[Team],0),MATCH("Rk",Defense[#Headers],0))/6,0)</f>
        <v>2</v>
      </c>
    </row>
    <row r="27" spans="2:24" x14ac:dyDescent="0.25">
      <c r="B27" t="s">
        <v>2046</v>
      </c>
      <c r="C27" t="s">
        <v>181</v>
      </c>
      <c r="D27" s="3">
        <f>INDEX(Misc[],MATCH($B27,Misc[Team],0),MATCH("DRTG",Misc[#Headers],0))</f>
        <v>115.4</v>
      </c>
      <c r="E27">
        <f>INDEX(Defense[],MATCH($B27,Defense[Team],0),MATCH(E$2,Defense[#Headers],0))</f>
        <v>65</v>
      </c>
      <c r="F27">
        <f>INDEX(Defense[],MATCH($B27,Defense[Team],0),MATCH(F$2,Defense[#Headers],0))</f>
        <v>15725</v>
      </c>
      <c r="G27">
        <f>INDEX(Defense[],MATCH($B27,Defense[Team],0),MATCH(G$2,Defense[#Headers],0))</f>
        <v>89.9</v>
      </c>
      <c r="H27">
        <f>INDEX(Defense[],MATCH($B27,Defense[Team],0),MATCH(H$2,Defense[#Headers],0))</f>
        <v>0.49099999999999999</v>
      </c>
      <c r="I27">
        <f>INDEX(Defense[],MATCH($B27,Defense[Team],0),MATCH(I$2,Defense[#Headers],0))</f>
        <v>33.200000000000003</v>
      </c>
      <c r="J27">
        <f>INDEX(Defense[],MATCH($B27,Defense[Team],0),MATCH(J$2,Defense[#Headers],0))</f>
        <v>0.375</v>
      </c>
      <c r="K27">
        <f>INDEX(Defense[],MATCH($B27,Defense[Team],0),MATCH(K$2,Defense[#Headers],0))</f>
        <v>19.3</v>
      </c>
      <c r="L27">
        <f>INDEX(Defense[],MATCH($B27,Defense[Team],0),MATCH(L$2,Defense[#Headers],0))</f>
        <v>0.76700000000000002</v>
      </c>
      <c r="M27">
        <f>INDEX(Defense[],MATCH($B27,Defense[Team],0),MATCH(M$2,Defense[#Headers],0))</f>
        <v>9.8000000000000007</v>
      </c>
      <c r="N27">
        <f>INDEX(Defense[],MATCH($B27,Defense[Team],0),MATCH(N$2,Defense[#Headers],0))</f>
        <v>33.299999999999997</v>
      </c>
      <c r="O27">
        <f>INDEX(Defense[],MATCH($B27,Defense[Team],0),MATCH(O$2,Defense[#Headers],0))</f>
        <v>26.3</v>
      </c>
      <c r="P27">
        <f>INDEX(Defense[],MATCH($B27,Defense[Team],0),MATCH(P$2,Defense[#Headers],0))</f>
        <v>9.5</v>
      </c>
      <c r="Q27">
        <f>INDEX(Defense[],MATCH($B27,Defense[Team],0),MATCH(Q$2,Defense[#Headers],0))</f>
        <v>6.4</v>
      </c>
      <c r="R27">
        <f>INDEX(Defense[],MATCH($B27,Defense[Team],0),MATCH(R$2,Defense[#Headers],0))</f>
        <v>13.1</v>
      </c>
      <c r="S27">
        <f>INDEX(Defense[],MATCH($B27,Defense[Team],0),MATCH(S$2,Defense[#Headers],0))</f>
        <v>19.8</v>
      </c>
      <c r="T27" s="3">
        <f>INDEX(Misc[],MATCH($B27,Misc[Team],0),MATCH(T$2,Misc[#Headers],0))</f>
        <v>0.56000000000000005</v>
      </c>
      <c r="U27" s="3">
        <f>INDEX(Misc[],MATCH($B27,Misc[Team],0),MATCH(U$2,Misc[#Headers],0))</f>
        <v>11.7</v>
      </c>
      <c r="V27" s="3">
        <f>INDEX(Misc[],MATCH($B27,Misc[Team],0),MATCH(V$2,Misc[#Headers],0))</f>
        <v>77.400000000000006</v>
      </c>
      <c r="W27" s="3">
        <f>INDEX(Misc[],MATCH($B27,Misc[Team],0),MATCH(W$2,Misc[#Headers],0))</f>
        <v>0.16400000000000001</v>
      </c>
      <c r="X27" s="3">
        <f>6-ROUND(INDEX(Defense[],MATCH($B27,Defense[Team],0),MATCH("Rk",Defense[#Headers],0))/6,0)</f>
        <v>2</v>
      </c>
    </row>
    <row r="28" spans="2:24" x14ac:dyDescent="0.25">
      <c r="B28" t="s">
        <v>2047</v>
      </c>
      <c r="C28" t="s">
        <v>182</v>
      </c>
      <c r="D28" s="3">
        <f>INDEX(Misc[],MATCH($B28,Misc[Team],0),MATCH("DRTG",Misc[#Headers],0))</f>
        <v>109.4</v>
      </c>
      <c r="E28">
        <f>INDEX(Defense[],MATCH($B28,Defense[Team],0),MATCH(E$2,Defense[#Headers],0))</f>
        <v>64</v>
      </c>
      <c r="F28">
        <f>INDEX(Defense[],MATCH($B28,Defense[Team],0),MATCH(F$2,Defense[#Headers],0))</f>
        <v>15510</v>
      </c>
      <c r="G28">
        <f>INDEX(Defense[],MATCH($B28,Defense[Team],0),MATCH(G$2,Defense[#Headers],0))</f>
        <v>87.8</v>
      </c>
      <c r="H28">
        <f>INDEX(Defense[],MATCH($B28,Defense[Team],0),MATCH(H$2,Defense[#Headers],0))</f>
        <v>0.45900000000000002</v>
      </c>
      <c r="I28">
        <f>INDEX(Defense[],MATCH($B28,Defense[Team],0),MATCH(I$2,Defense[#Headers],0))</f>
        <v>34.200000000000003</v>
      </c>
      <c r="J28">
        <f>INDEX(Defense[],MATCH($B28,Defense[Team],0),MATCH(J$2,Defense[#Headers],0))</f>
        <v>0.34599999999999997</v>
      </c>
      <c r="K28">
        <f>INDEX(Defense[],MATCH($B28,Defense[Team],0),MATCH(K$2,Defense[#Headers],0))</f>
        <v>22.5</v>
      </c>
      <c r="L28">
        <f>INDEX(Defense[],MATCH($B28,Defense[Team],0),MATCH(L$2,Defense[#Headers],0))</f>
        <v>0.75700000000000001</v>
      </c>
      <c r="M28">
        <f>INDEX(Defense[],MATCH($B28,Defense[Team],0),MATCH(M$2,Defense[#Headers],0))</f>
        <v>10.199999999999999</v>
      </c>
      <c r="N28">
        <f>INDEX(Defense[],MATCH($B28,Defense[Team],0),MATCH(N$2,Defense[#Headers],0))</f>
        <v>33.4</v>
      </c>
      <c r="O28">
        <f>INDEX(Defense[],MATCH($B28,Defense[Team],0),MATCH(O$2,Defense[#Headers],0))</f>
        <v>25.5</v>
      </c>
      <c r="P28">
        <f>INDEX(Defense[],MATCH($B28,Defense[Team],0),MATCH(P$2,Defense[#Headers],0))</f>
        <v>7.2</v>
      </c>
      <c r="Q28">
        <f>INDEX(Defense[],MATCH($B28,Defense[Team],0),MATCH(Q$2,Defense[#Headers],0))</f>
        <v>4.5999999999999996</v>
      </c>
      <c r="R28">
        <f>INDEX(Defense[],MATCH($B28,Defense[Team],0),MATCH(R$2,Defense[#Headers],0))</f>
        <v>14.6</v>
      </c>
      <c r="S28">
        <f>INDEX(Defense[],MATCH($B28,Defense[Team],0),MATCH(S$2,Defense[#Headers],0))</f>
        <v>20.5</v>
      </c>
      <c r="T28" s="3">
        <f>INDEX(Misc[],MATCH($B28,Misc[Team],0),MATCH(T$2,Misc[#Headers],0))</f>
        <v>0.52600000000000002</v>
      </c>
      <c r="U28" s="3">
        <f>INDEX(Misc[],MATCH($B28,Misc[Team],0),MATCH(U$2,Misc[#Headers],0))</f>
        <v>13</v>
      </c>
      <c r="V28" s="3">
        <f>INDEX(Misc[],MATCH($B28,Misc[Team],0),MATCH(V$2,Misc[#Headers],0))</f>
        <v>77.099999999999994</v>
      </c>
      <c r="W28" s="3">
        <f>INDEX(Misc[],MATCH($B28,Misc[Team],0),MATCH(W$2,Misc[#Headers],0))</f>
        <v>0.19400000000000001</v>
      </c>
      <c r="X28" s="3">
        <f>6-ROUND(INDEX(Defense[],MATCH($B28,Defense[Team],0),MATCH("Rk",Defense[#Headers],0))/6,0)</f>
        <v>5</v>
      </c>
    </row>
    <row r="29" spans="2:24" x14ac:dyDescent="0.25">
      <c r="B29" t="s">
        <v>2048</v>
      </c>
      <c r="C29" t="s">
        <v>183</v>
      </c>
      <c r="D29" s="3">
        <f>INDEX(Misc[],MATCH($B29,Misc[Team],0),MATCH("DRTG",Misc[#Headers],0))</f>
        <v>108.3</v>
      </c>
      <c r="E29">
        <f>INDEX(Defense[],MATCH($B29,Defense[Team],0),MATCH(E$2,Defense[#Headers],0))</f>
        <v>65</v>
      </c>
      <c r="F29">
        <f>INDEX(Defense[],MATCH($B29,Defense[Team],0),MATCH(F$2,Defense[#Headers],0))</f>
        <v>15700</v>
      </c>
      <c r="G29">
        <f>INDEX(Defense[],MATCH($B29,Defense[Team],0),MATCH(G$2,Defense[#Headers],0))</f>
        <v>88.9</v>
      </c>
      <c r="H29">
        <f>INDEX(Defense[],MATCH($B29,Defense[Team],0),MATCH(H$2,Defense[#Headers],0))</f>
        <v>0.44800000000000001</v>
      </c>
      <c r="I29">
        <f>INDEX(Defense[],MATCH($B29,Defense[Team],0),MATCH(I$2,Defense[#Headers],0))</f>
        <v>33.5</v>
      </c>
      <c r="J29">
        <f>INDEX(Defense[],MATCH($B29,Defense[Team],0),MATCH(J$2,Defense[#Headers],0))</f>
        <v>0.34499999999999997</v>
      </c>
      <c r="K29">
        <f>INDEX(Defense[],MATCH($B29,Defense[Team],0),MATCH(K$2,Defense[#Headers],0))</f>
        <v>21.8</v>
      </c>
      <c r="L29">
        <f>INDEX(Defense[],MATCH($B29,Defense[Team],0),MATCH(L$2,Defense[#Headers],0))</f>
        <v>0.78900000000000003</v>
      </c>
      <c r="M29">
        <f>INDEX(Defense[],MATCH($B29,Defense[Team],0),MATCH(M$2,Defense[#Headers],0))</f>
        <v>10.199999999999999</v>
      </c>
      <c r="N29">
        <f>INDEX(Defense[],MATCH($B29,Defense[Team],0),MATCH(N$2,Defense[#Headers],0))</f>
        <v>34.9</v>
      </c>
      <c r="O29">
        <f>INDEX(Defense[],MATCH($B29,Defense[Team],0),MATCH(O$2,Defense[#Headers],0))</f>
        <v>23.4</v>
      </c>
      <c r="P29">
        <f>INDEX(Defense[],MATCH($B29,Defense[Team],0),MATCH(P$2,Defense[#Headers],0))</f>
        <v>6.9</v>
      </c>
      <c r="Q29">
        <f>INDEX(Defense[],MATCH($B29,Defense[Team],0),MATCH(Q$2,Defense[#Headers],0))</f>
        <v>4.5</v>
      </c>
      <c r="R29">
        <f>INDEX(Defense[],MATCH($B29,Defense[Team],0),MATCH(R$2,Defense[#Headers],0))</f>
        <v>14.5</v>
      </c>
      <c r="S29">
        <f>INDEX(Defense[],MATCH($B29,Defense[Team],0),MATCH(S$2,Defense[#Headers],0))</f>
        <v>18.8</v>
      </c>
      <c r="T29" s="3">
        <f>INDEX(Misc[],MATCH($B29,Misc[Team],0),MATCH(T$2,Misc[#Headers],0))</f>
        <v>0.51300000000000001</v>
      </c>
      <c r="U29" s="3">
        <f>INDEX(Misc[],MATCH($B29,Misc[Team],0),MATCH(U$2,Misc[#Headers],0))</f>
        <v>12.8</v>
      </c>
      <c r="V29" s="3">
        <f>INDEX(Misc[],MATCH($B29,Misc[Team],0),MATCH(V$2,Misc[#Headers],0))</f>
        <v>77.099999999999994</v>
      </c>
      <c r="W29" s="3">
        <f>INDEX(Misc[],MATCH($B29,Misc[Team],0),MATCH(W$2,Misc[#Headers],0))</f>
        <v>0.193</v>
      </c>
      <c r="X29" s="3">
        <f>6-ROUND(INDEX(Defense[],MATCH($B29,Defense[Team],0),MATCH("Rk",Defense[#Headers],0))/6,0)</f>
        <v>4</v>
      </c>
    </row>
    <row r="30" spans="2:24" x14ac:dyDescent="0.25">
      <c r="B30" t="s">
        <v>2049</v>
      </c>
      <c r="C30" t="s">
        <v>184</v>
      </c>
      <c r="D30" s="3">
        <f>INDEX(Misc[],MATCH($B30,Misc[Team],0),MATCH("DRTG",Misc[#Headers],0))</f>
        <v>114.7</v>
      </c>
      <c r="E30">
        <f>INDEX(Defense[],MATCH($B30,Defense[Team],0),MATCH(E$2,Defense[#Headers],0))</f>
        <v>66</v>
      </c>
      <c r="F30">
        <f>INDEX(Defense[],MATCH($B30,Defense[Team],0),MATCH(F$2,Defense[#Headers],0))</f>
        <v>16015</v>
      </c>
      <c r="G30">
        <f>INDEX(Defense[],MATCH($B30,Defense[Team],0),MATCH(G$2,Defense[#Headers],0))</f>
        <v>87.1</v>
      </c>
      <c r="H30">
        <f>INDEX(Defense[],MATCH($B30,Defense[Team],0),MATCH(H$2,Defense[#Headers],0))</f>
        <v>0.47699999999999998</v>
      </c>
      <c r="I30">
        <f>INDEX(Defense[],MATCH($B30,Defense[Team],0),MATCH(I$2,Defense[#Headers],0))</f>
        <v>31.5</v>
      </c>
      <c r="J30">
        <f>INDEX(Defense[],MATCH($B30,Defense[Team],0),MATCH(J$2,Defense[#Headers],0))</f>
        <v>0.36299999999999999</v>
      </c>
      <c r="K30">
        <f>INDEX(Defense[],MATCH($B30,Defense[Team],0),MATCH(K$2,Defense[#Headers],0))</f>
        <v>26.3</v>
      </c>
      <c r="L30">
        <f>INDEX(Defense[],MATCH($B30,Defense[Team],0),MATCH(L$2,Defense[#Headers],0))</f>
        <v>0.77200000000000002</v>
      </c>
      <c r="M30">
        <f>INDEX(Defense[],MATCH($B30,Defense[Team],0),MATCH(M$2,Defense[#Headers],0))</f>
        <v>10.8</v>
      </c>
      <c r="N30">
        <f>INDEX(Defense[],MATCH($B30,Defense[Team],0),MATCH(N$2,Defense[#Headers],0))</f>
        <v>34.4</v>
      </c>
      <c r="O30">
        <f>INDEX(Defense[],MATCH($B30,Defense[Team],0),MATCH(O$2,Defense[#Headers],0))</f>
        <v>23.9</v>
      </c>
      <c r="P30">
        <f>INDEX(Defense[],MATCH($B30,Defense[Team],0),MATCH(P$2,Defense[#Headers],0))</f>
        <v>8.5</v>
      </c>
      <c r="Q30">
        <f>INDEX(Defense[],MATCH($B30,Defense[Team],0),MATCH(Q$2,Defense[#Headers],0))</f>
        <v>6.1</v>
      </c>
      <c r="R30">
        <f>INDEX(Defense[],MATCH($B30,Defense[Team],0),MATCH(R$2,Defense[#Headers],0))</f>
        <v>14.5</v>
      </c>
      <c r="S30">
        <f>INDEX(Defense[],MATCH($B30,Defense[Team],0),MATCH(S$2,Defense[#Headers],0))</f>
        <v>20.100000000000001</v>
      </c>
      <c r="T30" s="3">
        <f>INDEX(Misc[],MATCH($B30,Misc[Team],0),MATCH(T$2,Misc[#Headers],0))</f>
        <v>0.54200000000000004</v>
      </c>
      <c r="U30" s="3">
        <f>INDEX(Misc[],MATCH($B30,Misc[Team],0),MATCH(U$2,Misc[#Headers],0))</f>
        <v>12.8</v>
      </c>
      <c r="V30" s="3">
        <f>INDEX(Misc[],MATCH($B30,Misc[Team],0),MATCH(V$2,Misc[#Headers],0))</f>
        <v>74.8</v>
      </c>
      <c r="W30" s="3">
        <f>INDEX(Misc[],MATCH($B30,Misc[Team],0),MATCH(W$2,Misc[#Headers],0))</f>
        <v>0.23300000000000001</v>
      </c>
      <c r="X30" s="3">
        <f>6-ROUND(INDEX(Defense[],MATCH($B30,Defense[Team],0),MATCH("Rk",Defense[#Headers],0))/6,0)</f>
        <v>1</v>
      </c>
    </row>
    <row r="31" spans="2:24" x14ac:dyDescent="0.25">
      <c r="B31" t="s">
        <v>2050</v>
      </c>
      <c r="C31" t="s">
        <v>185</v>
      </c>
      <c r="D31" s="3">
        <f>INDEX(Misc[],MATCH($B31,Misc[Team],0),MATCH("DRTG",Misc[#Headers],0))</f>
        <v>109</v>
      </c>
      <c r="E31">
        <f>INDEX(Defense[],MATCH($B31,Defense[Team],0),MATCH(E$2,Defense[#Headers],0))</f>
        <v>65</v>
      </c>
      <c r="F31">
        <f>INDEX(Defense[],MATCH($B31,Defense[Team],0),MATCH(F$2,Defense[#Headers],0))</f>
        <v>15625</v>
      </c>
      <c r="G31">
        <f>INDEX(Defense[],MATCH($B31,Defense[Team],0),MATCH(G$2,Defense[#Headers],0))</f>
        <v>87.9</v>
      </c>
      <c r="H31">
        <f>INDEX(Defense[],MATCH($B31,Defense[Team],0),MATCH(H$2,Defense[#Headers],0))</f>
        <v>0.46300000000000002</v>
      </c>
      <c r="I31">
        <f>INDEX(Defense[],MATCH($B31,Defense[Team],0),MATCH(I$2,Defense[#Headers],0))</f>
        <v>33.9</v>
      </c>
      <c r="J31">
        <f>INDEX(Defense[],MATCH($B31,Defense[Team],0),MATCH(J$2,Defense[#Headers],0))</f>
        <v>0.37</v>
      </c>
      <c r="K31">
        <f>INDEX(Defense[],MATCH($B31,Defense[Team],0),MATCH(K$2,Defense[#Headers],0))</f>
        <v>19.399999999999999</v>
      </c>
      <c r="L31">
        <f>INDEX(Defense[],MATCH($B31,Defense[Team],0),MATCH(L$2,Defense[#Headers],0))</f>
        <v>0.77200000000000002</v>
      </c>
      <c r="M31">
        <f>INDEX(Defense[],MATCH($B31,Defense[Team],0),MATCH(M$2,Defense[#Headers],0))</f>
        <v>9.1999999999999993</v>
      </c>
      <c r="N31">
        <f>INDEX(Defense[],MATCH($B31,Defense[Team],0),MATCH(N$2,Defense[#Headers],0))</f>
        <v>36.5</v>
      </c>
      <c r="O31">
        <f>INDEX(Defense[],MATCH($B31,Defense[Team],0),MATCH(O$2,Defense[#Headers],0))</f>
        <v>24.9</v>
      </c>
      <c r="P31">
        <f>INDEX(Defense[],MATCH($B31,Defense[Team],0),MATCH(P$2,Defense[#Headers],0))</f>
        <v>7.1</v>
      </c>
      <c r="Q31">
        <f>INDEX(Defense[],MATCH($B31,Defense[Team],0),MATCH(Q$2,Defense[#Headers],0))</f>
        <v>4.9000000000000004</v>
      </c>
      <c r="R31">
        <f>INDEX(Defense[],MATCH($B31,Defense[Team],0),MATCH(R$2,Defense[#Headers],0))</f>
        <v>15.1</v>
      </c>
      <c r="S31">
        <f>INDEX(Defense[],MATCH($B31,Defense[Team],0),MATCH(S$2,Defense[#Headers],0))</f>
        <v>19.5</v>
      </c>
      <c r="T31" s="3">
        <f>INDEX(Misc[],MATCH($B31,Misc[Team],0),MATCH(T$2,Misc[#Headers],0))</f>
        <v>0.53500000000000003</v>
      </c>
      <c r="U31" s="3">
        <f>INDEX(Misc[],MATCH($B31,Misc[Team],0),MATCH(U$2,Misc[#Headers],0))</f>
        <v>13.5</v>
      </c>
      <c r="V31" s="3">
        <f>INDEX(Misc[],MATCH($B31,Misc[Team],0),MATCH(V$2,Misc[#Headers],0))</f>
        <v>79</v>
      </c>
      <c r="W31" s="3">
        <f>INDEX(Misc[],MATCH($B31,Misc[Team],0),MATCH(W$2,Misc[#Headers],0))</f>
        <v>0.17</v>
      </c>
      <c r="X31" s="3">
        <f>6-ROUND(INDEX(Defense[],MATCH($B31,Defense[Team],0),MATCH("Rk",Defense[#Headers],0))/6,0)</f>
        <v>4</v>
      </c>
    </row>
    <row r="32" spans="2:24" x14ac:dyDescent="0.25">
      <c r="B32" t="s">
        <v>2051</v>
      </c>
      <c r="C32" t="s">
        <v>192</v>
      </c>
      <c r="D32" s="3">
        <f>INDEX(Misc[],MATCH($B32,Misc[Team],0),MATCH("DRTG",Misc[#Headers],0))</f>
        <v>113.7</v>
      </c>
      <c r="E32">
        <f>INDEX(Defense[],MATCH($B32,Defense[Team],0),MATCH(E$2,Defense[#Headers],0))</f>
        <v>63</v>
      </c>
      <c r="F32">
        <f>INDEX(Defense[],MATCH($B32,Defense[Team],0),MATCH(F$2,Defense[#Headers],0))</f>
        <v>15295</v>
      </c>
      <c r="G32">
        <f>INDEX(Defense[],MATCH($B32,Defense[Team],0),MATCH(G$2,Defense[#Headers],0))</f>
        <v>88.9</v>
      </c>
      <c r="H32">
        <f>INDEX(Defense[],MATCH($B32,Defense[Team],0),MATCH(H$2,Defense[#Headers],0))</f>
        <v>0.46899999999999997</v>
      </c>
      <c r="I32">
        <f>INDEX(Defense[],MATCH($B32,Defense[Team],0),MATCH(I$2,Defense[#Headers],0))</f>
        <v>34.5</v>
      </c>
      <c r="J32">
        <f>INDEX(Defense[],MATCH($B32,Defense[Team],0),MATCH(J$2,Defense[#Headers],0))</f>
        <v>0.376</v>
      </c>
      <c r="K32">
        <f>INDEX(Defense[],MATCH($B32,Defense[Team],0),MATCH(K$2,Defense[#Headers],0))</f>
        <v>22.4</v>
      </c>
      <c r="L32">
        <f>INDEX(Defense[],MATCH($B32,Defense[Team],0),MATCH(L$2,Defense[#Headers],0))</f>
        <v>0.77</v>
      </c>
      <c r="M32">
        <f>INDEX(Defense[],MATCH($B32,Defense[Team],0),MATCH(M$2,Defense[#Headers],0))</f>
        <v>9.3000000000000007</v>
      </c>
      <c r="N32">
        <f>INDEX(Defense[],MATCH($B32,Defense[Team],0),MATCH(N$2,Defense[#Headers],0))</f>
        <v>35.9</v>
      </c>
      <c r="O32">
        <f>INDEX(Defense[],MATCH($B32,Defense[Team],0),MATCH(O$2,Defense[#Headers],0))</f>
        <v>25.4</v>
      </c>
      <c r="P32">
        <f>INDEX(Defense[],MATCH($B32,Defense[Team],0),MATCH(P$2,Defense[#Headers],0))</f>
        <v>6.7</v>
      </c>
      <c r="Q32">
        <f>INDEX(Defense[],MATCH($B32,Defense[Team],0),MATCH(Q$2,Defense[#Headers],0))</f>
        <v>4.3</v>
      </c>
      <c r="R32">
        <f>INDEX(Defense[],MATCH($B32,Defense[Team],0),MATCH(R$2,Defense[#Headers],0))</f>
        <v>12.8</v>
      </c>
      <c r="S32">
        <f>INDEX(Defense[],MATCH($B32,Defense[Team],0),MATCH(S$2,Defense[#Headers],0))</f>
        <v>19.5</v>
      </c>
      <c r="T32" s="3">
        <f>INDEX(Misc[],MATCH($B32,Misc[Team],0),MATCH(T$2,Misc[#Headers],0))</f>
        <v>0.54200000000000004</v>
      </c>
      <c r="U32" s="3">
        <f>INDEX(Misc[],MATCH($B32,Misc[Team],0),MATCH(U$2,Misc[#Headers],0))</f>
        <v>11.5</v>
      </c>
      <c r="V32" s="3">
        <f>INDEX(Misc[],MATCH($B32,Misc[Team],0),MATCH(V$2,Misc[#Headers],0))</f>
        <v>79.2</v>
      </c>
      <c r="W32" s="3">
        <f>INDEX(Misc[],MATCH($B32,Misc[Team],0),MATCH(W$2,Misc[#Headers],0))</f>
        <v>0.19400000000000001</v>
      </c>
      <c r="X32" s="3">
        <f>6-ROUND(INDEX(Defense[],MATCH($B32,Defense[Team],0),MATCH("Rk",Defense[#Headers],0))/6,0)</f>
        <v>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32"/>
  <sheetViews>
    <sheetView topLeftCell="K1" workbookViewId="0">
      <selection activeCell="N2" sqref="N2:R32"/>
    </sheetView>
  </sheetViews>
  <sheetFormatPr defaultRowHeight="15" x14ac:dyDescent="0.25"/>
  <cols>
    <col min="2" max="2" width="12.42578125" bestFit="1" customWidth="1"/>
    <col min="3" max="3" width="14.140625" customWidth="1"/>
    <col min="4" max="4" width="9.5703125" customWidth="1"/>
    <col min="5" max="5" width="10.85546875" customWidth="1"/>
    <col min="6" max="6" width="10.7109375" customWidth="1"/>
    <col min="7" max="7" width="13.42578125" bestFit="1" customWidth="1"/>
    <col min="8" max="8" width="12.42578125" bestFit="1" customWidth="1"/>
    <col min="9" max="9" width="14.140625" customWidth="1"/>
    <col min="10" max="10" width="9.5703125" customWidth="1"/>
    <col min="11" max="11" width="10.85546875" customWidth="1"/>
    <col min="12" max="12" width="10.7109375" customWidth="1"/>
    <col min="14" max="14" width="12.42578125" bestFit="1" customWidth="1"/>
    <col min="15" max="15" width="13.140625" customWidth="1"/>
    <col min="16" max="16" width="10.42578125" customWidth="1"/>
    <col min="17" max="17" width="7.85546875" customWidth="1"/>
    <col min="18" max="18" width="9.5703125" customWidth="1"/>
    <col min="20" max="20" width="12.42578125" customWidth="1"/>
    <col min="21" max="21" width="13.140625" customWidth="1"/>
    <col min="22" max="22" width="10.42578125" customWidth="1"/>
    <col min="23" max="23" width="7.85546875" customWidth="1"/>
    <col min="24" max="24" width="9.5703125" customWidth="1"/>
    <col min="26" max="26" width="12.42578125" customWidth="1"/>
    <col min="27" max="27" width="13.140625" customWidth="1"/>
    <col min="28" max="28" width="10.42578125" customWidth="1"/>
    <col min="29" max="29" width="7.85546875" customWidth="1"/>
    <col min="30" max="30" width="9.5703125" customWidth="1"/>
    <col min="32" max="32" width="12.42578125" customWidth="1"/>
    <col min="33" max="33" width="13.140625" customWidth="1"/>
    <col min="34" max="34" width="10.42578125" customWidth="1"/>
    <col min="35" max="35" width="7.85546875" customWidth="1"/>
    <col min="36" max="36" width="9.5703125" customWidth="1"/>
  </cols>
  <sheetData>
    <row r="1" spans="2:36" x14ac:dyDescent="0.25">
      <c r="B1" s="178" t="s">
        <v>1314</v>
      </c>
      <c r="C1" s="178"/>
      <c r="D1" s="178"/>
      <c r="E1" s="178"/>
      <c r="F1" s="178"/>
      <c r="H1" s="178" t="s">
        <v>1315</v>
      </c>
      <c r="I1" s="178"/>
      <c r="J1" s="178"/>
      <c r="K1" s="178"/>
      <c r="L1" s="178"/>
      <c r="N1" s="178" t="s">
        <v>1316</v>
      </c>
      <c r="O1" s="178"/>
      <c r="P1" s="178"/>
      <c r="Q1" s="178"/>
      <c r="R1" s="178"/>
      <c r="T1" s="178" t="s">
        <v>1322</v>
      </c>
      <c r="U1" s="178"/>
      <c r="V1" s="178"/>
      <c r="W1" s="178"/>
      <c r="X1" s="178"/>
      <c r="Z1" s="178" t="s">
        <v>1325</v>
      </c>
      <c r="AA1" s="178"/>
      <c r="AB1" s="178"/>
      <c r="AC1" s="178"/>
      <c r="AD1" s="178"/>
      <c r="AF1" s="178" t="s">
        <v>1326</v>
      </c>
      <c r="AG1" s="178"/>
      <c r="AH1" s="178"/>
      <c r="AI1" s="178"/>
      <c r="AJ1" s="178"/>
    </row>
    <row r="2" spans="2:36" x14ac:dyDescent="0.25">
      <c r="B2" s="1" t="s">
        <v>1</v>
      </c>
      <c r="C2" s="1" t="s">
        <v>1274</v>
      </c>
      <c r="D2" s="1" t="s">
        <v>1275</v>
      </c>
      <c r="E2" s="1" t="s">
        <v>1276</v>
      </c>
      <c r="F2" s="1" t="s">
        <v>1277</v>
      </c>
      <c r="H2" s="1" t="s">
        <v>1</v>
      </c>
      <c r="I2" s="1" t="s">
        <v>1274</v>
      </c>
      <c r="J2" s="1" t="s">
        <v>1275</v>
      </c>
      <c r="K2" s="1" t="s">
        <v>1276</v>
      </c>
      <c r="L2" s="1" t="s">
        <v>1277</v>
      </c>
      <c r="N2" s="1" t="s">
        <v>1</v>
      </c>
      <c r="O2" s="1" t="s">
        <v>1309</v>
      </c>
      <c r="P2" s="1" t="s">
        <v>1273</v>
      </c>
      <c r="Q2" s="1" t="s">
        <v>60</v>
      </c>
      <c r="R2" s="1" t="s">
        <v>1310</v>
      </c>
      <c r="T2" s="1" t="s">
        <v>1</v>
      </c>
      <c r="U2" s="1" t="s">
        <v>1309</v>
      </c>
      <c r="V2" s="1" t="s">
        <v>1273</v>
      </c>
      <c r="W2" s="1" t="s">
        <v>60</v>
      </c>
      <c r="X2" s="1" t="s">
        <v>1310</v>
      </c>
      <c r="Z2" s="1" t="s">
        <v>1</v>
      </c>
      <c r="AA2" s="1" t="s">
        <v>1309</v>
      </c>
      <c r="AB2" s="1" t="s">
        <v>1273</v>
      </c>
      <c r="AC2" s="1" t="s">
        <v>60</v>
      </c>
      <c r="AD2" s="1" t="s">
        <v>1310</v>
      </c>
      <c r="AF2" s="1" t="s">
        <v>1</v>
      </c>
      <c r="AG2" s="1" t="s">
        <v>1309</v>
      </c>
      <c r="AH2" s="1" t="s">
        <v>1273</v>
      </c>
      <c r="AI2" s="1" t="s">
        <v>60</v>
      </c>
      <c r="AJ2" s="1" t="s">
        <v>1310</v>
      </c>
    </row>
    <row r="3" spans="2:36" x14ac:dyDescent="0.25">
      <c r="B3" s="1" t="s">
        <v>1278</v>
      </c>
      <c r="C3" s="1" t="s">
        <v>1972</v>
      </c>
      <c r="D3" s="1">
        <v>0.68799999999999994</v>
      </c>
      <c r="E3" s="1">
        <v>0.312</v>
      </c>
      <c r="F3" s="1">
        <v>2.2999999999999998</v>
      </c>
      <c r="H3" s="1" t="s">
        <v>1298</v>
      </c>
      <c r="I3" s="1" t="s">
        <v>1866</v>
      </c>
      <c r="J3" s="1">
        <v>0.67700000000000005</v>
      </c>
      <c r="K3" s="1">
        <v>0.32300000000000001</v>
      </c>
      <c r="L3" s="1">
        <v>9</v>
      </c>
      <c r="N3" s="1" t="s">
        <v>1294</v>
      </c>
      <c r="O3" s="1" t="s">
        <v>2092</v>
      </c>
      <c r="P3" s="1">
        <v>0.66700000000000004</v>
      </c>
      <c r="Q3" s="1">
        <v>5.9</v>
      </c>
      <c r="R3" s="1">
        <v>1.7</v>
      </c>
      <c r="T3" s="1" t="s">
        <v>1285</v>
      </c>
      <c r="U3" s="1" t="s">
        <v>1318</v>
      </c>
      <c r="V3" s="1">
        <v>1</v>
      </c>
      <c r="W3" s="1">
        <v>3</v>
      </c>
      <c r="X3" s="1">
        <v>5.5</v>
      </c>
      <c r="Z3" s="1" t="s">
        <v>1305</v>
      </c>
      <c r="AA3" s="1" t="s">
        <v>1318</v>
      </c>
      <c r="AB3" s="1">
        <v>1</v>
      </c>
      <c r="AC3" s="1">
        <v>6</v>
      </c>
      <c r="AD3" s="1">
        <v>0.5</v>
      </c>
      <c r="AF3" s="1" t="s">
        <v>1302</v>
      </c>
      <c r="AG3" s="1" t="s">
        <v>1936</v>
      </c>
      <c r="AH3" s="1">
        <v>0.88900000000000001</v>
      </c>
      <c r="AI3" s="1">
        <v>10.199999999999999</v>
      </c>
      <c r="AJ3" s="1">
        <v>13.4</v>
      </c>
    </row>
    <row r="4" spans="2:36" x14ac:dyDescent="0.25">
      <c r="B4" s="1" t="s">
        <v>1280</v>
      </c>
      <c r="C4" s="1" t="s">
        <v>1868</v>
      </c>
      <c r="D4" s="1">
        <v>0.67700000000000005</v>
      </c>
      <c r="E4" s="1">
        <v>0.32300000000000001</v>
      </c>
      <c r="F4" s="1">
        <v>5.6</v>
      </c>
      <c r="H4" s="1" t="s">
        <v>1307</v>
      </c>
      <c r="I4" s="1" t="s">
        <v>2096</v>
      </c>
      <c r="J4" s="1">
        <v>0.65600000000000003</v>
      </c>
      <c r="K4" s="1">
        <v>0.34399999999999997</v>
      </c>
      <c r="L4" s="1">
        <v>3</v>
      </c>
      <c r="N4" s="1" t="s">
        <v>1292</v>
      </c>
      <c r="O4" s="1" t="s">
        <v>2015</v>
      </c>
      <c r="P4" s="1">
        <v>0.66700000000000004</v>
      </c>
      <c r="Q4" s="1">
        <v>1.4</v>
      </c>
      <c r="R4" s="1">
        <v>-1.8</v>
      </c>
      <c r="T4" s="1" t="s">
        <v>1295</v>
      </c>
      <c r="U4" s="1" t="s">
        <v>1317</v>
      </c>
      <c r="V4" s="1">
        <v>1</v>
      </c>
      <c r="W4" s="1">
        <v>2.5</v>
      </c>
      <c r="X4" s="1">
        <v>7.5</v>
      </c>
      <c r="Z4" s="1" t="s">
        <v>1286</v>
      </c>
      <c r="AA4" s="1" t="s">
        <v>1760</v>
      </c>
      <c r="AB4" s="1">
        <v>0.875</v>
      </c>
      <c r="AC4" s="1">
        <v>9.1</v>
      </c>
      <c r="AD4" s="1">
        <v>3.6</v>
      </c>
      <c r="AF4" s="1" t="s">
        <v>1284</v>
      </c>
      <c r="AG4" s="1" t="s">
        <v>1937</v>
      </c>
      <c r="AH4" s="1">
        <v>0.79200000000000004</v>
      </c>
      <c r="AI4" s="1">
        <v>-2.2999999999999998</v>
      </c>
      <c r="AJ4" s="1">
        <v>2.6</v>
      </c>
    </row>
    <row r="5" spans="2:36" x14ac:dyDescent="0.25">
      <c r="B5" s="1" t="s">
        <v>1281</v>
      </c>
      <c r="C5" s="1" t="s">
        <v>1973</v>
      </c>
      <c r="D5" s="1">
        <v>0.63600000000000001</v>
      </c>
      <c r="E5" s="1">
        <v>0.36399999999999999</v>
      </c>
      <c r="F5" s="1">
        <v>3.7</v>
      </c>
      <c r="H5" s="1" t="s">
        <v>1282</v>
      </c>
      <c r="I5" s="1" t="s">
        <v>1964</v>
      </c>
      <c r="J5" s="1">
        <v>0.64500000000000002</v>
      </c>
      <c r="K5" s="1">
        <v>0.35499999999999998</v>
      </c>
      <c r="L5" s="1">
        <v>5.6</v>
      </c>
      <c r="N5" s="1" t="s">
        <v>1280</v>
      </c>
      <c r="O5" s="1" t="s">
        <v>1864</v>
      </c>
      <c r="P5" s="1">
        <v>0.65400000000000003</v>
      </c>
      <c r="Q5" s="1">
        <v>10.1</v>
      </c>
      <c r="R5" s="1">
        <v>3.2</v>
      </c>
      <c r="T5" s="1" t="s">
        <v>1291</v>
      </c>
      <c r="U5" s="1" t="s">
        <v>1766</v>
      </c>
      <c r="V5" s="1">
        <v>1</v>
      </c>
      <c r="W5" s="1">
        <v>15.8</v>
      </c>
      <c r="X5" s="1">
        <v>18</v>
      </c>
      <c r="Z5" s="1" t="s">
        <v>1306</v>
      </c>
      <c r="AA5" s="1" t="s">
        <v>1720</v>
      </c>
      <c r="AB5" s="1">
        <v>0.8</v>
      </c>
      <c r="AC5" s="1">
        <v>5.8</v>
      </c>
      <c r="AD5" s="1">
        <v>3.6</v>
      </c>
      <c r="AF5" s="1" t="s">
        <v>1291</v>
      </c>
      <c r="AG5" s="1" t="s">
        <v>1719</v>
      </c>
      <c r="AH5" s="1">
        <v>0.71399999999999997</v>
      </c>
      <c r="AI5" s="1">
        <v>0.9</v>
      </c>
      <c r="AJ5" s="1">
        <v>4.9000000000000004</v>
      </c>
    </row>
    <row r="6" spans="2:36" x14ac:dyDescent="0.25">
      <c r="B6" s="1" t="s">
        <v>1292</v>
      </c>
      <c r="C6" s="1" t="s">
        <v>2020</v>
      </c>
      <c r="D6" s="1">
        <v>0.60599999999999998</v>
      </c>
      <c r="E6" s="1">
        <v>0.39400000000000002</v>
      </c>
      <c r="F6" s="1">
        <v>2.2999999999999998</v>
      </c>
      <c r="H6" s="1" t="s">
        <v>1299</v>
      </c>
      <c r="I6" s="1" t="s">
        <v>2097</v>
      </c>
      <c r="J6" s="1">
        <v>0.625</v>
      </c>
      <c r="K6" s="1">
        <v>0.375</v>
      </c>
      <c r="L6" s="1">
        <v>8</v>
      </c>
      <c r="N6" s="1" t="s">
        <v>1287</v>
      </c>
      <c r="O6" s="1" t="s">
        <v>1691</v>
      </c>
      <c r="P6" s="1">
        <v>0.621</v>
      </c>
      <c r="Q6" s="1">
        <v>10.7</v>
      </c>
      <c r="R6" s="1">
        <v>3.9</v>
      </c>
      <c r="T6" s="1" t="s">
        <v>1293</v>
      </c>
      <c r="U6" s="1" t="s">
        <v>1319</v>
      </c>
      <c r="V6" s="1">
        <v>1</v>
      </c>
      <c r="W6" s="1">
        <v>13.3</v>
      </c>
      <c r="X6" s="1">
        <v>16</v>
      </c>
      <c r="Z6" s="1" t="s">
        <v>1281</v>
      </c>
      <c r="AA6" s="1" t="s">
        <v>2088</v>
      </c>
      <c r="AB6" s="1">
        <v>0.70599999999999996</v>
      </c>
      <c r="AC6" s="1">
        <v>9.4</v>
      </c>
      <c r="AD6" s="1">
        <v>4.4000000000000004</v>
      </c>
      <c r="AF6" s="1" t="s">
        <v>1301</v>
      </c>
      <c r="AG6" s="1" t="s">
        <v>1643</v>
      </c>
      <c r="AH6" s="1">
        <v>0.7</v>
      </c>
      <c r="AI6" s="1">
        <v>2.9</v>
      </c>
      <c r="AJ6" s="1">
        <v>7.5</v>
      </c>
    </row>
    <row r="7" spans="2:36" x14ac:dyDescent="0.25">
      <c r="B7" s="1" t="s">
        <v>1279</v>
      </c>
      <c r="C7" s="1" t="s">
        <v>2098</v>
      </c>
      <c r="D7" s="1">
        <v>0.59399999999999997</v>
      </c>
      <c r="E7" s="1">
        <v>0.40600000000000003</v>
      </c>
      <c r="F7" s="1">
        <v>4.9000000000000004</v>
      </c>
      <c r="H7" s="1" t="s">
        <v>1292</v>
      </c>
      <c r="I7" s="1" t="s">
        <v>1807</v>
      </c>
      <c r="J7" s="1">
        <v>0.57599999999999996</v>
      </c>
      <c r="K7" s="1">
        <v>0.42399999999999999</v>
      </c>
      <c r="L7" s="1">
        <v>3.8</v>
      </c>
      <c r="N7" s="1" t="s">
        <v>1288</v>
      </c>
      <c r="O7" s="1" t="s">
        <v>1675</v>
      </c>
      <c r="P7" s="1">
        <v>0.61299999999999999</v>
      </c>
      <c r="Q7" s="1">
        <v>14.7</v>
      </c>
      <c r="R7" s="1">
        <v>3.3</v>
      </c>
      <c r="T7" s="1" t="s">
        <v>1280</v>
      </c>
      <c r="U7" s="1" t="s">
        <v>1804</v>
      </c>
      <c r="V7" s="1">
        <v>0.75</v>
      </c>
      <c r="W7" s="1">
        <v>9.1999999999999993</v>
      </c>
      <c r="X7" s="1">
        <v>13.1</v>
      </c>
      <c r="Z7" s="1" t="s">
        <v>1307</v>
      </c>
      <c r="AA7" s="1" t="s">
        <v>1643</v>
      </c>
      <c r="AB7" s="1">
        <v>0.7</v>
      </c>
      <c r="AC7" s="1">
        <v>7.3</v>
      </c>
      <c r="AD7" s="1">
        <v>3.9</v>
      </c>
      <c r="AF7" s="1" t="s">
        <v>1300</v>
      </c>
      <c r="AG7" s="1" t="s">
        <v>1938</v>
      </c>
      <c r="AH7" s="1">
        <v>0.65400000000000003</v>
      </c>
      <c r="AI7" s="1">
        <v>-3.7</v>
      </c>
      <c r="AJ7" s="1">
        <v>2.7</v>
      </c>
    </row>
    <row r="8" spans="2:36" x14ac:dyDescent="0.25">
      <c r="B8" s="1" t="s">
        <v>1293</v>
      </c>
      <c r="C8" s="1" t="s">
        <v>1725</v>
      </c>
      <c r="D8" s="1">
        <v>0.58599999999999997</v>
      </c>
      <c r="E8" s="1">
        <v>0.41399999999999998</v>
      </c>
      <c r="F8" s="1">
        <v>-0.9</v>
      </c>
      <c r="H8" s="1" t="s">
        <v>1286</v>
      </c>
      <c r="I8" s="1" t="s">
        <v>1965</v>
      </c>
      <c r="J8" s="1">
        <v>0.56200000000000006</v>
      </c>
      <c r="K8" s="1">
        <v>0.438</v>
      </c>
      <c r="L8" s="1">
        <v>-0.8</v>
      </c>
      <c r="N8" s="1" t="s">
        <v>1293</v>
      </c>
      <c r="O8" s="1" t="s">
        <v>1721</v>
      </c>
      <c r="P8" s="1">
        <v>0.6</v>
      </c>
      <c r="Q8" s="1">
        <v>9.8000000000000007</v>
      </c>
      <c r="R8" s="1">
        <v>1.9</v>
      </c>
      <c r="T8" s="1" t="s">
        <v>1296</v>
      </c>
      <c r="U8" s="1" t="s">
        <v>1445</v>
      </c>
      <c r="V8" s="1">
        <v>0.63600000000000001</v>
      </c>
      <c r="W8" s="1">
        <v>-0.5</v>
      </c>
      <c r="X8" s="1">
        <v>4.0999999999999996</v>
      </c>
      <c r="Z8" s="1" t="s">
        <v>1290</v>
      </c>
      <c r="AA8" s="1" t="s">
        <v>1945</v>
      </c>
      <c r="AB8" s="1">
        <v>0.64700000000000002</v>
      </c>
      <c r="AC8" s="1">
        <v>5.0999999999999996</v>
      </c>
      <c r="AD8" s="1">
        <v>0.7</v>
      </c>
      <c r="AF8" s="1" t="s">
        <v>1281</v>
      </c>
      <c r="AG8" s="1" t="s">
        <v>1761</v>
      </c>
      <c r="AH8" s="1">
        <v>0.61499999999999999</v>
      </c>
      <c r="AI8" s="1">
        <v>1.4</v>
      </c>
      <c r="AJ8" s="1">
        <v>6.5</v>
      </c>
    </row>
    <row r="9" spans="2:36" x14ac:dyDescent="0.25">
      <c r="B9" s="1" t="s">
        <v>1289</v>
      </c>
      <c r="C9" s="1" t="s">
        <v>1974</v>
      </c>
      <c r="D9" s="1">
        <v>0.58299999999999996</v>
      </c>
      <c r="E9" s="1">
        <v>0.41699999999999998</v>
      </c>
      <c r="F9" s="1">
        <v>3.5</v>
      </c>
      <c r="H9" s="1" t="s">
        <v>1306</v>
      </c>
      <c r="I9" s="1" t="s">
        <v>1965</v>
      </c>
      <c r="J9" s="1">
        <v>0.56200000000000006</v>
      </c>
      <c r="K9" s="1">
        <v>0.438</v>
      </c>
      <c r="L9" s="1">
        <v>1.9</v>
      </c>
      <c r="N9" s="1" t="s">
        <v>1302</v>
      </c>
      <c r="O9" s="1" t="s">
        <v>2093</v>
      </c>
      <c r="P9" s="1">
        <v>0.56699999999999995</v>
      </c>
      <c r="Q9" s="1">
        <v>9.3000000000000007</v>
      </c>
      <c r="R9" s="1">
        <v>-0.3</v>
      </c>
      <c r="T9" s="1" t="s">
        <v>1286</v>
      </c>
      <c r="U9" s="1" t="s">
        <v>1445</v>
      </c>
      <c r="V9" s="1">
        <v>0.63600000000000001</v>
      </c>
      <c r="W9" s="1">
        <v>-4.3</v>
      </c>
      <c r="X9" s="1">
        <v>0.4</v>
      </c>
      <c r="Z9" s="1" t="s">
        <v>1295</v>
      </c>
      <c r="AA9" s="1" t="s">
        <v>2089</v>
      </c>
      <c r="AB9" s="1">
        <v>0.63600000000000001</v>
      </c>
      <c r="AC9" s="1">
        <v>8.6</v>
      </c>
      <c r="AD9" s="1">
        <v>3.3</v>
      </c>
      <c r="AF9" s="1" t="s">
        <v>1285</v>
      </c>
      <c r="AG9" s="1" t="s">
        <v>1939</v>
      </c>
      <c r="AH9" s="1">
        <v>0.58299999999999996</v>
      </c>
      <c r="AI9" s="1">
        <v>-3.4</v>
      </c>
      <c r="AJ9" s="1">
        <v>0.2</v>
      </c>
    </row>
    <row r="10" spans="2:36" x14ac:dyDescent="0.25">
      <c r="B10" s="1" t="s">
        <v>1282</v>
      </c>
      <c r="C10" s="1" t="s">
        <v>2099</v>
      </c>
      <c r="D10" s="1">
        <v>0.56699999999999995</v>
      </c>
      <c r="E10" s="1">
        <v>0.433</v>
      </c>
      <c r="F10" s="1">
        <v>3.6</v>
      </c>
      <c r="H10" s="1" t="s">
        <v>1281</v>
      </c>
      <c r="I10" s="1" t="s">
        <v>1965</v>
      </c>
      <c r="J10" s="1">
        <v>0.56200000000000006</v>
      </c>
      <c r="K10" s="1">
        <v>0.438</v>
      </c>
      <c r="L10" s="1">
        <v>2.6</v>
      </c>
      <c r="N10" s="1" t="s">
        <v>1306</v>
      </c>
      <c r="O10" s="1" t="s">
        <v>1960</v>
      </c>
      <c r="P10" s="1">
        <v>0.55600000000000005</v>
      </c>
      <c r="Q10" s="1">
        <v>3.3</v>
      </c>
      <c r="R10" s="1">
        <v>-0.2</v>
      </c>
      <c r="T10" s="1" t="s">
        <v>1292</v>
      </c>
      <c r="U10" s="1" t="s">
        <v>1674</v>
      </c>
      <c r="V10" s="1">
        <v>0.6</v>
      </c>
      <c r="W10" s="1">
        <v>-4</v>
      </c>
      <c r="X10" s="1">
        <v>1.7</v>
      </c>
      <c r="Z10" s="1" t="s">
        <v>1291</v>
      </c>
      <c r="AA10" s="1" t="s">
        <v>2090</v>
      </c>
      <c r="AB10" s="1">
        <v>0.625</v>
      </c>
      <c r="AC10" s="1">
        <v>6.7</v>
      </c>
      <c r="AD10" s="1">
        <v>1.6</v>
      </c>
      <c r="AF10" s="1" t="s">
        <v>1307</v>
      </c>
      <c r="AG10" s="1" t="s">
        <v>2083</v>
      </c>
      <c r="AH10" s="1">
        <v>0.56499999999999995</v>
      </c>
      <c r="AI10" s="1">
        <v>-5.2</v>
      </c>
      <c r="AJ10" s="1">
        <v>0.3</v>
      </c>
    </row>
    <row r="11" spans="2:36" x14ac:dyDescent="0.25">
      <c r="B11" s="1" t="s">
        <v>1286</v>
      </c>
      <c r="C11" s="1" t="s">
        <v>1965</v>
      </c>
      <c r="D11" s="1">
        <v>0.56200000000000006</v>
      </c>
      <c r="E11" s="1">
        <v>0.438</v>
      </c>
      <c r="F11" s="1">
        <v>4</v>
      </c>
      <c r="H11" s="1" t="s">
        <v>1287</v>
      </c>
      <c r="I11" s="1" t="s">
        <v>2018</v>
      </c>
      <c r="J11" s="1">
        <v>0.54800000000000004</v>
      </c>
      <c r="K11" s="1">
        <v>0.45200000000000001</v>
      </c>
      <c r="L11" s="1">
        <v>-3.6</v>
      </c>
      <c r="N11" s="1" t="s">
        <v>1298</v>
      </c>
      <c r="O11" s="1" t="s">
        <v>2094</v>
      </c>
      <c r="P11" s="1">
        <v>0.53800000000000003</v>
      </c>
      <c r="Q11" s="1">
        <v>0.9</v>
      </c>
      <c r="R11" s="1">
        <v>-3.1</v>
      </c>
      <c r="T11" s="1" t="s">
        <v>1298</v>
      </c>
      <c r="U11" s="1" t="s">
        <v>1954</v>
      </c>
      <c r="V11" s="1">
        <v>0.57899999999999996</v>
      </c>
      <c r="W11" s="1">
        <v>-1.7</v>
      </c>
      <c r="X11" s="1">
        <v>4.0999999999999996</v>
      </c>
      <c r="Z11" s="1" t="s">
        <v>1299</v>
      </c>
      <c r="AA11" s="1" t="s">
        <v>1323</v>
      </c>
      <c r="AB11" s="1">
        <v>0.6</v>
      </c>
      <c r="AC11" s="1">
        <v>5.8</v>
      </c>
      <c r="AD11" s="1">
        <v>1.7</v>
      </c>
      <c r="AF11" s="1" t="s">
        <v>1303</v>
      </c>
      <c r="AG11" s="1" t="s">
        <v>1692</v>
      </c>
      <c r="AH11" s="1">
        <v>0.54800000000000004</v>
      </c>
      <c r="AI11" s="1">
        <v>-8.6999999999999993</v>
      </c>
      <c r="AJ11" s="1">
        <v>0.2</v>
      </c>
    </row>
    <row r="12" spans="2:36" x14ac:dyDescent="0.25">
      <c r="B12" s="1" t="s">
        <v>1283</v>
      </c>
      <c r="C12" s="1" t="s">
        <v>1975</v>
      </c>
      <c r="D12" s="1">
        <v>0.55900000000000005</v>
      </c>
      <c r="E12" s="1">
        <v>0.441</v>
      </c>
      <c r="F12" s="1">
        <v>0.2</v>
      </c>
      <c r="H12" s="1" t="s">
        <v>1297</v>
      </c>
      <c r="I12" s="1" t="s">
        <v>1692</v>
      </c>
      <c r="J12" s="1">
        <v>0.54800000000000004</v>
      </c>
      <c r="K12" s="1">
        <v>0.45200000000000001</v>
      </c>
      <c r="L12" s="1">
        <v>1.9</v>
      </c>
      <c r="N12" s="1" t="s">
        <v>1304</v>
      </c>
      <c r="O12" s="1" t="s">
        <v>2016</v>
      </c>
      <c r="P12" s="1">
        <v>0.53600000000000003</v>
      </c>
      <c r="Q12" s="1">
        <v>6.8</v>
      </c>
      <c r="R12" s="1">
        <v>-1</v>
      </c>
      <c r="T12" s="1" t="s">
        <v>1284</v>
      </c>
      <c r="U12" s="1" t="s">
        <v>1541</v>
      </c>
      <c r="V12" s="1">
        <v>0.54500000000000004</v>
      </c>
      <c r="W12" s="1">
        <v>-1.3</v>
      </c>
      <c r="X12" s="1">
        <v>2.2000000000000002</v>
      </c>
      <c r="Z12" s="1" t="s">
        <v>1294</v>
      </c>
      <c r="AA12" s="1" t="s">
        <v>1323</v>
      </c>
      <c r="AB12" s="1">
        <v>0.6</v>
      </c>
      <c r="AC12" s="1">
        <v>6</v>
      </c>
      <c r="AD12" s="1">
        <v>4</v>
      </c>
      <c r="AF12" s="1" t="s">
        <v>1283</v>
      </c>
      <c r="AG12" s="1" t="s">
        <v>2084</v>
      </c>
      <c r="AH12" s="1">
        <v>0.54500000000000004</v>
      </c>
      <c r="AI12" s="1">
        <v>-4.2</v>
      </c>
      <c r="AJ12" s="1">
        <v>2.8</v>
      </c>
    </row>
    <row r="13" spans="2:36" x14ac:dyDescent="0.25">
      <c r="B13" s="1" t="s">
        <v>1300</v>
      </c>
      <c r="C13" s="1" t="s">
        <v>1692</v>
      </c>
      <c r="D13" s="1">
        <v>0.54800000000000004</v>
      </c>
      <c r="E13" s="1">
        <v>0.45200000000000001</v>
      </c>
      <c r="F13" s="1">
        <v>0.8</v>
      </c>
      <c r="H13" s="1" t="s">
        <v>1290</v>
      </c>
      <c r="I13" s="1" t="s">
        <v>1966</v>
      </c>
      <c r="J13" s="1">
        <v>0.54500000000000004</v>
      </c>
      <c r="K13" s="1">
        <v>0.45500000000000002</v>
      </c>
      <c r="L13" s="1">
        <v>2.2999999999999998</v>
      </c>
      <c r="N13" s="1" t="s">
        <v>1295</v>
      </c>
      <c r="O13" s="1" t="s">
        <v>1762</v>
      </c>
      <c r="P13" s="1">
        <v>0.53300000000000003</v>
      </c>
      <c r="Q13" s="1">
        <v>9.5</v>
      </c>
      <c r="R13" s="1">
        <v>0</v>
      </c>
      <c r="T13" s="1" t="s">
        <v>1306</v>
      </c>
      <c r="U13" s="1" t="s">
        <v>1955</v>
      </c>
      <c r="V13" s="1">
        <v>0.54200000000000004</v>
      </c>
      <c r="W13" s="1">
        <v>-8.1999999999999993</v>
      </c>
      <c r="X13" s="1">
        <v>-2.4</v>
      </c>
      <c r="Z13" s="1" t="s">
        <v>1284</v>
      </c>
      <c r="AA13" s="1" t="s">
        <v>1688</v>
      </c>
      <c r="AB13" s="1">
        <v>0.57099999999999995</v>
      </c>
      <c r="AC13" s="1">
        <v>11.9</v>
      </c>
      <c r="AD13" s="1">
        <v>6.1</v>
      </c>
      <c r="AF13" s="1" t="s">
        <v>1287</v>
      </c>
      <c r="AG13" s="1" t="s">
        <v>1833</v>
      </c>
      <c r="AH13" s="1">
        <v>0.53300000000000003</v>
      </c>
      <c r="AI13" s="1">
        <v>0.7</v>
      </c>
      <c r="AJ13" s="1">
        <v>5.3</v>
      </c>
    </row>
    <row r="14" spans="2:36" x14ac:dyDescent="0.25">
      <c r="B14" s="1" t="s">
        <v>1290</v>
      </c>
      <c r="C14" s="1" t="s">
        <v>2018</v>
      </c>
      <c r="D14" s="1">
        <v>0.54800000000000004</v>
      </c>
      <c r="E14" s="1">
        <v>0.45200000000000001</v>
      </c>
      <c r="F14" s="1">
        <v>1.3</v>
      </c>
      <c r="H14" s="1" t="s">
        <v>1302</v>
      </c>
      <c r="I14" s="1" t="s">
        <v>1771</v>
      </c>
      <c r="J14" s="1">
        <v>0.53100000000000003</v>
      </c>
      <c r="K14" s="1">
        <v>0.46899999999999997</v>
      </c>
      <c r="L14" s="1">
        <v>1.1000000000000001</v>
      </c>
      <c r="N14" s="1" t="s">
        <v>1279</v>
      </c>
      <c r="O14" s="1" t="s">
        <v>2095</v>
      </c>
      <c r="P14" s="1">
        <v>0.52400000000000002</v>
      </c>
      <c r="Q14" s="1">
        <v>5.7</v>
      </c>
      <c r="R14" s="1">
        <v>0.2</v>
      </c>
      <c r="T14" s="1" t="s">
        <v>1300</v>
      </c>
      <c r="U14" s="1" t="s">
        <v>1956</v>
      </c>
      <c r="V14" s="1">
        <v>0.53300000000000003</v>
      </c>
      <c r="W14" s="1">
        <v>-3.6</v>
      </c>
      <c r="X14" s="1">
        <v>0.2</v>
      </c>
      <c r="Z14" s="1" t="s">
        <v>1300</v>
      </c>
      <c r="AA14" s="1" t="s">
        <v>1688</v>
      </c>
      <c r="AB14" s="1">
        <v>0.57099999999999995</v>
      </c>
      <c r="AC14" s="1">
        <v>5.6</v>
      </c>
      <c r="AD14" s="1">
        <v>1.9</v>
      </c>
      <c r="AF14" s="1" t="s">
        <v>1290</v>
      </c>
      <c r="AG14" s="1" t="s">
        <v>1833</v>
      </c>
      <c r="AH14" s="1">
        <v>0.53300000000000003</v>
      </c>
      <c r="AI14" s="1">
        <v>-7.3</v>
      </c>
      <c r="AJ14" s="1">
        <v>-2.2000000000000002</v>
      </c>
    </row>
    <row r="15" spans="2:36" x14ac:dyDescent="0.25">
      <c r="B15" s="1" t="s">
        <v>1287</v>
      </c>
      <c r="C15" s="1" t="s">
        <v>1771</v>
      </c>
      <c r="D15" s="1">
        <v>0.53100000000000003</v>
      </c>
      <c r="E15" s="1">
        <v>0.46899999999999997</v>
      </c>
      <c r="F15" s="1">
        <v>3.9</v>
      </c>
      <c r="H15" s="1" t="s">
        <v>1280</v>
      </c>
      <c r="I15" s="1" t="s">
        <v>1967</v>
      </c>
      <c r="J15" s="1">
        <v>0.53100000000000003</v>
      </c>
      <c r="K15" s="1">
        <v>0.46899999999999997</v>
      </c>
      <c r="L15" s="1">
        <v>0.4</v>
      </c>
      <c r="N15" s="1" t="s">
        <v>1291</v>
      </c>
      <c r="O15" s="1" t="s">
        <v>1722</v>
      </c>
      <c r="P15" s="1">
        <v>0.51800000000000002</v>
      </c>
      <c r="Q15" s="1">
        <v>7.1</v>
      </c>
      <c r="R15" s="1">
        <v>-0.3</v>
      </c>
      <c r="T15" s="1" t="s">
        <v>1305</v>
      </c>
      <c r="U15" s="1" t="s">
        <v>1957</v>
      </c>
      <c r="V15" s="1">
        <v>0.52</v>
      </c>
      <c r="W15" s="1">
        <v>-6.1</v>
      </c>
      <c r="X15" s="1">
        <v>-1.3</v>
      </c>
      <c r="Z15" s="1" t="s">
        <v>1288</v>
      </c>
      <c r="AA15" s="1" t="s">
        <v>1604</v>
      </c>
      <c r="AB15" s="1">
        <v>0.53600000000000003</v>
      </c>
      <c r="AC15" s="1">
        <v>10</v>
      </c>
      <c r="AD15" s="1">
        <v>1.5</v>
      </c>
      <c r="AF15" s="1" t="s">
        <v>1297</v>
      </c>
      <c r="AG15" s="1" t="s">
        <v>1940</v>
      </c>
      <c r="AH15" s="1">
        <v>0.52200000000000002</v>
      </c>
      <c r="AI15" s="1">
        <v>-5.9</v>
      </c>
      <c r="AJ15" s="1">
        <v>0</v>
      </c>
    </row>
    <row r="16" spans="2:36" x14ac:dyDescent="0.25">
      <c r="B16" s="1" t="s">
        <v>1285</v>
      </c>
      <c r="C16" s="1" t="s">
        <v>1690</v>
      </c>
      <c r="D16" s="1">
        <v>0.51600000000000001</v>
      </c>
      <c r="E16" s="1">
        <v>0.48399999999999999</v>
      </c>
      <c r="F16" s="1">
        <v>-1.3</v>
      </c>
      <c r="H16" s="1" t="s">
        <v>1279</v>
      </c>
      <c r="I16" s="1" t="s">
        <v>1968</v>
      </c>
      <c r="J16" s="1">
        <v>0.52900000000000003</v>
      </c>
      <c r="K16" s="1">
        <v>0.47099999999999997</v>
      </c>
      <c r="L16" s="1">
        <v>-0.3</v>
      </c>
      <c r="N16" s="1" t="s">
        <v>1290</v>
      </c>
      <c r="O16" s="1" t="s">
        <v>1722</v>
      </c>
      <c r="P16" s="1">
        <v>0.51800000000000002</v>
      </c>
      <c r="Q16" s="1">
        <v>6.1</v>
      </c>
      <c r="R16" s="1">
        <v>0.5</v>
      </c>
      <c r="T16" s="1" t="s">
        <v>1289</v>
      </c>
      <c r="U16" s="1" t="s">
        <v>1834</v>
      </c>
      <c r="V16" s="1">
        <v>0.51800000000000002</v>
      </c>
      <c r="W16" s="1">
        <v>-6.1</v>
      </c>
      <c r="X16" s="1">
        <v>-0.3</v>
      </c>
      <c r="Z16" s="1" t="s">
        <v>1283</v>
      </c>
      <c r="AA16" s="1" t="s">
        <v>1644</v>
      </c>
      <c r="AB16" s="1">
        <v>0.5</v>
      </c>
      <c r="AC16" s="1">
        <v>0.1</v>
      </c>
      <c r="AD16" s="1">
        <v>-2.6</v>
      </c>
      <c r="AF16" s="1" t="s">
        <v>1289</v>
      </c>
      <c r="AG16" s="1" t="s">
        <v>2085</v>
      </c>
      <c r="AH16" s="1">
        <v>0.51700000000000002</v>
      </c>
      <c r="AI16" s="1">
        <v>-9.6</v>
      </c>
      <c r="AJ16" s="1">
        <v>0.3</v>
      </c>
    </row>
    <row r="17" spans="2:36" x14ac:dyDescent="0.25">
      <c r="B17" s="1" t="s">
        <v>1288</v>
      </c>
      <c r="C17" s="1" t="s">
        <v>1690</v>
      </c>
      <c r="D17" s="1">
        <v>0.51600000000000001</v>
      </c>
      <c r="E17" s="1">
        <v>0.48399999999999999</v>
      </c>
      <c r="F17" s="1">
        <v>2</v>
      </c>
      <c r="H17" s="1" t="s">
        <v>1289</v>
      </c>
      <c r="I17" s="1" t="s">
        <v>2085</v>
      </c>
      <c r="J17" s="1">
        <v>0.51700000000000002</v>
      </c>
      <c r="K17" s="1">
        <v>0.48299999999999998</v>
      </c>
      <c r="L17" s="1">
        <v>-0.6</v>
      </c>
      <c r="N17" s="1" t="s">
        <v>1297</v>
      </c>
      <c r="O17" s="1" t="s">
        <v>1362</v>
      </c>
      <c r="P17" s="1">
        <v>0.5</v>
      </c>
      <c r="Q17" s="1">
        <v>4.5</v>
      </c>
      <c r="R17" s="1">
        <v>0.3</v>
      </c>
      <c r="T17" s="1" t="s">
        <v>1294</v>
      </c>
      <c r="U17" s="1" t="s">
        <v>1362</v>
      </c>
      <c r="V17" s="1">
        <v>0.5</v>
      </c>
      <c r="W17" s="1">
        <v>-3.8</v>
      </c>
      <c r="X17" s="1">
        <v>1.9</v>
      </c>
      <c r="Z17" s="1" t="s">
        <v>1287</v>
      </c>
      <c r="AA17" s="1" t="s">
        <v>1946</v>
      </c>
      <c r="AB17" s="1">
        <v>0.5</v>
      </c>
      <c r="AC17" s="1">
        <v>7.3</v>
      </c>
      <c r="AD17" s="1">
        <v>2.2000000000000002</v>
      </c>
      <c r="AF17" s="1" t="s">
        <v>1305</v>
      </c>
      <c r="AG17" s="1" t="s">
        <v>2014</v>
      </c>
      <c r="AH17" s="1">
        <v>0.51600000000000001</v>
      </c>
      <c r="AI17" s="1">
        <v>-9.1</v>
      </c>
      <c r="AJ17" s="1">
        <v>-0.5</v>
      </c>
    </row>
    <row r="18" spans="2:36" x14ac:dyDescent="0.25">
      <c r="B18" s="1" t="s">
        <v>1298</v>
      </c>
      <c r="C18" s="1" t="s">
        <v>1769</v>
      </c>
      <c r="D18" s="1">
        <v>0.5</v>
      </c>
      <c r="E18" s="1">
        <v>0.5</v>
      </c>
      <c r="F18" s="1">
        <v>-1.4</v>
      </c>
      <c r="H18" s="1" t="s">
        <v>1285</v>
      </c>
      <c r="I18" s="1" t="s">
        <v>1806</v>
      </c>
      <c r="J18" s="1">
        <v>0.51500000000000001</v>
      </c>
      <c r="K18" s="1">
        <v>0.48499999999999999</v>
      </c>
      <c r="L18" s="1">
        <v>2.4</v>
      </c>
      <c r="N18" s="1" t="s">
        <v>1284</v>
      </c>
      <c r="O18" s="1" t="s">
        <v>1723</v>
      </c>
      <c r="P18" s="1">
        <v>0.5</v>
      </c>
      <c r="Q18" s="1">
        <v>6.5</v>
      </c>
      <c r="R18" s="1">
        <v>0.6</v>
      </c>
      <c r="T18" s="1" t="s">
        <v>1282</v>
      </c>
      <c r="U18" s="1" t="s">
        <v>1961</v>
      </c>
      <c r="V18" s="1">
        <v>0.5</v>
      </c>
      <c r="W18" s="1">
        <v>-0.1</v>
      </c>
      <c r="X18" s="1">
        <v>4.2</v>
      </c>
      <c r="Z18" s="1" t="s">
        <v>1278</v>
      </c>
      <c r="AA18" s="1" t="s">
        <v>1311</v>
      </c>
      <c r="AB18" s="1">
        <v>0.5</v>
      </c>
      <c r="AC18" s="1">
        <v>11.8</v>
      </c>
      <c r="AD18" s="1">
        <v>8.6999999999999993</v>
      </c>
      <c r="AF18" s="1" t="s">
        <v>1282</v>
      </c>
      <c r="AG18" s="1" t="s">
        <v>1890</v>
      </c>
      <c r="AH18" s="1">
        <v>0.5</v>
      </c>
      <c r="AI18" s="1">
        <v>-6.8</v>
      </c>
      <c r="AJ18" s="1">
        <v>-1.2</v>
      </c>
    </row>
    <row r="19" spans="2:36" x14ac:dyDescent="0.25">
      <c r="B19" s="1" t="s">
        <v>1297</v>
      </c>
      <c r="C19" s="1" t="s">
        <v>2100</v>
      </c>
      <c r="D19" s="1">
        <v>0.5</v>
      </c>
      <c r="E19" s="1">
        <v>0.5</v>
      </c>
      <c r="F19" s="1">
        <v>-5</v>
      </c>
      <c r="H19" s="1" t="s">
        <v>1305</v>
      </c>
      <c r="I19" s="1" t="s">
        <v>1806</v>
      </c>
      <c r="J19" s="1">
        <v>0.51500000000000001</v>
      </c>
      <c r="K19" s="1">
        <v>0.48499999999999999</v>
      </c>
      <c r="L19" s="1">
        <v>-5</v>
      </c>
      <c r="N19" s="1" t="s">
        <v>1301</v>
      </c>
      <c r="O19" s="1" t="s">
        <v>1867</v>
      </c>
      <c r="P19" s="1">
        <v>0.48399999999999999</v>
      </c>
      <c r="Q19" s="1">
        <v>7.5</v>
      </c>
      <c r="R19" s="1">
        <v>-0.8</v>
      </c>
      <c r="T19" s="1" t="s">
        <v>1283</v>
      </c>
      <c r="U19" s="1" t="s">
        <v>1602</v>
      </c>
      <c r="V19" s="1">
        <v>0.5</v>
      </c>
      <c r="W19" s="1">
        <v>-1.6</v>
      </c>
      <c r="X19" s="1">
        <v>2.9</v>
      </c>
      <c r="Z19" s="1" t="s">
        <v>1285</v>
      </c>
      <c r="AA19" s="1" t="s">
        <v>1947</v>
      </c>
      <c r="AB19" s="1">
        <v>0.47599999999999998</v>
      </c>
      <c r="AC19" s="1">
        <v>5.0999999999999996</v>
      </c>
      <c r="AD19" s="1">
        <v>-0.8</v>
      </c>
      <c r="AF19" s="1" t="s">
        <v>1304</v>
      </c>
      <c r="AG19" s="1" t="s">
        <v>1763</v>
      </c>
      <c r="AH19" s="1">
        <v>0.5</v>
      </c>
      <c r="AI19" s="1">
        <v>-4.2</v>
      </c>
      <c r="AJ19" s="1">
        <v>1.2</v>
      </c>
    </row>
    <row r="20" spans="2:36" x14ac:dyDescent="0.25">
      <c r="B20" s="1" t="s">
        <v>1299</v>
      </c>
      <c r="C20" s="1" t="s">
        <v>1769</v>
      </c>
      <c r="D20" s="1">
        <v>0.5</v>
      </c>
      <c r="E20" s="1">
        <v>0.5</v>
      </c>
      <c r="F20" s="1">
        <v>-1.5</v>
      </c>
      <c r="H20" s="1" t="s">
        <v>1300</v>
      </c>
      <c r="I20" s="1" t="s">
        <v>1806</v>
      </c>
      <c r="J20" s="1">
        <v>0.51500000000000001</v>
      </c>
      <c r="K20" s="1">
        <v>0.48499999999999999</v>
      </c>
      <c r="L20" s="1">
        <v>-1</v>
      </c>
      <c r="N20" s="1" t="s">
        <v>1296</v>
      </c>
      <c r="O20" s="1" t="s">
        <v>1947</v>
      </c>
      <c r="P20" s="1">
        <v>0.47599999999999998</v>
      </c>
      <c r="Q20" s="1">
        <v>2.9</v>
      </c>
      <c r="R20" s="1">
        <v>-1.7</v>
      </c>
      <c r="T20" s="1" t="s">
        <v>1278</v>
      </c>
      <c r="U20" s="1" t="s">
        <v>1958</v>
      </c>
      <c r="V20" s="1">
        <v>0.44400000000000001</v>
      </c>
      <c r="W20" s="1">
        <v>-5.3</v>
      </c>
      <c r="X20" s="1">
        <v>-1.1000000000000001</v>
      </c>
      <c r="Z20" s="1" t="s">
        <v>1280</v>
      </c>
      <c r="AA20" s="1" t="s">
        <v>1948</v>
      </c>
      <c r="AB20" s="1">
        <v>0.438</v>
      </c>
      <c r="AC20" s="1">
        <v>1.1000000000000001</v>
      </c>
      <c r="AD20" s="1">
        <v>-3.6</v>
      </c>
      <c r="AF20" s="1" t="s">
        <v>1299</v>
      </c>
      <c r="AG20" s="1" t="s">
        <v>2086</v>
      </c>
      <c r="AH20" s="1">
        <v>0.5</v>
      </c>
      <c r="AI20" s="1">
        <v>-5.7</v>
      </c>
      <c r="AJ20" s="1">
        <v>1.9</v>
      </c>
    </row>
    <row r="21" spans="2:36" x14ac:dyDescent="0.25">
      <c r="B21" s="1" t="s">
        <v>1284</v>
      </c>
      <c r="C21" s="1" t="s">
        <v>1836</v>
      </c>
      <c r="D21" s="1">
        <v>0.5</v>
      </c>
      <c r="E21" s="1">
        <v>0.5</v>
      </c>
      <c r="F21" s="1">
        <v>3.1</v>
      </c>
      <c r="H21" s="1" t="s">
        <v>1296</v>
      </c>
      <c r="I21" s="1" t="s">
        <v>1769</v>
      </c>
      <c r="J21" s="1">
        <v>0.5</v>
      </c>
      <c r="K21" s="1">
        <v>0.5</v>
      </c>
      <c r="L21" s="1">
        <v>0.4</v>
      </c>
      <c r="N21" s="1" t="s">
        <v>1307</v>
      </c>
      <c r="O21" s="1" t="s">
        <v>1805</v>
      </c>
      <c r="P21" s="1">
        <v>0.47399999999999998</v>
      </c>
      <c r="Q21" s="1">
        <v>6.4</v>
      </c>
      <c r="R21" s="1">
        <v>0.3</v>
      </c>
      <c r="T21" s="1" t="s">
        <v>1303</v>
      </c>
      <c r="U21" s="1" t="s">
        <v>1724</v>
      </c>
      <c r="V21" s="1">
        <v>0.433</v>
      </c>
      <c r="W21" s="1">
        <v>-9.5</v>
      </c>
      <c r="X21" s="1">
        <v>-2</v>
      </c>
      <c r="Z21" s="1" t="s">
        <v>1302</v>
      </c>
      <c r="AA21" s="1" t="s">
        <v>1764</v>
      </c>
      <c r="AB21" s="1">
        <v>0.435</v>
      </c>
      <c r="AC21" s="1">
        <v>3.7</v>
      </c>
      <c r="AD21" s="1">
        <v>-2.5</v>
      </c>
      <c r="AF21" s="1" t="s">
        <v>1298</v>
      </c>
      <c r="AG21" s="1" t="s">
        <v>1862</v>
      </c>
      <c r="AH21" s="1">
        <v>0.48099999999999998</v>
      </c>
      <c r="AI21" s="1">
        <v>-8.1</v>
      </c>
      <c r="AJ21" s="1">
        <v>-0.9</v>
      </c>
    </row>
    <row r="22" spans="2:36" x14ac:dyDescent="0.25">
      <c r="B22" s="1" t="s">
        <v>1295</v>
      </c>
      <c r="C22" s="1" t="s">
        <v>1837</v>
      </c>
      <c r="D22" s="1">
        <v>0.48399999999999999</v>
      </c>
      <c r="E22" s="1">
        <v>0.51600000000000001</v>
      </c>
      <c r="F22" s="1">
        <v>0.2</v>
      </c>
      <c r="H22" s="1" t="s">
        <v>1304</v>
      </c>
      <c r="I22" s="1" t="s">
        <v>1867</v>
      </c>
      <c r="J22" s="1">
        <v>0.48399999999999999</v>
      </c>
      <c r="K22" s="1">
        <v>0.51600000000000001</v>
      </c>
      <c r="L22" s="1">
        <v>3.2</v>
      </c>
      <c r="N22" s="1" t="s">
        <v>1281</v>
      </c>
      <c r="O22" s="1" t="s">
        <v>1962</v>
      </c>
      <c r="P22" s="1">
        <v>0.433</v>
      </c>
      <c r="Q22" s="1">
        <v>6.7</v>
      </c>
      <c r="R22" s="1">
        <v>0</v>
      </c>
      <c r="T22" s="1" t="s">
        <v>1297</v>
      </c>
      <c r="U22" s="1" t="s">
        <v>1542</v>
      </c>
      <c r="V22" s="1">
        <v>0.375</v>
      </c>
      <c r="W22" s="1">
        <v>-8.1999999999999993</v>
      </c>
      <c r="X22" s="1">
        <v>-3.2</v>
      </c>
      <c r="Z22" s="1" t="s">
        <v>1296</v>
      </c>
      <c r="AA22" s="1" t="s">
        <v>1765</v>
      </c>
      <c r="AB22" s="1">
        <v>0.41699999999999998</v>
      </c>
      <c r="AC22" s="1">
        <v>1.8</v>
      </c>
      <c r="AD22" s="1">
        <v>-1.1000000000000001</v>
      </c>
      <c r="AF22" s="1" t="s">
        <v>1294</v>
      </c>
      <c r="AG22" s="1" t="s">
        <v>1941</v>
      </c>
      <c r="AH22" s="1">
        <v>0.46200000000000002</v>
      </c>
      <c r="AI22" s="1">
        <v>-4.4000000000000004</v>
      </c>
      <c r="AJ22" s="1">
        <v>3</v>
      </c>
    </row>
    <row r="23" spans="2:36" x14ac:dyDescent="0.25">
      <c r="B23" s="1" t="s">
        <v>1296</v>
      </c>
      <c r="C23" s="1" t="s">
        <v>1837</v>
      </c>
      <c r="D23" s="1">
        <v>0.48399999999999999</v>
      </c>
      <c r="E23" s="1">
        <v>0.51600000000000001</v>
      </c>
      <c r="F23" s="1">
        <v>-2</v>
      </c>
      <c r="H23" s="1" t="s">
        <v>1278</v>
      </c>
      <c r="I23" s="1" t="s">
        <v>1837</v>
      </c>
      <c r="J23" s="1">
        <v>0.48399999999999999</v>
      </c>
      <c r="K23" s="1">
        <v>0.51600000000000001</v>
      </c>
      <c r="L23" s="1">
        <v>-3.6</v>
      </c>
      <c r="N23" s="1" t="s">
        <v>1285</v>
      </c>
      <c r="O23" s="1" t="s">
        <v>2017</v>
      </c>
      <c r="P23" s="1">
        <v>0.42899999999999999</v>
      </c>
      <c r="Q23" s="1">
        <v>4.5</v>
      </c>
      <c r="R23" s="1">
        <v>-3.8</v>
      </c>
      <c r="T23" s="1" t="s">
        <v>1287</v>
      </c>
      <c r="U23" s="1" t="s">
        <v>1320</v>
      </c>
      <c r="V23" s="1">
        <v>0.33300000000000002</v>
      </c>
      <c r="W23" s="1">
        <v>-10.3</v>
      </c>
      <c r="X23" s="1">
        <v>-7.7</v>
      </c>
      <c r="Z23" s="1" t="s">
        <v>1304</v>
      </c>
      <c r="AA23" s="1" t="s">
        <v>1949</v>
      </c>
      <c r="AB23" s="1">
        <v>0.41199999999999998</v>
      </c>
      <c r="AC23" s="1">
        <v>3.6</v>
      </c>
      <c r="AD23" s="1">
        <v>-1.6</v>
      </c>
      <c r="AF23" s="1" t="s">
        <v>1306</v>
      </c>
      <c r="AG23" s="1" t="s">
        <v>1941</v>
      </c>
      <c r="AH23" s="1">
        <v>0.46200000000000002</v>
      </c>
      <c r="AI23" s="1">
        <v>-10.8</v>
      </c>
      <c r="AJ23" s="1">
        <v>-1.6</v>
      </c>
    </row>
    <row r="24" spans="2:36" x14ac:dyDescent="0.25">
      <c r="B24" s="1" t="s">
        <v>1303</v>
      </c>
      <c r="C24" s="1" t="s">
        <v>1969</v>
      </c>
      <c r="D24" s="1">
        <v>0.47099999999999997</v>
      </c>
      <c r="E24" s="1">
        <v>0.52900000000000003</v>
      </c>
      <c r="F24" s="1">
        <v>1.3</v>
      </c>
      <c r="H24" s="1" t="s">
        <v>1293</v>
      </c>
      <c r="I24" s="1" t="s">
        <v>1969</v>
      </c>
      <c r="J24" s="1">
        <v>0.47099999999999997</v>
      </c>
      <c r="K24" s="1">
        <v>0.52900000000000003</v>
      </c>
      <c r="L24" s="1">
        <v>0.8</v>
      </c>
      <c r="N24" s="1" t="s">
        <v>1286</v>
      </c>
      <c r="O24" s="1" t="s">
        <v>1963</v>
      </c>
      <c r="P24" s="1">
        <v>0.42899999999999999</v>
      </c>
      <c r="Q24" s="1">
        <v>4</v>
      </c>
      <c r="R24" s="1">
        <v>0.2</v>
      </c>
      <c r="T24" s="1" t="s">
        <v>1304</v>
      </c>
      <c r="U24" s="1" t="s">
        <v>1320</v>
      </c>
      <c r="V24" s="1">
        <v>0.33300000000000002</v>
      </c>
      <c r="W24" s="1">
        <v>-2</v>
      </c>
      <c r="X24" s="1">
        <v>0.2</v>
      </c>
      <c r="Z24" s="1" t="s">
        <v>1282</v>
      </c>
      <c r="AA24" s="1" t="s">
        <v>1950</v>
      </c>
      <c r="AB24" s="1">
        <v>0.375</v>
      </c>
      <c r="AC24" s="1">
        <v>2.2000000000000002</v>
      </c>
      <c r="AD24" s="1">
        <v>-1.4</v>
      </c>
      <c r="AF24" s="1" t="s">
        <v>1286</v>
      </c>
      <c r="AG24" s="1" t="s">
        <v>1863</v>
      </c>
      <c r="AH24" s="1">
        <v>0.45500000000000002</v>
      </c>
      <c r="AI24" s="1">
        <v>-6.8</v>
      </c>
      <c r="AJ24" s="1">
        <v>-0.2</v>
      </c>
    </row>
    <row r="25" spans="2:36" x14ac:dyDescent="0.25">
      <c r="B25" s="1" t="s">
        <v>1304</v>
      </c>
      <c r="C25" s="1" t="s">
        <v>2021</v>
      </c>
      <c r="D25" s="1">
        <v>0.46899999999999997</v>
      </c>
      <c r="E25" s="1">
        <v>0.53100000000000003</v>
      </c>
      <c r="F25" s="1">
        <v>1</v>
      </c>
      <c r="H25" s="1" t="s">
        <v>1294</v>
      </c>
      <c r="I25" s="1" t="s">
        <v>1970</v>
      </c>
      <c r="J25" s="1">
        <v>0.46899999999999997</v>
      </c>
      <c r="K25" s="1">
        <v>0.53100000000000003</v>
      </c>
      <c r="L25" s="1">
        <v>0.3</v>
      </c>
      <c r="N25" s="1" t="s">
        <v>1305</v>
      </c>
      <c r="O25" s="1" t="s">
        <v>1312</v>
      </c>
      <c r="P25" s="1">
        <v>0.4</v>
      </c>
      <c r="Q25" s="1">
        <v>0.2</v>
      </c>
      <c r="R25" s="1">
        <v>-1.7</v>
      </c>
      <c r="T25" s="1" t="s">
        <v>1290</v>
      </c>
      <c r="U25" s="1" t="s">
        <v>2091</v>
      </c>
      <c r="V25" s="1">
        <v>0.33300000000000002</v>
      </c>
      <c r="W25" s="1">
        <v>-6.8</v>
      </c>
      <c r="X25" s="1">
        <v>-3.5</v>
      </c>
      <c r="Z25" s="1" t="s">
        <v>1279</v>
      </c>
      <c r="AA25" s="1" t="s">
        <v>1951</v>
      </c>
      <c r="AB25" s="1">
        <v>0.36399999999999999</v>
      </c>
      <c r="AC25" s="1">
        <v>-1.4</v>
      </c>
      <c r="AD25" s="1">
        <v>-5.0999999999999996</v>
      </c>
      <c r="AF25" s="1" t="s">
        <v>1296</v>
      </c>
      <c r="AG25" s="1" t="s">
        <v>2087</v>
      </c>
      <c r="AH25" s="1">
        <v>0.45</v>
      </c>
      <c r="AI25" s="1">
        <v>-5.8</v>
      </c>
      <c r="AJ25" s="1">
        <v>0.2</v>
      </c>
    </row>
    <row r="26" spans="2:36" x14ac:dyDescent="0.25">
      <c r="B26" s="1" t="s">
        <v>1291</v>
      </c>
      <c r="C26" s="1" t="s">
        <v>1970</v>
      </c>
      <c r="D26" s="1">
        <v>0.46899999999999997</v>
      </c>
      <c r="E26" s="1">
        <v>0.53100000000000003</v>
      </c>
      <c r="F26" s="1">
        <v>4.5999999999999996</v>
      </c>
      <c r="H26" s="1" t="s">
        <v>1291</v>
      </c>
      <c r="I26" s="1" t="s">
        <v>1970</v>
      </c>
      <c r="J26" s="1">
        <v>0.46899999999999997</v>
      </c>
      <c r="K26" s="1">
        <v>0.53100000000000003</v>
      </c>
      <c r="L26" s="1">
        <v>-1.7</v>
      </c>
      <c r="N26" s="1" t="s">
        <v>1278</v>
      </c>
      <c r="O26" s="1" t="s">
        <v>1543</v>
      </c>
      <c r="P26" s="1">
        <v>0.35699999999999998</v>
      </c>
      <c r="Q26" s="1">
        <v>2.8</v>
      </c>
      <c r="R26" s="1">
        <v>-1.9</v>
      </c>
      <c r="T26" s="1" t="s">
        <v>1299</v>
      </c>
      <c r="U26" s="1" t="s">
        <v>1959</v>
      </c>
      <c r="V26" s="1">
        <v>0.26700000000000002</v>
      </c>
      <c r="W26" s="1">
        <v>-5.9</v>
      </c>
      <c r="X26" s="1">
        <v>-1.1000000000000001</v>
      </c>
      <c r="Z26" s="1" t="s">
        <v>1298</v>
      </c>
      <c r="AA26" s="1" t="s">
        <v>1320</v>
      </c>
      <c r="AB26" s="1">
        <v>0.33300000000000002</v>
      </c>
      <c r="AC26" s="1">
        <v>-0.7</v>
      </c>
      <c r="AD26" s="1">
        <v>-5</v>
      </c>
      <c r="AF26" s="1" t="s">
        <v>1279</v>
      </c>
      <c r="AG26" s="1" t="s">
        <v>1764</v>
      </c>
      <c r="AH26" s="1">
        <v>0.435</v>
      </c>
      <c r="AI26" s="1">
        <v>-6.6</v>
      </c>
      <c r="AJ26" s="1">
        <v>-0.3</v>
      </c>
    </row>
    <row r="27" spans="2:36" x14ac:dyDescent="0.25">
      <c r="B27" s="1" t="s">
        <v>1301</v>
      </c>
      <c r="C27" s="1" t="s">
        <v>1970</v>
      </c>
      <c r="D27" s="1">
        <v>0.46899999999999997</v>
      </c>
      <c r="E27" s="1">
        <v>0.53100000000000003</v>
      </c>
      <c r="F27" s="1">
        <v>-1.3</v>
      </c>
      <c r="H27" s="1" t="s">
        <v>1303</v>
      </c>
      <c r="I27" s="1" t="s">
        <v>1772</v>
      </c>
      <c r="J27" s="1">
        <v>0.45200000000000001</v>
      </c>
      <c r="K27" s="1">
        <v>0.54800000000000004</v>
      </c>
      <c r="L27" s="1">
        <v>0.1</v>
      </c>
      <c r="N27" s="1" t="s">
        <v>1283</v>
      </c>
      <c r="O27" s="1" t="s">
        <v>1767</v>
      </c>
      <c r="P27" s="1">
        <v>0.3</v>
      </c>
      <c r="Q27" s="1">
        <v>1.4</v>
      </c>
      <c r="R27" s="1">
        <v>-3.8</v>
      </c>
      <c r="T27" s="1" t="s">
        <v>1279</v>
      </c>
      <c r="U27" s="1" t="s">
        <v>1689</v>
      </c>
      <c r="V27" s="1">
        <v>0.222</v>
      </c>
      <c r="W27" s="1">
        <v>-6.4</v>
      </c>
      <c r="X27" s="1">
        <v>-1.5</v>
      </c>
      <c r="Z27" s="1" t="s">
        <v>1301</v>
      </c>
      <c r="AA27" s="1" t="s">
        <v>1952</v>
      </c>
      <c r="AB27" s="1">
        <v>0.318</v>
      </c>
      <c r="AC27" s="1">
        <v>-0.4</v>
      </c>
      <c r="AD27" s="1">
        <v>-6.9</v>
      </c>
      <c r="AF27" s="1" t="s">
        <v>1288</v>
      </c>
      <c r="AG27" s="1" t="s">
        <v>1312</v>
      </c>
      <c r="AH27" s="1">
        <v>0.4</v>
      </c>
      <c r="AI27" s="1">
        <v>-2.8</v>
      </c>
      <c r="AJ27" s="1">
        <v>-0.2</v>
      </c>
    </row>
    <row r="28" spans="2:36" x14ac:dyDescent="0.25">
      <c r="B28" s="1" t="s">
        <v>1294</v>
      </c>
      <c r="C28" s="1" t="s">
        <v>1893</v>
      </c>
      <c r="D28" s="1">
        <v>0.45500000000000002</v>
      </c>
      <c r="E28" s="1">
        <v>0.54500000000000004</v>
      </c>
      <c r="F28" s="1">
        <v>-0.1</v>
      </c>
      <c r="H28" s="1" t="s">
        <v>1284</v>
      </c>
      <c r="I28" s="1" t="s">
        <v>1772</v>
      </c>
      <c r="J28" s="1">
        <v>0.45200000000000001</v>
      </c>
      <c r="K28" s="1">
        <v>0.54800000000000004</v>
      </c>
      <c r="L28" s="1">
        <v>-1.2</v>
      </c>
      <c r="N28" s="1" t="s">
        <v>1300</v>
      </c>
      <c r="O28" s="1" t="s">
        <v>1892</v>
      </c>
      <c r="P28" s="1">
        <v>0.28599999999999998</v>
      </c>
      <c r="Q28" s="1">
        <v>-0.3</v>
      </c>
      <c r="R28" s="1">
        <v>-5.5</v>
      </c>
      <c r="T28" s="1" t="s">
        <v>1307</v>
      </c>
      <c r="U28" s="1" t="s">
        <v>1645</v>
      </c>
      <c r="V28" s="1">
        <v>0.182</v>
      </c>
      <c r="W28" s="1">
        <v>-11.1</v>
      </c>
      <c r="X28" s="1">
        <v>-6.6</v>
      </c>
      <c r="Z28" s="1" t="s">
        <v>1297</v>
      </c>
      <c r="AA28" s="1" t="s">
        <v>1324</v>
      </c>
      <c r="AB28" s="1">
        <v>0.28599999999999998</v>
      </c>
      <c r="AC28" s="1">
        <v>-1</v>
      </c>
      <c r="AD28" s="1">
        <v>-3.1</v>
      </c>
      <c r="AF28" s="1" t="s">
        <v>1278</v>
      </c>
      <c r="AG28" s="1" t="s">
        <v>1942</v>
      </c>
      <c r="AH28" s="1">
        <v>0.4</v>
      </c>
      <c r="AI28" s="1">
        <v>-8.5</v>
      </c>
      <c r="AJ28" s="1">
        <v>-0.8</v>
      </c>
    </row>
    <row r="29" spans="2:36" x14ac:dyDescent="0.25">
      <c r="B29" s="1" t="s">
        <v>1305</v>
      </c>
      <c r="C29" s="1" t="s">
        <v>1724</v>
      </c>
      <c r="D29" s="1">
        <v>0.433</v>
      </c>
      <c r="E29" s="1">
        <v>0.56699999999999995</v>
      </c>
      <c r="F29" s="1">
        <v>-1.1000000000000001</v>
      </c>
      <c r="H29" s="1" t="s">
        <v>1295</v>
      </c>
      <c r="I29" s="1" t="s">
        <v>1835</v>
      </c>
      <c r="J29" s="1">
        <v>0.438</v>
      </c>
      <c r="K29" s="1">
        <v>0.56200000000000006</v>
      </c>
      <c r="L29" s="1">
        <v>-1.1000000000000001</v>
      </c>
      <c r="N29" s="1" t="s">
        <v>1303</v>
      </c>
      <c r="O29" s="1" t="s">
        <v>1313</v>
      </c>
      <c r="P29" s="1">
        <v>0.25</v>
      </c>
      <c r="Q29" s="1">
        <v>-3</v>
      </c>
      <c r="R29" s="1">
        <v>-6.5</v>
      </c>
      <c r="T29" s="1" t="s">
        <v>1281</v>
      </c>
      <c r="U29" s="1" t="s">
        <v>1321</v>
      </c>
      <c r="V29" s="1">
        <v>0</v>
      </c>
      <c r="W29" s="1">
        <v>-10.5</v>
      </c>
      <c r="X29" s="1">
        <v>-9</v>
      </c>
      <c r="Z29" s="1" t="s">
        <v>1293</v>
      </c>
      <c r="AA29" s="1" t="s">
        <v>1953</v>
      </c>
      <c r="AB29" s="1">
        <v>0.25</v>
      </c>
      <c r="AC29" s="1">
        <v>-1.8</v>
      </c>
      <c r="AD29" s="1">
        <v>-6.3</v>
      </c>
      <c r="AF29" s="1" t="s">
        <v>1280</v>
      </c>
      <c r="AG29" s="1" t="s">
        <v>1943</v>
      </c>
      <c r="AH29" s="1">
        <v>0.375</v>
      </c>
      <c r="AI29" s="1">
        <v>-6.3</v>
      </c>
      <c r="AJ29" s="1">
        <v>-0.8</v>
      </c>
    </row>
    <row r="30" spans="2:36" x14ac:dyDescent="0.25">
      <c r="B30" s="1" t="s">
        <v>1302</v>
      </c>
      <c r="C30" s="1" t="s">
        <v>1770</v>
      </c>
      <c r="D30" s="1">
        <v>0.41899999999999998</v>
      </c>
      <c r="E30" s="1">
        <v>0.58099999999999996</v>
      </c>
      <c r="F30" s="1">
        <v>-3.1</v>
      </c>
      <c r="H30" s="1" t="s">
        <v>1288</v>
      </c>
      <c r="I30" s="1" t="s">
        <v>2019</v>
      </c>
      <c r="J30" s="1">
        <v>0.438</v>
      </c>
      <c r="K30" s="1">
        <v>0.56200000000000006</v>
      </c>
      <c r="L30" s="1">
        <v>-3.4</v>
      </c>
      <c r="N30" s="1" t="s">
        <v>1282</v>
      </c>
      <c r="O30" s="1" t="s">
        <v>1768</v>
      </c>
      <c r="P30" s="1">
        <v>0.222</v>
      </c>
      <c r="Q30" s="1">
        <v>1.8</v>
      </c>
      <c r="R30" s="1">
        <v>-4.5999999999999996</v>
      </c>
      <c r="T30" s="1" t="s">
        <v>1301</v>
      </c>
      <c r="U30" s="1" t="s">
        <v>1891</v>
      </c>
      <c r="V30" s="1">
        <v>0</v>
      </c>
      <c r="W30" s="1">
        <v>-15</v>
      </c>
      <c r="X30" s="1">
        <v>-14</v>
      </c>
      <c r="Z30" s="1" t="s">
        <v>1292</v>
      </c>
      <c r="AA30" s="1" t="s">
        <v>1603</v>
      </c>
      <c r="AB30" s="1">
        <v>0</v>
      </c>
      <c r="AC30" s="1">
        <v>-11.7</v>
      </c>
      <c r="AD30" s="1">
        <v>-14</v>
      </c>
      <c r="AF30" s="1" t="s">
        <v>1292</v>
      </c>
      <c r="AG30" s="1" t="s">
        <v>1944</v>
      </c>
      <c r="AH30" s="1">
        <v>0.33300000000000002</v>
      </c>
      <c r="AI30" s="1">
        <v>-13.5</v>
      </c>
      <c r="AJ30" s="1">
        <v>-5.0999999999999996</v>
      </c>
    </row>
    <row r="31" spans="2:36" x14ac:dyDescent="0.25">
      <c r="B31" s="1" t="s">
        <v>1307</v>
      </c>
      <c r="C31" s="1" t="s">
        <v>1808</v>
      </c>
      <c r="D31" s="1">
        <v>0.4</v>
      </c>
      <c r="E31" s="1">
        <v>0.6</v>
      </c>
      <c r="F31" s="1">
        <v>-2.6</v>
      </c>
      <c r="H31" s="1" t="s">
        <v>1283</v>
      </c>
      <c r="I31" s="1" t="s">
        <v>1724</v>
      </c>
      <c r="J31" s="1">
        <v>0.433</v>
      </c>
      <c r="K31" s="1">
        <v>0.56699999999999995</v>
      </c>
      <c r="L31" s="1">
        <v>-0.3</v>
      </c>
      <c r="N31" s="1" t="s">
        <v>1299</v>
      </c>
      <c r="O31" s="1" t="s">
        <v>1865</v>
      </c>
      <c r="P31" s="1">
        <v>0.188</v>
      </c>
      <c r="Q31" s="1">
        <v>-3.5</v>
      </c>
      <c r="R31" s="1">
        <v>-8.1999999999999993</v>
      </c>
      <c r="AF31" s="1" t="s">
        <v>1293</v>
      </c>
      <c r="AG31" s="1" t="s">
        <v>1889</v>
      </c>
      <c r="AH31" s="1">
        <v>0.312</v>
      </c>
      <c r="AI31" s="1">
        <v>-8.8000000000000007</v>
      </c>
      <c r="AJ31" s="1">
        <v>-3.7</v>
      </c>
    </row>
    <row r="32" spans="2:36" x14ac:dyDescent="0.25">
      <c r="B32" s="1" t="s">
        <v>1306</v>
      </c>
      <c r="C32" s="1" t="s">
        <v>1976</v>
      </c>
      <c r="D32" s="1">
        <v>0.375</v>
      </c>
      <c r="E32" s="1">
        <v>0.625</v>
      </c>
      <c r="F32" s="1">
        <v>-1.9</v>
      </c>
      <c r="H32" s="1" t="s">
        <v>1301</v>
      </c>
      <c r="I32" s="1" t="s">
        <v>1971</v>
      </c>
      <c r="J32" s="1">
        <v>0.40600000000000003</v>
      </c>
      <c r="K32" s="1">
        <v>0.59399999999999997</v>
      </c>
      <c r="L32" s="1">
        <v>2.1</v>
      </c>
      <c r="N32" s="1" t="s">
        <v>1289</v>
      </c>
      <c r="O32" s="1" t="s">
        <v>1363</v>
      </c>
      <c r="P32" s="1">
        <v>0</v>
      </c>
      <c r="Q32" s="1">
        <v>-8.3000000000000007</v>
      </c>
      <c r="R32" s="1">
        <v>-10</v>
      </c>
      <c r="AF32" s="1" t="s">
        <v>1295</v>
      </c>
      <c r="AG32" s="1" t="s">
        <v>1622</v>
      </c>
      <c r="AH32" s="1">
        <v>0.3</v>
      </c>
      <c r="AI32" s="1">
        <v>-6.3</v>
      </c>
      <c r="AJ32" s="1">
        <v>-3.6</v>
      </c>
    </row>
  </sheetData>
  <mergeCells count="6">
    <mergeCell ref="AF1:AJ1"/>
    <mergeCell ref="B1:F1"/>
    <mergeCell ref="H1:L1"/>
    <mergeCell ref="N1:R1"/>
    <mergeCell ref="T1:X1"/>
    <mergeCell ref="Z1:AD1"/>
  </mergeCells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"/>
  <sheetViews>
    <sheetView workbookViewId="0">
      <selection sqref="A1:Y31"/>
    </sheetView>
  </sheetViews>
  <sheetFormatPr defaultRowHeight="15" x14ac:dyDescent="0.25"/>
  <cols>
    <col min="1" max="1" width="5.42578125" bestFit="1" customWidth="1"/>
    <col min="2" max="2" width="23.85546875" bestFit="1" customWidth="1"/>
    <col min="3" max="3" width="4.7109375" bestFit="1" customWidth="1"/>
    <col min="4" max="4" width="6.28515625" bestFit="1" customWidth="1"/>
    <col min="5" max="5" width="5.7109375" bestFit="1" customWidth="1"/>
    <col min="6" max="6" width="7" bestFit="1" customWidth="1"/>
    <col min="7" max="7" width="7.28515625" bestFit="1" customWidth="1"/>
    <col min="8" max="8" width="5.42578125" bestFit="1" customWidth="1"/>
    <col min="9" max="9" width="6.7109375" bestFit="1" customWidth="1"/>
    <col min="10" max="10" width="7" bestFit="1" customWidth="1"/>
    <col min="11" max="11" width="5.42578125" bestFit="1" customWidth="1"/>
    <col min="12" max="12" width="6.7109375" bestFit="1" customWidth="1"/>
    <col min="13" max="13" width="7" bestFit="1" customWidth="1"/>
    <col min="14" max="14" width="5.28515625" bestFit="1" customWidth="1"/>
    <col min="15" max="15" width="6.5703125" bestFit="1" customWidth="1"/>
    <col min="16" max="16" width="6.85546875" bestFit="1" customWidth="1"/>
    <col min="17" max="17" width="7" bestFit="1" customWidth="1"/>
    <col min="18" max="18" width="6.85546875" bestFit="1" customWidth="1"/>
    <col min="19" max="20" width="6.5703125" bestFit="1" customWidth="1"/>
    <col min="21" max="21" width="6.140625" bestFit="1" customWidth="1"/>
    <col min="22" max="22" width="6.42578125" bestFit="1" customWidth="1"/>
    <col min="23" max="23" width="7" bestFit="1" customWidth="1"/>
    <col min="24" max="24" width="5.42578125" bestFit="1" customWidth="1"/>
    <col min="25" max="25" width="6.42578125" bestFit="1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 s="1">
        <v>1</v>
      </c>
      <c r="B2" s="1" t="s">
        <v>2008</v>
      </c>
      <c r="C2" s="1">
        <v>65</v>
      </c>
      <c r="D2" s="1">
        <v>15650</v>
      </c>
      <c r="E2" s="1">
        <v>41.3</v>
      </c>
      <c r="F2" s="1">
        <v>86.6</v>
      </c>
      <c r="G2" s="1">
        <v>0.47699999999999998</v>
      </c>
      <c r="H2" s="1">
        <v>13</v>
      </c>
      <c r="I2" s="1">
        <v>36.700000000000003</v>
      </c>
      <c r="J2" s="1">
        <v>0.35599999999999998</v>
      </c>
      <c r="K2" s="1">
        <v>28.3</v>
      </c>
      <c r="L2" s="1">
        <v>49.9</v>
      </c>
      <c r="M2" s="1">
        <v>0.56699999999999995</v>
      </c>
      <c r="N2" s="1">
        <v>16.899999999999999</v>
      </c>
      <c r="O2" s="1">
        <v>22.8</v>
      </c>
      <c r="P2" s="1">
        <v>0.74199999999999999</v>
      </c>
      <c r="Q2" s="1">
        <v>9</v>
      </c>
      <c r="R2" s="1">
        <v>40.1</v>
      </c>
      <c r="S2" s="1">
        <v>49.1</v>
      </c>
      <c r="T2" s="1">
        <v>24.6</v>
      </c>
      <c r="U2" s="1">
        <v>7</v>
      </c>
      <c r="V2" s="1">
        <v>5.7</v>
      </c>
      <c r="W2" s="1">
        <v>14.1</v>
      </c>
      <c r="X2" s="1">
        <v>18.2</v>
      </c>
      <c r="Y2" s="1">
        <v>112.6</v>
      </c>
    </row>
    <row r="3" spans="1:25" x14ac:dyDescent="0.25">
      <c r="A3" s="1">
        <v>2</v>
      </c>
      <c r="B3" s="1" t="s">
        <v>43</v>
      </c>
      <c r="C3" s="1">
        <v>66</v>
      </c>
      <c r="D3" s="1">
        <v>15940</v>
      </c>
      <c r="E3" s="1">
        <v>41.7</v>
      </c>
      <c r="F3" s="1">
        <v>90.1</v>
      </c>
      <c r="G3" s="1">
        <v>0.46300000000000002</v>
      </c>
      <c r="H3" s="1">
        <v>15.4</v>
      </c>
      <c r="I3" s="1">
        <v>41.7</v>
      </c>
      <c r="J3" s="1">
        <v>0.37</v>
      </c>
      <c r="K3" s="1">
        <v>26.3</v>
      </c>
      <c r="L3" s="1">
        <v>48.5</v>
      </c>
      <c r="M3" s="1">
        <v>0.54200000000000004</v>
      </c>
      <c r="N3" s="1">
        <v>17.899999999999999</v>
      </c>
      <c r="O3" s="1">
        <v>23.2</v>
      </c>
      <c r="P3" s="1">
        <v>0.77300000000000002</v>
      </c>
      <c r="Q3" s="1">
        <v>10.6</v>
      </c>
      <c r="R3" s="1">
        <v>36.4</v>
      </c>
      <c r="S3" s="1">
        <v>47.1</v>
      </c>
      <c r="T3" s="1">
        <v>24.6</v>
      </c>
      <c r="U3" s="1">
        <v>6.2</v>
      </c>
      <c r="V3" s="1">
        <v>5</v>
      </c>
      <c r="W3" s="1">
        <v>12.8</v>
      </c>
      <c r="X3" s="1">
        <v>19.2</v>
      </c>
      <c r="Y3" s="1">
        <v>116.7</v>
      </c>
    </row>
    <row r="4" spans="1:25" x14ac:dyDescent="0.25">
      <c r="A4" s="1">
        <v>3</v>
      </c>
      <c r="B4" s="1" t="s">
        <v>32</v>
      </c>
      <c r="C4" s="1">
        <v>64</v>
      </c>
      <c r="D4" s="1">
        <v>15435</v>
      </c>
      <c r="E4" s="1">
        <v>39.6</v>
      </c>
      <c r="F4" s="1">
        <v>87.3</v>
      </c>
      <c r="G4" s="1">
        <v>0.45400000000000001</v>
      </c>
      <c r="H4" s="1">
        <v>14.8</v>
      </c>
      <c r="I4" s="1">
        <v>42.6</v>
      </c>
      <c r="J4" s="1">
        <v>0.34799999999999998</v>
      </c>
      <c r="K4" s="1">
        <v>24.8</v>
      </c>
      <c r="L4" s="1">
        <v>44.7</v>
      </c>
      <c r="M4" s="1">
        <v>0.55400000000000005</v>
      </c>
      <c r="N4" s="1">
        <v>19.7</v>
      </c>
      <c r="O4" s="1">
        <v>25</v>
      </c>
      <c r="P4" s="1">
        <v>0.78700000000000003</v>
      </c>
      <c r="Q4" s="1">
        <v>10</v>
      </c>
      <c r="R4" s="1">
        <v>33.299999999999997</v>
      </c>
      <c r="S4" s="1">
        <v>43.3</v>
      </c>
      <c r="T4" s="1">
        <v>20.7</v>
      </c>
      <c r="U4" s="1">
        <v>8.1</v>
      </c>
      <c r="V4" s="1">
        <v>5</v>
      </c>
      <c r="W4" s="1">
        <v>14.1</v>
      </c>
      <c r="X4" s="1">
        <v>20.8</v>
      </c>
      <c r="Y4" s="1">
        <v>113.8</v>
      </c>
    </row>
    <row r="5" spans="1:25" x14ac:dyDescent="0.25">
      <c r="A5" s="1">
        <v>4</v>
      </c>
      <c r="B5" s="1" t="s">
        <v>28</v>
      </c>
      <c r="C5" s="1">
        <v>66</v>
      </c>
      <c r="D5" s="1">
        <v>15890</v>
      </c>
      <c r="E5" s="1">
        <v>41.4</v>
      </c>
      <c r="F5" s="1">
        <v>90</v>
      </c>
      <c r="G5" s="1">
        <v>0.46100000000000002</v>
      </c>
      <c r="H5" s="1">
        <v>12.4</v>
      </c>
      <c r="I5" s="1">
        <v>33.4</v>
      </c>
      <c r="J5" s="1">
        <v>0.372</v>
      </c>
      <c r="K5" s="1">
        <v>29</v>
      </c>
      <c r="L5" s="1">
        <v>56.5</v>
      </c>
      <c r="M5" s="1">
        <v>0.51300000000000001</v>
      </c>
      <c r="N5" s="1">
        <v>17.2</v>
      </c>
      <c r="O5" s="1">
        <v>21.5</v>
      </c>
      <c r="P5" s="1">
        <v>0.79800000000000004</v>
      </c>
      <c r="Q5" s="1">
        <v>10</v>
      </c>
      <c r="R5" s="1">
        <v>35</v>
      </c>
      <c r="S5" s="1">
        <v>45</v>
      </c>
      <c r="T5" s="1">
        <v>20</v>
      </c>
      <c r="U5" s="1">
        <v>6</v>
      </c>
      <c r="V5" s="1">
        <v>6.2</v>
      </c>
      <c r="W5" s="1">
        <v>12.9</v>
      </c>
      <c r="X5" s="1">
        <v>21.2</v>
      </c>
      <c r="Y5" s="1">
        <v>112.5</v>
      </c>
    </row>
    <row r="6" spans="1:25" x14ac:dyDescent="0.25">
      <c r="A6" s="1">
        <v>5</v>
      </c>
      <c r="B6" s="1" t="s">
        <v>37</v>
      </c>
      <c r="C6" s="1">
        <v>64</v>
      </c>
      <c r="D6" s="1">
        <v>15510</v>
      </c>
      <c r="E6" s="1">
        <v>40.6</v>
      </c>
      <c r="F6" s="1">
        <v>87.9</v>
      </c>
      <c r="G6" s="1">
        <v>0.46200000000000002</v>
      </c>
      <c r="H6" s="1">
        <v>13.3</v>
      </c>
      <c r="I6" s="1">
        <v>35.9</v>
      </c>
      <c r="J6" s="1">
        <v>0.372</v>
      </c>
      <c r="K6" s="1">
        <v>27.3</v>
      </c>
      <c r="L6" s="1">
        <v>52</v>
      </c>
      <c r="M6" s="1">
        <v>0.52500000000000002</v>
      </c>
      <c r="N6" s="1">
        <v>16.100000000000001</v>
      </c>
      <c r="O6" s="1">
        <v>22.1</v>
      </c>
      <c r="P6" s="1">
        <v>0.72899999999999998</v>
      </c>
      <c r="Q6" s="1">
        <v>10.7</v>
      </c>
      <c r="R6" s="1">
        <v>34.1</v>
      </c>
      <c r="S6" s="1">
        <v>44.8</v>
      </c>
      <c r="T6" s="1">
        <v>25.7</v>
      </c>
      <c r="U6" s="1">
        <v>7.2</v>
      </c>
      <c r="V6" s="1">
        <v>4.9000000000000004</v>
      </c>
      <c r="W6" s="1">
        <v>15.5</v>
      </c>
      <c r="X6" s="1">
        <v>20</v>
      </c>
      <c r="Y6" s="1">
        <v>110.8</v>
      </c>
    </row>
    <row r="7" spans="1:25" x14ac:dyDescent="0.25">
      <c r="A7" s="1">
        <v>6</v>
      </c>
      <c r="B7" s="1" t="s">
        <v>25</v>
      </c>
      <c r="C7" s="1">
        <v>64</v>
      </c>
      <c r="D7" s="1">
        <v>15435</v>
      </c>
      <c r="E7" s="1">
        <v>40.700000000000003</v>
      </c>
      <c r="F7" s="1">
        <v>87.7</v>
      </c>
      <c r="G7" s="1">
        <v>0.46400000000000002</v>
      </c>
      <c r="H7" s="1">
        <v>11.9</v>
      </c>
      <c r="I7" s="1">
        <v>32.4</v>
      </c>
      <c r="J7" s="1">
        <v>0.36599999999999999</v>
      </c>
      <c r="K7" s="1">
        <v>28.8</v>
      </c>
      <c r="L7" s="1">
        <v>55.2</v>
      </c>
      <c r="M7" s="1">
        <v>0.52200000000000002</v>
      </c>
      <c r="N7" s="1">
        <v>20.3</v>
      </c>
      <c r="O7" s="1">
        <v>25.6</v>
      </c>
      <c r="P7" s="1">
        <v>0.79200000000000004</v>
      </c>
      <c r="Q7" s="1">
        <v>10.7</v>
      </c>
      <c r="R7" s="1">
        <v>36.200000000000003</v>
      </c>
      <c r="S7" s="1">
        <v>46.9</v>
      </c>
      <c r="T7" s="1">
        <v>23.3</v>
      </c>
      <c r="U7" s="1">
        <v>7</v>
      </c>
      <c r="V7" s="1">
        <v>4.9000000000000004</v>
      </c>
      <c r="W7" s="1">
        <v>14.4</v>
      </c>
      <c r="X7" s="1">
        <v>21.6</v>
      </c>
      <c r="Y7" s="1">
        <v>113.6</v>
      </c>
    </row>
    <row r="8" spans="1:25" x14ac:dyDescent="0.25">
      <c r="A8" s="1">
        <v>7</v>
      </c>
      <c r="B8" s="1" t="s">
        <v>40</v>
      </c>
      <c r="C8" s="1">
        <v>64</v>
      </c>
      <c r="D8" s="1">
        <v>15435</v>
      </c>
      <c r="E8" s="1">
        <v>40.6</v>
      </c>
      <c r="F8" s="1">
        <v>88</v>
      </c>
      <c r="G8" s="1">
        <v>0.46100000000000002</v>
      </c>
      <c r="H8" s="1">
        <v>11.9</v>
      </c>
      <c r="I8" s="1">
        <v>32</v>
      </c>
      <c r="J8" s="1">
        <v>0.372</v>
      </c>
      <c r="K8" s="1">
        <v>28.6</v>
      </c>
      <c r="L8" s="1">
        <v>56</v>
      </c>
      <c r="M8" s="1">
        <v>0.51100000000000001</v>
      </c>
      <c r="N8" s="1">
        <v>18.899999999999999</v>
      </c>
      <c r="O8" s="1">
        <v>24</v>
      </c>
      <c r="P8" s="1">
        <v>0.78700000000000003</v>
      </c>
      <c r="Q8" s="1">
        <v>9.6999999999999993</v>
      </c>
      <c r="R8" s="1">
        <v>30.6</v>
      </c>
      <c r="S8" s="1">
        <v>40.299999999999997</v>
      </c>
      <c r="T8" s="1">
        <v>24.5</v>
      </c>
      <c r="U8" s="1">
        <v>7.8</v>
      </c>
      <c r="V8" s="1">
        <v>4.0999999999999996</v>
      </c>
      <c r="W8" s="1">
        <v>13.6</v>
      </c>
      <c r="X8" s="1">
        <v>21.8</v>
      </c>
      <c r="Y8" s="1">
        <v>111.9</v>
      </c>
    </row>
    <row r="9" spans="1:25" x14ac:dyDescent="0.25">
      <c r="A9" s="1">
        <v>8</v>
      </c>
      <c r="B9" s="1" t="s">
        <v>52</v>
      </c>
      <c r="C9" s="1">
        <v>66</v>
      </c>
      <c r="D9" s="1">
        <v>16015</v>
      </c>
      <c r="E9" s="1">
        <v>38.9</v>
      </c>
      <c r="F9" s="1">
        <v>86.7</v>
      </c>
      <c r="G9" s="1">
        <v>0.44900000000000001</v>
      </c>
      <c r="H9" s="1">
        <v>11.5</v>
      </c>
      <c r="I9" s="1">
        <v>34.6</v>
      </c>
      <c r="J9" s="1">
        <v>0.33300000000000002</v>
      </c>
      <c r="K9" s="1">
        <v>27.4</v>
      </c>
      <c r="L9" s="1">
        <v>52.2</v>
      </c>
      <c r="M9" s="1">
        <v>0.52500000000000002</v>
      </c>
      <c r="N9" s="1">
        <v>17.7</v>
      </c>
      <c r="O9" s="1">
        <v>22.4</v>
      </c>
      <c r="P9" s="1">
        <v>0.79</v>
      </c>
      <c r="Q9" s="1">
        <v>9.4</v>
      </c>
      <c r="R9" s="1">
        <v>32</v>
      </c>
      <c r="S9" s="1">
        <v>41.4</v>
      </c>
      <c r="T9" s="1">
        <v>23</v>
      </c>
      <c r="U9" s="1">
        <v>7.5</v>
      </c>
      <c r="V9" s="1">
        <v>4.9000000000000004</v>
      </c>
      <c r="W9" s="1">
        <v>15.6</v>
      </c>
      <c r="X9" s="1">
        <v>22.2</v>
      </c>
      <c r="Y9" s="1">
        <v>107</v>
      </c>
    </row>
    <row r="10" spans="1:25" x14ac:dyDescent="0.25">
      <c r="A10" s="1">
        <v>9</v>
      </c>
      <c r="B10" s="1" t="s">
        <v>48</v>
      </c>
      <c r="C10" s="1">
        <v>65</v>
      </c>
      <c r="D10" s="1">
        <v>15625</v>
      </c>
      <c r="E10" s="1">
        <v>41.5</v>
      </c>
      <c r="F10" s="1">
        <v>88.4</v>
      </c>
      <c r="G10" s="1">
        <v>0.47</v>
      </c>
      <c r="H10" s="1">
        <v>10.6</v>
      </c>
      <c r="I10" s="1">
        <v>30.2</v>
      </c>
      <c r="J10" s="1">
        <v>0.35199999999999998</v>
      </c>
      <c r="K10" s="1">
        <v>30.9</v>
      </c>
      <c r="L10" s="1">
        <v>58.2</v>
      </c>
      <c r="M10" s="1">
        <v>0.53100000000000003</v>
      </c>
      <c r="N10" s="1">
        <v>15.7</v>
      </c>
      <c r="O10" s="1">
        <v>20.7</v>
      </c>
      <c r="P10" s="1">
        <v>0.76100000000000001</v>
      </c>
      <c r="Q10" s="1">
        <v>10.1</v>
      </c>
      <c r="R10" s="1">
        <v>35.200000000000003</v>
      </c>
      <c r="S10" s="1">
        <v>45.4</v>
      </c>
      <c r="T10" s="1">
        <v>26.3</v>
      </c>
      <c r="U10" s="1">
        <v>7.8</v>
      </c>
      <c r="V10" s="1">
        <v>5.4</v>
      </c>
      <c r="W10" s="1">
        <v>14.8</v>
      </c>
      <c r="X10" s="1">
        <v>20.2</v>
      </c>
      <c r="Y10" s="1">
        <v>109.4</v>
      </c>
    </row>
    <row r="11" spans="1:25" x14ac:dyDescent="0.25">
      <c r="A11" s="1">
        <v>10</v>
      </c>
      <c r="B11" s="1" t="s">
        <v>26</v>
      </c>
      <c r="C11" s="1">
        <v>65</v>
      </c>
      <c r="D11" s="1">
        <v>15675</v>
      </c>
      <c r="E11" s="1">
        <v>40</v>
      </c>
      <c r="F11" s="1">
        <v>86.2</v>
      </c>
      <c r="G11" s="1">
        <v>0.46400000000000002</v>
      </c>
      <c r="H11" s="1">
        <v>11</v>
      </c>
      <c r="I11" s="1">
        <v>31.1</v>
      </c>
      <c r="J11" s="1">
        <v>0.35299999999999998</v>
      </c>
      <c r="K11" s="1">
        <v>29</v>
      </c>
      <c r="L11" s="1">
        <v>55.1</v>
      </c>
      <c r="M11" s="1">
        <v>0.52700000000000002</v>
      </c>
      <c r="N11" s="1">
        <v>19.5</v>
      </c>
      <c r="O11" s="1">
        <v>23.6</v>
      </c>
      <c r="P11" s="1">
        <v>0.82599999999999996</v>
      </c>
      <c r="Q11" s="1">
        <v>9.6</v>
      </c>
      <c r="R11" s="1">
        <v>32.700000000000003</v>
      </c>
      <c r="S11" s="1">
        <v>42.3</v>
      </c>
      <c r="T11" s="1">
        <v>26.7</v>
      </c>
      <c r="U11" s="1">
        <v>7.7</v>
      </c>
      <c r="V11" s="1">
        <v>3.9</v>
      </c>
      <c r="W11" s="1">
        <v>14.8</v>
      </c>
      <c r="X11" s="1">
        <v>21.7</v>
      </c>
      <c r="Y11" s="1">
        <v>110.5</v>
      </c>
    </row>
    <row r="12" spans="1:25" x14ac:dyDescent="0.25">
      <c r="A12" s="1">
        <v>11</v>
      </c>
      <c r="B12" s="1" t="s">
        <v>42</v>
      </c>
      <c r="C12" s="1">
        <v>64</v>
      </c>
      <c r="D12" s="1">
        <v>15560</v>
      </c>
      <c r="E12" s="1">
        <v>38.6</v>
      </c>
      <c r="F12" s="1">
        <v>87.5</v>
      </c>
      <c r="G12" s="1">
        <v>0.441</v>
      </c>
      <c r="H12" s="1">
        <v>12.7</v>
      </c>
      <c r="I12" s="1">
        <v>37.9</v>
      </c>
      <c r="J12" s="1">
        <v>0.33600000000000002</v>
      </c>
      <c r="K12" s="1">
        <v>25.9</v>
      </c>
      <c r="L12" s="1">
        <v>49.6</v>
      </c>
      <c r="M12" s="1">
        <v>0.52100000000000002</v>
      </c>
      <c r="N12" s="1">
        <v>18.2</v>
      </c>
      <c r="O12" s="1">
        <v>24.2</v>
      </c>
      <c r="P12" s="1">
        <v>0.753</v>
      </c>
      <c r="Q12" s="1">
        <v>10.1</v>
      </c>
      <c r="R12" s="1">
        <v>32.700000000000003</v>
      </c>
      <c r="S12" s="1">
        <v>42.8</v>
      </c>
      <c r="T12" s="1">
        <v>22.7</v>
      </c>
      <c r="U12" s="1">
        <v>8.3000000000000007</v>
      </c>
      <c r="V12" s="1">
        <v>5.4</v>
      </c>
      <c r="W12" s="1">
        <v>14.6</v>
      </c>
      <c r="X12" s="1">
        <v>20.399999999999999</v>
      </c>
      <c r="Y12" s="1">
        <v>108.1</v>
      </c>
    </row>
    <row r="13" spans="1:25" x14ac:dyDescent="0.25">
      <c r="A13" s="1">
        <v>12</v>
      </c>
      <c r="B13" s="1" t="s">
        <v>46</v>
      </c>
      <c r="C13" s="1">
        <v>64</v>
      </c>
      <c r="D13" s="1">
        <v>15485</v>
      </c>
      <c r="E13" s="1">
        <v>41.1</v>
      </c>
      <c r="F13" s="1">
        <v>89.6</v>
      </c>
      <c r="G13" s="1">
        <v>0.45900000000000002</v>
      </c>
      <c r="H13" s="1">
        <v>12.4</v>
      </c>
      <c r="I13" s="1">
        <v>34.200000000000003</v>
      </c>
      <c r="J13" s="1">
        <v>0.36299999999999999</v>
      </c>
      <c r="K13" s="1">
        <v>28.7</v>
      </c>
      <c r="L13" s="1">
        <v>55.4</v>
      </c>
      <c r="M13" s="1">
        <v>0.51900000000000002</v>
      </c>
      <c r="N13" s="1">
        <v>18.3</v>
      </c>
      <c r="O13" s="1">
        <v>22.8</v>
      </c>
      <c r="P13" s="1">
        <v>0.80100000000000005</v>
      </c>
      <c r="Q13" s="1">
        <v>10.7</v>
      </c>
      <c r="R13" s="1">
        <v>35.299999999999997</v>
      </c>
      <c r="S13" s="1">
        <v>45.9</v>
      </c>
      <c r="T13" s="1">
        <v>22.8</v>
      </c>
      <c r="U13" s="1">
        <v>8.3000000000000007</v>
      </c>
      <c r="V13" s="1">
        <v>5.6</v>
      </c>
      <c r="W13" s="1">
        <v>13.6</v>
      </c>
      <c r="X13" s="1">
        <v>21.3</v>
      </c>
      <c r="Y13" s="1">
        <v>112.9</v>
      </c>
    </row>
    <row r="14" spans="1:25" x14ac:dyDescent="0.25">
      <c r="A14" s="1">
        <v>13</v>
      </c>
      <c r="B14" s="1" t="s">
        <v>2007</v>
      </c>
      <c r="C14" s="1">
        <v>64</v>
      </c>
      <c r="D14" s="1">
        <v>15460</v>
      </c>
      <c r="E14" s="1">
        <v>40.1</v>
      </c>
      <c r="F14" s="1">
        <v>87.4</v>
      </c>
      <c r="G14" s="1">
        <v>0.45800000000000002</v>
      </c>
      <c r="H14" s="1">
        <v>13.6</v>
      </c>
      <c r="I14" s="1">
        <v>36.6</v>
      </c>
      <c r="J14" s="1">
        <v>0.371</v>
      </c>
      <c r="K14" s="1">
        <v>26.5</v>
      </c>
      <c r="L14" s="1">
        <v>50.9</v>
      </c>
      <c r="M14" s="1">
        <v>0.52100000000000002</v>
      </c>
      <c r="N14" s="1">
        <v>17.899999999999999</v>
      </c>
      <c r="O14" s="1">
        <v>22.3</v>
      </c>
      <c r="P14" s="1">
        <v>0.8</v>
      </c>
      <c r="Q14" s="1">
        <v>9.5</v>
      </c>
      <c r="R14" s="1">
        <v>35.1</v>
      </c>
      <c r="S14" s="1">
        <v>44.6</v>
      </c>
      <c r="T14" s="1">
        <v>25.1</v>
      </c>
      <c r="U14" s="1">
        <v>8.6999999999999993</v>
      </c>
      <c r="V14" s="1">
        <v>4.9000000000000004</v>
      </c>
      <c r="W14" s="1">
        <v>14.3</v>
      </c>
      <c r="X14" s="1">
        <v>21.2</v>
      </c>
      <c r="Y14" s="1">
        <v>111.6</v>
      </c>
    </row>
    <row r="15" spans="1:25" x14ac:dyDescent="0.25">
      <c r="A15" s="1">
        <v>14</v>
      </c>
      <c r="B15" s="1" t="s">
        <v>2006</v>
      </c>
      <c r="C15" s="1">
        <v>63</v>
      </c>
      <c r="D15" s="1">
        <v>15170</v>
      </c>
      <c r="E15" s="1">
        <v>42.4</v>
      </c>
      <c r="F15" s="1">
        <v>87.5</v>
      </c>
      <c r="G15" s="1">
        <v>0.48499999999999999</v>
      </c>
      <c r="H15" s="1">
        <v>11</v>
      </c>
      <c r="I15" s="1">
        <v>31.1</v>
      </c>
      <c r="J15" s="1">
        <v>0.35499999999999998</v>
      </c>
      <c r="K15" s="1">
        <v>31.4</v>
      </c>
      <c r="L15" s="1">
        <v>56.4</v>
      </c>
      <c r="M15" s="1">
        <v>0.55600000000000005</v>
      </c>
      <c r="N15" s="1">
        <v>17.100000000000001</v>
      </c>
      <c r="O15" s="1">
        <v>23.5</v>
      </c>
      <c r="P15" s="1">
        <v>0.73</v>
      </c>
      <c r="Q15" s="1">
        <v>10.5</v>
      </c>
      <c r="R15" s="1">
        <v>35.1</v>
      </c>
      <c r="S15" s="1">
        <v>45.6</v>
      </c>
      <c r="T15" s="1">
        <v>25.6</v>
      </c>
      <c r="U15" s="1">
        <v>8.5</v>
      </c>
      <c r="V15" s="1">
        <v>6.7</v>
      </c>
      <c r="W15" s="1">
        <v>14.9</v>
      </c>
      <c r="X15" s="1">
        <v>20.399999999999999</v>
      </c>
      <c r="Y15" s="1">
        <v>113</v>
      </c>
    </row>
    <row r="16" spans="1:25" x14ac:dyDescent="0.25">
      <c r="A16" s="1">
        <v>15</v>
      </c>
      <c r="B16" s="1" t="s">
        <v>41</v>
      </c>
      <c r="C16" s="1">
        <v>64</v>
      </c>
      <c r="D16" s="1">
        <v>15585</v>
      </c>
      <c r="E16" s="1">
        <v>39.799999999999997</v>
      </c>
      <c r="F16" s="1">
        <v>84.7</v>
      </c>
      <c r="G16" s="1">
        <v>0.47</v>
      </c>
      <c r="H16" s="1">
        <v>13.4</v>
      </c>
      <c r="I16" s="1">
        <v>34.799999999999997</v>
      </c>
      <c r="J16" s="1">
        <v>0.38400000000000001</v>
      </c>
      <c r="K16" s="1">
        <v>26.4</v>
      </c>
      <c r="L16" s="1">
        <v>49.9</v>
      </c>
      <c r="M16" s="1">
        <v>0.52900000000000003</v>
      </c>
      <c r="N16" s="1">
        <v>19.8</v>
      </c>
      <c r="O16" s="1">
        <v>25.5</v>
      </c>
      <c r="P16" s="1">
        <v>0.77800000000000002</v>
      </c>
      <c r="Q16" s="1">
        <v>8.5</v>
      </c>
      <c r="R16" s="1">
        <v>36.299999999999997</v>
      </c>
      <c r="S16" s="1">
        <v>44.8</v>
      </c>
      <c r="T16" s="1">
        <v>26</v>
      </c>
      <c r="U16" s="1">
        <v>7.4</v>
      </c>
      <c r="V16" s="1">
        <v>4.5</v>
      </c>
      <c r="W16" s="1">
        <v>15</v>
      </c>
      <c r="X16" s="1">
        <v>20.5</v>
      </c>
      <c r="Y16" s="1">
        <v>112.7</v>
      </c>
    </row>
    <row r="17" spans="1:25" x14ac:dyDescent="0.25">
      <c r="A17" s="1">
        <v>16</v>
      </c>
      <c r="B17" s="1" t="s">
        <v>54</v>
      </c>
      <c r="C17" s="1">
        <v>63</v>
      </c>
      <c r="D17" s="1">
        <v>15295</v>
      </c>
      <c r="E17" s="1">
        <v>41.6</v>
      </c>
      <c r="F17" s="1">
        <v>88.5</v>
      </c>
      <c r="G17" s="1">
        <v>0.47</v>
      </c>
      <c r="H17" s="1">
        <v>10.5</v>
      </c>
      <c r="I17" s="1">
        <v>28.4</v>
      </c>
      <c r="J17" s="1">
        <v>0.371</v>
      </c>
      <c r="K17" s="1">
        <v>31.1</v>
      </c>
      <c r="L17" s="1">
        <v>60.1</v>
      </c>
      <c r="M17" s="1">
        <v>0.51700000000000002</v>
      </c>
      <c r="N17" s="1">
        <v>18.2</v>
      </c>
      <c r="O17" s="1">
        <v>22.5</v>
      </c>
      <c r="P17" s="1">
        <v>0.80900000000000005</v>
      </c>
      <c r="Q17" s="1">
        <v>8.6999999999999993</v>
      </c>
      <c r="R17" s="1">
        <v>35.200000000000003</v>
      </c>
      <c r="S17" s="1">
        <v>43.9</v>
      </c>
      <c r="T17" s="1">
        <v>24.3</v>
      </c>
      <c r="U17" s="1">
        <v>7.1</v>
      </c>
      <c r="V17" s="1">
        <v>5.4</v>
      </c>
      <c r="W17" s="1">
        <v>12.1</v>
      </c>
      <c r="X17" s="1">
        <v>19</v>
      </c>
      <c r="Y17" s="1">
        <v>111.9</v>
      </c>
    </row>
    <row r="18" spans="1:25" x14ac:dyDescent="0.25">
      <c r="A18" s="1">
        <v>17</v>
      </c>
      <c r="B18" s="1" t="s">
        <v>51</v>
      </c>
      <c r="C18" s="1">
        <v>65</v>
      </c>
      <c r="D18" s="1">
        <v>15700</v>
      </c>
      <c r="E18" s="1">
        <v>42.5</v>
      </c>
      <c r="F18" s="1">
        <v>89.1</v>
      </c>
      <c r="G18" s="1">
        <v>0.47699999999999998</v>
      </c>
      <c r="H18" s="1">
        <v>10.1</v>
      </c>
      <c r="I18" s="1">
        <v>27.7</v>
      </c>
      <c r="J18" s="1">
        <v>0.36299999999999999</v>
      </c>
      <c r="K18" s="1">
        <v>32.5</v>
      </c>
      <c r="L18" s="1">
        <v>61.4</v>
      </c>
      <c r="M18" s="1">
        <v>0.52900000000000003</v>
      </c>
      <c r="N18" s="1">
        <v>15.2</v>
      </c>
      <c r="O18" s="1">
        <v>19.3</v>
      </c>
      <c r="P18" s="1">
        <v>0.78700000000000003</v>
      </c>
      <c r="Q18" s="1">
        <v>8.9</v>
      </c>
      <c r="R18" s="1">
        <v>34.299999999999997</v>
      </c>
      <c r="S18" s="1">
        <v>43.2</v>
      </c>
      <c r="T18" s="1">
        <v>26.2</v>
      </c>
      <c r="U18" s="1">
        <v>7.3</v>
      </c>
      <c r="V18" s="1">
        <v>5.2</v>
      </c>
      <c r="W18" s="1">
        <v>13.2</v>
      </c>
      <c r="X18" s="1">
        <v>19.8</v>
      </c>
      <c r="Y18" s="1">
        <v>110.3</v>
      </c>
    </row>
    <row r="19" spans="1:25" x14ac:dyDescent="0.25">
      <c r="A19" s="1">
        <v>18</v>
      </c>
      <c r="B19" s="1" t="s">
        <v>34</v>
      </c>
      <c r="C19" s="1">
        <v>64</v>
      </c>
      <c r="D19" s="1">
        <v>15385</v>
      </c>
      <c r="E19" s="1">
        <v>40.700000000000003</v>
      </c>
      <c r="F19" s="1">
        <v>85.8</v>
      </c>
      <c r="G19" s="1">
        <v>0.47499999999999998</v>
      </c>
      <c r="H19" s="1">
        <v>13.4</v>
      </c>
      <c r="I19" s="1">
        <v>34.9</v>
      </c>
      <c r="J19" s="1">
        <v>0.38300000000000001</v>
      </c>
      <c r="K19" s="1">
        <v>27.3</v>
      </c>
      <c r="L19" s="1">
        <v>50.9</v>
      </c>
      <c r="M19" s="1">
        <v>0.53700000000000003</v>
      </c>
      <c r="N19" s="1">
        <v>17.8</v>
      </c>
      <c r="O19" s="1">
        <v>23.1</v>
      </c>
      <c r="P19" s="1">
        <v>0.77200000000000002</v>
      </c>
      <c r="Q19" s="1">
        <v>9</v>
      </c>
      <c r="R19" s="1">
        <v>36.799999999999997</v>
      </c>
      <c r="S19" s="1">
        <v>45.7</v>
      </c>
      <c r="T19" s="1">
        <v>22.5</v>
      </c>
      <c r="U19" s="1">
        <v>6</v>
      </c>
      <c r="V19" s="1">
        <v>4.0999999999999996</v>
      </c>
      <c r="W19" s="1">
        <v>15.1</v>
      </c>
      <c r="X19" s="1">
        <v>20.3</v>
      </c>
      <c r="Y19" s="1">
        <v>112.6</v>
      </c>
    </row>
    <row r="20" spans="1:25" x14ac:dyDescent="0.25">
      <c r="A20" s="1">
        <v>19</v>
      </c>
      <c r="B20" s="1" t="s">
        <v>38</v>
      </c>
      <c r="C20" s="1">
        <v>64</v>
      </c>
      <c r="D20" s="1">
        <v>15560</v>
      </c>
      <c r="E20" s="1">
        <v>39</v>
      </c>
      <c r="F20" s="1">
        <v>87.9</v>
      </c>
      <c r="G20" s="1">
        <v>0.44400000000000001</v>
      </c>
      <c r="H20" s="1">
        <v>12.6</v>
      </c>
      <c r="I20" s="1">
        <v>36.9</v>
      </c>
      <c r="J20" s="1">
        <v>0.34</v>
      </c>
      <c r="K20" s="1">
        <v>26.4</v>
      </c>
      <c r="L20" s="1">
        <v>50.9</v>
      </c>
      <c r="M20" s="1">
        <v>0.51900000000000002</v>
      </c>
      <c r="N20" s="1">
        <v>17.5</v>
      </c>
      <c r="O20" s="1">
        <v>23.6</v>
      </c>
      <c r="P20" s="1">
        <v>0.74399999999999999</v>
      </c>
      <c r="Q20" s="1">
        <v>10.6</v>
      </c>
      <c r="R20" s="1">
        <v>36.700000000000003</v>
      </c>
      <c r="S20" s="1">
        <v>47.3</v>
      </c>
      <c r="T20" s="1">
        <v>23.5</v>
      </c>
      <c r="U20" s="1">
        <v>6.3</v>
      </c>
      <c r="V20" s="1">
        <v>4.5</v>
      </c>
      <c r="W20" s="1">
        <v>15.1</v>
      </c>
      <c r="X20" s="1">
        <v>20.2</v>
      </c>
      <c r="Y20" s="1">
        <v>108.1</v>
      </c>
    </row>
    <row r="21" spans="1:25" x14ac:dyDescent="0.25">
      <c r="A21" s="1">
        <v>20</v>
      </c>
      <c r="B21" s="1" t="s">
        <v>33</v>
      </c>
      <c r="C21" s="1">
        <v>64</v>
      </c>
      <c r="D21" s="1">
        <v>15460</v>
      </c>
      <c r="E21" s="1">
        <v>40.6</v>
      </c>
      <c r="F21" s="1">
        <v>85.8</v>
      </c>
      <c r="G21" s="1">
        <v>0.47299999999999998</v>
      </c>
      <c r="H21" s="1">
        <v>10.5</v>
      </c>
      <c r="I21" s="1">
        <v>29.6</v>
      </c>
      <c r="J21" s="1">
        <v>0.35499999999999998</v>
      </c>
      <c r="K21" s="1">
        <v>30.1</v>
      </c>
      <c r="L21" s="1">
        <v>56.2</v>
      </c>
      <c r="M21" s="1">
        <v>0.53600000000000003</v>
      </c>
      <c r="N21" s="1">
        <v>19.899999999999999</v>
      </c>
      <c r="O21" s="1">
        <v>25</v>
      </c>
      <c r="P21" s="1">
        <v>0.79700000000000004</v>
      </c>
      <c r="Q21" s="1">
        <v>8.1</v>
      </c>
      <c r="R21" s="1">
        <v>34.799999999999997</v>
      </c>
      <c r="S21" s="1">
        <v>43</v>
      </c>
      <c r="T21" s="1">
        <v>22</v>
      </c>
      <c r="U21" s="1">
        <v>7.7</v>
      </c>
      <c r="V21" s="1">
        <v>5.0999999999999996</v>
      </c>
      <c r="W21" s="1">
        <v>13.6</v>
      </c>
      <c r="X21" s="1">
        <v>19</v>
      </c>
      <c r="Y21" s="1">
        <v>111.6</v>
      </c>
    </row>
    <row r="22" spans="1:25" x14ac:dyDescent="0.25">
      <c r="A22" s="1">
        <v>21</v>
      </c>
      <c r="B22" s="1" t="s">
        <v>50</v>
      </c>
      <c r="C22" s="1">
        <v>64</v>
      </c>
      <c r="D22" s="1">
        <v>15510</v>
      </c>
      <c r="E22" s="1">
        <v>42.7</v>
      </c>
      <c r="F22" s="1">
        <v>90.7</v>
      </c>
      <c r="G22" s="1">
        <v>0.47099999999999997</v>
      </c>
      <c r="H22" s="1">
        <v>11</v>
      </c>
      <c r="I22" s="1">
        <v>30.9</v>
      </c>
      <c r="J22" s="1">
        <v>0.35799999999999998</v>
      </c>
      <c r="K22" s="1">
        <v>31.6</v>
      </c>
      <c r="L22" s="1">
        <v>59.8</v>
      </c>
      <c r="M22" s="1">
        <v>0.52900000000000003</v>
      </c>
      <c r="N22" s="1">
        <v>16.3</v>
      </c>
      <c r="O22" s="1">
        <v>21.1</v>
      </c>
      <c r="P22" s="1">
        <v>0.77600000000000002</v>
      </c>
      <c r="Q22" s="1">
        <v>11.1</v>
      </c>
      <c r="R22" s="1">
        <v>34.1</v>
      </c>
      <c r="S22" s="1">
        <v>45.2</v>
      </c>
      <c r="T22" s="1">
        <v>27.1</v>
      </c>
      <c r="U22" s="1">
        <v>8.3000000000000007</v>
      </c>
      <c r="V22" s="1">
        <v>4.7</v>
      </c>
      <c r="W22" s="1">
        <v>13.9</v>
      </c>
      <c r="X22" s="1">
        <v>20.399999999999999</v>
      </c>
      <c r="Y22" s="1">
        <v>112.7</v>
      </c>
    </row>
    <row r="23" spans="1:25" x14ac:dyDescent="0.25">
      <c r="A23" s="1">
        <v>22</v>
      </c>
      <c r="B23" s="1" t="s">
        <v>45</v>
      </c>
      <c r="C23" s="1">
        <v>64</v>
      </c>
      <c r="D23" s="1">
        <v>15435</v>
      </c>
      <c r="E23" s="1">
        <v>41</v>
      </c>
      <c r="F23" s="1">
        <v>88.4</v>
      </c>
      <c r="G23" s="1">
        <v>0.46400000000000002</v>
      </c>
      <c r="H23" s="1">
        <v>11.5</v>
      </c>
      <c r="I23" s="1">
        <v>31.8</v>
      </c>
      <c r="J23" s="1">
        <v>0.36099999999999999</v>
      </c>
      <c r="K23" s="1">
        <v>29.6</v>
      </c>
      <c r="L23" s="1">
        <v>56.6</v>
      </c>
      <c r="M23" s="1">
        <v>0.52300000000000002</v>
      </c>
      <c r="N23" s="1">
        <v>16.600000000000001</v>
      </c>
      <c r="O23" s="1">
        <v>22.1</v>
      </c>
      <c r="P23" s="1">
        <v>0.751</v>
      </c>
      <c r="Q23" s="1">
        <v>10.4</v>
      </c>
      <c r="R23" s="1">
        <v>35.299999999999997</v>
      </c>
      <c r="S23" s="1">
        <v>45.7</v>
      </c>
      <c r="T23" s="1">
        <v>26</v>
      </c>
      <c r="U23" s="1">
        <v>8.1999999999999993</v>
      </c>
      <c r="V23" s="1">
        <v>5.4</v>
      </c>
      <c r="W23" s="1">
        <v>14.3</v>
      </c>
      <c r="X23" s="1">
        <v>20.8</v>
      </c>
      <c r="Y23" s="1">
        <v>110.1</v>
      </c>
    </row>
    <row r="24" spans="1:25" x14ac:dyDescent="0.25">
      <c r="A24" s="1">
        <v>23</v>
      </c>
      <c r="B24" s="1" t="s">
        <v>36</v>
      </c>
      <c r="C24" s="1">
        <v>64</v>
      </c>
      <c r="D24" s="1">
        <v>15510</v>
      </c>
      <c r="E24" s="1">
        <v>40.6</v>
      </c>
      <c r="F24" s="1">
        <v>88.4</v>
      </c>
      <c r="G24" s="1">
        <v>0.45900000000000002</v>
      </c>
      <c r="H24" s="1">
        <v>12.7</v>
      </c>
      <c r="I24" s="1">
        <v>34.9</v>
      </c>
      <c r="J24" s="1">
        <v>0.36399999999999999</v>
      </c>
      <c r="K24" s="1">
        <v>27.9</v>
      </c>
      <c r="L24" s="1">
        <v>53.5</v>
      </c>
      <c r="M24" s="1">
        <v>0.52200000000000002</v>
      </c>
      <c r="N24" s="1">
        <v>15.7</v>
      </c>
      <c r="O24" s="1">
        <v>20.5</v>
      </c>
      <c r="P24" s="1">
        <v>0.76900000000000002</v>
      </c>
      <c r="Q24" s="1">
        <v>9.6999999999999993</v>
      </c>
      <c r="R24" s="1">
        <v>33.1</v>
      </c>
      <c r="S24" s="1">
        <v>42.8</v>
      </c>
      <c r="T24" s="1">
        <v>23.5</v>
      </c>
      <c r="U24" s="1">
        <v>7.7</v>
      </c>
      <c r="V24" s="1">
        <v>4.3</v>
      </c>
      <c r="W24" s="1">
        <v>14.5</v>
      </c>
      <c r="X24" s="1">
        <v>22</v>
      </c>
      <c r="Y24" s="1">
        <v>109.7</v>
      </c>
    </row>
    <row r="25" spans="1:25" x14ac:dyDescent="0.25">
      <c r="A25" s="1">
        <v>24</v>
      </c>
      <c r="B25" s="1" t="s">
        <v>30</v>
      </c>
      <c r="C25" s="1">
        <v>65</v>
      </c>
      <c r="D25" s="1">
        <v>15725</v>
      </c>
      <c r="E25" s="1">
        <v>40</v>
      </c>
      <c r="F25" s="1">
        <v>87.2</v>
      </c>
      <c r="G25" s="1">
        <v>0.45900000000000002</v>
      </c>
      <c r="H25" s="1">
        <v>12.2</v>
      </c>
      <c r="I25" s="1">
        <v>33.200000000000003</v>
      </c>
      <c r="J25" s="1">
        <v>0.36799999999999999</v>
      </c>
      <c r="K25" s="1">
        <v>27.8</v>
      </c>
      <c r="L25" s="1">
        <v>54</v>
      </c>
      <c r="M25" s="1">
        <v>0.51400000000000001</v>
      </c>
      <c r="N25" s="1">
        <v>16.899999999999999</v>
      </c>
      <c r="O25" s="1">
        <v>22.7</v>
      </c>
      <c r="P25" s="1">
        <v>0.74399999999999999</v>
      </c>
      <c r="Q25" s="1">
        <v>10</v>
      </c>
      <c r="R25" s="1">
        <v>32.6</v>
      </c>
      <c r="S25" s="1">
        <v>42.5</v>
      </c>
      <c r="T25" s="1">
        <v>24.5</v>
      </c>
      <c r="U25" s="1">
        <v>7.5</v>
      </c>
      <c r="V25" s="1">
        <v>4.5999999999999996</v>
      </c>
      <c r="W25" s="1">
        <v>15.6</v>
      </c>
      <c r="X25" s="1">
        <v>19.899999999999999</v>
      </c>
      <c r="Y25" s="1">
        <v>109</v>
      </c>
    </row>
    <row r="26" spans="1:25" x14ac:dyDescent="0.25">
      <c r="A26" s="1">
        <v>25</v>
      </c>
      <c r="B26" s="1" t="s">
        <v>49</v>
      </c>
      <c r="C26" s="1">
        <v>65</v>
      </c>
      <c r="D26" s="1">
        <v>15725</v>
      </c>
      <c r="E26" s="1">
        <v>40.5</v>
      </c>
      <c r="F26" s="1">
        <v>88.4</v>
      </c>
      <c r="G26" s="1">
        <v>0.45800000000000002</v>
      </c>
      <c r="H26" s="1">
        <v>11.2</v>
      </c>
      <c r="I26" s="1">
        <v>32</v>
      </c>
      <c r="J26" s="1">
        <v>0.35099999999999998</v>
      </c>
      <c r="K26" s="1">
        <v>29.3</v>
      </c>
      <c r="L26" s="1">
        <v>56.4</v>
      </c>
      <c r="M26" s="1">
        <v>0.51900000000000002</v>
      </c>
      <c r="N26" s="1">
        <v>15.2</v>
      </c>
      <c r="O26" s="1">
        <v>20</v>
      </c>
      <c r="P26" s="1">
        <v>0.75800000000000001</v>
      </c>
      <c r="Q26" s="1">
        <v>10.9</v>
      </c>
      <c r="R26" s="1">
        <v>33.6</v>
      </c>
      <c r="S26" s="1">
        <v>44.5</v>
      </c>
      <c r="T26" s="1">
        <v>23.2</v>
      </c>
      <c r="U26" s="1">
        <v>6.9</v>
      </c>
      <c r="V26" s="1">
        <v>3.3</v>
      </c>
      <c r="W26" s="1">
        <v>16.600000000000001</v>
      </c>
      <c r="X26" s="1">
        <v>18.399999999999999</v>
      </c>
      <c r="Y26" s="1">
        <v>107.5</v>
      </c>
    </row>
    <row r="27" spans="1:25" x14ac:dyDescent="0.25">
      <c r="A27" s="1">
        <v>26</v>
      </c>
      <c r="B27" s="1" t="s">
        <v>31</v>
      </c>
      <c r="C27" s="1">
        <v>65</v>
      </c>
      <c r="D27" s="1">
        <v>15675</v>
      </c>
      <c r="E27" s="1">
        <v>39.5</v>
      </c>
      <c r="F27" s="1">
        <v>88.5</v>
      </c>
      <c r="G27" s="1">
        <v>0.44700000000000001</v>
      </c>
      <c r="H27" s="1">
        <v>12.2</v>
      </c>
      <c r="I27" s="1">
        <v>35.1</v>
      </c>
      <c r="J27" s="1">
        <v>0.34799999999999998</v>
      </c>
      <c r="K27" s="1">
        <v>27.3</v>
      </c>
      <c r="L27" s="1">
        <v>53.5</v>
      </c>
      <c r="M27" s="1">
        <v>0.51100000000000001</v>
      </c>
      <c r="N27" s="1">
        <v>15.5</v>
      </c>
      <c r="O27" s="1">
        <v>20.5</v>
      </c>
      <c r="P27" s="1">
        <v>0.755</v>
      </c>
      <c r="Q27" s="1">
        <v>10.4</v>
      </c>
      <c r="R27" s="1">
        <v>31.4</v>
      </c>
      <c r="S27" s="1">
        <v>41.8</v>
      </c>
      <c r="T27" s="1">
        <v>23.2</v>
      </c>
      <c r="U27" s="1">
        <v>10</v>
      </c>
      <c r="V27" s="1">
        <v>4.0999999999999996</v>
      </c>
      <c r="W27" s="1">
        <v>15.4</v>
      </c>
      <c r="X27" s="1">
        <v>21.8</v>
      </c>
      <c r="Y27" s="1">
        <v>106.7</v>
      </c>
    </row>
    <row r="28" spans="1:25" x14ac:dyDescent="0.25">
      <c r="A28" s="1">
        <v>27</v>
      </c>
      <c r="B28" s="1" t="s">
        <v>53</v>
      </c>
      <c r="C28" s="1">
        <v>65</v>
      </c>
      <c r="D28" s="1">
        <v>15625</v>
      </c>
      <c r="E28" s="1">
        <v>39.799999999999997</v>
      </c>
      <c r="F28" s="1">
        <v>90.2</v>
      </c>
      <c r="G28" s="1">
        <v>0.442</v>
      </c>
      <c r="H28" s="1">
        <v>11.1</v>
      </c>
      <c r="I28" s="1">
        <v>32.5</v>
      </c>
      <c r="J28" s="1">
        <v>0.34100000000000003</v>
      </c>
      <c r="K28" s="1">
        <v>28.7</v>
      </c>
      <c r="L28" s="1">
        <v>57.7</v>
      </c>
      <c r="M28" s="1">
        <v>0.498</v>
      </c>
      <c r="N28" s="1">
        <v>17.2</v>
      </c>
      <c r="O28" s="1">
        <v>22.4</v>
      </c>
      <c r="P28" s="1">
        <v>0.77</v>
      </c>
      <c r="Q28" s="1">
        <v>10.5</v>
      </c>
      <c r="R28" s="1">
        <v>34.700000000000003</v>
      </c>
      <c r="S28" s="1">
        <v>45.2</v>
      </c>
      <c r="T28" s="1">
        <v>24.4</v>
      </c>
      <c r="U28" s="1">
        <v>8.5</v>
      </c>
      <c r="V28" s="1">
        <v>5.8</v>
      </c>
      <c r="W28" s="1">
        <v>12.8</v>
      </c>
      <c r="X28" s="1">
        <v>17.899999999999999</v>
      </c>
      <c r="Y28" s="1">
        <v>108</v>
      </c>
    </row>
    <row r="29" spans="1:25" x14ac:dyDescent="0.25">
      <c r="A29" s="1">
        <v>28</v>
      </c>
      <c r="B29" s="1" t="s">
        <v>44</v>
      </c>
      <c r="C29" s="1">
        <v>65</v>
      </c>
      <c r="D29" s="1">
        <v>15725</v>
      </c>
      <c r="E29" s="1">
        <v>38.200000000000003</v>
      </c>
      <c r="F29" s="1">
        <v>87.2</v>
      </c>
      <c r="G29" s="1">
        <v>0.438</v>
      </c>
      <c r="H29" s="1">
        <v>10.3</v>
      </c>
      <c r="I29" s="1">
        <v>30.9</v>
      </c>
      <c r="J29" s="1">
        <v>0.33400000000000002</v>
      </c>
      <c r="K29" s="1">
        <v>27.9</v>
      </c>
      <c r="L29" s="1">
        <v>56.3</v>
      </c>
      <c r="M29" s="1">
        <v>0.495</v>
      </c>
      <c r="N29" s="1">
        <v>18.5</v>
      </c>
      <c r="O29" s="1">
        <v>23</v>
      </c>
      <c r="P29" s="1">
        <v>0.80300000000000005</v>
      </c>
      <c r="Q29" s="1">
        <v>9.8000000000000007</v>
      </c>
      <c r="R29" s="1">
        <v>32.5</v>
      </c>
      <c r="S29" s="1">
        <v>42.4</v>
      </c>
      <c r="T29" s="1">
        <v>25.3</v>
      </c>
      <c r="U29" s="1">
        <v>8.1</v>
      </c>
      <c r="V29" s="1">
        <v>4.5</v>
      </c>
      <c r="W29" s="1">
        <v>14.7</v>
      </c>
      <c r="X29" s="1">
        <v>19.8</v>
      </c>
      <c r="Y29" s="1">
        <v>105.2</v>
      </c>
    </row>
    <row r="30" spans="1:25" x14ac:dyDescent="0.25">
      <c r="A30" s="1">
        <v>29</v>
      </c>
      <c r="B30" s="1" t="s">
        <v>35</v>
      </c>
      <c r="C30" s="1">
        <v>65</v>
      </c>
      <c r="D30" s="1">
        <v>15700</v>
      </c>
      <c r="E30" s="1">
        <v>40.200000000000003</v>
      </c>
      <c r="F30" s="1">
        <v>90.1</v>
      </c>
      <c r="G30" s="1">
        <v>0.44600000000000001</v>
      </c>
      <c r="H30" s="1">
        <v>9.6</v>
      </c>
      <c r="I30" s="1">
        <v>28.6</v>
      </c>
      <c r="J30" s="1">
        <v>0.33600000000000002</v>
      </c>
      <c r="K30" s="1">
        <v>30.5</v>
      </c>
      <c r="L30" s="1">
        <v>61.4</v>
      </c>
      <c r="M30" s="1">
        <v>0.497</v>
      </c>
      <c r="N30" s="1">
        <v>16.3</v>
      </c>
      <c r="O30" s="1">
        <v>23.5</v>
      </c>
      <c r="P30" s="1">
        <v>0.69299999999999995</v>
      </c>
      <c r="Q30" s="1">
        <v>12.2</v>
      </c>
      <c r="R30" s="1">
        <v>34.700000000000003</v>
      </c>
      <c r="S30" s="1">
        <v>46.9</v>
      </c>
      <c r="T30" s="1">
        <v>22.1</v>
      </c>
      <c r="U30" s="1">
        <v>7.6</v>
      </c>
      <c r="V30" s="1">
        <v>4.7</v>
      </c>
      <c r="W30" s="1">
        <v>14.5</v>
      </c>
      <c r="X30" s="1">
        <v>22.4</v>
      </c>
      <c r="Y30" s="1">
        <v>106.3</v>
      </c>
    </row>
    <row r="31" spans="1:25" x14ac:dyDescent="0.25">
      <c r="A31" s="1">
        <v>30</v>
      </c>
      <c r="B31" s="1" t="s">
        <v>29</v>
      </c>
      <c r="C31" s="1">
        <v>64</v>
      </c>
      <c r="D31" s="1">
        <v>15510</v>
      </c>
      <c r="E31" s="1">
        <v>38.5</v>
      </c>
      <c r="F31" s="1">
        <v>88.8</v>
      </c>
      <c r="G31" s="1">
        <v>0.434</v>
      </c>
      <c r="H31" s="1">
        <v>12.4</v>
      </c>
      <c r="I31" s="1">
        <v>35.4</v>
      </c>
      <c r="J31" s="1">
        <v>0.35</v>
      </c>
      <c r="K31" s="1">
        <v>26.1</v>
      </c>
      <c r="L31" s="1">
        <v>53.3</v>
      </c>
      <c r="M31" s="1">
        <v>0.49</v>
      </c>
      <c r="N31" s="1">
        <v>16.7</v>
      </c>
      <c r="O31" s="1">
        <v>22.3</v>
      </c>
      <c r="P31" s="1">
        <v>0.747</v>
      </c>
      <c r="Q31" s="1">
        <v>11.3</v>
      </c>
      <c r="R31" s="1">
        <v>32.799999999999997</v>
      </c>
      <c r="S31" s="1">
        <v>44.1</v>
      </c>
      <c r="T31" s="1">
        <v>24.7</v>
      </c>
      <c r="U31" s="1">
        <v>6.8</v>
      </c>
      <c r="V31" s="1">
        <v>4.3</v>
      </c>
      <c r="W31" s="1">
        <v>15.1</v>
      </c>
      <c r="X31" s="1">
        <v>19.600000000000001</v>
      </c>
      <c r="Y31" s="1">
        <v>106.1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"/>
  <sheetViews>
    <sheetView workbookViewId="0">
      <selection sqref="A1:Y31"/>
    </sheetView>
  </sheetViews>
  <sheetFormatPr defaultRowHeight="15" x14ac:dyDescent="0.25"/>
  <cols>
    <col min="1" max="1" width="5.42578125" bestFit="1" customWidth="1"/>
    <col min="2" max="2" width="23.85546875" bestFit="1" customWidth="1"/>
    <col min="3" max="3" width="4.7109375" bestFit="1" customWidth="1"/>
    <col min="4" max="4" width="6.28515625" bestFit="1" customWidth="1"/>
    <col min="5" max="5" width="5.7109375" bestFit="1" customWidth="1"/>
    <col min="6" max="6" width="7" bestFit="1" customWidth="1"/>
    <col min="7" max="7" width="7.28515625" bestFit="1" customWidth="1"/>
    <col min="8" max="8" width="5.42578125" bestFit="1" customWidth="1"/>
    <col min="9" max="9" width="6.7109375" bestFit="1" customWidth="1"/>
    <col min="10" max="10" width="7" bestFit="1" customWidth="1"/>
    <col min="11" max="11" width="5.42578125" bestFit="1" customWidth="1"/>
    <col min="12" max="12" width="6.7109375" bestFit="1" customWidth="1"/>
    <col min="13" max="13" width="7" bestFit="1" customWidth="1"/>
    <col min="14" max="14" width="5.28515625" bestFit="1" customWidth="1"/>
    <col min="15" max="15" width="6.5703125" bestFit="1" customWidth="1"/>
    <col min="16" max="16" width="6.85546875" bestFit="1" customWidth="1"/>
    <col min="17" max="17" width="7" bestFit="1" customWidth="1"/>
    <col min="18" max="18" width="6.85546875" bestFit="1" customWidth="1"/>
    <col min="19" max="20" width="6.5703125" bestFit="1" customWidth="1"/>
    <col min="21" max="21" width="6.140625" bestFit="1" customWidth="1"/>
    <col min="22" max="22" width="6.42578125" bestFit="1" customWidth="1"/>
    <col min="23" max="23" width="7" bestFit="1" customWidth="1"/>
    <col min="24" max="24" width="5.42578125" bestFit="1" customWidth="1"/>
    <col min="25" max="25" width="6.42578125" bestFit="1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 s="1">
        <v>1</v>
      </c>
      <c r="B2" s="1" t="s">
        <v>2006</v>
      </c>
      <c r="C2" s="1">
        <v>63</v>
      </c>
      <c r="D2" s="1">
        <v>15170</v>
      </c>
      <c r="E2" s="1">
        <v>38.5</v>
      </c>
      <c r="F2" s="1">
        <v>86.7</v>
      </c>
      <c r="G2" s="1">
        <v>0.44400000000000001</v>
      </c>
      <c r="H2" s="1">
        <v>11.1</v>
      </c>
      <c r="I2" s="1">
        <v>32.6</v>
      </c>
      <c r="J2" s="1">
        <v>0.34200000000000003</v>
      </c>
      <c r="K2" s="1">
        <v>27.4</v>
      </c>
      <c r="L2" s="1">
        <v>54.1</v>
      </c>
      <c r="M2" s="1">
        <v>0.50600000000000001</v>
      </c>
      <c r="N2" s="1">
        <v>17.5</v>
      </c>
      <c r="O2" s="1">
        <v>22.6</v>
      </c>
      <c r="P2" s="1">
        <v>0.77400000000000002</v>
      </c>
      <c r="Q2" s="1">
        <v>9.6999999999999993</v>
      </c>
      <c r="R2" s="1">
        <v>32.1</v>
      </c>
      <c r="S2" s="1">
        <v>41.8</v>
      </c>
      <c r="T2" s="1">
        <v>23</v>
      </c>
      <c r="U2" s="1">
        <v>8.1</v>
      </c>
      <c r="V2" s="1">
        <v>3.7</v>
      </c>
      <c r="W2" s="1">
        <v>15.5</v>
      </c>
      <c r="X2" s="1">
        <v>21.2</v>
      </c>
      <c r="Y2" s="1">
        <v>105.6</v>
      </c>
    </row>
    <row r="3" spans="1:25" x14ac:dyDescent="0.25">
      <c r="A3" s="1">
        <v>2</v>
      </c>
      <c r="B3" s="1" t="s">
        <v>2007</v>
      </c>
      <c r="C3" s="1">
        <v>64</v>
      </c>
      <c r="D3" s="1">
        <v>15460</v>
      </c>
      <c r="E3" s="1">
        <v>37.5</v>
      </c>
      <c r="F3" s="1">
        <v>87.4</v>
      </c>
      <c r="G3" s="1">
        <v>0.42899999999999999</v>
      </c>
      <c r="H3" s="1">
        <v>12.8</v>
      </c>
      <c r="I3" s="1">
        <v>38</v>
      </c>
      <c r="J3" s="1">
        <v>0.33700000000000002</v>
      </c>
      <c r="K3" s="1">
        <v>24.6</v>
      </c>
      <c r="L3" s="1">
        <v>49.4</v>
      </c>
      <c r="M3" s="1">
        <v>0.499</v>
      </c>
      <c r="N3" s="1">
        <v>17.5</v>
      </c>
      <c r="O3" s="1">
        <v>22.7</v>
      </c>
      <c r="P3" s="1">
        <v>0.76800000000000002</v>
      </c>
      <c r="Q3" s="1">
        <v>11</v>
      </c>
      <c r="R3" s="1">
        <v>34.700000000000003</v>
      </c>
      <c r="S3" s="1">
        <v>45.7</v>
      </c>
      <c r="T3" s="1">
        <v>25.3</v>
      </c>
      <c r="U3" s="1">
        <v>7</v>
      </c>
      <c r="V3" s="1">
        <v>5.2</v>
      </c>
      <c r="W3" s="1">
        <v>16.600000000000001</v>
      </c>
      <c r="X3" s="1">
        <v>19.7</v>
      </c>
      <c r="Y3" s="1">
        <v>105.2</v>
      </c>
    </row>
    <row r="4" spans="1:25" x14ac:dyDescent="0.25">
      <c r="A4" s="1">
        <v>3</v>
      </c>
      <c r="B4" s="1" t="s">
        <v>46</v>
      </c>
      <c r="C4" s="1">
        <v>64</v>
      </c>
      <c r="D4" s="1">
        <v>15485</v>
      </c>
      <c r="E4" s="1">
        <v>38.299999999999997</v>
      </c>
      <c r="F4" s="1">
        <v>86.7</v>
      </c>
      <c r="G4" s="1">
        <v>0.442</v>
      </c>
      <c r="H4" s="1">
        <v>11.8</v>
      </c>
      <c r="I4" s="1">
        <v>34.4</v>
      </c>
      <c r="J4" s="1">
        <v>0.34200000000000003</v>
      </c>
      <c r="K4" s="1">
        <v>26.5</v>
      </c>
      <c r="L4" s="1">
        <v>52.3</v>
      </c>
      <c r="M4" s="1">
        <v>0.50700000000000001</v>
      </c>
      <c r="N4" s="1">
        <v>18.399999999999999</v>
      </c>
      <c r="O4" s="1">
        <v>24.1</v>
      </c>
      <c r="P4" s="1">
        <v>0.76100000000000001</v>
      </c>
      <c r="Q4" s="1">
        <v>10.199999999999999</v>
      </c>
      <c r="R4" s="1">
        <v>34</v>
      </c>
      <c r="S4" s="1">
        <v>44.3</v>
      </c>
      <c r="T4" s="1">
        <v>22.2</v>
      </c>
      <c r="U4" s="1">
        <v>7</v>
      </c>
      <c r="V4" s="1">
        <v>5.6</v>
      </c>
      <c r="W4" s="1">
        <v>15.3</v>
      </c>
      <c r="X4" s="1">
        <v>20.6</v>
      </c>
      <c r="Y4" s="1">
        <v>106.8</v>
      </c>
    </row>
    <row r="5" spans="1:25" x14ac:dyDescent="0.25">
      <c r="A5" s="1">
        <v>4</v>
      </c>
      <c r="B5" s="1" t="s">
        <v>50</v>
      </c>
      <c r="C5" s="1">
        <v>64</v>
      </c>
      <c r="D5" s="1">
        <v>15510</v>
      </c>
      <c r="E5" s="1">
        <v>40.299999999999997</v>
      </c>
      <c r="F5" s="1">
        <v>87.8</v>
      </c>
      <c r="G5" s="1">
        <v>0.45900000000000002</v>
      </c>
      <c r="H5" s="1">
        <v>11.8</v>
      </c>
      <c r="I5" s="1">
        <v>34.200000000000003</v>
      </c>
      <c r="J5" s="1">
        <v>0.34599999999999997</v>
      </c>
      <c r="K5" s="1">
        <v>28.4</v>
      </c>
      <c r="L5" s="1">
        <v>53.6</v>
      </c>
      <c r="M5" s="1">
        <v>0.53100000000000003</v>
      </c>
      <c r="N5" s="1">
        <v>17</v>
      </c>
      <c r="O5" s="1">
        <v>22.5</v>
      </c>
      <c r="P5" s="1">
        <v>0.75700000000000001</v>
      </c>
      <c r="Q5" s="1">
        <v>10.199999999999999</v>
      </c>
      <c r="R5" s="1">
        <v>33.4</v>
      </c>
      <c r="S5" s="1">
        <v>43.5</v>
      </c>
      <c r="T5" s="1">
        <v>25.5</v>
      </c>
      <c r="U5" s="1">
        <v>7.2</v>
      </c>
      <c r="V5" s="1">
        <v>4.5999999999999996</v>
      </c>
      <c r="W5" s="1">
        <v>14.6</v>
      </c>
      <c r="X5" s="1">
        <v>20.5</v>
      </c>
      <c r="Y5" s="1">
        <v>109.4</v>
      </c>
    </row>
    <row r="6" spans="1:25" x14ac:dyDescent="0.25">
      <c r="A6" s="1">
        <v>5</v>
      </c>
      <c r="B6" s="1" t="s">
        <v>45</v>
      </c>
      <c r="C6" s="1">
        <v>64</v>
      </c>
      <c r="D6" s="1">
        <v>15435</v>
      </c>
      <c r="E6" s="1">
        <v>39.799999999999997</v>
      </c>
      <c r="F6" s="1">
        <v>86.2</v>
      </c>
      <c r="G6" s="1">
        <v>0.46200000000000002</v>
      </c>
      <c r="H6" s="1">
        <v>10.3</v>
      </c>
      <c r="I6" s="1">
        <v>29</v>
      </c>
      <c r="J6" s="1">
        <v>0.35399999999999998</v>
      </c>
      <c r="K6" s="1">
        <v>29.5</v>
      </c>
      <c r="L6" s="1">
        <v>57.2</v>
      </c>
      <c r="M6" s="1">
        <v>0.51700000000000002</v>
      </c>
      <c r="N6" s="1">
        <v>18.2</v>
      </c>
      <c r="O6" s="1">
        <v>24.4</v>
      </c>
      <c r="P6" s="1">
        <v>0.74299999999999999</v>
      </c>
      <c r="Q6" s="1">
        <v>8.6999999999999993</v>
      </c>
      <c r="R6" s="1">
        <v>33.700000000000003</v>
      </c>
      <c r="S6" s="1">
        <v>42.3</v>
      </c>
      <c r="T6" s="1">
        <v>22.8</v>
      </c>
      <c r="U6" s="1">
        <v>7</v>
      </c>
      <c r="V6" s="1">
        <v>3.9</v>
      </c>
      <c r="W6" s="1">
        <v>14.2</v>
      </c>
      <c r="X6" s="1">
        <v>20.399999999999999</v>
      </c>
      <c r="Y6" s="1">
        <v>108.1</v>
      </c>
    </row>
    <row r="7" spans="1:25" x14ac:dyDescent="0.25">
      <c r="A7" s="1">
        <v>6</v>
      </c>
      <c r="B7" s="1" t="s">
        <v>34</v>
      </c>
      <c r="C7" s="1">
        <v>64</v>
      </c>
      <c r="D7" s="1">
        <v>15385</v>
      </c>
      <c r="E7" s="1">
        <v>40.9</v>
      </c>
      <c r="F7" s="1">
        <v>90.5</v>
      </c>
      <c r="G7" s="1">
        <v>0.45200000000000001</v>
      </c>
      <c r="H7" s="1">
        <v>11.2</v>
      </c>
      <c r="I7" s="1">
        <v>32</v>
      </c>
      <c r="J7" s="1">
        <v>0.35099999999999998</v>
      </c>
      <c r="K7" s="1">
        <v>29.7</v>
      </c>
      <c r="L7" s="1">
        <v>58.5</v>
      </c>
      <c r="M7" s="1">
        <v>0.50700000000000001</v>
      </c>
      <c r="N7" s="1">
        <v>16.3</v>
      </c>
      <c r="O7" s="1">
        <v>21.2</v>
      </c>
      <c r="P7" s="1">
        <v>0.76900000000000002</v>
      </c>
      <c r="Q7" s="1">
        <v>9.8000000000000007</v>
      </c>
      <c r="R7" s="1">
        <v>33.4</v>
      </c>
      <c r="S7" s="1">
        <v>43.2</v>
      </c>
      <c r="T7" s="1">
        <v>21.5</v>
      </c>
      <c r="U7" s="1">
        <v>7.9</v>
      </c>
      <c r="V7" s="1">
        <v>4.5999999999999996</v>
      </c>
      <c r="W7" s="1">
        <v>12.2</v>
      </c>
      <c r="X7" s="1">
        <v>20.9</v>
      </c>
      <c r="Y7" s="1">
        <v>109.4</v>
      </c>
    </row>
    <row r="8" spans="1:25" x14ac:dyDescent="0.25">
      <c r="A8" s="1">
        <v>7</v>
      </c>
      <c r="B8" s="1" t="s">
        <v>33</v>
      </c>
      <c r="C8" s="1">
        <v>64</v>
      </c>
      <c r="D8" s="1">
        <v>15460</v>
      </c>
      <c r="E8" s="1">
        <v>41.4</v>
      </c>
      <c r="F8" s="1">
        <v>90.6</v>
      </c>
      <c r="G8" s="1">
        <v>0.45600000000000002</v>
      </c>
      <c r="H8" s="1">
        <v>11.5</v>
      </c>
      <c r="I8" s="1">
        <v>33.4</v>
      </c>
      <c r="J8" s="1">
        <v>0.34399999999999997</v>
      </c>
      <c r="K8" s="1">
        <v>29.9</v>
      </c>
      <c r="L8" s="1">
        <v>57.2</v>
      </c>
      <c r="M8" s="1">
        <v>0.52200000000000002</v>
      </c>
      <c r="N8" s="1">
        <v>14.9</v>
      </c>
      <c r="O8" s="1">
        <v>18.7</v>
      </c>
      <c r="P8" s="1">
        <v>0.79500000000000004</v>
      </c>
      <c r="Q8" s="1">
        <v>10.5</v>
      </c>
      <c r="R8" s="1">
        <v>34.200000000000003</v>
      </c>
      <c r="S8" s="1">
        <v>44.8</v>
      </c>
      <c r="T8" s="1">
        <v>23.2</v>
      </c>
      <c r="U8" s="1">
        <v>6.8</v>
      </c>
      <c r="V8" s="1">
        <v>4.0999999999999996</v>
      </c>
      <c r="W8" s="1">
        <v>14.1</v>
      </c>
      <c r="X8" s="1">
        <v>23</v>
      </c>
      <c r="Y8" s="1">
        <v>109.1</v>
      </c>
    </row>
    <row r="9" spans="1:25" x14ac:dyDescent="0.25">
      <c r="A9" s="1">
        <v>8</v>
      </c>
      <c r="B9" s="1" t="s">
        <v>41</v>
      </c>
      <c r="C9" s="1">
        <v>64</v>
      </c>
      <c r="D9" s="1">
        <v>15585</v>
      </c>
      <c r="E9" s="1">
        <v>39</v>
      </c>
      <c r="F9" s="1">
        <v>87.3</v>
      </c>
      <c r="G9" s="1">
        <v>0.44700000000000001</v>
      </c>
      <c r="H9" s="1">
        <v>13.1</v>
      </c>
      <c r="I9" s="1">
        <v>38.200000000000003</v>
      </c>
      <c r="J9" s="1">
        <v>0.34399999999999997</v>
      </c>
      <c r="K9" s="1">
        <v>25.9</v>
      </c>
      <c r="L9" s="1">
        <v>49.2</v>
      </c>
      <c r="M9" s="1">
        <v>0.52700000000000002</v>
      </c>
      <c r="N9" s="1">
        <v>18.100000000000001</v>
      </c>
      <c r="O9" s="1">
        <v>23.4</v>
      </c>
      <c r="P9" s="1">
        <v>0.77600000000000002</v>
      </c>
      <c r="Q9" s="1">
        <v>9.1</v>
      </c>
      <c r="R9" s="1">
        <v>33.1</v>
      </c>
      <c r="S9" s="1">
        <v>42.2</v>
      </c>
      <c r="T9" s="1">
        <v>24.9</v>
      </c>
      <c r="U9" s="1">
        <v>7.6</v>
      </c>
      <c r="V9" s="1">
        <v>4.2</v>
      </c>
      <c r="W9" s="1">
        <v>13.7</v>
      </c>
      <c r="X9" s="1">
        <v>21.8</v>
      </c>
      <c r="Y9" s="1">
        <v>109.3</v>
      </c>
    </row>
    <row r="10" spans="1:25" x14ac:dyDescent="0.25">
      <c r="A10" s="1">
        <v>9</v>
      </c>
      <c r="B10" s="1" t="s">
        <v>53</v>
      </c>
      <c r="C10" s="1">
        <v>65</v>
      </c>
      <c r="D10" s="1">
        <v>15625</v>
      </c>
      <c r="E10" s="1">
        <v>40.700000000000003</v>
      </c>
      <c r="F10" s="1">
        <v>87.9</v>
      </c>
      <c r="G10" s="1">
        <v>0.46300000000000002</v>
      </c>
      <c r="H10" s="1">
        <v>12.6</v>
      </c>
      <c r="I10" s="1">
        <v>33.9</v>
      </c>
      <c r="J10" s="1">
        <v>0.37</v>
      </c>
      <c r="K10" s="1">
        <v>28.2</v>
      </c>
      <c r="L10" s="1">
        <v>54</v>
      </c>
      <c r="M10" s="1">
        <v>0.52200000000000002</v>
      </c>
      <c r="N10" s="1">
        <v>15</v>
      </c>
      <c r="O10" s="1">
        <v>19.399999999999999</v>
      </c>
      <c r="P10" s="1">
        <v>0.77200000000000002</v>
      </c>
      <c r="Q10" s="1">
        <v>9.1999999999999993</v>
      </c>
      <c r="R10" s="1">
        <v>36.5</v>
      </c>
      <c r="S10" s="1">
        <v>45.8</v>
      </c>
      <c r="T10" s="1">
        <v>24.9</v>
      </c>
      <c r="U10" s="1">
        <v>7.1</v>
      </c>
      <c r="V10" s="1">
        <v>4.9000000000000004</v>
      </c>
      <c r="W10" s="1">
        <v>15.1</v>
      </c>
      <c r="X10" s="1">
        <v>19.5</v>
      </c>
      <c r="Y10" s="1">
        <v>109</v>
      </c>
    </row>
    <row r="11" spans="1:25" x14ac:dyDescent="0.25">
      <c r="A11" s="1">
        <v>10</v>
      </c>
      <c r="B11" s="1" t="s">
        <v>2008</v>
      </c>
      <c r="C11" s="1">
        <v>65</v>
      </c>
      <c r="D11" s="1">
        <v>15650</v>
      </c>
      <c r="E11" s="1">
        <v>36.799999999999997</v>
      </c>
      <c r="F11" s="1">
        <v>89</v>
      </c>
      <c r="G11" s="1">
        <v>0.41299999999999998</v>
      </c>
      <c r="H11" s="1">
        <v>13</v>
      </c>
      <c r="I11" s="1">
        <v>36.6</v>
      </c>
      <c r="J11" s="1">
        <v>0.35599999999999998</v>
      </c>
      <c r="K11" s="1">
        <v>23.7</v>
      </c>
      <c r="L11" s="1">
        <v>52.4</v>
      </c>
      <c r="M11" s="1">
        <v>0.45300000000000001</v>
      </c>
      <c r="N11" s="1">
        <v>15.3</v>
      </c>
      <c r="O11" s="1">
        <v>19.600000000000001</v>
      </c>
      <c r="P11" s="1">
        <v>0.78400000000000003</v>
      </c>
      <c r="Q11" s="1">
        <v>9</v>
      </c>
      <c r="R11" s="1">
        <v>34.4</v>
      </c>
      <c r="S11" s="1">
        <v>43.4</v>
      </c>
      <c r="T11" s="1">
        <v>22.6</v>
      </c>
      <c r="U11" s="1">
        <v>7</v>
      </c>
      <c r="V11" s="1">
        <v>4.3</v>
      </c>
      <c r="W11" s="1">
        <v>13.6</v>
      </c>
      <c r="X11" s="1">
        <v>20.2</v>
      </c>
      <c r="Y11" s="1">
        <v>101.9</v>
      </c>
    </row>
    <row r="12" spans="1:25" x14ac:dyDescent="0.25">
      <c r="A12" s="1">
        <v>11</v>
      </c>
      <c r="B12" s="1" t="s">
        <v>51</v>
      </c>
      <c r="C12" s="1">
        <v>65</v>
      </c>
      <c r="D12" s="1">
        <v>15700</v>
      </c>
      <c r="E12" s="1">
        <v>39.799999999999997</v>
      </c>
      <c r="F12" s="1">
        <v>88.9</v>
      </c>
      <c r="G12" s="1">
        <v>0.44800000000000001</v>
      </c>
      <c r="H12" s="1">
        <v>11.5</v>
      </c>
      <c r="I12" s="1">
        <v>33.5</v>
      </c>
      <c r="J12" s="1">
        <v>0.34499999999999997</v>
      </c>
      <c r="K12" s="1">
        <v>28.3</v>
      </c>
      <c r="L12" s="1">
        <v>55.4</v>
      </c>
      <c r="M12" s="1">
        <v>0.51</v>
      </c>
      <c r="N12" s="1">
        <v>17.2</v>
      </c>
      <c r="O12" s="1">
        <v>21.8</v>
      </c>
      <c r="P12" s="1">
        <v>0.78900000000000003</v>
      </c>
      <c r="Q12" s="1">
        <v>10.199999999999999</v>
      </c>
      <c r="R12" s="1">
        <v>34.9</v>
      </c>
      <c r="S12" s="1">
        <v>45.1</v>
      </c>
      <c r="T12" s="1">
        <v>23.4</v>
      </c>
      <c r="U12" s="1">
        <v>6.9</v>
      </c>
      <c r="V12" s="1">
        <v>4.5</v>
      </c>
      <c r="W12" s="1">
        <v>14.5</v>
      </c>
      <c r="X12" s="1">
        <v>18.8</v>
      </c>
      <c r="Y12" s="1">
        <v>108.3</v>
      </c>
    </row>
    <row r="13" spans="1:25" x14ac:dyDescent="0.25">
      <c r="A13" s="1">
        <v>12</v>
      </c>
      <c r="B13" s="1" t="s">
        <v>25</v>
      </c>
      <c r="C13" s="1">
        <v>64</v>
      </c>
      <c r="D13" s="1">
        <v>15435</v>
      </c>
      <c r="E13" s="1">
        <v>38.5</v>
      </c>
      <c r="F13" s="1">
        <v>88.2</v>
      </c>
      <c r="G13" s="1">
        <v>0.436</v>
      </c>
      <c r="H13" s="1">
        <v>11.7</v>
      </c>
      <c r="I13" s="1">
        <v>34.4</v>
      </c>
      <c r="J13" s="1">
        <v>0.34100000000000003</v>
      </c>
      <c r="K13" s="1">
        <v>26.8</v>
      </c>
      <c r="L13" s="1">
        <v>53.8</v>
      </c>
      <c r="M13" s="1">
        <v>0.498</v>
      </c>
      <c r="N13" s="1">
        <v>18.5</v>
      </c>
      <c r="O13" s="1">
        <v>24.3</v>
      </c>
      <c r="P13" s="1">
        <v>0.76200000000000001</v>
      </c>
      <c r="Q13" s="1">
        <v>10.6</v>
      </c>
      <c r="R13" s="1">
        <v>33.799999999999997</v>
      </c>
      <c r="S13" s="1">
        <v>44.5</v>
      </c>
      <c r="T13" s="1">
        <v>23</v>
      </c>
      <c r="U13" s="1">
        <v>7.7</v>
      </c>
      <c r="V13" s="1">
        <v>4.8</v>
      </c>
      <c r="W13" s="1">
        <v>13.9</v>
      </c>
      <c r="X13" s="1">
        <v>22.3</v>
      </c>
      <c r="Y13" s="1">
        <v>107.2</v>
      </c>
    </row>
    <row r="14" spans="1:25" x14ac:dyDescent="0.25">
      <c r="A14" s="1">
        <v>13</v>
      </c>
      <c r="B14" s="1" t="s">
        <v>29</v>
      </c>
      <c r="C14" s="1">
        <v>64</v>
      </c>
      <c r="D14" s="1">
        <v>15510</v>
      </c>
      <c r="E14" s="1">
        <v>43.1</v>
      </c>
      <c r="F14" s="1">
        <v>90.4</v>
      </c>
      <c r="G14" s="1">
        <v>0.47599999999999998</v>
      </c>
      <c r="H14" s="1">
        <v>12.7</v>
      </c>
      <c r="I14" s="1">
        <v>36.1</v>
      </c>
      <c r="J14" s="1">
        <v>0.35299999999999998</v>
      </c>
      <c r="K14" s="1">
        <v>30.3</v>
      </c>
      <c r="L14" s="1">
        <v>54.4</v>
      </c>
      <c r="M14" s="1">
        <v>0.55800000000000005</v>
      </c>
      <c r="N14" s="1">
        <v>14.6</v>
      </c>
      <c r="O14" s="1">
        <v>19.2</v>
      </c>
      <c r="P14" s="1">
        <v>0.75700000000000001</v>
      </c>
      <c r="Q14" s="1">
        <v>11.3</v>
      </c>
      <c r="R14" s="1">
        <v>36.299999999999997</v>
      </c>
      <c r="S14" s="1">
        <v>47.6</v>
      </c>
      <c r="T14" s="1">
        <v>27.4</v>
      </c>
      <c r="U14" s="1">
        <v>8.3000000000000007</v>
      </c>
      <c r="V14" s="1">
        <v>5.2</v>
      </c>
      <c r="W14" s="1">
        <v>14.9</v>
      </c>
      <c r="X14" s="1">
        <v>21.3</v>
      </c>
      <c r="Y14" s="1">
        <v>113.4</v>
      </c>
    </row>
    <row r="15" spans="1:25" x14ac:dyDescent="0.25">
      <c r="A15" s="1">
        <v>14</v>
      </c>
      <c r="B15" s="1" t="s">
        <v>36</v>
      </c>
      <c r="C15" s="1">
        <v>64</v>
      </c>
      <c r="D15" s="1">
        <v>15510</v>
      </c>
      <c r="E15" s="1">
        <v>40.1</v>
      </c>
      <c r="F15" s="1">
        <v>85.8</v>
      </c>
      <c r="G15" s="1">
        <v>0.46800000000000003</v>
      </c>
      <c r="H15" s="1">
        <v>12.3</v>
      </c>
      <c r="I15" s="1">
        <v>34.799999999999997</v>
      </c>
      <c r="J15" s="1">
        <v>0.35499999999999998</v>
      </c>
      <c r="K15" s="1">
        <v>27.8</v>
      </c>
      <c r="L15" s="1">
        <v>51</v>
      </c>
      <c r="M15" s="1">
        <v>0.54500000000000004</v>
      </c>
      <c r="N15" s="1">
        <v>19</v>
      </c>
      <c r="O15" s="1">
        <v>24</v>
      </c>
      <c r="P15" s="1">
        <v>0.79300000000000004</v>
      </c>
      <c r="Q15" s="1">
        <v>9.1</v>
      </c>
      <c r="R15" s="1">
        <v>34.700000000000003</v>
      </c>
      <c r="S15" s="1">
        <v>43.8</v>
      </c>
      <c r="T15" s="1">
        <v>24.7</v>
      </c>
      <c r="U15" s="1">
        <v>7.9</v>
      </c>
      <c r="V15" s="1">
        <v>4.4000000000000004</v>
      </c>
      <c r="W15" s="1">
        <v>15.2</v>
      </c>
      <c r="X15" s="1">
        <v>19.5</v>
      </c>
      <c r="Y15" s="1">
        <v>111.6</v>
      </c>
    </row>
    <row r="16" spans="1:25" x14ac:dyDescent="0.25">
      <c r="A16" s="1">
        <v>15</v>
      </c>
      <c r="B16" s="1" t="s">
        <v>38</v>
      </c>
      <c r="C16" s="1">
        <v>64</v>
      </c>
      <c r="D16" s="1">
        <v>15560</v>
      </c>
      <c r="E16" s="1">
        <v>40.200000000000003</v>
      </c>
      <c r="F16" s="1">
        <v>91</v>
      </c>
      <c r="G16" s="1">
        <v>0.442</v>
      </c>
      <c r="H16" s="1">
        <v>11.8</v>
      </c>
      <c r="I16" s="1">
        <v>33.799999999999997</v>
      </c>
      <c r="J16" s="1">
        <v>0.35</v>
      </c>
      <c r="K16" s="1">
        <v>28.4</v>
      </c>
      <c r="L16" s="1">
        <v>57.2</v>
      </c>
      <c r="M16" s="1">
        <v>0.496</v>
      </c>
      <c r="N16" s="1">
        <v>16.5</v>
      </c>
      <c r="O16" s="1">
        <v>21.6</v>
      </c>
      <c r="P16" s="1">
        <v>0.76300000000000001</v>
      </c>
      <c r="Q16" s="1">
        <v>10.5</v>
      </c>
      <c r="R16" s="1">
        <v>34.4</v>
      </c>
      <c r="S16" s="1">
        <v>44.9</v>
      </c>
      <c r="T16" s="1">
        <v>21.9</v>
      </c>
      <c r="U16" s="1">
        <v>7.6</v>
      </c>
      <c r="V16" s="1">
        <v>5.2</v>
      </c>
      <c r="W16" s="1">
        <v>12.3</v>
      </c>
      <c r="X16" s="1">
        <v>20.399999999999999</v>
      </c>
      <c r="Y16" s="1">
        <v>108.7</v>
      </c>
    </row>
    <row r="17" spans="1:25" x14ac:dyDescent="0.25">
      <c r="A17" s="1">
        <v>16</v>
      </c>
      <c r="B17" s="1" t="s">
        <v>31</v>
      </c>
      <c r="C17" s="1">
        <v>65</v>
      </c>
      <c r="D17" s="1">
        <v>15675</v>
      </c>
      <c r="E17" s="1">
        <v>39.5</v>
      </c>
      <c r="F17" s="1">
        <v>82.4</v>
      </c>
      <c r="G17" s="1">
        <v>0.47899999999999998</v>
      </c>
      <c r="H17" s="1">
        <v>11.2</v>
      </c>
      <c r="I17" s="1">
        <v>31.6</v>
      </c>
      <c r="J17" s="1">
        <v>0.35299999999999998</v>
      </c>
      <c r="K17" s="1">
        <v>28.3</v>
      </c>
      <c r="L17" s="1">
        <v>50.8</v>
      </c>
      <c r="M17" s="1">
        <v>0.55700000000000005</v>
      </c>
      <c r="N17" s="1">
        <v>19.7</v>
      </c>
      <c r="O17" s="1">
        <v>26</v>
      </c>
      <c r="P17" s="1">
        <v>0.75900000000000001</v>
      </c>
      <c r="Q17" s="1">
        <v>10.1</v>
      </c>
      <c r="R17" s="1">
        <v>35.299999999999997</v>
      </c>
      <c r="S17" s="1">
        <v>45.5</v>
      </c>
      <c r="T17" s="1">
        <v>25.4</v>
      </c>
      <c r="U17" s="1">
        <v>8.1</v>
      </c>
      <c r="V17" s="1">
        <v>5.9</v>
      </c>
      <c r="W17" s="1">
        <v>18.2</v>
      </c>
      <c r="X17" s="1">
        <v>19.100000000000001</v>
      </c>
      <c r="Y17" s="1">
        <v>109.8</v>
      </c>
    </row>
    <row r="18" spans="1:25" x14ac:dyDescent="0.25">
      <c r="A18" s="1">
        <v>17</v>
      </c>
      <c r="B18" s="1" t="s">
        <v>30</v>
      </c>
      <c r="C18" s="1">
        <v>65</v>
      </c>
      <c r="D18" s="1">
        <v>15725</v>
      </c>
      <c r="E18" s="1">
        <v>42.6</v>
      </c>
      <c r="F18" s="1">
        <v>88.8</v>
      </c>
      <c r="G18" s="1">
        <v>0.48</v>
      </c>
      <c r="H18" s="1">
        <v>10.8</v>
      </c>
      <c r="I18" s="1">
        <v>30</v>
      </c>
      <c r="J18" s="1">
        <v>0.36</v>
      </c>
      <c r="K18" s="1">
        <v>31.8</v>
      </c>
      <c r="L18" s="1">
        <v>58.8</v>
      </c>
      <c r="M18" s="1">
        <v>0.54100000000000004</v>
      </c>
      <c r="N18" s="1">
        <v>16.399999999999999</v>
      </c>
      <c r="O18" s="1">
        <v>21.1</v>
      </c>
      <c r="P18" s="1">
        <v>0.77700000000000002</v>
      </c>
      <c r="Q18" s="1">
        <v>10.199999999999999</v>
      </c>
      <c r="R18" s="1">
        <v>33.9</v>
      </c>
      <c r="S18" s="1">
        <v>44.1</v>
      </c>
      <c r="T18" s="1">
        <v>25</v>
      </c>
      <c r="U18" s="1">
        <v>8.4</v>
      </c>
      <c r="V18" s="1">
        <v>5.7</v>
      </c>
      <c r="W18" s="1">
        <v>14.2</v>
      </c>
      <c r="X18" s="1">
        <v>20.2</v>
      </c>
      <c r="Y18" s="1">
        <v>112.4</v>
      </c>
    </row>
    <row r="19" spans="1:25" x14ac:dyDescent="0.25">
      <c r="A19" s="1">
        <v>18</v>
      </c>
      <c r="B19" s="1" t="s">
        <v>54</v>
      </c>
      <c r="C19" s="1">
        <v>63</v>
      </c>
      <c r="D19" s="1">
        <v>15295</v>
      </c>
      <c r="E19" s="1">
        <v>41.7</v>
      </c>
      <c r="F19" s="1">
        <v>88.9</v>
      </c>
      <c r="G19" s="1">
        <v>0.46899999999999997</v>
      </c>
      <c r="H19" s="1">
        <v>13</v>
      </c>
      <c r="I19" s="1">
        <v>34.5</v>
      </c>
      <c r="J19" s="1">
        <v>0.376</v>
      </c>
      <c r="K19" s="1">
        <v>28.7</v>
      </c>
      <c r="L19" s="1">
        <v>54.4</v>
      </c>
      <c r="M19" s="1">
        <v>0.52800000000000002</v>
      </c>
      <c r="N19" s="1">
        <v>17.3</v>
      </c>
      <c r="O19" s="1">
        <v>22.4</v>
      </c>
      <c r="P19" s="1">
        <v>0.77</v>
      </c>
      <c r="Q19" s="1">
        <v>9.3000000000000007</v>
      </c>
      <c r="R19" s="1">
        <v>35.9</v>
      </c>
      <c r="S19" s="1">
        <v>45.2</v>
      </c>
      <c r="T19" s="1">
        <v>25.4</v>
      </c>
      <c r="U19" s="1">
        <v>6.7</v>
      </c>
      <c r="V19" s="1">
        <v>4.3</v>
      </c>
      <c r="W19" s="1">
        <v>12.8</v>
      </c>
      <c r="X19" s="1">
        <v>19.5</v>
      </c>
      <c r="Y19" s="1">
        <v>113.7</v>
      </c>
    </row>
    <row r="20" spans="1:25" x14ac:dyDescent="0.25">
      <c r="A20" s="1">
        <v>19</v>
      </c>
      <c r="B20" s="1" t="s">
        <v>35</v>
      </c>
      <c r="C20" s="1">
        <v>65</v>
      </c>
      <c r="D20" s="1">
        <v>15700</v>
      </c>
      <c r="E20" s="1">
        <v>40.1</v>
      </c>
      <c r="F20" s="1">
        <v>86.5</v>
      </c>
      <c r="G20" s="1">
        <v>0.46400000000000002</v>
      </c>
      <c r="H20" s="1">
        <v>13.4</v>
      </c>
      <c r="I20" s="1">
        <v>35.1</v>
      </c>
      <c r="J20" s="1">
        <v>0.38200000000000001</v>
      </c>
      <c r="K20" s="1">
        <v>26.7</v>
      </c>
      <c r="L20" s="1">
        <v>51.4</v>
      </c>
      <c r="M20" s="1">
        <v>0.52</v>
      </c>
      <c r="N20" s="1">
        <v>19.399999999999999</v>
      </c>
      <c r="O20" s="1">
        <v>25.9</v>
      </c>
      <c r="P20" s="1">
        <v>0.748</v>
      </c>
      <c r="Q20" s="1">
        <v>9.6</v>
      </c>
      <c r="R20" s="1">
        <v>34.9</v>
      </c>
      <c r="S20" s="1">
        <v>44.4</v>
      </c>
      <c r="T20" s="1">
        <v>24.5</v>
      </c>
      <c r="U20" s="1">
        <v>7.3</v>
      </c>
      <c r="V20" s="1">
        <v>5.0999999999999996</v>
      </c>
      <c r="W20" s="1">
        <v>13.8</v>
      </c>
      <c r="X20" s="1">
        <v>19.899999999999999</v>
      </c>
      <c r="Y20" s="1">
        <v>113</v>
      </c>
    </row>
    <row r="21" spans="1:25" x14ac:dyDescent="0.25">
      <c r="A21" s="1">
        <v>20</v>
      </c>
      <c r="B21" s="1" t="s">
        <v>43</v>
      </c>
      <c r="C21" s="1">
        <v>66</v>
      </c>
      <c r="D21" s="1">
        <v>15940</v>
      </c>
      <c r="E21" s="1">
        <v>41.6</v>
      </c>
      <c r="F21" s="1">
        <v>91.5</v>
      </c>
      <c r="G21" s="1">
        <v>0.45400000000000001</v>
      </c>
      <c r="H21" s="1">
        <v>11.8</v>
      </c>
      <c r="I21" s="1">
        <v>34.299999999999997</v>
      </c>
      <c r="J21" s="1">
        <v>0.34499999999999997</v>
      </c>
      <c r="K21" s="1">
        <v>29.7</v>
      </c>
      <c r="L21" s="1">
        <v>57.2</v>
      </c>
      <c r="M21" s="1">
        <v>0.51900000000000002</v>
      </c>
      <c r="N21" s="1">
        <v>15.8</v>
      </c>
      <c r="O21" s="1">
        <v>20.9</v>
      </c>
      <c r="P21" s="1">
        <v>0.75700000000000001</v>
      </c>
      <c r="Q21" s="1">
        <v>10.8</v>
      </c>
      <c r="R21" s="1">
        <v>34.700000000000003</v>
      </c>
      <c r="S21" s="1">
        <v>45.5</v>
      </c>
      <c r="T21" s="1">
        <v>23.8</v>
      </c>
      <c r="U21" s="1">
        <v>7.1</v>
      </c>
      <c r="V21" s="1">
        <v>4</v>
      </c>
      <c r="W21" s="1">
        <v>12.2</v>
      </c>
      <c r="X21" s="1">
        <v>20.9</v>
      </c>
      <c r="Y21" s="1">
        <v>110.8</v>
      </c>
    </row>
    <row r="22" spans="1:25" x14ac:dyDescent="0.25">
      <c r="A22" s="1">
        <v>21</v>
      </c>
      <c r="B22" s="1" t="s">
        <v>32</v>
      </c>
      <c r="C22" s="1">
        <v>64</v>
      </c>
      <c r="D22" s="1">
        <v>15435</v>
      </c>
      <c r="E22" s="1">
        <v>40.6</v>
      </c>
      <c r="F22" s="1">
        <v>88.1</v>
      </c>
      <c r="G22" s="1">
        <v>0.46100000000000002</v>
      </c>
      <c r="H22" s="1">
        <v>11.8</v>
      </c>
      <c r="I22" s="1">
        <v>33.9</v>
      </c>
      <c r="J22" s="1">
        <v>0.34799999999999998</v>
      </c>
      <c r="K22" s="1">
        <v>28.8</v>
      </c>
      <c r="L22" s="1">
        <v>54.2</v>
      </c>
      <c r="M22" s="1">
        <v>0.53200000000000003</v>
      </c>
      <c r="N22" s="1">
        <v>17.100000000000001</v>
      </c>
      <c r="O22" s="1">
        <v>22.5</v>
      </c>
      <c r="P22" s="1">
        <v>0.76100000000000001</v>
      </c>
      <c r="Q22" s="1">
        <v>10.7</v>
      </c>
      <c r="R22" s="1">
        <v>34.6</v>
      </c>
      <c r="S22" s="1">
        <v>45.3</v>
      </c>
      <c r="T22" s="1">
        <v>24.4</v>
      </c>
      <c r="U22" s="1">
        <v>7.6</v>
      </c>
      <c r="V22" s="1">
        <v>4.7</v>
      </c>
      <c r="W22" s="1">
        <v>15.2</v>
      </c>
      <c r="X22" s="1">
        <v>20</v>
      </c>
      <c r="Y22" s="1">
        <v>110.2</v>
      </c>
    </row>
    <row r="23" spans="1:25" x14ac:dyDescent="0.25">
      <c r="A23" s="1">
        <v>22</v>
      </c>
      <c r="B23" s="1" t="s">
        <v>48</v>
      </c>
      <c r="C23" s="1">
        <v>65</v>
      </c>
      <c r="D23" s="1">
        <v>15625</v>
      </c>
      <c r="E23" s="1">
        <v>39.6</v>
      </c>
      <c r="F23" s="1">
        <v>88.1</v>
      </c>
      <c r="G23" s="1">
        <v>0.45</v>
      </c>
      <c r="H23" s="1">
        <v>12.4</v>
      </c>
      <c r="I23" s="1">
        <v>34.200000000000003</v>
      </c>
      <c r="J23" s="1">
        <v>0.36299999999999999</v>
      </c>
      <c r="K23" s="1">
        <v>27.2</v>
      </c>
      <c r="L23" s="1">
        <v>53.9</v>
      </c>
      <c r="M23" s="1">
        <v>0.505</v>
      </c>
      <c r="N23" s="1">
        <v>18.7</v>
      </c>
      <c r="O23" s="1">
        <v>23.8</v>
      </c>
      <c r="P23" s="1">
        <v>0.78600000000000003</v>
      </c>
      <c r="Q23" s="1">
        <v>10.199999999999999</v>
      </c>
      <c r="R23" s="1">
        <v>33.5</v>
      </c>
      <c r="S23" s="1">
        <v>43.7</v>
      </c>
      <c r="T23" s="1">
        <v>24.1</v>
      </c>
      <c r="U23" s="1">
        <v>7.7</v>
      </c>
      <c r="V23" s="1">
        <v>5.2</v>
      </c>
      <c r="W23" s="1">
        <v>14.2</v>
      </c>
      <c r="X23" s="1">
        <v>19.2</v>
      </c>
      <c r="Y23" s="1">
        <v>110.4</v>
      </c>
    </row>
    <row r="24" spans="1:25" x14ac:dyDescent="0.25">
      <c r="A24" s="1">
        <v>23</v>
      </c>
      <c r="B24" s="1" t="s">
        <v>26</v>
      </c>
      <c r="C24" s="1">
        <v>65</v>
      </c>
      <c r="D24" s="1">
        <v>15675</v>
      </c>
      <c r="E24" s="1">
        <v>40.6</v>
      </c>
      <c r="F24" s="1">
        <v>85.6</v>
      </c>
      <c r="G24" s="1">
        <v>0.47499999999999998</v>
      </c>
      <c r="H24" s="1">
        <v>11.6</v>
      </c>
      <c r="I24" s="1">
        <v>31.6</v>
      </c>
      <c r="J24" s="1">
        <v>0.36799999999999999</v>
      </c>
      <c r="K24" s="1">
        <v>29</v>
      </c>
      <c r="L24" s="1">
        <v>54</v>
      </c>
      <c r="M24" s="1">
        <v>0.53700000000000003</v>
      </c>
      <c r="N24" s="1">
        <v>18.899999999999999</v>
      </c>
      <c r="O24" s="1">
        <v>24.2</v>
      </c>
      <c r="P24" s="1">
        <v>0.78100000000000003</v>
      </c>
      <c r="Q24" s="1">
        <v>9.1</v>
      </c>
      <c r="R24" s="1">
        <v>33.799999999999997</v>
      </c>
      <c r="S24" s="1">
        <v>42.8</v>
      </c>
      <c r="T24" s="1">
        <v>23.3</v>
      </c>
      <c r="U24" s="1">
        <v>8</v>
      </c>
      <c r="V24" s="1">
        <v>5.5</v>
      </c>
      <c r="W24" s="1">
        <v>15.7</v>
      </c>
      <c r="X24" s="1">
        <v>22.4</v>
      </c>
      <c r="Y24" s="1">
        <v>111.8</v>
      </c>
    </row>
    <row r="25" spans="1:25" x14ac:dyDescent="0.25">
      <c r="A25" s="1">
        <v>24</v>
      </c>
      <c r="B25" s="1" t="s">
        <v>49</v>
      </c>
      <c r="C25" s="1">
        <v>65</v>
      </c>
      <c r="D25" s="1">
        <v>15725</v>
      </c>
      <c r="E25" s="1">
        <v>44.1</v>
      </c>
      <c r="F25" s="1">
        <v>89.9</v>
      </c>
      <c r="G25" s="1">
        <v>0.49099999999999999</v>
      </c>
      <c r="H25" s="1">
        <v>12.4</v>
      </c>
      <c r="I25" s="1">
        <v>33.200000000000003</v>
      </c>
      <c r="J25" s="1">
        <v>0.375</v>
      </c>
      <c r="K25" s="1">
        <v>31.7</v>
      </c>
      <c r="L25" s="1">
        <v>56.7</v>
      </c>
      <c r="M25" s="1">
        <v>0.55800000000000005</v>
      </c>
      <c r="N25" s="1">
        <v>14.8</v>
      </c>
      <c r="O25" s="1">
        <v>19.3</v>
      </c>
      <c r="P25" s="1">
        <v>0.76700000000000002</v>
      </c>
      <c r="Q25" s="1">
        <v>9.8000000000000007</v>
      </c>
      <c r="R25" s="1">
        <v>33.299999999999997</v>
      </c>
      <c r="S25" s="1">
        <v>43.1</v>
      </c>
      <c r="T25" s="1">
        <v>26.3</v>
      </c>
      <c r="U25" s="1">
        <v>9.5</v>
      </c>
      <c r="V25" s="1">
        <v>6.4</v>
      </c>
      <c r="W25" s="1">
        <v>13.1</v>
      </c>
      <c r="X25" s="1">
        <v>19.8</v>
      </c>
      <c r="Y25" s="1">
        <v>115.4</v>
      </c>
    </row>
    <row r="26" spans="1:25" x14ac:dyDescent="0.25">
      <c r="A26" s="1">
        <v>25</v>
      </c>
      <c r="B26" s="1" t="s">
        <v>44</v>
      </c>
      <c r="C26" s="1">
        <v>65</v>
      </c>
      <c r="D26" s="1">
        <v>15725</v>
      </c>
      <c r="E26" s="1">
        <v>41.7</v>
      </c>
      <c r="F26" s="1">
        <v>87.6</v>
      </c>
      <c r="G26" s="1">
        <v>0.47599999999999998</v>
      </c>
      <c r="H26" s="1">
        <v>13.4</v>
      </c>
      <c r="I26" s="1">
        <v>34.4</v>
      </c>
      <c r="J26" s="1">
        <v>0.38900000000000001</v>
      </c>
      <c r="K26" s="1">
        <v>28.4</v>
      </c>
      <c r="L26" s="1">
        <v>53.2</v>
      </c>
      <c r="M26" s="1">
        <v>0.53300000000000003</v>
      </c>
      <c r="N26" s="1">
        <v>16.899999999999999</v>
      </c>
      <c r="O26" s="1">
        <v>21.6</v>
      </c>
      <c r="P26" s="1">
        <v>0.78300000000000003</v>
      </c>
      <c r="Q26" s="1">
        <v>10.1</v>
      </c>
      <c r="R26" s="1">
        <v>35.9</v>
      </c>
      <c r="S26" s="1">
        <v>46</v>
      </c>
      <c r="T26" s="1">
        <v>25.8</v>
      </c>
      <c r="U26" s="1">
        <v>8.1999999999999993</v>
      </c>
      <c r="V26" s="1">
        <v>4.9000000000000004</v>
      </c>
      <c r="W26" s="1">
        <v>15.5</v>
      </c>
      <c r="X26" s="1">
        <v>19.899999999999999</v>
      </c>
      <c r="Y26" s="1">
        <v>113.8</v>
      </c>
    </row>
    <row r="27" spans="1:25" x14ac:dyDescent="0.25">
      <c r="A27" s="1">
        <v>26</v>
      </c>
      <c r="B27" s="1" t="s">
        <v>37</v>
      </c>
      <c r="C27" s="1">
        <v>64</v>
      </c>
      <c r="D27" s="1">
        <v>15510</v>
      </c>
      <c r="E27" s="1">
        <v>40.9</v>
      </c>
      <c r="F27" s="1">
        <v>87.9</v>
      </c>
      <c r="G27" s="1">
        <v>0.46500000000000002</v>
      </c>
      <c r="H27" s="1">
        <v>11.5</v>
      </c>
      <c r="I27" s="1">
        <v>32.4</v>
      </c>
      <c r="J27" s="1">
        <v>0.35499999999999998</v>
      </c>
      <c r="K27" s="1">
        <v>29.4</v>
      </c>
      <c r="L27" s="1">
        <v>55.6</v>
      </c>
      <c r="M27" s="1">
        <v>0.52900000000000003</v>
      </c>
      <c r="N27" s="1">
        <v>18.2</v>
      </c>
      <c r="O27" s="1">
        <v>23.3</v>
      </c>
      <c r="P27" s="1">
        <v>0.78200000000000003</v>
      </c>
      <c r="Q27" s="1">
        <v>9.5</v>
      </c>
      <c r="R27" s="1">
        <v>33.4</v>
      </c>
      <c r="S27" s="1">
        <v>43</v>
      </c>
      <c r="T27" s="1">
        <v>23.5</v>
      </c>
      <c r="U27" s="1">
        <v>8.1999999999999993</v>
      </c>
      <c r="V27" s="1">
        <v>4.5999999999999996</v>
      </c>
      <c r="W27" s="1">
        <v>13.8</v>
      </c>
      <c r="X27" s="1">
        <v>19.600000000000001</v>
      </c>
      <c r="Y27" s="1">
        <v>111.6</v>
      </c>
    </row>
    <row r="28" spans="1:25" x14ac:dyDescent="0.25">
      <c r="A28" s="1">
        <v>27</v>
      </c>
      <c r="B28" s="1" t="s">
        <v>42</v>
      </c>
      <c r="C28" s="1">
        <v>64</v>
      </c>
      <c r="D28" s="1">
        <v>15560</v>
      </c>
      <c r="E28" s="1">
        <v>41.2</v>
      </c>
      <c r="F28" s="1">
        <v>86.3</v>
      </c>
      <c r="G28" s="1">
        <v>0.47699999999999998</v>
      </c>
      <c r="H28" s="1">
        <v>11</v>
      </c>
      <c r="I28" s="1">
        <v>30.4</v>
      </c>
      <c r="J28" s="1">
        <v>0.36299999999999999</v>
      </c>
      <c r="K28" s="1">
        <v>30.1</v>
      </c>
      <c r="L28" s="1">
        <v>55.9</v>
      </c>
      <c r="M28" s="1">
        <v>0.53900000000000003</v>
      </c>
      <c r="N28" s="1">
        <v>18.8</v>
      </c>
      <c r="O28" s="1">
        <v>24.1</v>
      </c>
      <c r="P28" s="1">
        <v>0.78300000000000003</v>
      </c>
      <c r="Q28" s="1">
        <v>9.6999999999999993</v>
      </c>
      <c r="R28" s="1">
        <v>35.5</v>
      </c>
      <c r="S28" s="1">
        <v>45.2</v>
      </c>
      <c r="T28" s="1">
        <v>23.3</v>
      </c>
      <c r="U28" s="1">
        <v>7.4</v>
      </c>
      <c r="V28" s="1">
        <v>5.3</v>
      </c>
      <c r="W28" s="1">
        <v>14.8</v>
      </c>
      <c r="X28" s="1">
        <v>20.6</v>
      </c>
      <c r="Y28" s="1">
        <v>112.2</v>
      </c>
    </row>
    <row r="29" spans="1:25" x14ac:dyDescent="0.25">
      <c r="A29" s="1">
        <v>28</v>
      </c>
      <c r="B29" s="1" t="s">
        <v>28</v>
      </c>
      <c r="C29" s="1">
        <v>66</v>
      </c>
      <c r="D29" s="1">
        <v>15890</v>
      </c>
      <c r="E29" s="1">
        <v>41.2</v>
      </c>
      <c r="F29" s="1">
        <v>91.2</v>
      </c>
      <c r="G29" s="1">
        <v>0.45100000000000001</v>
      </c>
      <c r="H29" s="1">
        <v>13.1</v>
      </c>
      <c r="I29" s="1">
        <v>34.9</v>
      </c>
      <c r="J29" s="1">
        <v>0.377</v>
      </c>
      <c r="K29" s="1">
        <v>28</v>
      </c>
      <c r="L29" s="1">
        <v>56.3</v>
      </c>
      <c r="M29" s="1">
        <v>0.497</v>
      </c>
      <c r="N29" s="1">
        <v>18.600000000000001</v>
      </c>
      <c r="O29" s="1">
        <v>24.1</v>
      </c>
      <c r="P29" s="1">
        <v>0.77300000000000002</v>
      </c>
      <c r="Q29" s="1">
        <v>11.7</v>
      </c>
      <c r="R29" s="1">
        <v>35.299999999999997</v>
      </c>
      <c r="S29" s="1">
        <v>47</v>
      </c>
      <c r="T29" s="1">
        <v>24.5</v>
      </c>
      <c r="U29" s="1">
        <v>6.8</v>
      </c>
      <c r="V29" s="1">
        <v>5</v>
      </c>
      <c r="W29" s="1">
        <v>12.6</v>
      </c>
      <c r="X29" s="1">
        <v>19.5</v>
      </c>
      <c r="Y29" s="1">
        <v>114.1</v>
      </c>
    </row>
    <row r="30" spans="1:25" x14ac:dyDescent="0.25">
      <c r="A30" s="1">
        <v>29</v>
      </c>
      <c r="B30" s="1" t="s">
        <v>40</v>
      </c>
      <c r="C30" s="1">
        <v>64</v>
      </c>
      <c r="D30" s="1">
        <v>15435</v>
      </c>
      <c r="E30" s="1">
        <v>42</v>
      </c>
      <c r="F30" s="1">
        <v>85.8</v>
      </c>
      <c r="G30" s="1">
        <v>0.49</v>
      </c>
      <c r="H30" s="1">
        <v>12.1</v>
      </c>
      <c r="I30" s="1">
        <v>32</v>
      </c>
      <c r="J30" s="1">
        <v>0.378</v>
      </c>
      <c r="K30" s="1">
        <v>29.9</v>
      </c>
      <c r="L30" s="1">
        <v>53.7</v>
      </c>
      <c r="M30" s="1">
        <v>0.55700000000000005</v>
      </c>
      <c r="N30" s="1">
        <v>19.7</v>
      </c>
      <c r="O30" s="1">
        <v>25.5</v>
      </c>
      <c r="P30" s="1">
        <v>0.77200000000000002</v>
      </c>
      <c r="Q30" s="1">
        <v>10.3</v>
      </c>
      <c r="R30" s="1">
        <v>34.5</v>
      </c>
      <c r="S30" s="1">
        <v>44.8</v>
      </c>
      <c r="T30" s="1">
        <v>24.5</v>
      </c>
      <c r="U30" s="1">
        <v>7.3</v>
      </c>
      <c r="V30" s="1">
        <v>4.9000000000000004</v>
      </c>
      <c r="W30" s="1">
        <v>15.8</v>
      </c>
      <c r="X30" s="1">
        <v>21.7</v>
      </c>
      <c r="Y30" s="1">
        <v>115.8</v>
      </c>
    </row>
    <row r="31" spans="1:25" x14ac:dyDescent="0.25">
      <c r="A31" s="1">
        <v>30</v>
      </c>
      <c r="B31" s="1" t="s">
        <v>52</v>
      </c>
      <c r="C31" s="1">
        <v>66</v>
      </c>
      <c r="D31" s="1">
        <v>16015</v>
      </c>
      <c r="E31" s="1">
        <v>41.5</v>
      </c>
      <c r="F31" s="1">
        <v>87.1</v>
      </c>
      <c r="G31" s="1">
        <v>0.47699999999999998</v>
      </c>
      <c r="H31" s="1">
        <v>11.4</v>
      </c>
      <c r="I31" s="1">
        <v>31.5</v>
      </c>
      <c r="J31" s="1">
        <v>0.36299999999999999</v>
      </c>
      <c r="K31" s="1">
        <v>30.1</v>
      </c>
      <c r="L31" s="1">
        <v>55.6</v>
      </c>
      <c r="M31" s="1">
        <v>0.54100000000000004</v>
      </c>
      <c r="N31" s="1">
        <v>20.3</v>
      </c>
      <c r="O31" s="1">
        <v>26.3</v>
      </c>
      <c r="P31" s="1">
        <v>0.77200000000000002</v>
      </c>
      <c r="Q31" s="1">
        <v>10.8</v>
      </c>
      <c r="R31" s="1">
        <v>34.4</v>
      </c>
      <c r="S31" s="1">
        <v>45.1</v>
      </c>
      <c r="T31" s="1">
        <v>23.9</v>
      </c>
      <c r="U31" s="1">
        <v>8.5</v>
      </c>
      <c r="V31" s="1">
        <v>6.1</v>
      </c>
      <c r="W31" s="1">
        <v>14.5</v>
      </c>
      <c r="X31" s="1">
        <v>20.100000000000001</v>
      </c>
      <c r="Y31" s="1">
        <v>114.7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9"/>
  <sheetViews>
    <sheetView workbookViewId="0">
      <selection sqref="A1:AB39"/>
    </sheetView>
  </sheetViews>
  <sheetFormatPr defaultRowHeight="15" x14ac:dyDescent="0.25"/>
  <cols>
    <col min="1" max="1" width="5.42578125" bestFit="1" customWidth="1"/>
    <col min="2" max="2" width="23.85546875" bestFit="1" customWidth="1"/>
    <col min="3" max="3" width="6.7109375" bestFit="1" customWidth="1"/>
    <col min="4" max="4" width="5.28515625" bestFit="1" customWidth="1"/>
    <col min="5" max="5" width="4.140625" bestFit="1" customWidth="1"/>
    <col min="6" max="6" width="6.42578125" bestFit="1" customWidth="1"/>
    <col min="7" max="7" width="5.28515625" bestFit="1" customWidth="1"/>
    <col min="8" max="8" width="7.85546875" bestFit="1" customWidth="1"/>
    <col min="9" max="9" width="6.7109375" bestFit="1" customWidth="1"/>
    <col min="10" max="10" width="6.42578125" bestFit="1" customWidth="1"/>
    <col min="11" max="11" width="7.5703125" bestFit="1" customWidth="1"/>
    <col min="12" max="12" width="7.42578125" bestFit="1" customWidth="1"/>
    <col min="13" max="13" width="7.5703125" bestFit="1" customWidth="1"/>
    <col min="14" max="14" width="7.42578125" bestFit="1" customWidth="1"/>
    <col min="15" max="15" width="6" bestFit="1" customWidth="1"/>
    <col min="16" max="16" width="7.42578125" bestFit="1" customWidth="1"/>
    <col min="17" max="17" width="6.85546875" bestFit="1" customWidth="1"/>
    <col min="18" max="18" width="27.5703125" bestFit="1" customWidth="1"/>
    <col min="19" max="20" width="27.85546875" bestFit="1" customWidth="1"/>
    <col min="21" max="21" width="29.140625" bestFit="1" customWidth="1"/>
    <col min="22" max="22" width="28" bestFit="1" customWidth="1"/>
    <col min="23" max="23" width="28.140625" bestFit="1" customWidth="1"/>
    <col min="24" max="24" width="28" bestFit="1" customWidth="1"/>
    <col min="25" max="25" width="29.42578125" bestFit="1" customWidth="1"/>
    <col min="26" max="26" width="26.28515625" bestFit="1" customWidth="1"/>
    <col min="27" max="27" width="10" bestFit="1" customWidth="1"/>
    <col min="28" max="28" width="12.28515625" bestFit="1" customWidth="1"/>
  </cols>
  <sheetData>
    <row r="1" spans="1:28" x14ac:dyDescent="0.25">
      <c r="A1" s="1" t="s">
        <v>0</v>
      </c>
      <c r="B1" s="1" t="s">
        <v>1</v>
      </c>
      <c r="C1" s="1" t="s">
        <v>55</v>
      </c>
      <c r="D1" s="1" t="s">
        <v>56</v>
      </c>
      <c r="E1" s="1" t="s">
        <v>57</v>
      </c>
      <c r="F1" s="1" t="s">
        <v>58</v>
      </c>
      <c r="G1" s="1" t="s">
        <v>59</v>
      </c>
      <c r="H1" s="1" t="s">
        <v>60</v>
      </c>
      <c r="I1" s="1" t="s">
        <v>61</v>
      </c>
      <c r="J1" s="1" t="s">
        <v>62</v>
      </c>
      <c r="K1" s="1" t="s">
        <v>63</v>
      </c>
      <c r="L1" s="1" t="s">
        <v>64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71</v>
      </c>
      <c r="T1" s="1" t="s">
        <v>72</v>
      </c>
      <c r="U1" s="1" t="s">
        <v>73</v>
      </c>
      <c r="V1" s="1" t="s">
        <v>74</v>
      </c>
      <c r="W1" s="1" t="s">
        <v>75</v>
      </c>
      <c r="X1" s="1" t="s">
        <v>76</v>
      </c>
      <c r="Y1" s="1" t="s">
        <v>77</v>
      </c>
      <c r="Z1" s="1" t="s">
        <v>78</v>
      </c>
      <c r="AA1" s="1" t="s">
        <v>79</v>
      </c>
      <c r="AB1" s="1" t="s">
        <v>80</v>
      </c>
    </row>
    <row r="2" spans="1:28" x14ac:dyDescent="0.25">
      <c r="A2" s="1" t="s">
        <v>81</v>
      </c>
      <c r="B2" s="1" t="s">
        <v>2008</v>
      </c>
      <c r="C2" s="1">
        <v>29.2</v>
      </c>
      <c r="D2" s="1">
        <v>53</v>
      </c>
      <c r="E2" s="1">
        <v>12</v>
      </c>
      <c r="F2" s="1">
        <v>52</v>
      </c>
      <c r="G2" s="1">
        <v>13</v>
      </c>
      <c r="H2" s="1">
        <v>11.29</v>
      </c>
      <c r="I2" s="1">
        <v>-0.87</v>
      </c>
      <c r="J2" s="1">
        <v>10.43</v>
      </c>
      <c r="K2" s="1">
        <v>112.6</v>
      </c>
      <c r="L2" s="1">
        <v>101.9</v>
      </c>
      <c r="M2" s="1">
        <v>10.7</v>
      </c>
      <c r="N2" s="1">
        <v>105</v>
      </c>
      <c r="O2" s="1">
        <v>0.26300000000000001</v>
      </c>
      <c r="P2" s="1">
        <v>0.42299999999999999</v>
      </c>
      <c r="Q2" s="1">
        <v>0.58299999999999996</v>
      </c>
      <c r="R2" s="1">
        <v>0.55300000000000005</v>
      </c>
      <c r="S2" s="1">
        <v>12.8</v>
      </c>
      <c r="T2" s="1">
        <v>20.7</v>
      </c>
      <c r="U2" s="1">
        <v>0.19600000000000001</v>
      </c>
      <c r="V2" s="1">
        <v>0.48599999999999999</v>
      </c>
      <c r="W2" s="1">
        <v>12.2</v>
      </c>
      <c r="X2" s="1">
        <v>81.7</v>
      </c>
      <c r="Y2" s="1">
        <v>0.17199999999999999</v>
      </c>
      <c r="Z2" s="1" t="s">
        <v>100</v>
      </c>
      <c r="AA2" s="1" t="s">
        <v>1859</v>
      </c>
      <c r="AB2" s="1" t="s">
        <v>1757</v>
      </c>
    </row>
    <row r="3" spans="1:28" x14ac:dyDescent="0.25">
      <c r="A3" s="1" t="s">
        <v>85</v>
      </c>
      <c r="B3" s="1" t="s">
        <v>2006</v>
      </c>
      <c r="C3" s="1">
        <v>29.6</v>
      </c>
      <c r="D3" s="1">
        <v>49</v>
      </c>
      <c r="E3" s="1">
        <v>14</v>
      </c>
      <c r="F3" s="1">
        <v>45</v>
      </c>
      <c r="G3" s="1">
        <v>18</v>
      </c>
      <c r="H3" s="1">
        <v>7.41</v>
      </c>
      <c r="I3" s="1">
        <v>0.32</v>
      </c>
      <c r="J3" s="1">
        <v>7.74</v>
      </c>
      <c r="K3" s="1">
        <v>113</v>
      </c>
      <c r="L3" s="1">
        <v>105.6</v>
      </c>
      <c r="M3" s="1">
        <v>7.4</v>
      </c>
      <c r="N3" s="1">
        <v>100.9</v>
      </c>
      <c r="O3" s="1">
        <v>0.26800000000000002</v>
      </c>
      <c r="P3" s="1">
        <v>0.35499999999999998</v>
      </c>
      <c r="Q3" s="1">
        <v>0.57699999999999996</v>
      </c>
      <c r="R3" s="1">
        <v>0.54800000000000004</v>
      </c>
      <c r="S3" s="1">
        <v>13.2</v>
      </c>
      <c r="T3" s="1">
        <v>24.6</v>
      </c>
      <c r="U3" s="1">
        <v>0.19600000000000001</v>
      </c>
      <c r="V3" s="1">
        <v>0.50900000000000001</v>
      </c>
      <c r="W3" s="1">
        <v>13.8</v>
      </c>
      <c r="X3" s="1">
        <v>78.400000000000006</v>
      </c>
      <c r="Y3" s="1">
        <v>0.20200000000000001</v>
      </c>
      <c r="Z3" s="1" t="s">
        <v>89</v>
      </c>
      <c r="AA3" s="1" t="s">
        <v>2067</v>
      </c>
      <c r="AB3" s="1" t="s">
        <v>90</v>
      </c>
    </row>
    <row r="4" spans="1:28" x14ac:dyDescent="0.25">
      <c r="A4" s="1" t="s">
        <v>83</v>
      </c>
      <c r="B4" s="1" t="s">
        <v>25</v>
      </c>
      <c r="C4" s="1">
        <v>27.4</v>
      </c>
      <c r="D4" s="1">
        <v>44</v>
      </c>
      <c r="E4" s="1">
        <v>20</v>
      </c>
      <c r="F4" s="1">
        <v>44</v>
      </c>
      <c r="G4" s="1">
        <v>20</v>
      </c>
      <c r="H4" s="1">
        <v>6.52</v>
      </c>
      <c r="I4" s="1">
        <v>0.22</v>
      </c>
      <c r="J4" s="1">
        <v>6.73</v>
      </c>
      <c r="K4" s="1">
        <v>113.6</v>
      </c>
      <c r="L4" s="1">
        <v>107.2</v>
      </c>
      <c r="M4" s="1">
        <v>6.4</v>
      </c>
      <c r="N4" s="1">
        <v>101.8</v>
      </c>
      <c r="O4" s="1">
        <v>0.29299999999999998</v>
      </c>
      <c r="P4" s="1">
        <v>0.37</v>
      </c>
      <c r="Q4" s="1">
        <v>0.57399999999999995</v>
      </c>
      <c r="R4" s="1">
        <v>0.53200000000000003</v>
      </c>
      <c r="S4" s="1">
        <v>12.7</v>
      </c>
      <c r="T4" s="1">
        <v>24</v>
      </c>
      <c r="U4" s="1">
        <v>0.23200000000000001</v>
      </c>
      <c r="V4" s="1">
        <v>0.503</v>
      </c>
      <c r="W4" s="1">
        <v>12.3</v>
      </c>
      <c r="X4" s="1">
        <v>77.3</v>
      </c>
      <c r="Y4" s="1">
        <v>0.21</v>
      </c>
      <c r="Z4" s="1" t="s">
        <v>89</v>
      </c>
      <c r="AA4" s="1" t="s">
        <v>1913</v>
      </c>
      <c r="AB4" s="1" t="s">
        <v>102</v>
      </c>
    </row>
    <row r="5" spans="1:28" x14ac:dyDescent="0.25">
      <c r="A5" s="1" t="s">
        <v>82</v>
      </c>
      <c r="B5" s="1" t="s">
        <v>2007</v>
      </c>
      <c r="C5" s="1">
        <v>26.6</v>
      </c>
      <c r="D5" s="1">
        <v>46</v>
      </c>
      <c r="E5" s="1">
        <v>18</v>
      </c>
      <c r="F5" s="1">
        <v>44</v>
      </c>
      <c r="G5" s="1">
        <v>20</v>
      </c>
      <c r="H5" s="1">
        <v>6.45</v>
      </c>
      <c r="I5" s="1">
        <v>-0.59</v>
      </c>
      <c r="J5" s="1">
        <v>5.86</v>
      </c>
      <c r="K5" s="1">
        <v>111.6</v>
      </c>
      <c r="L5" s="1">
        <v>105.2</v>
      </c>
      <c r="M5" s="1">
        <v>6.4</v>
      </c>
      <c r="N5" s="1">
        <v>100.6</v>
      </c>
      <c r="O5" s="1">
        <v>0.25600000000000001</v>
      </c>
      <c r="P5" s="1">
        <v>0.41799999999999998</v>
      </c>
      <c r="Q5" s="1">
        <v>0.57399999999999995</v>
      </c>
      <c r="R5" s="1">
        <v>0.53600000000000003</v>
      </c>
      <c r="S5" s="1">
        <v>12.8</v>
      </c>
      <c r="T5" s="1">
        <v>21.6</v>
      </c>
      <c r="U5" s="1">
        <v>0.20499999999999999</v>
      </c>
      <c r="V5" s="1">
        <v>0.502</v>
      </c>
      <c r="W5" s="1">
        <v>14.6</v>
      </c>
      <c r="X5" s="1">
        <v>76.099999999999994</v>
      </c>
      <c r="Y5" s="1">
        <v>0.2</v>
      </c>
      <c r="Z5" s="1" t="s">
        <v>94</v>
      </c>
      <c r="AA5" s="1" t="s">
        <v>1758</v>
      </c>
      <c r="AB5" s="1" t="s">
        <v>1759</v>
      </c>
    </row>
    <row r="6" spans="1:28" x14ac:dyDescent="0.25">
      <c r="A6" s="1" t="s">
        <v>91</v>
      </c>
      <c r="B6" s="1" t="s">
        <v>46</v>
      </c>
      <c r="C6" s="1">
        <v>25.3</v>
      </c>
      <c r="D6" s="1">
        <v>43</v>
      </c>
      <c r="E6" s="1">
        <v>21</v>
      </c>
      <c r="F6" s="1">
        <v>44</v>
      </c>
      <c r="G6" s="1">
        <v>20</v>
      </c>
      <c r="H6" s="1">
        <v>6.17</v>
      </c>
      <c r="I6" s="1">
        <v>-0.5</v>
      </c>
      <c r="J6" s="1">
        <v>5.67</v>
      </c>
      <c r="K6" s="1">
        <v>112.9</v>
      </c>
      <c r="L6" s="1">
        <v>106.8</v>
      </c>
      <c r="M6" s="1">
        <v>6.1</v>
      </c>
      <c r="N6" s="1">
        <v>99.3</v>
      </c>
      <c r="O6" s="1">
        <v>0.255</v>
      </c>
      <c r="P6" s="1">
        <v>0.38200000000000001</v>
      </c>
      <c r="Q6" s="1">
        <v>0.56699999999999995</v>
      </c>
      <c r="R6" s="1">
        <v>0.52900000000000003</v>
      </c>
      <c r="S6" s="1">
        <v>12</v>
      </c>
      <c r="T6" s="1">
        <v>23.9</v>
      </c>
      <c r="U6" s="1">
        <v>0.20399999999999999</v>
      </c>
      <c r="V6" s="1">
        <v>0.51</v>
      </c>
      <c r="W6" s="1">
        <v>13.6</v>
      </c>
      <c r="X6" s="1">
        <v>77.5</v>
      </c>
      <c r="Y6" s="1">
        <v>0.21199999999999999</v>
      </c>
      <c r="Z6" s="1" t="s">
        <v>86</v>
      </c>
      <c r="AA6" s="1" t="s">
        <v>1916</v>
      </c>
      <c r="AB6" s="1" t="s">
        <v>1917</v>
      </c>
    </row>
    <row r="7" spans="1:28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x14ac:dyDescent="0.25">
      <c r="A8" s="1" t="s">
        <v>0</v>
      </c>
      <c r="B8" s="1" t="s">
        <v>1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 t="s">
        <v>78</v>
      </c>
      <c r="AA8" s="1" t="s">
        <v>79</v>
      </c>
      <c r="AB8" s="1" t="s">
        <v>80</v>
      </c>
    </row>
    <row r="9" spans="1:28" x14ac:dyDescent="0.25">
      <c r="A9" s="1" t="s">
        <v>93</v>
      </c>
      <c r="B9" s="1" t="s">
        <v>43</v>
      </c>
      <c r="C9" s="1">
        <v>26.1</v>
      </c>
      <c r="D9" s="1">
        <v>39</v>
      </c>
      <c r="E9" s="1">
        <v>27</v>
      </c>
      <c r="F9" s="1">
        <v>44</v>
      </c>
      <c r="G9" s="1">
        <v>22</v>
      </c>
      <c r="H9" s="1">
        <v>5.89</v>
      </c>
      <c r="I9" s="1">
        <v>-0.26</v>
      </c>
      <c r="J9" s="1">
        <v>5.63</v>
      </c>
      <c r="K9" s="1">
        <v>116.7</v>
      </c>
      <c r="L9" s="1">
        <v>110.8</v>
      </c>
      <c r="M9" s="1">
        <v>5.9</v>
      </c>
      <c r="N9" s="1">
        <v>99.1</v>
      </c>
      <c r="O9" s="1">
        <v>0.25700000000000001</v>
      </c>
      <c r="P9" s="1">
        <v>0.46200000000000002</v>
      </c>
      <c r="Q9" s="1">
        <v>0.58199999999999996</v>
      </c>
      <c r="R9" s="1">
        <v>0.54800000000000004</v>
      </c>
      <c r="S9" s="1">
        <v>11.4</v>
      </c>
      <c r="T9" s="1">
        <v>23.4</v>
      </c>
      <c r="U9" s="1">
        <v>0.19900000000000001</v>
      </c>
      <c r="V9" s="1">
        <v>0.51900000000000002</v>
      </c>
      <c r="W9" s="1">
        <v>10.8</v>
      </c>
      <c r="X9" s="1">
        <v>77.2</v>
      </c>
      <c r="Y9" s="1">
        <v>0.17299999999999999</v>
      </c>
      <c r="Z9" s="1" t="s">
        <v>104</v>
      </c>
      <c r="AA9" s="1" t="s">
        <v>1914</v>
      </c>
      <c r="AB9" s="1" t="s">
        <v>1915</v>
      </c>
    </row>
    <row r="10" spans="1:28" x14ac:dyDescent="0.25">
      <c r="A10" s="1" t="s">
        <v>95</v>
      </c>
      <c r="B10" s="1" t="s">
        <v>32</v>
      </c>
      <c r="C10" s="1">
        <v>29.1</v>
      </c>
      <c r="D10" s="1">
        <v>40</v>
      </c>
      <c r="E10" s="1">
        <v>24</v>
      </c>
      <c r="F10" s="1">
        <v>39</v>
      </c>
      <c r="G10" s="1">
        <v>25</v>
      </c>
      <c r="H10" s="1">
        <v>3.75</v>
      </c>
      <c r="I10" s="1">
        <v>0.02</v>
      </c>
      <c r="J10" s="1">
        <v>3.77</v>
      </c>
      <c r="K10" s="1">
        <v>113.8</v>
      </c>
      <c r="L10" s="1">
        <v>110.2</v>
      </c>
      <c r="M10" s="1">
        <v>3.6</v>
      </c>
      <c r="N10" s="1">
        <v>103.3</v>
      </c>
      <c r="O10" s="1">
        <v>0.28699999999999998</v>
      </c>
      <c r="P10" s="1">
        <v>0.48799999999999999</v>
      </c>
      <c r="Q10" s="1">
        <v>0.57799999999999996</v>
      </c>
      <c r="R10" s="1">
        <v>0.53900000000000003</v>
      </c>
      <c r="S10" s="1">
        <v>12.6</v>
      </c>
      <c r="T10" s="1">
        <v>22.4</v>
      </c>
      <c r="U10" s="1">
        <v>0.22600000000000001</v>
      </c>
      <c r="V10" s="1">
        <v>0.52800000000000002</v>
      </c>
      <c r="W10" s="1">
        <v>13.5</v>
      </c>
      <c r="X10" s="1">
        <v>75.599999999999994</v>
      </c>
      <c r="Y10" s="1">
        <v>0.19400000000000001</v>
      </c>
      <c r="Z10" s="1" t="s">
        <v>119</v>
      </c>
      <c r="AA10" s="1" t="s">
        <v>2068</v>
      </c>
      <c r="AB10" s="1" t="s">
        <v>2069</v>
      </c>
    </row>
    <row r="11" spans="1:28" x14ac:dyDescent="0.25">
      <c r="A11" s="1" t="s">
        <v>97</v>
      </c>
      <c r="B11" s="1" t="s">
        <v>50</v>
      </c>
      <c r="C11" s="1">
        <v>25.6</v>
      </c>
      <c r="D11" s="1">
        <v>43</v>
      </c>
      <c r="E11" s="1">
        <v>21</v>
      </c>
      <c r="F11" s="1">
        <v>39</v>
      </c>
      <c r="G11" s="1">
        <v>25</v>
      </c>
      <c r="H11" s="1">
        <v>3.25</v>
      </c>
      <c r="I11" s="1">
        <v>-0.05</v>
      </c>
      <c r="J11" s="1">
        <v>3.2</v>
      </c>
      <c r="K11" s="1">
        <v>112.7</v>
      </c>
      <c r="L11" s="1">
        <v>109.4</v>
      </c>
      <c r="M11" s="1">
        <v>3.3</v>
      </c>
      <c r="N11" s="1">
        <v>97.2</v>
      </c>
      <c r="O11" s="1">
        <v>0.23200000000000001</v>
      </c>
      <c r="P11" s="1">
        <v>0.34</v>
      </c>
      <c r="Q11" s="1">
        <v>0.56399999999999995</v>
      </c>
      <c r="R11" s="1">
        <v>0.53100000000000003</v>
      </c>
      <c r="S11" s="1">
        <v>12.2</v>
      </c>
      <c r="T11" s="1">
        <v>24.9</v>
      </c>
      <c r="U11" s="1">
        <v>0.18</v>
      </c>
      <c r="V11" s="1">
        <v>0.52600000000000002</v>
      </c>
      <c r="W11" s="1">
        <v>13</v>
      </c>
      <c r="X11" s="1">
        <v>77.099999999999994</v>
      </c>
      <c r="Y11" s="1">
        <v>0.19400000000000001</v>
      </c>
      <c r="Z11" s="1" t="s">
        <v>114</v>
      </c>
      <c r="AA11" s="1" t="s">
        <v>2009</v>
      </c>
      <c r="AB11" s="1" t="s">
        <v>2010</v>
      </c>
    </row>
    <row r="12" spans="1:28" x14ac:dyDescent="0.25">
      <c r="A12" s="1" t="s">
        <v>99</v>
      </c>
      <c r="B12" s="1" t="s">
        <v>34</v>
      </c>
      <c r="C12" s="1">
        <v>27.5</v>
      </c>
      <c r="D12" s="1">
        <v>41</v>
      </c>
      <c r="E12" s="1">
        <v>23</v>
      </c>
      <c r="F12" s="1">
        <v>38</v>
      </c>
      <c r="G12" s="1">
        <v>26</v>
      </c>
      <c r="H12" s="1">
        <v>3.17</v>
      </c>
      <c r="I12" s="1">
        <v>0.02</v>
      </c>
      <c r="J12" s="1">
        <v>3.19</v>
      </c>
      <c r="K12" s="1">
        <v>112.6</v>
      </c>
      <c r="L12" s="1">
        <v>109.4</v>
      </c>
      <c r="M12" s="1">
        <v>3.2</v>
      </c>
      <c r="N12" s="1">
        <v>98.4</v>
      </c>
      <c r="O12" s="1">
        <v>0.26900000000000002</v>
      </c>
      <c r="P12" s="1">
        <v>0.40600000000000003</v>
      </c>
      <c r="Q12" s="1">
        <v>0.58699999999999997</v>
      </c>
      <c r="R12" s="1">
        <v>0.55200000000000005</v>
      </c>
      <c r="S12" s="1">
        <v>13.6</v>
      </c>
      <c r="T12" s="1">
        <v>21.2</v>
      </c>
      <c r="U12" s="1">
        <v>0.20799999999999999</v>
      </c>
      <c r="V12" s="1">
        <v>0.51400000000000001</v>
      </c>
      <c r="W12" s="1">
        <v>10.9</v>
      </c>
      <c r="X12" s="1">
        <v>79</v>
      </c>
      <c r="Y12" s="1">
        <v>0.18</v>
      </c>
      <c r="Z12" s="1" t="s">
        <v>87</v>
      </c>
      <c r="AA12" s="1" t="s">
        <v>2011</v>
      </c>
      <c r="AB12" s="1" t="s">
        <v>88</v>
      </c>
    </row>
    <row r="13" spans="1:28" x14ac:dyDescent="0.25">
      <c r="A13" s="1" t="s">
        <v>101</v>
      </c>
      <c r="B13" s="1" t="s">
        <v>41</v>
      </c>
      <c r="C13" s="1">
        <v>25.8</v>
      </c>
      <c r="D13" s="1">
        <v>41</v>
      </c>
      <c r="E13" s="1">
        <v>23</v>
      </c>
      <c r="F13" s="1">
        <v>39</v>
      </c>
      <c r="G13" s="1">
        <v>25</v>
      </c>
      <c r="H13" s="1">
        <v>3.45</v>
      </c>
      <c r="I13" s="1">
        <v>-0.57999999999999996</v>
      </c>
      <c r="J13" s="1">
        <v>2.87</v>
      </c>
      <c r="K13" s="1">
        <v>112.7</v>
      </c>
      <c r="L13" s="1">
        <v>109.3</v>
      </c>
      <c r="M13" s="1">
        <v>3.4</v>
      </c>
      <c r="N13" s="1">
        <v>98.2</v>
      </c>
      <c r="O13" s="1">
        <v>0.30099999999999999</v>
      </c>
      <c r="P13" s="1">
        <v>0.41099999999999998</v>
      </c>
      <c r="Q13" s="1">
        <v>0.58799999999999997</v>
      </c>
      <c r="R13" s="1">
        <v>0.54900000000000004</v>
      </c>
      <c r="S13" s="1">
        <v>13.5</v>
      </c>
      <c r="T13" s="1">
        <v>20.5</v>
      </c>
      <c r="U13" s="1">
        <v>0.23400000000000001</v>
      </c>
      <c r="V13" s="1">
        <v>0.52200000000000002</v>
      </c>
      <c r="W13" s="1">
        <v>12.3</v>
      </c>
      <c r="X13" s="1">
        <v>80</v>
      </c>
      <c r="Y13" s="1">
        <v>0.20799999999999999</v>
      </c>
      <c r="Z13" s="1" t="s">
        <v>92</v>
      </c>
      <c r="AA13" s="1" t="s">
        <v>1860</v>
      </c>
      <c r="AB13" s="1" t="s">
        <v>1861</v>
      </c>
    </row>
    <row r="14" spans="1:28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x14ac:dyDescent="0.25">
      <c r="A15" s="1" t="s">
        <v>0</v>
      </c>
      <c r="B15" s="1" t="s">
        <v>1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 t="s">
        <v>78</v>
      </c>
      <c r="AA15" s="1" t="s">
        <v>79</v>
      </c>
      <c r="AB15" s="1" t="s">
        <v>80</v>
      </c>
    </row>
    <row r="16" spans="1:28" x14ac:dyDescent="0.25">
      <c r="A16" s="1" t="s">
        <v>103</v>
      </c>
      <c r="B16" s="1" t="s">
        <v>33</v>
      </c>
      <c r="C16" s="1">
        <v>25.6</v>
      </c>
      <c r="D16" s="1">
        <v>40</v>
      </c>
      <c r="E16" s="1">
        <v>24</v>
      </c>
      <c r="F16" s="1">
        <v>37</v>
      </c>
      <c r="G16" s="1">
        <v>27</v>
      </c>
      <c r="H16" s="1">
        <v>2.4500000000000002</v>
      </c>
      <c r="I16" s="1">
        <v>0.33</v>
      </c>
      <c r="J16" s="1">
        <v>2.78</v>
      </c>
      <c r="K16" s="1">
        <v>111.6</v>
      </c>
      <c r="L16" s="1">
        <v>109.1</v>
      </c>
      <c r="M16" s="1">
        <v>2.5</v>
      </c>
      <c r="N16" s="1">
        <v>98.6</v>
      </c>
      <c r="O16" s="1">
        <v>0.29199999999999998</v>
      </c>
      <c r="P16" s="1">
        <v>0.34499999999999997</v>
      </c>
      <c r="Q16" s="1">
        <v>0.57699999999999996</v>
      </c>
      <c r="R16" s="1">
        <v>0.53400000000000003</v>
      </c>
      <c r="S16" s="1">
        <v>12.3</v>
      </c>
      <c r="T16" s="1">
        <v>19.2</v>
      </c>
      <c r="U16" s="1">
        <v>0.23300000000000001</v>
      </c>
      <c r="V16" s="1">
        <v>0.52</v>
      </c>
      <c r="W16" s="1">
        <v>12.4</v>
      </c>
      <c r="X16" s="1">
        <v>76.8</v>
      </c>
      <c r="Y16" s="1">
        <v>0.16400000000000001</v>
      </c>
      <c r="Z16" s="1" t="s">
        <v>116</v>
      </c>
      <c r="AA16" s="1" t="s">
        <v>1832</v>
      </c>
      <c r="AB16" s="1" t="s">
        <v>117</v>
      </c>
    </row>
    <row r="17" spans="1:28" x14ac:dyDescent="0.25">
      <c r="A17" s="1" t="s">
        <v>105</v>
      </c>
      <c r="B17" s="1" t="s">
        <v>45</v>
      </c>
      <c r="C17" s="1">
        <v>26.4</v>
      </c>
      <c r="D17" s="1">
        <v>38</v>
      </c>
      <c r="E17" s="1">
        <v>26</v>
      </c>
      <c r="F17" s="1">
        <v>36</v>
      </c>
      <c r="G17" s="1">
        <v>28</v>
      </c>
      <c r="H17" s="1">
        <v>1.97</v>
      </c>
      <c r="I17" s="1">
        <v>0.08</v>
      </c>
      <c r="J17" s="1">
        <v>2.0499999999999998</v>
      </c>
      <c r="K17" s="1">
        <v>110.1</v>
      </c>
      <c r="L17" s="1">
        <v>108.1</v>
      </c>
      <c r="M17" s="1">
        <v>2</v>
      </c>
      <c r="N17" s="1">
        <v>98.8</v>
      </c>
      <c r="O17" s="1">
        <v>0.25</v>
      </c>
      <c r="P17" s="1">
        <v>0.35899999999999999</v>
      </c>
      <c r="Q17" s="1">
        <v>0.56100000000000005</v>
      </c>
      <c r="R17" s="1">
        <v>0.52900000000000003</v>
      </c>
      <c r="S17" s="1">
        <v>12.7</v>
      </c>
      <c r="T17" s="1">
        <v>23.6</v>
      </c>
      <c r="U17" s="1">
        <v>0.187</v>
      </c>
      <c r="V17" s="1">
        <v>0.52200000000000002</v>
      </c>
      <c r="W17" s="1">
        <v>12.8</v>
      </c>
      <c r="X17" s="1">
        <v>80.3</v>
      </c>
      <c r="Y17" s="1">
        <v>0.21099999999999999</v>
      </c>
      <c r="Z17" s="1" t="s">
        <v>84</v>
      </c>
      <c r="AA17" s="1" t="s">
        <v>1717</v>
      </c>
      <c r="AB17" s="1" t="s">
        <v>1718</v>
      </c>
    </row>
    <row r="18" spans="1:28" x14ac:dyDescent="0.25">
      <c r="A18" s="1" t="s">
        <v>107</v>
      </c>
      <c r="B18" s="1" t="s">
        <v>51</v>
      </c>
      <c r="C18" s="1">
        <v>25.6</v>
      </c>
      <c r="D18" s="1">
        <v>39</v>
      </c>
      <c r="E18" s="1">
        <v>26</v>
      </c>
      <c r="F18" s="1">
        <v>37</v>
      </c>
      <c r="G18" s="1">
        <v>28</v>
      </c>
      <c r="H18" s="1">
        <v>1.94</v>
      </c>
      <c r="I18" s="1">
        <v>-0.35</v>
      </c>
      <c r="J18" s="1">
        <v>1.59</v>
      </c>
      <c r="K18" s="1">
        <v>110.3</v>
      </c>
      <c r="L18" s="1">
        <v>108.3</v>
      </c>
      <c r="M18" s="1">
        <v>2</v>
      </c>
      <c r="N18" s="1">
        <v>98.5</v>
      </c>
      <c r="O18" s="1">
        <v>0.217</v>
      </c>
      <c r="P18" s="1">
        <v>0.311</v>
      </c>
      <c r="Q18" s="1">
        <v>0.56499999999999995</v>
      </c>
      <c r="R18" s="1">
        <v>0.53300000000000003</v>
      </c>
      <c r="S18" s="1">
        <v>11.9</v>
      </c>
      <c r="T18" s="1">
        <v>20.3</v>
      </c>
      <c r="U18" s="1">
        <v>0.17</v>
      </c>
      <c r="V18" s="1">
        <v>0.51300000000000001</v>
      </c>
      <c r="W18" s="1">
        <v>12.8</v>
      </c>
      <c r="X18" s="1">
        <v>77.099999999999994</v>
      </c>
      <c r="Y18" s="1">
        <v>0.193</v>
      </c>
      <c r="Z18" s="1" t="s">
        <v>129</v>
      </c>
      <c r="AA18" s="1" t="s">
        <v>2070</v>
      </c>
      <c r="AB18" s="1" t="s">
        <v>2071</v>
      </c>
    </row>
    <row r="19" spans="1:28" x14ac:dyDescent="0.25">
      <c r="A19" s="1" t="s">
        <v>109</v>
      </c>
      <c r="B19" s="1" t="s">
        <v>37</v>
      </c>
      <c r="C19" s="1">
        <v>25.4</v>
      </c>
      <c r="D19" s="1">
        <v>28</v>
      </c>
      <c r="E19" s="1">
        <v>36</v>
      </c>
      <c r="F19" s="1">
        <v>30</v>
      </c>
      <c r="G19" s="1">
        <v>34</v>
      </c>
      <c r="H19" s="1">
        <v>-0.83</v>
      </c>
      <c r="I19" s="1">
        <v>1.1200000000000001</v>
      </c>
      <c r="J19" s="1">
        <v>0.28999999999999998</v>
      </c>
      <c r="K19" s="1">
        <v>110.8</v>
      </c>
      <c r="L19" s="1">
        <v>111.6</v>
      </c>
      <c r="M19" s="1">
        <v>-0.8</v>
      </c>
      <c r="N19" s="1">
        <v>103.9</v>
      </c>
      <c r="O19" s="1">
        <v>0.252</v>
      </c>
      <c r="P19" s="1">
        <v>0.40799999999999997</v>
      </c>
      <c r="Q19" s="1">
        <v>0.56699999999999995</v>
      </c>
      <c r="R19" s="1">
        <v>0.53800000000000003</v>
      </c>
      <c r="S19" s="1">
        <v>13.7</v>
      </c>
      <c r="T19" s="1">
        <v>24.3</v>
      </c>
      <c r="U19" s="1">
        <v>0.183</v>
      </c>
      <c r="V19" s="1">
        <v>0.53100000000000003</v>
      </c>
      <c r="W19" s="1">
        <v>12.3</v>
      </c>
      <c r="X19" s="1">
        <v>78.099999999999994</v>
      </c>
      <c r="Y19" s="1">
        <v>0.20699999999999999</v>
      </c>
      <c r="Z19" s="1" t="s">
        <v>127</v>
      </c>
      <c r="AA19" s="1" t="s">
        <v>1918</v>
      </c>
      <c r="AB19" s="1" t="s">
        <v>1919</v>
      </c>
    </row>
    <row r="20" spans="1:28" x14ac:dyDescent="0.25">
      <c r="A20" s="1" t="s">
        <v>111</v>
      </c>
      <c r="B20" s="1" t="s">
        <v>53</v>
      </c>
      <c r="C20" s="1">
        <v>26</v>
      </c>
      <c r="D20" s="1">
        <v>30</v>
      </c>
      <c r="E20" s="1">
        <v>35</v>
      </c>
      <c r="F20" s="1">
        <v>30</v>
      </c>
      <c r="G20" s="1">
        <v>35</v>
      </c>
      <c r="H20" s="1">
        <v>-0.97</v>
      </c>
      <c r="I20" s="1">
        <v>0.12</v>
      </c>
      <c r="J20" s="1">
        <v>-0.85</v>
      </c>
      <c r="K20" s="1">
        <v>108</v>
      </c>
      <c r="L20" s="1">
        <v>109</v>
      </c>
      <c r="M20" s="1">
        <v>-1</v>
      </c>
      <c r="N20" s="1">
        <v>98.3</v>
      </c>
      <c r="O20" s="1">
        <v>0.248</v>
      </c>
      <c r="P20" s="1">
        <v>0.36</v>
      </c>
      <c r="Q20" s="1">
        <v>0.54</v>
      </c>
      <c r="R20" s="1">
        <v>0.503</v>
      </c>
      <c r="S20" s="1">
        <v>11.4</v>
      </c>
      <c r="T20" s="1">
        <v>22.4</v>
      </c>
      <c r="U20" s="1">
        <v>0.191</v>
      </c>
      <c r="V20" s="1">
        <v>0.53500000000000003</v>
      </c>
      <c r="W20" s="1">
        <v>13.5</v>
      </c>
      <c r="X20" s="1">
        <v>79</v>
      </c>
      <c r="Y20" s="1">
        <v>0.17</v>
      </c>
      <c r="Z20" s="1" t="s">
        <v>112</v>
      </c>
      <c r="AA20" s="1" t="s">
        <v>1802</v>
      </c>
      <c r="AB20" s="1" t="s">
        <v>1803</v>
      </c>
    </row>
    <row r="21" spans="1:28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x14ac:dyDescent="0.25">
      <c r="A22" s="1" t="s">
        <v>0</v>
      </c>
      <c r="B22" s="1" t="s">
        <v>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 t="s">
        <v>78</v>
      </c>
      <c r="AA22" s="1" t="s">
        <v>79</v>
      </c>
      <c r="AB22" s="1" t="s">
        <v>80</v>
      </c>
    </row>
    <row r="23" spans="1:28" x14ac:dyDescent="0.25">
      <c r="A23" s="1" t="s">
        <v>113</v>
      </c>
      <c r="B23" s="1" t="s">
        <v>26</v>
      </c>
      <c r="C23" s="1">
        <v>24.7</v>
      </c>
      <c r="D23" s="1">
        <v>26</v>
      </c>
      <c r="E23" s="1">
        <v>39</v>
      </c>
      <c r="F23" s="1">
        <v>30</v>
      </c>
      <c r="G23" s="1">
        <v>35</v>
      </c>
      <c r="H23" s="1">
        <v>-1.37</v>
      </c>
      <c r="I23" s="1">
        <v>0.32</v>
      </c>
      <c r="J23" s="1">
        <v>-1.05</v>
      </c>
      <c r="K23" s="1">
        <v>110.5</v>
      </c>
      <c r="L23" s="1">
        <v>111.8</v>
      </c>
      <c r="M23" s="1">
        <v>-1.3</v>
      </c>
      <c r="N23" s="1">
        <v>101.4</v>
      </c>
      <c r="O23" s="1">
        <v>0.27300000000000002</v>
      </c>
      <c r="P23" s="1">
        <v>0.36099999999999999</v>
      </c>
      <c r="Q23" s="1">
        <v>0.57199999999999995</v>
      </c>
      <c r="R23" s="1">
        <v>0.52800000000000002</v>
      </c>
      <c r="S23" s="1">
        <v>13.3</v>
      </c>
      <c r="T23" s="1">
        <v>22.2</v>
      </c>
      <c r="U23" s="1">
        <v>0.22600000000000001</v>
      </c>
      <c r="V23" s="1">
        <v>0.54300000000000004</v>
      </c>
      <c r="W23" s="1">
        <v>14</v>
      </c>
      <c r="X23" s="1">
        <v>78.3</v>
      </c>
      <c r="Y23" s="1">
        <v>0.221</v>
      </c>
      <c r="Z23" s="1" t="s">
        <v>96</v>
      </c>
      <c r="AA23" s="1" t="s">
        <v>1920</v>
      </c>
      <c r="AB23" s="1" t="s">
        <v>1921</v>
      </c>
    </row>
    <row r="24" spans="1:28" x14ac:dyDescent="0.25">
      <c r="A24" s="1" t="s">
        <v>115</v>
      </c>
      <c r="B24" s="1" t="s">
        <v>48</v>
      </c>
      <c r="C24" s="1">
        <v>24</v>
      </c>
      <c r="D24" s="1">
        <v>32</v>
      </c>
      <c r="E24" s="1">
        <v>33</v>
      </c>
      <c r="F24" s="1">
        <v>30</v>
      </c>
      <c r="G24" s="1">
        <v>35</v>
      </c>
      <c r="H24" s="1">
        <v>-1.08</v>
      </c>
      <c r="I24" s="1">
        <v>0.02</v>
      </c>
      <c r="J24" s="1">
        <v>-1.06</v>
      </c>
      <c r="K24" s="1">
        <v>109.4</v>
      </c>
      <c r="L24" s="1">
        <v>110.4</v>
      </c>
      <c r="M24" s="1">
        <v>-1</v>
      </c>
      <c r="N24" s="1">
        <v>102.8</v>
      </c>
      <c r="O24" s="1">
        <v>0.23400000000000001</v>
      </c>
      <c r="P24" s="1">
        <v>0.34100000000000003</v>
      </c>
      <c r="Q24" s="1">
        <v>0.56100000000000005</v>
      </c>
      <c r="R24" s="1">
        <v>0.53</v>
      </c>
      <c r="S24" s="1">
        <v>13.2</v>
      </c>
      <c r="T24" s="1">
        <v>23.2</v>
      </c>
      <c r="U24" s="1">
        <v>0.17799999999999999</v>
      </c>
      <c r="V24" s="1">
        <v>0.52</v>
      </c>
      <c r="W24" s="1">
        <v>12.6</v>
      </c>
      <c r="X24" s="1">
        <v>77.599999999999994</v>
      </c>
      <c r="Y24" s="1">
        <v>0.21299999999999999</v>
      </c>
      <c r="Z24" s="1" t="s">
        <v>140</v>
      </c>
      <c r="AA24" s="1" t="s">
        <v>2072</v>
      </c>
      <c r="AB24" s="1" t="s">
        <v>2073</v>
      </c>
    </row>
    <row r="25" spans="1:28" x14ac:dyDescent="0.25">
      <c r="A25" s="1" t="s">
        <v>118</v>
      </c>
      <c r="B25" s="1" t="s">
        <v>28</v>
      </c>
      <c r="C25" s="1">
        <v>27.5</v>
      </c>
      <c r="D25" s="1">
        <v>29</v>
      </c>
      <c r="E25" s="1">
        <v>37</v>
      </c>
      <c r="F25" s="1">
        <v>30</v>
      </c>
      <c r="G25" s="1">
        <v>36</v>
      </c>
      <c r="H25" s="1">
        <v>-1.61</v>
      </c>
      <c r="I25" s="1">
        <v>0.49</v>
      </c>
      <c r="J25" s="1">
        <v>-1.1200000000000001</v>
      </c>
      <c r="K25" s="1">
        <v>112.5</v>
      </c>
      <c r="L25" s="1">
        <v>114.1</v>
      </c>
      <c r="M25" s="1">
        <v>-1.6</v>
      </c>
      <c r="N25" s="1">
        <v>100.7</v>
      </c>
      <c r="O25" s="1">
        <v>0.23899999999999999</v>
      </c>
      <c r="P25" s="1">
        <v>0.371</v>
      </c>
      <c r="Q25" s="1">
        <v>0.56599999999999995</v>
      </c>
      <c r="R25" s="1">
        <v>0.53</v>
      </c>
      <c r="S25" s="1">
        <v>11.5</v>
      </c>
      <c r="T25" s="1">
        <v>22</v>
      </c>
      <c r="U25" s="1">
        <v>0.191</v>
      </c>
      <c r="V25" s="1">
        <v>0.52300000000000002</v>
      </c>
      <c r="W25" s="1">
        <v>11</v>
      </c>
      <c r="X25" s="1">
        <v>75</v>
      </c>
      <c r="Y25" s="1">
        <v>0.20399999999999999</v>
      </c>
      <c r="Z25" s="1" t="s">
        <v>121</v>
      </c>
      <c r="AA25" s="1" t="s">
        <v>2074</v>
      </c>
      <c r="AB25" s="1" t="s">
        <v>2075</v>
      </c>
    </row>
    <row r="26" spans="1:28" x14ac:dyDescent="0.25">
      <c r="A26" s="1" t="s">
        <v>120</v>
      </c>
      <c r="B26" s="1" t="s">
        <v>38</v>
      </c>
      <c r="C26" s="1">
        <v>26.5</v>
      </c>
      <c r="D26" s="1">
        <v>30</v>
      </c>
      <c r="E26" s="1">
        <v>34</v>
      </c>
      <c r="F26" s="1">
        <v>31</v>
      </c>
      <c r="G26" s="1">
        <v>33</v>
      </c>
      <c r="H26" s="1">
        <v>-0.64</v>
      </c>
      <c r="I26" s="1">
        <v>-0.56000000000000005</v>
      </c>
      <c r="J26" s="1">
        <v>-1.2</v>
      </c>
      <c r="K26" s="1">
        <v>108.1</v>
      </c>
      <c r="L26" s="1">
        <v>108.7</v>
      </c>
      <c r="M26" s="1">
        <v>-0.6</v>
      </c>
      <c r="N26" s="1">
        <v>101.2</v>
      </c>
      <c r="O26" s="1">
        <v>0.26800000000000002</v>
      </c>
      <c r="P26" s="1">
        <v>0.42</v>
      </c>
      <c r="Q26" s="1">
        <v>0.55000000000000004</v>
      </c>
      <c r="R26" s="1">
        <v>0.51500000000000001</v>
      </c>
      <c r="S26" s="1">
        <v>13.4</v>
      </c>
      <c r="T26" s="1">
        <v>23.5</v>
      </c>
      <c r="U26" s="1">
        <v>0.19900000000000001</v>
      </c>
      <c r="V26" s="1">
        <v>0.50700000000000001</v>
      </c>
      <c r="W26" s="1">
        <v>10.9</v>
      </c>
      <c r="X26" s="1">
        <v>77.8</v>
      </c>
      <c r="Y26" s="1">
        <v>0.18099999999999999</v>
      </c>
      <c r="Z26" s="1" t="s">
        <v>131</v>
      </c>
      <c r="AA26" s="1" t="s">
        <v>1922</v>
      </c>
      <c r="AB26" s="1" t="s">
        <v>1923</v>
      </c>
    </row>
    <row r="27" spans="1:28" x14ac:dyDescent="0.25">
      <c r="A27" s="1" t="s">
        <v>122</v>
      </c>
      <c r="B27" s="1" t="s">
        <v>54</v>
      </c>
      <c r="C27" s="1">
        <v>27.9</v>
      </c>
      <c r="D27" s="1">
        <v>27</v>
      </c>
      <c r="E27" s="1">
        <v>36</v>
      </c>
      <c r="F27" s="1">
        <v>28</v>
      </c>
      <c r="G27" s="1">
        <v>35</v>
      </c>
      <c r="H27" s="1">
        <v>-1.76</v>
      </c>
      <c r="I27" s="1">
        <v>0.55000000000000004</v>
      </c>
      <c r="J27" s="1">
        <v>-1.21</v>
      </c>
      <c r="K27" s="1">
        <v>111.9</v>
      </c>
      <c r="L27" s="1">
        <v>113.7</v>
      </c>
      <c r="M27" s="1">
        <v>-1.8</v>
      </c>
      <c r="N27" s="1">
        <v>100</v>
      </c>
      <c r="O27" s="1">
        <v>0.254</v>
      </c>
      <c r="P27" s="1">
        <v>0.32100000000000001</v>
      </c>
      <c r="Q27" s="1">
        <v>0.56899999999999995</v>
      </c>
      <c r="R27" s="1">
        <v>0.52900000000000003</v>
      </c>
      <c r="S27" s="1">
        <v>11</v>
      </c>
      <c r="T27" s="1">
        <v>19.5</v>
      </c>
      <c r="U27" s="1">
        <v>0.20599999999999999</v>
      </c>
      <c r="V27" s="1">
        <v>0.54200000000000004</v>
      </c>
      <c r="W27" s="1">
        <v>11.5</v>
      </c>
      <c r="X27" s="1">
        <v>79.2</v>
      </c>
      <c r="Y27" s="1">
        <v>0.19400000000000001</v>
      </c>
      <c r="Z27" s="1" t="s">
        <v>110</v>
      </c>
      <c r="AA27" s="1" t="s">
        <v>2076</v>
      </c>
      <c r="AB27" s="1" t="s">
        <v>2077</v>
      </c>
    </row>
    <row r="28" spans="1:28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x14ac:dyDescent="0.25">
      <c r="A29" s="1" t="s">
        <v>0</v>
      </c>
      <c r="B29" s="1" t="s">
        <v>1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 t="s">
        <v>78</v>
      </c>
      <c r="AA29" s="1" t="s">
        <v>79</v>
      </c>
      <c r="AB29" s="1" t="s">
        <v>80</v>
      </c>
    </row>
    <row r="30" spans="1:28" x14ac:dyDescent="0.25">
      <c r="A30" s="1" t="s">
        <v>124</v>
      </c>
      <c r="B30" s="1" t="s">
        <v>36</v>
      </c>
      <c r="C30" s="1">
        <v>27.1</v>
      </c>
      <c r="D30" s="1">
        <v>28</v>
      </c>
      <c r="E30" s="1">
        <v>36</v>
      </c>
      <c r="F30" s="1">
        <v>28</v>
      </c>
      <c r="G30" s="1">
        <v>36</v>
      </c>
      <c r="H30" s="1">
        <v>-1.92</v>
      </c>
      <c r="I30" s="1">
        <v>0.47</v>
      </c>
      <c r="J30" s="1">
        <v>-1.45</v>
      </c>
      <c r="K30" s="1">
        <v>109.7</v>
      </c>
      <c r="L30" s="1">
        <v>111.6</v>
      </c>
      <c r="M30" s="1">
        <v>-1.9</v>
      </c>
      <c r="N30" s="1">
        <v>98.4</v>
      </c>
      <c r="O30" s="1">
        <v>0.23200000000000001</v>
      </c>
      <c r="P30" s="1">
        <v>0.39500000000000002</v>
      </c>
      <c r="Q30" s="1">
        <v>0.56299999999999994</v>
      </c>
      <c r="R30" s="1">
        <v>0.53100000000000003</v>
      </c>
      <c r="S30" s="1">
        <v>13</v>
      </c>
      <c r="T30" s="1">
        <v>21.8</v>
      </c>
      <c r="U30" s="1">
        <v>0.17799999999999999</v>
      </c>
      <c r="V30" s="1">
        <v>0.54</v>
      </c>
      <c r="W30" s="1">
        <v>13.6</v>
      </c>
      <c r="X30" s="1">
        <v>78.5</v>
      </c>
      <c r="Y30" s="1">
        <v>0.222</v>
      </c>
      <c r="Z30" s="1" t="s">
        <v>142</v>
      </c>
      <c r="AA30" s="1" t="s">
        <v>1924</v>
      </c>
      <c r="AB30" s="1" t="s">
        <v>1925</v>
      </c>
    </row>
    <row r="31" spans="1:28" x14ac:dyDescent="0.25">
      <c r="A31" s="1" t="s">
        <v>126</v>
      </c>
      <c r="B31" s="1" t="s">
        <v>42</v>
      </c>
      <c r="C31" s="1">
        <v>24.8</v>
      </c>
      <c r="D31" s="1">
        <v>19</v>
      </c>
      <c r="E31" s="1">
        <v>45</v>
      </c>
      <c r="F31" s="1">
        <v>24</v>
      </c>
      <c r="G31" s="1">
        <v>40</v>
      </c>
      <c r="H31" s="1">
        <v>-4.3</v>
      </c>
      <c r="I31" s="1">
        <v>0.51</v>
      </c>
      <c r="J31" s="1">
        <v>-3.79</v>
      </c>
      <c r="K31" s="1">
        <v>108.1</v>
      </c>
      <c r="L31" s="1">
        <v>112.2</v>
      </c>
      <c r="M31" s="1">
        <v>-4.0999999999999996</v>
      </c>
      <c r="N31" s="1">
        <v>103.4</v>
      </c>
      <c r="O31" s="1">
        <v>0.27700000000000002</v>
      </c>
      <c r="P31" s="1">
        <v>0.433</v>
      </c>
      <c r="Q31" s="1">
        <v>0.55100000000000005</v>
      </c>
      <c r="R31" s="1">
        <v>0.51400000000000001</v>
      </c>
      <c r="S31" s="1">
        <v>13</v>
      </c>
      <c r="T31" s="1">
        <v>22.1</v>
      </c>
      <c r="U31" s="1">
        <v>0.20899999999999999</v>
      </c>
      <c r="V31" s="1">
        <v>0.54100000000000004</v>
      </c>
      <c r="W31" s="1">
        <v>13.2</v>
      </c>
      <c r="X31" s="1">
        <v>77.2</v>
      </c>
      <c r="Y31" s="1">
        <v>0.218</v>
      </c>
      <c r="Z31" s="1" t="s">
        <v>106</v>
      </c>
      <c r="AA31" s="1" t="s">
        <v>1926</v>
      </c>
      <c r="AB31" s="1" t="s">
        <v>1927</v>
      </c>
    </row>
    <row r="32" spans="1:28" x14ac:dyDescent="0.25">
      <c r="A32" s="1" t="s">
        <v>128</v>
      </c>
      <c r="B32" s="1" t="s">
        <v>31</v>
      </c>
      <c r="C32" s="1">
        <v>24.4</v>
      </c>
      <c r="D32" s="1">
        <v>22</v>
      </c>
      <c r="E32" s="1">
        <v>43</v>
      </c>
      <c r="F32" s="1">
        <v>26</v>
      </c>
      <c r="G32" s="1">
        <v>39</v>
      </c>
      <c r="H32" s="1">
        <v>-3.08</v>
      </c>
      <c r="I32" s="1">
        <v>-0.75</v>
      </c>
      <c r="J32" s="1">
        <v>-3.83</v>
      </c>
      <c r="K32" s="1">
        <v>106.7</v>
      </c>
      <c r="L32" s="1">
        <v>109.8</v>
      </c>
      <c r="M32" s="1">
        <v>-3.1</v>
      </c>
      <c r="N32" s="1">
        <v>99.7</v>
      </c>
      <c r="O32" s="1">
        <v>0.23100000000000001</v>
      </c>
      <c r="P32" s="1">
        <v>0.39600000000000002</v>
      </c>
      <c r="Q32" s="1">
        <v>0.54700000000000004</v>
      </c>
      <c r="R32" s="1">
        <v>0.51500000000000001</v>
      </c>
      <c r="S32" s="1">
        <v>13.7</v>
      </c>
      <c r="T32" s="1">
        <v>22.8</v>
      </c>
      <c r="U32" s="1">
        <v>0.17499999999999999</v>
      </c>
      <c r="V32" s="1">
        <v>0.54600000000000004</v>
      </c>
      <c r="W32" s="1">
        <v>16.3</v>
      </c>
      <c r="X32" s="1">
        <v>75.599999999999994</v>
      </c>
      <c r="Y32" s="1">
        <v>0.23899999999999999</v>
      </c>
      <c r="Z32" s="1" t="s">
        <v>138</v>
      </c>
      <c r="AA32" s="1" t="s">
        <v>2078</v>
      </c>
      <c r="AB32" s="1" t="s">
        <v>2079</v>
      </c>
    </row>
    <row r="33" spans="1:28" x14ac:dyDescent="0.25">
      <c r="A33" s="1" t="s">
        <v>130</v>
      </c>
      <c r="B33" s="1" t="s">
        <v>30</v>
      </c>
      <c r="C33" s="1">
        <v>25.9</v>
      </c>
      <c r="D33" s="1">
        <v>20</v>
      </c>
      <c r="E33" s="1">
        <v>45</v>
      </c>
      <c r="F33" s="1">
        <v>26</v>
      </c>
      <c r="G33" s="1">
        <v>39</v>
      </c>
      <c r="H33" s="1">
        <v>-3.34</v>
      </c>
      <c r="I33" s="1">
        <v>-0.73</v>
      </c>
      <c r="J33" s="1">
        <v>-4.07</v>
      </c>
      <c r="K33" s="1">
        <v>109</v>
      </c>
      <c r="L33" s="1">
        <v>112.4</v>
      </c>
      <c r="M33" s="1">
        <v>-3.4</v>
      </c>
      <c r="N33" s="1">
        <v>97.6</v>
      </c>
      <c r="O33" s="1">
        <v>0.26</v>
      </c>
      <c r="P33" s="1">
        <v>0.38100000000000001</v>
      </c>
      <c r="Q33" s="1">
        <v>0.56100000000000005</v>
      </c>
      <c r="R33" s="1">
        <v>0.52900000000000003</v>
      </c>
      <c r="S33" s="1">
        <v>13.9</v>
      </c>
      <c r="T33" s="1">
        <v>22.7</v>
      </c>
      <c r="U33" s="1">
        <v>0.19400000000000001</v>
      </c>
      <c r="V33" s="1">
        <v>0.54100000000000004</v>
      </c>
      <c r="W33" s="1">
        <v>12.7</v>
      </c>
      <c r="X33" s="1">
        <v>76.099999999999994</v>
      </c>
      <c r="Y33" s="1">
        <v>0.184</v>
      </c>
      <c r="Z33" s="1" t="s">
        <v>123</v>
      </c>
      <c r="AA33" s="1" t="s">
        <v>1928</v>
      </c>
      <c r="AB33" s="1" t="s">
        <v>1929</v>
      </c>
    </row>
    <row r="34" spans="1:28" x14ac:dyDescent="0.25">
      <c r="A34" s="1" t="s">
        <v>132</v>
      </c>
      <c r="B34" s="1" t="s">
        <v>40</v>
      </c>
      <c r="C34" s="1">
        <v>25.4</v>
      </c>
      <c r="D34" s="1">
        <v>24</v>
      </c>
      <c r="E34" s="1">
        <v>40</v>
      </c>
      <c r="F34" s="1">
        <v>24</v>
      </c>
      <c r="G34" s="1">
        <v>40</v>
      </c>
      <c r="H34" s="1">
        <v>-4.05</v>
      </c>
      <c r="I34" s="1">
        <v>-0.81</v>
      </c>
      <c r="J34" s="1">
        <v>-4.8600000000000003</v>
      </c>
      <c r="K34" s="1">
        <v>111.9</v>
      </c>
      <c r="L34" s="1">
        <v>115.8</v>
      </c>
      <c r="M34" s="1">
        <v>-3.9</v>
      </c>
      <c r="N34" s="1">
        <v>102.8</v>
      </c>
      <c r="O34" s="1">
        <v>0.27200000000000002</v>
      </c>
      <c r="P34" s="1">
        <v>0.36399999999999999</v>
      </c>
      <c r="Q34" s="1">
        <v>0.56799999999999995</v>
      </c>
      <c r="R34" s="1">
        <v>0.52800000000000002</v>
      </c>
      <c r="S34" s="1">
        <v>12.1</v>
      </c>
      <c r="T34" s="1">
        <v>22</v>
      </c>
      <c r="U34" s="1">
        <v>0.214</v>
      </c>
      <c r="V34" s="1">
        <v>0.56000000000000005</v>
      </c>
      <c r="W34" s="1">
        <v>14</v>
      </c>
      <c r="X34" s="1">
        <v>74.900000000000006</v>
      </c>
      <c r="Y34" s="1">
        <v>0.23</v>
      </c>
      <c r="Z34" s="1" t="s">
        <v>108</v>
      </c>
      <c r="AA34" s="1" t="s">
        <v>2080</v>
      </c>
      <c r="AB34" s="1" t="s">
        <v>2081</v>
      </c>
    </row>
    <row r="35" spans="1:28" x14ac:dyDescent="0.25">
      <c r="A35" s="1" t="s">
        <v>134</v>
      </c>
      <c r="B35" s="1" t="s">
        <v>35</v>
      </c>
      <c r="C35" s="1">
        <v>24.6</v>
      </c>
      <c r="D35" s="1">
        <v>20</v>
      </c>
      <c r="E35" s="1">
        <v>45</v>
      </c>
      <c r="F35" s="1">
        <v>19</v>
      </c>
      <c r="G35" s="1">
        <v>46</v>
      </c>
      <c r="H35" s="1">
        <v>-6.63</v>
      </c>
      <c r="I35" s="1">
        <v>0.01</v>
      </c>
      <c r="J35" s="1">
        <v>-6.63</v>
      </c>
      <c r="K35" s="1">
        <v>106.3</v>
      </c>
      <c r="L35" s="1">
        <v>113</v>
      </c>
      <c r="M35" s="1">
        <v>-6.7</v>
      </c>
      <c r="N35" s="1">
        <v>98.5</v>
      </c>
      <c r="O35" s="1">
        <v>0.26100000000000001</v>
      </c>
      <c r="P35" s="1">
        <v>0.318</v>
      </c>
      <c r="Q35" s="1">
        <v>0.52900000000000003</v>
      </c>
      <c r="R35" s="1">
        <v>0.499</v>
      </c>
      <c r="S35" s="1">
        <v>12.6</v>
      </c>
      <c r="T35" s="1">
        <v>26</v>
      </c>
      <c r="U35" s="1">
        <v>0.18099999999999999</v>
      </c>
      <c r="V35" s="1">
        <v>0.54100000000000004</v>
      </c>
      <c r="W35" s="1">
        <v>12.4</v>
      </c>
      <c r="X35" s="1">
        <v>78.400000000000006</v>
      </c>
      <c r="Y35" s="1">
        <v>0.224</v>
      </c>
      <c r="Z35" s="1" t="s">
        <v>133</v>
      </c>
      <c r="AA35" s="1" t="s">
        <v>1930</v>
      </c>
      <c r="AB35" s="1" t="s">
        <v>1931</v>
      </c>
    </row>
    <row r="36" spans="1:28" x14ac:dyDescent="0.25">
      <c r="A36" s="1" t="s">
        <v>135</v>
      </c>
      <c r="B36" s="1" t="s">
        <v>29</v>
      </c>
      <c r="C36" s="1">
        <v>24.4</v>
      </c>
      <c r="D36" s="1">
        <v>22</v>
      </c>
      <c r="E36" s="1">
        <v>42</v>
      </c>
      <c r="F36" s="1">
        <v>18</v>
      </c>
      <c r="G36" s="1">
        <v>46</v>
      </c>
      <c r="H36" s="1">
        <v>-7.03</v>
      </c>
      <c r="I36" s="1">
        <v>-0.17</v>
      </c>
      <c r="J36" s="1">
        <v>-7.2</v>
      </c>
      <c r="K36" s="1">
        <v>106.1</v>
      </c>
      <c r="L36" s="1">
        <v>113.4</v>
      </c>
      <c r="M36" s="1">
        <v>-7.3</v>
      </c>
      <c r="N36" s="1">
        <v>95.9</v>
      </c>
      <c r="O36" s="1">
        <v>0.251</v>
      </c>
      <c r="P36" s="1">
        <v>0.39900000000000002</v>
      </c>
      <c r="Q36" s="1">
        <v>0.53800000000000003</v>
      </c>
      <c r="R36" s="1">
        <v>0.504</v>
      </c>
      <c r="S36" s="1">
        <v>13.3</v>
      </c>
      <c r="T36" s="1">
        <v>23.7</v>
      </c>
      <c r="U36" s="1">
        <v>0.188</v>
      </c>
      <c r="V36" s="1">
        <v>0.54600000000000004</v>
      </c>
      <c r="W36" s="1">
        <v>13.1</v>
      </c>
      <c r="X36" s="1">
        <v>74.3</v>
      </c>
      <c r="Y36" s="1">
        <v>0.161</v>
      </c>
      <c r="Z36" s="1" t="s">
        <v>136</v>
      </c>
      <c r="AA36" s="1" t="s">
        <v>1932</v>
      </c>
      <c r="AB36" s="1" t="s">
        <v>1933</v>
      </c>
    </row>
    <row r="37" spans="1:28" x14ac:dyDescent="0.25">
      <c r="A37" s="1" t="s">
        <v>137</v>
      </c>
      <c r="B37" s="1" t="s">
        <v>52</v>
      </c>
      <c r="C37" s="1">
        <v>24.1</v>
      </c>
      <c r="D37" s="1">
        <v>20</v>
      </c>
      <c r="E37" s="1">
        <v>46</v>
      </c>
      <c r="F37" s="1">
        <v>18</v>
      </c>
      <c r="G37" s="1">
        <v>48</v>
      </c>
      <c r="H37" s="1">
        <v>-8.02</v>
      </c>
      <c r="I37" s="1">
        <v>0.5</v>
      </c>
      <c r="J37" s="1">
        <v>-7.51</v>
      </c>
      <c r="K37" s="1">
        <v>107</v>
      </c>
      <c r="L37" s="1">
        <v>114.7</v>
      </c>
      <c r="M37" s="1">
        <v>-7.7</v>
      </c>
      <c r="N37" s="1">
        <v>103</v>
      </c>
      <c r="O37" s="1">
        <v>0.25800000000000001</v>
      </c>
      <c r="P37" s="1">
        <v>0.39800000000000002</v>
      </c>
      <c r="Q37" s="1">
        <v>0.55400000000000005</v>
      </c>
      <c r="R37" s="1">
        <v>0.51500000000000001</v>
      </c>
      <c r="S37" s="1">
        <v>13.9</v>
      </c>
      <c r="T37" s="1">
        <v>21.5</v>
      </c>
      <c r="U37" s="1">
        <v>0.20399999999999999</v>
      </c>
      <c r="V37" s="1">
        <v>0.54200000000000004</v>
      </c>
      <c r="W37" s="1">
        <v>12.8</v>
      </c>
      <c r="X37" s="1">
        <v>74.8</v>
      </c>
      <c r="Y37" s="1">
        <v>0.23300000000000001</v>
      </c>
      <c r="Z37" s="1" t="s">
        <v>98</v>
      </c>
      <c r="AA37" s="1" t="s">
        <v>2012</v>
      </c>
      <c r="AB37" s="1" t="s">
        <v>2013</v>
      </c>
    </row>
    <row r="38" spans="1:28" x14ac:dyDescent="0.25">
      <c r="A38" s="1" t="s">
        <v>139</v>
      </c>
      <c r="B38" s="1" t="s">
        <v>49</v>
      </c>
      <c r="C38" s="1">
        <v>25</v>
      </c>
      <c r="D38" s="1">
        <v>19</v>
      </c>
      <c r="E38" s="1">
        <v>46</v>
      </c>
      <c r="F38" s="1">
        <v>18</v>
      </c>
      <c r="G38" s="1">
        <v>47</v>
      </c>
      <c r="H38" s="1">
        <v>-7.89</v>
      </c>
      <c r="I38" s="1">
        <v>0.32</v>
      </c>
      <c r="J38" s="1">
        <v>-7.57</v>
      </c>
      <c r="K38" s="1">
        <v>107.5</v>
      </c>
      <c r="L38" s="1">
        <v>115.4</v>
      </c>
      <c r="M38" s="1">
        <v>-7.9</v>
      </c>
      <c r="N38" s="1">
        <v>98.7</v>
      </c>
      <c r="O38" s="1">
        <v>0.22700000000000001</v>
      </c>
      <c r="P38" s="1">
        <v>0.36199999999999999</v>
      </c>
      <c r="Q38" s="1">
        <v>0.55300000000000005</v>
      </c>
      <c r="R38" s="1">
        <v>0.52200000000000002</v>
      </c>
      <c r="S38" s="1">
        <v>14.6</v>
      </c>
      <c r="T38" s="1">
        <v>24.6</v>
      </c>
      <c r="U38" s="1">
        <v>0.17199999999999999</v>
      </c>
      <c r="V38" s="1">
        <v>0.56000000000000005</v>
      </c>
      <c r="W38" s="1">
        <v>11.7</v>
      </c>
      <c r="X38" s="1">
        <v>77.400000000000006</v>
      </c>
      <c r="Y38" s="1">
        <v>0.16400000000000001</v>
      </c>
      <c r="Z38" s="1" t="s">
        <v>125</v>
      </c>
      <c r="AA38" s="1" t="s">
        <v>1934</v>
      </c>
      <c r="AB38" s="1" t="s">
        <v>1935</v>
      </c>
    </row>
    <row r="39" spans="1:28" x14ac:dyDescent="0.25">
      <c r="A39" s="1" t="s">
        <v>141</v>
      </c>
      <c r="B39" s="1" t="s">
        <v>44</v>
      </c>
      <c r="C39" s="1">
        <v>24.4</v>
      </c>
      <c r="D39" s="1">
        <v>15</v>
      </c>
      <c r="E39" s="1">
        <v>50</v>
      </c>
      <c r="F39" s="1">
        <v>16</v>
      </c>
      <c r="G39" s="1">
        <v>49</v>
      </c>
      <c r="H39" s="1">
        <v>-8.7100000000000009</v>
      </c>
      <c r="I39" s="1">
        <v>0.77</v>
      </c>
      <c r="J39" s="1">
        <v>-7.94</v>
      </c>
      <c r="K39" s="1">
        <v>105.2</v>
      </c>
      <c r="L39" s="1">
        <v>113.8</v>
      </c>
      <c r="M39" s="1">
        <v>-8.6</v>
      </c>
      <c r="N39" s="1">
        <v>100.3</v>
      </c>
      <c r="O39" s="1">
        <v>0.26400000000000001</v>
      </c>
      <c r="P39" s="1">
        <v>0.35499999999999998</v>
      </c>
      <c r="Q39" s="1">
        <v>0.54</v>
      </c>
      <c r="R39" s="1">
        <v>0.497</v>
      </c>
      <c r="S39" s="1">
        <v>13.2</v>
      </c>
      <c r="T39" s="1">
        <v>21.5</v>
      </c>
      <c r="U39" s="1">
        <v>0.21199999999999999</v>
      </c>
      <c r="V39" s="1">
        <v>0.55300000000000005</v>
      </c>
      <c r="W39" s="1">
        <v>13.7</v>
      </c>
      <c r="X39" s="1">
        <v>76.400000000000006</v>
      </c>
      <c r="Y39" s="1">
        <v>0.193</v>
      </c>
      <c r="Z39" s="1" t="s">
        <v>1565</v>
      </c>
      <c r="AA39" s="1" t="s">
        <v>2082</v>
      </c>
      <c r="AB39" s="1" t="s">
        <v>1522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25"/>
  <sheetViews>
    <sheetView workbookViewId="0">
      <selection sqref="A1:AD625"/>
    </sheetView>
  </sheetViews>
  <sheetFormatPr defaultRowHeight="15" x14ac:dyDescent="0.25"/>
  <cols>
    <col min="1" max="1" width="5.42578125" bestFit="1" customWidth="1"/>
    <col min="2" max="2" width="24.85546875" bestFit="1" customWidth="1"/>
    <col min="3" max="3" width="6.42578125" bestFit="1" customWidth="1"/>
    <col min="4" max="4" width="6.7109375" bestFit="1" customWidth="1"/>
    <col min="5" max="5" width="6" bestFit="1" customWidth="1"/>
    <col min="6" max="6" width="4.7109375" bestFit="1" customWidth="1"/>
    <col min="7" max="7" width="6.28515625" bestFit="1" customWidth="1"/>
    <col min="8" max="8" width="6.5703125" bestFit="1" customWidth="1"/>
    <col min="9" max="9" width="6.85546875" bestFit="1" customWidth="1"/>
    <col min="10" max="10" width="7.42578125" bestFit="1" customWidth="1"/>
    <col min="11" max="11" width="6" bestFit="1" customWidth="1"/>
    <col min="12" max="12" width="8.5703125" bestFit="1" customWidth="1"/>
    <col min="13" max="13" width="8.42578125" bestFit="1" customWidth="1"/>
    <col min="14" max="15" width="8.140625" bestFit="1" customWidth="1"/>
    <col min="16" max="16" width="7.7109375" bestFit="1" customWidth="1"/>
    <col min="17" max="17" width="8" bestFit="1" customWidth="1"/>
    <col min="18" max="18" width="8.5703125" bestFit="1" customWidth="1"/>
    <col min="19" max="19" width="8.7109375" bestFit="1" customWidth="1"/>
    <col min="20" max="20" width="11.140625" bestFit="1" customWidth="1"/>
    <col min="21" max="21" width="7.7109375" bestFit="1" customWidth="1"/>
    <col min="22" max="22" width="7.5703125" bestFit="1" customWidth="1"/>
    <col min="23" max="23" width="6.28515625" bestFit="1" customWidth="1"/>
    <col min="25" max="25" width="4.28515625" bestFit="1" customWidth="1"/>
    <col min="26" max="26" width="8.85546875" bestFit="1" customWidth="1"/>
    <col min="27" max="27" width="8.7109375" bestFit="1" customWidth="1"/>
    <col min="28" max="28" width="7.42578125" bestFit="1" customWidth="1"/>
    <col min="29" max="29" width="8.28515625" bestFit="1" customWidth="1"/>
    <col min="30" max="30" width="13.7109375" bestFit="1" customWidth="1"/>
  </cols>
  <sheetData>
    <row r="1" spans="1:30" x14ac:dyDescent="0.25">
      <c r="A1" s="1" t="s">
        <v>0</v>
      </c>
      <c r="B1" s="1" t="s">
        <v>266</v>
      </c>
      <c r="C1" s="1" t="s">
        <v>267</v>
      </c>
      <c r="D1" s="1" t="s">
        <v>55</v>
      </c>
      <c r="E1" s="1" t="s">
        <v>268</v>
      </c>
      <c r="F1" s="1" t="s">
        <v>2</v>
      </c>
      <c r="G1" s="1" t="s">
        <v>3</v>
      </c>
      <c r="H1" s="1" t="s">
        <v>269</v>
      </c>
      <c r="I1" s="1" t="s">
        <v>69</v>
      </c>
      <c r="J1" s="1" t="s">
        <v>68</v>
      </c>
      <c r="K1" s="1" t="s">
        <v>67</v>
      </c>
      <c r="L1" s="1" t="s">
        <v>270</v>
      </c>
      <c r="M1" s="1" t="s">
        <v>271</v>
      </c>
      <c r="N1" s="1" t="s">
        <v>272</v>
      </c>
      <c r="O1" s="1" t="s">
        <v>273</v>
      </c>
      <c r="P1" s="1" t="s">
        <v>274</v>
      </c>
      <c r="Q1" s="1" t="s">
        <v>275</v>
      </c>
      <c r="R1" s="1" t="s">
        <v>276</v>
      </c>
      <c r="S1" s="1" t="s">
        <v>277</v>
      </c>
      <c r="T1" s="1" t="s">
        <v>143</v>
      </c>
      <c r="U1" s="1" t="s">
        <v>278</v>
      </c>
      <c r="V1" s="1" t="s">
        <v>279</v>
      </c>
      <c r="W1" s="1" t="s">
        <v>280</v>
      </c>
      <c r="X1" s="1" t="s">
        <v>281</v>
      </c>
      <c r="Y1" s="1" t="s">
        <v>85</v>
      </c>
      <c r="Z1" s="1" t="s">
        <v>282</v>
      </c>
      <c r="AA1" s="1" t="s">
        <v>283</v>
      </c>
      <c r="AB1" s="1" t="s">
        <v>284</v>
      </c>
      <c r="AC1" s="1" t="s">
        <v>285</v>
      </c>
      <c r="AD1" t="s">
        <v>768</v>
      </c>
    </row>
    <row r="2" spans="1:30" x14ac:dyDescent="0.25">
      <c r="A2" s="1">
        <v>1</v>
      </c>
      <c r="B2" s="1" t="s">
        <v>286</v>
      </c>
      <c r="C2" s="1" t="s">
        <v>287</v>
      </c>
      <c r="D2" s="1">
        <v>26</v>
      </c>
      <c r="E2" s="1" t="s">
        <v>288</v>
      </c>
      <c r="F2" s="1">
        <v>58</v>
      </c>
      <c r="G2" s="1">
        <v>1564</v>
      </c>
      <c r="H2" s="1">
        <v>20.8</v>
      </c>
      <c r="I2" s="1">
        <v>0.60499999999999998</v>
      </c>
      <c r="J2" s="1">
        <v>7.0000000000000001E-3</v>
      </c>
      <c r="K2" s="1">
        <v>0.41299999999999998</v>
      </c>
      <c r="L2" s="1">
        <v>14.4</v>
      </c>
      <c r="M2" s="1">
        <v>23.8</v>
      </c>
      <c r="N2" s="1">
        <v>19.3</v>
      </c>
      <c r="O2" s="1">
        <v>13.5</v>
      </c>
      <c r="P2" s="1">
        <v>1.6</v>
      </c>
      <c r="Q2" s="1">
        <v>3.5</v>
      </c>
      <c r="R2" s="1">
        <v>14.1</v>
      </c>
      <c r="S2" s="1">
        <v>17.2</v>
      </c>
      <c r="T2" s="1"/>
      <c r="U2" s="1">
        <v>3.7</v>
      </c>
      <c r="V2" s="1">
        <v>2.5</v>
      </c>
      <c r="W2" s="1">
        <v>6.2</v>
      </c>
      <c r="X2" s="1">
        <v>0.19</v>
      </c>
      <c r="Y2" s="1"/>
      <c r="Z2" s="1">
        <v>2.1</v>
      </c>
      <c r="AA2" s="1">
        <v>1.1000000000000001</v>
      </c>
      <c r="AB2" s="1">
        <v>3.2</v>
      </c>
      <c r="AC2" s="1">
        <v>2</v>
      </c>
      <c r="AD2">
        <f>Advanced_Table[[#This Row],[VORP]]*82/Advanced_Table[[#This Row],[G]]</f>
        <v>2.8275862068965516</v>
      </c>
    </row>
    <row r="3" spans="1:30" x14ac:dyDescent="0.25">
      <c r="A3" s="1">
        <v>2</v>
      </c>
      <c r="B3" s="1" t="s">
        <v>289</v>
      </c>
      <c r="C3" s="1" t="s">
        <v>23</v>
      </c>
      <c r="D3" s="1">
        <v>22</v>
      </c>
      <c r="E3" s="1" t="s">
        <v>290</v>
      </c>
      <c r="F3" s="1">
        <v>64</v>
      </c>
      <c r="G3" s="1">
        <v>2200</v>
      </c>
      <c r="H3" s="1">
        <v>20.5</v>
      </c>
      <c r="I3" s="1">
        <v>0.60399999999999998</v>
      </c>
      <c r="J3" s="1">
        <v>1.7999999999999999E-2</v>
      </c>
      <c r="K3" s="1">
        <v>0.48299999999999998</v>
      </c>
      <c r="L3" s="1">
        <v>8.6</v>
      </c>
      <c r="M3" s="1">
        <v>25.1</v>
      </c>
      <c r="N3" s="1">
        <v>17.3</v>
      </c>
      <c r="O3" s="1">
        <v>23.2</v>
      </c>
      <c r="P3" s="1">
        <v>1.7</v>
      </c>
      <c r="Q3" s="1">
        <v>3.8</v>
      </c>
      <c r="R3" s="1">
        <v>17.600000000000001</v>
      </c>
      <c r="S3" s="1">
        <v>20.7</v>
      </c>
      <c r="T3" s="1"/>
      <c r="U3" s="1">
        <v>4.4000000000000004</v>
      </c>
      <c r="V3" s="1">
        <v>3.6</v>
      </c>
      <c r="W3" s="1">
        <v>8</v>
      </c>
      <c r="X3" s="1">
        <v>0.17499999999999999</v>
      </c>
      <c r="Y3" s="1"/>
      <c r="Z3" s="1">
        <v>1.6</v>
      </c>
      <c r="AA3" s="1">
        <v>2</v>
      </c>
      <c r="AB3" s="1">
        <v>3.6</v>
      </c>
      <c r="AC3" s="1">
        <v>3.1</v>
      </c>
      <c r="AD3">
        <f>Advanced_Table[[#This Row],[VORP]]*82/Advanced_Table[[#This Row],[G]]</f>
        <v>3.9718750000000003</v>
      </c>
    </row>
    <row r="4" spans="1:30" x14ac:dyDescent="0.25">
      <c r="A4" s="1">
        <v>3</v>
      </c>
      <c r="B4" s="1" t="s">
        <v>291</v>
      </c>
      <c r="C4" s="1" t="s">
        <v>287</v>
      </c>
      <c r="D4" s="1">
        <v>34</v>
      </c>
      <c r="E4" s="1" t="s">
        <v>292</v>
      </c>
      <c r="F4" s="1">
        <v>53</v>
      </c>
      <c r="G4" s="1">
        <v>1754</v>
      </c>
      <c r="H4" s="1">
        <v>19.8</v>
      </c>
      <c r="I4" s="1">
        <v>0.57099999999999995</v>
      </c>
      <c r="J4" s="1">
        <v>0.19800000000000001</v>
      </c>
      <c r="K4" s="1">
        <v>0.24099999999999999</v>
      </c>
      <c r="L4" s="1">
        <v>6.3</v>
      </c>
      <c r="M4" s="1">
        <v>17.8</v>
      </c>
      <c r="N4" s="1">
        <v>12</v>
      </c>
      <c r="O4" s="1">
        <v>11.4</v>
      </c>
      <c r="P4" s="1">
        <v>1</v>
      </c>
      <c r="Q4" s="1">
        <v>4.4000000000000004</v>
      </c>
      <c r="R4" s="1">
        <v>7.8</v>
      </c>
      <c r="S4" s="1">
        <v>23.6</v>
      </c>
      <c r="T4" s="1"/>
      <c r="U4" s="1">
        <v>3.1</v>
      </c>
      <c r="V4" s="1">
        <v>1.4</v>
      </c>
      <c r="W4" s="1">
        <v>4.4000000000000004</v>
      </c>
      <c r="X4" s="1">
        <v>0.122</v>
      </c>
      <c r="Y4" s="1"/>
      <c r="Z4" s="1">
        <v>1.9</v>
      </c>
      <c r="AA4" s="1">
        <v>-0.5</v>
      </c>
      <c r="AB4" s="1">
        <v>1.3</v>
      </c>
      <c r="AC4" s="1">
        <v>1.5</v>
      </c>
      <c r="AD4">
        <f>Advanced_Table[[#This Row],[VORP]]*82/Advanced_Table[[#This Row],[G]]</f>
        <v>2.3207547169811322</v>
      </c>
    </row>
    <row r="5" spans="1:30" x14ac:dyDescent="0.25">
      <c r="A5" s="1">
        <v>4</v>
      </c>
      <c r="B5" s="1" t="s">
        <v>293</v>
      </c>
      <c r="C5" s="1" t="s">
        <v>294</v>
      </c>
      <c r="D5" s="1">
        <v>21</v>
      </c>
      <c r="E5" s="1" t="s">
        <v>295</v>
      </c>
      <c r="F5" s="1">
        <v>41</v>
      </c>
      <c r="G5" s="1">
        <v>501</v>
      </c>
      <c r="H5" s="1">
        <v>7.6</v>
      </c>
      <c r="I5" s="1">
        <v>0.441</v>
      </c>
      <c r="J5" s="1">
        <v>0.51500000000000001</v>
      </c>
      <c r="K5" s="1">
        <v>0.123</v>
      </c>
      <c r="L5" s="1">
        <v>1.7</v>
      </c>
      <c r="M5" s="1">
        <v>15.2</v>
      </c>
      <c r="N5" s="1">
        <v>8.4</v>
      </c>
      <c r="O5" s="1">
        <v>20.3</v>
      </c>
      <c r="P5" s="1">
        <v>1</v>
      </c>
      <c r="Q5" s="1">
        <v>1.2</v>
      </c>
      <c r="R5" s="1">
        <v>14.3</v>
      </c>
      <c r="S5" s="1">
        <v>22.8</v>
      </c>
      <c r="T5" s="1"/>
      <c r="U5" s="1">
        <v>-0.7</v>
      </c>
      <c r="V5" s="1">
        <v>0.4</v>
      </c>
      <c r="W5" s="1">
        <v>-0.4</v>
      </c>
      <c r="X5" s="1">
        <v>-3.4000000000000002E-2</v>
      </c>
      <c r="Y5" s="1"/>
      <c r="Z5" s="1">
        <v>-3.4</v>
      </c>
      <c r="AA5" s="1">
        <v>-1.5</v>
      </c>
      <c r="AB5" s="1">
        <v>-4.9000000000000004</v>
      </c>
      <c r="AC5" s="1">
        <v>-0.4</v>
      </c>
      <c r="AD5">
        <f>Advanced_Table[[#This Row],[VORP]]*82/Advanced_Table[[#This Row],[G]]</f>
        <v>-0.80000000000000016</v>
      </c>
    </row>
    <row r="6" spans="1:30" x14ac:dyDescent="0.25">
      <c r="A6" s="1">
        <v>5</v>
      </c>
      <c r="B6" s="1" t="s">
        <v>296</v>
      </c>
      <c r="C6" s="1" t="s">
        <v>294</v>
      </c>
      <c r="D6" s="1">
        <v>24</v>
      </c>
      <c r="E6" s="1" t="s">
        <v>297</v>
      </c>
      <c r="F6" s="1">
        <v>30</v>
      </c>
      <c r="G6" s="1">
        <v>498</v>
      </c>
      <c r="H6" s="1">
        <v>11.4</v>
      </c>
      <c r="I6" s="1">
        <v>0.57699999999999996</v>
      </c>
      <c r="J6" s="1">
        <v>0.51700000000000002</v>
      </c>
      <c r="K6" s="1">
        <v>0.19900000000000001</v>
      </c>
      <c r="L6" s="1">
        <v>1.1000000000000001</v>
      </c>
      <c r="M6" s="1">
        <v>12.6</v>
      </c>
      <c r="N6" s="1">
        <v>7</v>
      </c>
      <c r="O6" s="1">
        <v>11.8</v>
      </c>
      <c r="P6" s="1">
        <v>0.6</v>
      </c>
      <c r="Q6" s="1">
        <v>0.2</v>
      </c>
      <c r="R6" s="1">
        <v>10.7</v>
      </c>
      <c r="S6" s="1">
        <v>17.899999999999999</v>
      </c>
      <c r="T6" s="1"/>
      <c r="U6" s="1">
        <v>0.5</v>
      </c>
      <c r="V6" s="1">
        <v>0.3</v>
      </c>
      <c r="W6" s="1">
        <v>0.7</v>
      </c>
      <c r="X6" s="1">
        <v>7.0000000000000007E-2</v>
      </c>
      <c r="Y6" s="1"/>
      <c r="Z6" s="1">
        <v>-1</v>
      </c>
      <c r="AA6" s="1">
        <v>-1.7</v>
      </c>
      <c r="AB6" s="1">
        <v>-2.6</v>
      </c>
      <c r="AC6" s="1">
        <v>-0.1</v>
      </c>
      <c r="AD6">
        <f>Advanced_Table[[#This Row],[VORP]]*82/Advanced_Table[[#This Row],[G]]</f>
        <v>-0.27333333333333337</v>
      </c>
    </row>
    <row r="7" spans="1:30" x14ac:dyDescent="0.25">
      <c r="A7" s="1">
        <v>6</v>
      </c>
      <c r="B7" s="1" t="s">
        <v>298</v>
      </c>
      <c r="C7" s="1" t="s">
        <v>287</v>
      </c>
      <c r="D7" s="1">
        <v>21</v>
      </c>
      <c r="E7" s="1" t="s">
        <v>299</v>
      </c>
      <c r="F7" s="1">
        <v>64</v>
      </c>
      <c r="G7" s="1">
        <v>1647</v>
      </c>
      <c r="H7" s="1">
        <v>20.3</v>
      </c>
      <c r="I7" s="1">
        <v>0.65800000000000003</v>
      </c>
      <c r="J7" s="1">
        <v>1.2E-2</v>
      </c>
      <c r="K7" s="1">
        <v>0.57399999999999995</v>
      </c>
      <c r="L7" s="1">
        <v>12.5</v>
      </c>
      <c r="M7" s="1">
        <v>25</v>
      </c>
      <c r="N7" s="1">
        <v>18.899999999999999</v>
      </c>
      <c r="O7" s="1">
        <v>7.8</v>
      </c>
      <c r="P7" s="1">
        <v>1.1000000000000001</v>
      </c>
      <c r="Q7" s="1">
        <v>4.3</v>
      </c>
      <c r="R7" s="1">
        <v>12.2</v>
      </c>
      <c r="S7" s="1">
        <v>15</v>
      </c>
      <c r="T7" s="1"/>
      <c r="U7" s="1">
        <v>4.3</v>
      </c>
      <c r="V7" s="1">
        <v>2.8</v>
      </c>
      <c r="W7" s="1">
        <v>7.1</v>
      </c>
      <c r="X7" s="1">
        <v>0.20699999999999999</v>
      </c>
      <c r="Y7" s="1"/>
      <c r="Z7" s="1">
        <v>1.1000000000000001</v>
      </c>
      <c r="AA7" s="1">
        <v>1</v>
      </c>
      <c r="AB7" s="1">
        <v>2.1</v>
      </c>
      <c r="AC7" s="1">
        <v>1.7</v>
      </c>
      <c r="AD7">
        <f>Advanced_Table[[#This Row],[VORP]]*82/Advanced_Table[[#This Row],[G]]</f>
        <v>2.1781250000000001</v>
      </c>
    </row>
    <row r="8" spans="1:30" x14ac:dyDescent="0.25">
      <c r="A8" s="1">
        <v>7</v>
      </c>
      <c r="B8" s="1" t="s">
        <v>800</v>
      </c>
      <c r="C8" s="1" t="s">
        <v>294</v>
      </c>
      <c r="D8" s="1">
        <v>27</v>
      </c>
      <c r="E8" s="1" t="s">
        <v>332</v>
      </c>
      <c r="F8" s="1">
        <v>10</v>
      </c>
      <c r="G8" s="1">
        <v>117</v>
      </c>
      <c r="H8" s="1">
        <v>14</v>
      </c>
      <c r="I8" s="1">
        <v>0.51200000000000001</v>
      </c>
      <c r="J8" s="1">
        <v>0.36399999999999999</v>
      </c>
      <c r="K8" s="1">
        <v>0.25</v>
      </c>
      <c r="L8" s="1">
        <v>1.8</v>
      </c>
      <c r="M8" s="1">
        <v>6.6</v>
      </c>
      <c r="N8" s="1">
        <v>4.0999999999999996</v>
      </c>
      <c r="O8" s="1">
        <v>27.1</v>
      </c>
      <c r="P8" s="1">
        <v>2.1</v>
      </c>
      <c r="Q8" s="1">
        <v>1.6</v>
      </c>
      <c r="R8" s="1">
        <v>14.1</v>
      </c>
      <c r="S8" s="1">
        <v>20.6</v>
      </c>
      <c r="T8" s="1"/>
      <c r="U8" s="1">
        <v>0.1</v>
      </c>
      <c r="V8" s="1">
        <v>0.1</v>
      </c>
      <c r="W8" s="1">
        <v>0.1</v>
      </c>
      <c r="X8" s="1">
        <v>5.2999999999999999E-2</v>
      </c>
      <c r="Y8" s="1"/>
      <c r="Z8" s="1">
        <v>-0.1</v>
      </c>
      <c r="AA8" s="1">
        <v>-0.6</v>
      </c>
      <c r="AB8" s="1">
        <v>-0.7</v>
      </c>
      <c r="AC8" s="1">
        <v>0</v>
      </c>
      <c r="AD8">
        <f>Advanced_Table[[#This Row],[VORP]]*82/Advanced_Table[[#This Row],[G]]</f>
        <v>0</v>
      </c>
    </row>
    <row r="9" spans="1:30" x14ac:dyDescent="0.25">
      <c r="A9" s="1">
        <v>8</v>
      </c>
      <c r="B9" s="1" t="s">
        <v>300</v>
      </c>
      <c r="C9" s="1" t="s">
        <v>23</v>
      </c>
      <c r="D9" s="1">
        <v>29</v>
      </c>
      <c r="E9" s="1" t="s">
        <v>301</v>
      </c>
      <c r="F9" s="1">
        <v>18</v>
      </c>
      <c r="G9" s="1">
        <v>380</v>
      </c>
      <c r="H9" s="1">
        <v>7.6</v>
      </c>
      <c r="I9" s="1">
        <v>0.39500000000000002</v>
      </c>
      <c r="J9" s="1">
        <v>0.41899999999999998</v>
      </c>
      <c r="K9" s="1">
        <v>0.33700000000000002</v>
      </c>
      <c r="L9" s="1">
        <v>6.6</v>
      </c>
      <c r="M9" s="1">
        <v>18.399999999999999</v>
      </c>
      <c r="N9" s="1">
        <v>12.3</v>
      </c>
      <c r="O9" s="1">
        <v>7.4</v>
      </c>
      <c r="P9" s="1">
        <v>2.2999999999999998</v>
      </c>
      <c r="Q9" s="1">
        <v>1.9</v>
      </c>
      <c r="R9" s="1">
        <v>14.7</v>
      </c>
      <c r="S9" s="1">
        <v>13.2</v>
      </c>
      <c r="T9" s="1"/>
      <c r="U9" s="1">
        <v>-0.4</v>
      </c>
      <c r="V9" s="1">
        <v>0.5</v>
      </c>
      <c r="W9" s="1">
        <v>0.1</v>
      </c>
      <c r="X9" s="1">
        <v>1.4999999999999999E-2</v>
      </c>
      <c r="Y9" s="1"/>
      <c r="Z9" s="1">
        <v>-4.5999999999999996</v>
      </c>
      <c r="AA9" s="1">
        <v>1.4</v>
      </c>
      <c r="AB9" s="1">
        <v>-3.2</v>
      </c>
      <c r="AC9" s="1">
        <v>-0.1</v>
      </c>
      <c r="AD9">
        <f>Advanced_Table[[#This Row],[VORP]]*82/Advanced_Table[[#This Row],[G]]</f>
        <v>-0.4555555555555556</v>
      </c>
    </row>
    <row r="10" spans="1:30" x14ac:dyDescent="0.25">
      <c r="A10" s="1">
        <v>9</v>
      </c>
      <c r="B10" s="1" t="s">
        <v>1048</v>
      </c>
      <c r="C10" s="1" t="s">
        <v>303</v>
      </c>
      <c r="D10" s="1">
        <v>26</v>
      </c>
      <c r="E10" s="1" t="s">
        <v>299</v>
      </c>
      <c r="F10" s="1">
        <v>3</v>
      </c>
      <c r="G10" s="1">
        <v>17</v>
      </c>
      <c r="H10" s="1">
        <v>-3.8</v>
      </c>
      <c r="I10" s="1">
        <v>0.218</v>
      </c>
      <c r="J10" s="1">
        <v>0.5</v>
      </c>
      <c r="K10" s="1">
        <v>0.33300000000000002</v>
      </c>
      <c r="L10" s="1">
        <v>0</v>
      </c>
      <c r="M10" s="1">
        <v>11.8</v>
      </c>
      <c r="N10" s="1">
        <v>6.1</v>
      </c>
      <c r="O10" s="1">
        <v>0</v>
      </c>
      <c r="P10" s="1">
        <v>0</v>
      </c>
      <c r="Q10" s="1">
        <v>4.9000000000000004</v>
      </c>
      <c r="R10" s="1">
        <v>0</v>
      </c>
      <c r="S10" s="1">
        <v>16.899999999999999</v>
      </c>
      <c r="T10" s="1"/>
      <c r="U10" s="1">
        <v>-0.1</v>
      </c>
      <c r="V10" s="1">
        <v>0</v>
      </c>
      <c r="W10" s="1">
        <v>-0.1</v>
      </c>
      <c r="X10" s="1">
        <v>-0.16700000000000001</v>
      </c>
      <c r="Y10" s="1"/>
      <c r="Z10" s="1">
        <v>-12.7</v>
      </c>
      <c r="AA10" s="1">
        <v>-2.2999999999999998</v>
      </c>
      <c r="AB10" s="1">
        <v>-15</v>
      </c>
      <c r="AC10" s="1">
        <v>-0.1</v>
      </c>
      <c r="AD10">
        <f>Advanced_Table[[#This Row],[VORP]]*82/Advanced_Table[[#This Row],[G]]</f>
        <v>-2.7333333333333338</v>
      </c>
    </row>
    <row r="11" spans="1:30" x14ac:dyDescent="0.25">
      <c r="A11" s="1">
        <v>10</v>
      </c>
      <c r="B11" s="1" t="s">
        <v>302</v>
      </c>
      <c r="C11" s="1" t="s">
        <v>23</v>
      </c>
      <c r="D11" s="1">
        <v>26</v>
      </c>
      <c r="E11" s="1" t="s">
        <v>297</v>
      </c>
      <c r="F11" s="1">
        <v>59</v>
      </c>
      <c r="G11" s="1">
        <v>1140</v>
      </c>
      <c r="H11" s="1">
        <v>13</v>
      </c>
      <c r="I11" s="1">
        <v>0.54200000000000004</v>
      </c>
      <c r="J11" s="1">
        <v>0.221</v>
      </c>
      <c r="K11" s="1">
        <v>0.23599999999999999</v>
      </c>
      <c r="L11" s="1">
        <v>5.0999999999999996</v>
      </c>
      <c r="M11" s="1">
        <v>18.3</v>
      </c>
      <c r="N11" s="1">
        <v>11.8</v>
      </c>
      <c r="O11" s="1">
        <v>15.1</v>
      </c>
      <c r="P11" s="1">
        <v>1.9</v>
      </c>
      <c r="Q11" s="1">
        <v>2.4</v>
      </c>
      <c r="R11" s="1">
        <v>15.1</v>
      </c>
      <c r="S11" s="1">
        <v>13.3</v>
      </c>
      <c r="T11" s="1"/>
      <c r="U11" s="1">
        <v>0.9</v>
      </c>
      <c r="V11" s="1">
        <v>1.4</v>
      </c>
      <c r="W11" s="1">
        <v>2.2000000000000002</v>
      </c>
      <c r="X11" s="1">
        <v>9.4E-2</v>
      </c>
      <c r="Y11" s="1"/>
      <c r="Z11" s="1">
        <v>-1.3</v>
      </c>
      <c r="AA11" s="1">
        <v>1.7</v>
      </c>
      <c r="AB11" s="1">
        <v>0.4</v>
      </c>
      <c r="AC11" s="1">
        <v>0.7</v>
      </c>
      <c r="AD11">
        <f>Advanced_Table[[#This Row],[VORP]]*82/Advanced_Table[[#This Row],[G]]</f>
        <v>0.97288135593220337</v>
      </c>
    </row>
    <row r="12" spans="1:30" x14ac:dyDescent="0.25">
      <c r="A12" s="1">
        <v>11</v>
      </c>
      <c r="B12" s="1" t="s">
        <v>304</v>
      </c>
      <c r="C12" s="1" t="s">
        <v>23</v>
      </c>
      <c r="D12" s="1">
        <v>31</v>
      </c>
      <c r="E12" s="1" t="s">
        <v>305</v>
      </c>
      <c r="F12" s="1">
        <v>2</v>
      </c>
      <c r="G12" s="1">
        <v>14</v>
      </c>
      <c r="H12" s="1">
        <v>9.5</v>
      </c>
      <c r="I12" s="1">
        <v>0.35699999999999998</v>
      </c>
      <c r="J12" s="1">
        <v>0.71399999999999997</v>
      </c>
      <c r="K12" s="1">
        <v>0</v>
      </c>
      <c r="L12" s="1">
        <v>0</v>
      </c>
      <c r="M12" s="1">
        <v>52.8</v>
      </c>
      <c r="N12" s="1">
        <v>26.2</v>
      </c>
      <c r="O12" s="1">
        <v>20.100000000000001</v>
      </c>
      <c r="P12" s="1">
        <v>3.3</v>
      </c>
      <c r="Q12" s="1">
        <v>0</v>
      </c>
      <c r="R12" s="1">
        <v>12.5</v>
      </c>
      <c r="S12" s="1">
        <v>23.6</v>
      </c>
      <c r="T12" s="1"/>
      <c r="U12" s="1">
        <v>0</v>
      </c>
      <c r="V12" s="1">
        <v>0</v>
      </c>
      <c r="W12" s="1">
        <v>0</v>
      </c>
      <c r="X12" s="1">
        <v>-3.1E-2</v>
      </c>
      <c r="Y12" s="1"/>
      <c r="Z12" s="1">
        <v>-4</v>
      </c>
      <c r="AA12" s="1">
        <v>0.7</v>
      </c>
      <c r="AB12" s="1">
        <v>-3.3</v>
      </c>
      <c r="AC12" s="1">
        <v>0</v>
      </c>
      <c r="AD12">
        <f>Advanced_Table[[#This Row],[VORP]]*82/Advanced_Table[[#This Row],[G]]</f>
        <v>0</v>
      </c>
    </row>
    <row r="13" spans="1:30" x14ac:dyDescent="0.25">
      <c r="A13" s="1">
        <v>12</v>
      </c>
      <c r="B13" s="1" t="s">
        <v>306</v>
      </c>
      <c r="C13" s="1" t="s">
        <v>23</v>
      </c>
      <c r="D13" s="1">
        <v>25</v>
      </c>
      <c r="E13" s="1" t="s">
        <v>307</v>
      </c>
      <c r="F13" s="1">
        <v>57</v>
      </c>
      <c r="G13" s="1">
        <v>1763</v>
      </c>
      <c r="H13" s="1">
        <v>31.6</v>
      </c>
      <c r="I13" s="1">
        <v>0.60799999999999998</v>
      </c>
      <c r="J13" s="1">
        <v>0.23799999999999999</v>
      </c>
      <c r="K13" s="1">
        <v>0.5</v>
      </c>
      <c r="L13" s="1">
        <v>7.8</v>
      </c>
      <c r="M13" s="1">
        <v>34.5</v>
      </c>
      <c r="N13" s="1">
        <v>22</v>
      </c>
      <c r="O13" s="1">
        <v>33.9</v>
      </c>
      <c r="P13" s="1">
        <v>1.5</v>
      </c>
      <c r="Q13" s="1">
        <v>2.9</v>
      </c>
      <c r="R13" s="1">
        <v>13.1</v>
      </c>
      <c r="S13" s="1">
        <v>37.4</v>
      </c>
      <c r="T13" s="1"/>
      <c r="U13" s="1">
        <v>5.6</v>
      </c>
      <c r="V13" s="1">
        <v>4.8</v>
      </c>
      <c r="W13" s="1">
        <v>10.4</v>
      </c>
      <c r="X13" s="1">
        <v>0.28199999999999997</v>
      </c>
      <c r="Y13" s="1"/>
      <c r="Z13" s="1">
        <v>7.5</v>
      </c>
      <c r="AA13" s="1">
        <v>4</v>
      </c>
      <c r="AB13" s="1">
        <v>11.5</v>
      </c>
      <c r="AC13" s="1">
        <v>6</v>
      </c>
      <c r="AD13">
        <f>Advanced_Table[[#This Row],[VORP]]*82/Advanced_Table[[#This Row],[G]]</f>
        <v>8.6315789473684212</v>
      </c>
    </row>
    <row r="14" spans="1:30" x14ac:dyDescent="0.25">
      <c r="A14" s="1">
        <v>13</v>
      </c>
      <c r="B14" s="1" t="s">
        <v>308</v>
      </c>
      <c r="C14" s="1" t="s">
        <v>23</v>
      </c>
      <c r="D14" s="1">
        <v>22</v>
      </c>
      <c r="E14" s="1" t="s">
        <v>309</v>
      </c>
      <c r="F14" s="1">
        <v>3</v>
      </c>
      <c r="G14" s="1">
        <v>5</v>
      </c>
      <c r="H14" s="1">
        <v>8.6</v>
      </c>
      <c r="I14" s="1"/>
      <c r="J14" s="1"/>
      <c r="K14" s="1"/>
      <c r="L14" s="1">
        <v>0</v>
      </c>
      <c r="M14" s="1">
        <v>21.3</v>
      </c>
      <c r="N14" s="1">
        <v>10.9</v>
      </c>
      <c r="O14" s="1">
        <v>22.4</v>
      </c>
      <c r="P14" s="1">
        <v>0</v>
      </c>
      <c r="Q14" s="1">
        <v>0</v>
      </c>
      <c r="R14" s="1"/>
      <c r="S14" s="1">
        <v>0</v>
      </c>
      <c r="T14" s="1"/>
      <c r="U14" s="1">
        <v>0</v>
      </c>
      <c r="V14" s="1">
        <v>0</v>
      </c>
      <c r="W14" s="1">
        <v>0</v>
      </c>
      <c r="X14" s="1">
        <v>0.13600000000000001</v>
      </c>
      <c r="Y14" s="1"/>
      <c r="Z14" s="1">
        <v>1.3</v>
      </c>
      <c r="AA14" s="1">
        <v>3</v>
      </c>
      <c r="AB14" s="1">
        <v>4.3</v>
      </c>
      <c r="AC14" s="1">
        <v>0</v>
      </c>
      <c r="AD14">
        <f>Advanced_Table[[#This Row],[VORP]]*82/Advanced_Table[[#This Row],[G]]</f>
        <v>0</v>
      </c>
    </row>
    <row r="15" spans="1:30" x14ac:dyDescent="0.25">
      <c r="A15" s="1">
        <v>14</v>
      </c>
      <c r="B15" s="1" t="s">
        <v>310</v>
      </c>
      <c r="C15" s="1" t="s">
        <v>303</v>
      </c>
      <c r="D15" s="1">
        <v>27</v>
      </c>
      <c r="E15" s="1" t="s">
        <v>307</v>
      </c>
      <c r="F15" s="1">
        <v>18</v>
      </c>
      <c r="G15" s="1">
        <v>93</v>
      </c>
      <c r="H15" s="1">
        <v>14.2</v>
      </c>
      <c r="I15" s="1">
        <v>0.52800000000000002</v>
      </c>
      <c r="J15" s="1">
        <v>0.19400000000000001</v>
      </c>
      <c r="K15" s="1">
        <v>0.41699999999999998</v>
      </c>
      <c r="L15" s="1">
        <v>12.4</v>
      </c>
      <c r="M15" s="1">
        <v>8</v>
      </c>
      <c r="N15" s="1">
        <v>10.1</v>
      </c>
      <c r="O15" s="1">
        <v>13.8</v>
      </c>
      <c r="P15" s="1">
        <v>2.9</v>
      </c>
      <c r="Q15" s="1">
        <v>1.9</v>
      </c>
      <c r="R15" s="1">
        <v>20.5</v>
      </c>
      <c r="S15" s="1">
        <v>23.8</v>
      </c>
      <c r="T15" s="1"/>
      <c r="U15" s="1">
        <v>0</v>
      </c>
      <c r="V15" s="1">
        <v>0.2</v>
      </c>
      <c r="W15" s="1">
        <v>0.2</v>
      </c>
      <c r="X15" s="1">
        <v>8.3000000000000004E-2</v>
      </c>
      <c r="Y15" s="1"/>
      <c r="Z15" s="1">
        <v>-3.9</v>
      </c>
      <c r="AA15" s="1">
        <v>1.6</v>
      </c>
      <c r="AB15" s="1">
        <v>-2.4</v>
      </c>
      <c r="AC15" s="1">
        <v>0</v>
      </c>
      <c r="AD15">
        <f>Advanced_Table[[#This Row],[VORP]]*82/Advanced_Table[[#This Row],[G]]</f>
        <v>0</v>
      </c>
    </row>
    <row r="16" spans="1:30" x14ac:dyDescent="0.25">
      <c r="A16" s="1">
        <v>15</v>
      </c>
      <c r="B16" s="1" t="s">
        <v>311</v>
      </c>
      <c r="C16" s="1" t="s">
        <v>23</v>
      </c>
      <c r="D16" s="1">
        <v>35</v>
      </c>
      <c r="E16" s="1" t="s">
        <v>312</v>
      </c>
      <c r="F16" s="1">
        <v>50</v>
      </c>
      <c r="G16" s="1">
        <v>1623</v>
      </c>
      <c r="H16" s="1">
        <v>12.2</v>
      </c>
      <c r="I16" s="1">
        <v>0.51700000000000002</v>
      </c>
      <c r="J16" s="1">
        <v>0.28599999999999998</v>
      </c>
      <c r="K16" s="1">
        <v>0.19700000000000001</v>
      </c>
      <c r="L16" s="1">
        <v>4</v>
      </c>
      <c r="M16" s="1">
        <v>15.8</v>
      </c>
      <c r="N16" s="1">
        <v>10</v>
      </c>
      <c r="O16" s="1">
        <v>7</v>
      </c>
      <c r="P16" s="1">
        <v>1.2</v>
      </c>
      <c r="Q16" s="1">
        <v>1.2</v>
      </c>
      <c r="R16" s="1">
        <v>10.5</v>
      </c>
      <c r="S16" s="1">
        <v>21.6</v>
      </c>
      <c r="T16" s="1"/>
      <c r="U16" s="1">
        <v>0.1</v>
      </c>
      <c r="V16" s="1">
        <v>0.9</v>
      </c>
      <c r="W16" s="1">
        <v>1</v>
      </c>
      <c r="X16" s="1">
        <v>2.9000000000000001E-2</v>
      </c>
      <c r="Y16" s="1"/>
      <c r="Z16" s="1">
        <v>-1.9</v>
      </c>
      <c r="AA16" s="1">
        <v>-1.8</v>
      </c>
      <c r="AB16" s="1">
        <v>-3.7</v>
      </c>
      <c r="AC16" s="1">
        <v>-0.7</v>
      </c>
      <c r="AD16">
        <f>Advanced_Table[[#This Row],[VORP]]*82/Advanced_Table[[#This Row],[G]]</f>
        <v>-1.1479999999999999</v>
      </c>
    </row>
    <row r="17" spans="1:30" x14ac:dyDescent="0.25">
      <c r="A17" s="1">
        <v>16</v>
      </c>
      <c r="B17" s="1" t="s">
        <v>313</v>
      </c>
      <c r="C17" s="1" t="s">
        <v>303</v>
      </c>
      <c r="D17" s="1">
        <v>22</v>
      </c>
      <c r="E17" s="1" t="s">
        <v>314</v>
      </c>
      <c r="F17" s="1">
        <v>63</v>
      </c>
      <c r="G17" s="1">
        <v>1897</v>
      </c>
      <c r="H17" s="1">
        <v>13.2</v>
      </c>
      <c r="I17" s="1">
        <v>0.59799999999999998</v>
      </c>
      <c r="J17" s="1">
        <v>0.40799999999999997</v>
      </c>
      <c r="K17" s="1">
        <v>0.16300000000000001</v>
      </c>
      <c r="L17" s="1">
        <v>4.2</v>
      </c>
      <c r="M17" s="1">
        <v>14.6</v>
      </c>
      <c r="N17" s="1">
        <v>9.5</v>
      </c>
      <c r="O17" s="1">
        <v>7.5</v>
      </c>
      <c r="P17" s="1">
        <v>2.2000000000000002</v>
      </c>
      <c r="Q17" s="1">
        <v>2.1</v>
      </c>
      <c r="R17" s="1">
        <v>11.7</v>
      </c>
      <c r="S17" s="1">
        <v>14.4</v>
      </c>
      <c r="T17" s="1"/>
      <c r="U17" s="1">
        <v>1.8</v>
      </c>
      <c r="V17" s="1">
        <v>3.3</v>
      </c>
      <c r="W17" s="1">
        <v>5.0999999999999996</v>
      </c>
      <c r="X17" s="1">
        <v>0.13</v>
      </c>
      <c r="Y17" s="1"/>
      <c r="Z17" s="1">
        <v>-0.8</v>
      </c>
      <c r="AA17" s="1">
        <v>1.8</v>
      </c>
      <c r="AB17" s="1">
        <v>1</v>
      </c>
      <c r="AC17" s="1">
        <v>1.5</v>
      </c>
      <c r="AD17">
        <f>Advanced_Table[[#This Row],[VORP]]*82/Advanced_Table[[#This Row],[G]]</f>
        <v>1.9523809523809523</v>
      </c>
    </row>
    <row r="18" spans="1:30" x14ac:dyDescent="0.25">
      <c r="A18" s="1">
        <v>17</v>
      </c>
      <c r="B18" s="1" t="s">
        <v>315</v>
      </c>
      <c r="C18" s="1" t="s">
        <v>316</v>
      </c>
      <c r="D18" s="1">
        <v>25</v>
      </c>
      <c r="E18" s="1" t="s">
        <v>317</v>
      </c>
      <c r="F18" s="1">
        <v>58</v>
      </c>
      <c r="G18" s="1">
        <v>930</v>
      </c>
      <c r="H18" s="1">
        <v>9</v>
      </c>
      <c r="I18" s="1">
        <v>0.55100000000000005</v>
      </c>
      <c r="J18" s="1">
        <v>0.627</v>
      </c>
      <c r="K18" s="1">
        <v>0.17299999999999999</v>
      </c>
      <c r="L18" s="1">
        <v>2.2999999999999998</v>
      </c>
      <c r="M18" s="1">
        <v>11.2</v>
      </c>
      <c r="N18" s="1">
        <v>6.5</v>
      </c>
      <c r="O18" s="1">
        <v>14.3</v>
      </c>
      <c r="P18" s="1">
        <v>1.4</v>
      </c>
      <c r="Q18" s="1">
        <v>0.3</v>
      </c>
      <c r="R18" s="1">
        <v>13.5</v>
      </c>
      <c r="S18" s="1">
        <v>12.5</v>
      </c>
      <c r="T18" s="1"/>
      <c r="U18" s="1">
        <v>0.7</v>
      </c>
      <c r="V18" s="1">
        <v>0.7</v>
      </c>
      <c r="W18" s="1">
        <v>1.4</v>
      </c>
      <c r="X18" s="1">
        <v>7.0000000000000007E-2</v>
      </c>
      <c r="Y18" s="1"/>
      <c r="Z18" s="1">
        <v>-2.7</v>
      </c>
      <c r="AA18" s="1">
        <v>-0.1</v>
      </c>
      <c r="AB18" s="1">
        <v>-2.8</v>
      </c>
      <c r="AC18" s="1">
        <v>-0.2</v>
      </c>
      <c r="AD18">
        <f>Advanced_Table[[#This Row],[VORP]]*82/Advanced_Table[[#This Row],[G]]</f>
        <v>-0.28275862068965518</v>
      </c>
    </row>
    <row r="19" spans="1:30" x14ac:dyDescent="0.25">
      <c r="A19" s="1">
        <v>18</v>
      </c>
      <c r="B19" s="1" t="s">
        <v>318</v>
      </c>
      <c r="C19" s="1" t="s">
        <v>303</v>
      </c>
      <c r="D19" s="1">
        <v>34</v>
      </c>
      <c r="E19" s="1" t="s">
        <v>957</v>
      </c>
      <c r="F19" s="1">
        <v>53</v>
      </c>
      <c r="G19" s="1">
        <v>1493</v>
      </c>
      <c r="H19" s="1">
        <v>11</v>
      </c>
      <c r="I19" s="1">
        <v>0.59299999999999997</v>
      </c>
      <c r="J19" s="1">
        <v>0.63900000000000001</v>
      </c>
      <c r="K19" s="1">
        <v>0.22800000000000001</v>
      </c>
      <c r="L19" s="1">
        <v>2.5</v>
      </c>
      <c r="M19" s="1">
        <v>15.6</v>
      </c>
      <c r="N19" s="1">
        <v>9</v>
      </c>
      <c r="O19" s="1">
        <v>8.1</v>
      </c>
      <c r="P19" s="1">
        <v>2.2000000000000002</v>
      </c>
      <c r="Q19" s="1">
        <v>0.9</v>
      </c>
      <c r="R19" s="1">
        <v>13.6</v>
      </c>
      <c r="S19" s="1">
        <v>11.9</v>
      </c>
      <c r="T19" s="1"/>
      <c r="U19" s="1">
        <v>1.3</v>
      </c>
      <c r="V19" s="1">
        <v>1.3</v>
      </c>
      <c r="W19" s="1">
        <v>2.6</v>
      </c>
      <c r="X19" s="1">
        <v>8.4000000000000005E-2</v>
      </c>
      <c r="Y19" s="1"/>
      <c r="Z19" s="1">
        <v>-1.5</v>
      </c>
      <c r="AA19" s="1">
        <v>1</v>
      </c>
      <c r="AB19" s="1">
        <v>-0.5</v>
      </c>
      <c r="AC19" s="1">
        <v>0.5</v>
      </c>
      <c r="AD19">
        <f>Advanced_Table[[#This Row],[VORP]]*82/Advanced_Table[[#This Row],[G]]</f>
        <v>0.77358490566037741</v>
      </c>
    </row>
    <row r="20" spans="1:30" x14ac:dyDescent="0.25">
      <c r="A20" s="1">
        <v>18</v>
      </c>
      <c r="B20" s="1" t="s">
        <v>318</v>
      </c>
      <c r="C20" s="1" t="s">
        <v>303</v>
      </c>
      <c r="D20" s="1">
        <v>34</v>
      </c>
      <c r="E20" s="1" t="s">
        <v>319</v>
      </c>
      <c r="F20" s="1">
        <v>32</v>
      </c>
      <c r="G20" s="1">
        <v>791</v>
      </c>
      <c r="H20" s="1">
        <v>9.4</v>
      </c>
      <c r="I20" s="1">
        <v>0.54300000000000004</v>
      </c>
      <c r="J20" s="1">
        <v>0.73899999999999999</v>
      </c>
      <c r="K20" s="1">
        <v>0.16400000000000001</v>
      </c>
      <c r="L20" s="1">
        <v>2.9</v>
      </c>
      <c r="M20" s="1">
        <v>18.3</v>
      </c>
      <c r="N20" s="1">
        <v>10.4</v>
      </c>
      <c r="O20" s="1">
        <v>8.4</v>
      </c>
      <c r="P20" s="1">
        <v>2.2000000000000002</v>
      </c>
      <c r="Q20" s="1">
        <v>0.8</v>
      </c>
      <c r="R20" s="1">
        <v>13.7</v>
      </c>
      <c r="S20" s="1">
        <v>11.3</v>
      </c>
      <c r="T20" s="1"/>
      <c r="U20" s="1">
        <v>0.3</v>
      </c>
      <c r="V20" s="1">
        <v>0.8</v>
      </c>
      <c r="W20" s="1">
        <v>1.1000000000000001</v>
      </c>
      <c r="X20" s="1">
        <v>6.9000000000000006E-2</v>
      </c>
      <c r="Y20" s="1"/>
      <c r="Z20" s="1">
        <v>-1.9</v>
      </c>
      <c r="AA20" s="1">
        <v>1.3</v>
      </c>
      <c r="AB20" s="1">
        <v>-0.6</v>
      </c>
      <c r="AC20" s="1">
        <v>0.3</v>
      </c>
      <c r="AD20">
        <f>Advanced_Table[[#This Row],[VORP]]*82/Advanced_Table[[#This Row],[G]]</f>
        <v>0.76874999999999993</v>
      </c>
    </row>
    <row r="21" spans="1:30" x14ac:dyDescent="0.25">
      <c r="A21" s="1">
        <v>18</v>
      </c>
      <c r="B21" s="1" t="s">
        <v>318</v>
      </c>
      <c r="C21" s="1" t="s">
        <v>303</v>
      </c>
      <c r="D21" s="1">
        <v>34</v>
      </c>
      <c r="E21" s="1" t="s">
        <v>312</v>
      </c>
      <c r="F21" s="1">
        <v>21</v>
      </c>
      <c r="G21" s="1">
        <v>702</v>
      </c>
      <c r="H21" s="1">
        <v>12.8</v>
      </c>
      <c r="I21" s="1">
        <v>0.64300000000000002</v>
      </c>
      <c r="J21" s="1">
        <v>0.53500000000000003</v>
      </c>
      <c r="K21" s="1">
        <v>0.29599999999999999</v>
      </c>
      <c r="L21" s="1">
        <v>1.9</v>
      </c>
      <c r="M21" s="1">
        <v>12.6</v>
      </c>
      <c r="N21" s="1">
        <v>7.4</v>
      </c>
      <c r="O21" s="1">
        <v>7.7</v>
      </c>
      <c r="P21" s="1">
        <v>2.2999999999999998</v>
      </c>
      <c r="Q21" s="1">
        <v>1</v>
      </c>
      <c r="R21" s="1">
        <v>13.5</v>
      </c>
      <c r="S21" s="1">
        <v>12.6</v>
      </c>
      <c r="T21" s="1"/>
      <c r="U21" s="1">
        <v>1</v>
      </c>
      <c r="V21" s="1">
        <v>0.5</v>
      </c>
      <c r="W21" s="1">
        <v>1.5</v>
      </c>
      <c r="X21" s="1">
        <v>0.10100000000000001</v>
      </c>
      <c r="Y21" s="1"/>
      <c r="Z21" s="1">
        <v>-1</v>
      </c>
      <c r="AA21" s="1">
        <v>0.6</v>
      </c>
      <c r="AB21" s="1">
        <v>-0.4</v>
      </c>
      <c r="AC21" s="1">
        <v>0.3</v>
      </c>
      <c r="AD21">
        <f>Advanced_Table[[#This Row],[VORP]]*82/Advanced_Table[[#This Row],[G]]</f>
        <v>1.1714285714285713</v>
      </c>
    </row>
    <row r="22" spans="1:30" x14ac:dyDescent="0.25">
      <c r="A22" s="1">
        <v>19</v>
      </c>
      <c r="B22" s="1" t="s">
        <v>320</v>
      </c>
      <c r="C22" s="1" t="s">
        <v>316</v>
      </c>
      <c r="D22" s="1">
        <v>32</v>
      </c>
      <c r="E22" s="1" t="s">
        <v>301</v>
      </c>
      <c r="F22" s="1">
        <v>49</v>
      </c>
      <c r="G22" s="1">
        <v>1215</v>
      </c>
      <c r="H22" s="1">
        <v>14.2</v>
      </c>
      <c r="I22" s="1">
        <v>0.54800000000000004</v>
      </c>
      <c r="J22" s="1">
        <v>0.438</v>
      </c>
      <c r="K22" s="1">
        <v>0.39500000000000002</v>
      </c>
      <c r="L22" s="1">
        <v>1.5</v>
      </c>
      <c r="M22" s="1">
        <v>8.3000000000000007</v>
      </c>
      <c r="N22" s="1">
        <v>4.8</v>
      </c>
      <c r="O22" s="1">
        <v>26.7</v>
      </c>
      <c r="P22" s="1">
        <v>1.2</v>
      </c>
      <c r="Q22" s="1">
        <v>0.1</v>
      </c>
      <c r="R22" s="1">
        <v>12.9</v>
      </c>
      <c r="S22" s="1">
        <v>19.100000000000001</v>
      </c>
      <c r="T22" s="1"/>
      <c r="U22" s="1">
        <v>1.8</v>
      </c>
      <c r="V22" s="1">
        <v>0.8</v>
      </c>
      <c r="W22" s="1">
        <v>2.6</v>
      </c>
      <c r="X22" s="1">
        <v>0.10100000000000001</v>
      </c>
      <c r="Y22" s="1"/>
      <c r="Z22" s="1">
        <v>-0.4</v>
      </c>
      <c r="AA22" s="1">
        <v>-1</v>
      </c>
      <c r="AB22" s="1">
        <v>-1.4</v>
      </c>
      <c r="AC22" s="1">
        <v>0.2</v>
      </c>
      <c r="AD22">
        <f>Advanced_Table[[#This Row],[VORP]]*82/Advanced_Table[[#This Row],[G]]</f>
        <v>0.33469387755102042</v>
      </c>
    </row>
    <row r="23" spans="1:30" x14ac:dyDescent="0.25">
      <c r="A23" s="1">
        <v>20</v>
      </c>
      <c r="B23" s="1" t="s">
        <v>321</v>
      </c>
      <c r="C23" s="1" t="s">
        <v>287</v>
      </c>
      <c r="D23" s="1">
        <v>21</v>
      </c>
      <c r="E23" s="1" t="s">
        <v>322</v>
      </c>
      <c r="F23" s="1">
        <v>30</v>
      </c>
      <c r="G23" s="1">
        <v>996</v>
      </c>
      <c r="H23" s="1">
        <v>20.399999999999999</v>
      </c>
      <c r="I23" s="1">
        <v>0.57099999999999995</v>
      </c>
      <c r="J23" s="1">
        <v>6.0000000000000001E-3</v>
      </c>
      <c r="K23" s="1">
        <v>0.16800000000000001</v>
      </c>
      <c r="L23" s="1">
        <v>13.5</v>
      </c>
      <c r="M23" s="1">
        <v>27</v>
      </c>
      <c r="N23" s="1">
        <v>20.100000000000001</v>
      </c>
      <c r="O23" s="1">
        <v>9.6999999999999993</v>
      </c>
      <c r="P23" s="1">
        <v>1</v>
      </c>
      <c r="Q23" s="1">
        <v>4.5</v>
      </c>
      <c r="R23" s="1">
        <v>12.4</v>
      </c>
      <c r="S23" s="1">
        <v>24.3</v>
      </c>
      <c r="T23" s="1"/>
      <c r="U23" s="1">
        <v>1.1000000000000001</v>
      </c>
      <c r="V23" s="1">
        <v>1.3</v>
      </c>
      <c r="W23" s="1">
        <v>2.4</v>
      </c>
      <c r="X23" s="1">
        <v>0.11700000000000001</v>
      </c>
      <c r="Y23" s="1"/>
      <c r="Z23" s="1">
        <v>0.9</v>
      </c>
      <c r="AA23" s="1">
        <v>-0.5</v>
      </c>
      <c r="AB23" s="1">
        <v>0.4</v>
      </c>
      <c r="AC23" s="1">
        <v>0.6</v>
      </c>
      <c r="AD23">
        <f>Advanced_Table[[#This Row],[VORP]]*82/Advanced_Table[[#This Row],[G]]</f>
        <v>1.64</v>
      </c>
    </row>
    <row r="24" spans="1:30" x14ac:dyDescent="0.25">
      <c r="A24" s="1">
        <v>21</v>
      </c>
      <c r="B24" s="1" t="s">
        <v>323</v>
      </c>
      <c r="C24" s="1" t="s">
        <v>294</v>
      </c>
      <c r="D24" s="1">
        <v>24</v>
      </c>
      <c r="E24" s="1" t="s">
        <v>324</v>
      </c>
      <c r="F24" s="1">
        <v>39</v>
      </c>
      <c r="G24" s="1">
        <v>687</v>
      </c>
      <c r="H24" s="1">
        <v>6.1</v>
      </c>
      <c r="I24" s="1">
        <v>0.41899999999999998</v>
      </c>
      <c r="J24" s="1">
        <v>0.27500000000000002</v>
      </c>
      <c r="K24" s="1">
        <v>0.217</v>
      </c>
      <c r="L24" s="1">
        <v>2.2999999999999998</v>
      </c>
      <c r="M24" s="1">
        <v>14</v>
      </c>
      <c r="N24" s="1">
        <v>7.9</v>
      </c>
      <c r="O24" s="1">
        <v>11.7</v>
      </c>
      <c r="P24" s="1">
        <v>1.7</v>
      </c>
      <c r="Q24" s="1">
        <v>0.3</v>
      </c>
      <c r="R24" s="1">
        <v>12.2</v>
      </c>
      <c r="S24" s="1">
        <v>19.5</v>
      </c>
      <c r="T24" s="1"/>
      <c r="U24" s="1">
        <v>-1.2</v>
      </c>
      <c r="V24" s="1">
        <v>0.4</v>
      </c>
      <c r="W24" s="1">
        <v>-0.8</v>
      </c>
      <c r="X24" s="1">
        <v>-5.3999999999999999E-2</v>
      </c>
      <c r="Y24" s="1"/>
      <c r="Z24" s="1">
        <v>-5.9</v>
      </c>
      <c r="AA24" s="1">
        <v>-1</v>
      </c>
      <c r="AB24" s="1">
        <v>-6.9</v>
      </c>
      <c r="AC24" s="1">
        <v>-0.8</v>
      </c>
      <c r="AD24">
        <f>Advanced_Table[[#This Row],[VORP]]*82/Advanced_Table[[#This Row],[G]]</f>
        <v>-1.6820512820512823</v>
      </c>
    </row>
    <row r="25" spans="1:30" x14ac:dyDescent="0.25">
      <c r="A25" s="1">
        <v>22</v>
      </c>
      <c r="B25" s="1" t="s">
        <v>325</v>
      </c>
      <c r="C25" s="1" t="s">
        <v>23</v>
      </c>
      <c r="D25" s="1">
        <v>20</v>
      </c>
      <c r="E25" s="1" t="s">
        <v>319</v>
      </c>
      <c r="F25" s="1">
        <v>13</v>
      </c>
      <c r="G25" s="1">
        <v>334</v>
      </c>
      <c r="H25" s="1">
        <v>15.7</v>
      </c>
      <c r="I25" s="1">
        <v>0.51200000000000001</v>
      </c>
      <c r="J25" s="1">
        <v>0.13200000000000001</v>
      </c>
      <c r="K25" s="1">
        <v>0.186</v>
      </c>
      <c r="L25" s="1">
        <v>9.5</v>
      </c>
      <c r="M25" s="1">
        <v>23.6</v>
      </c>
      <c r="N25" s="1">
        <v>16.399999999999999</v>
      </c>
      <c r="O25" s="1">
        <v>5</v>
      </c>
      <c r="P25" s="1">
        <v>0.9</v>
      </c>
      <c r="Q25" s="1">
        <v>3.4</v>
      </c>
      <c r="R25" s="1">
        <v>9.1</v>
      </c>
      <c r="S25" s="1">
        <v>25.9</v>
      </c>
      <c r="T25" s="1"/>
      <c r="U25" s="1">
        <v>0</v>
      </c>
      <c r="V25" s="1">
        <v>0.4</v>
      </c>
      <c r="W25" s="1">
        <v>0.4</v>
      </c>
      <c r="X25" s="1">
        <v>5.5E-2</v>
      </c>
      <c r="Y25" s="1"/>
      <c r="Z25" s="1">
        <v>-2.1</v>
      </c>
      <c r="AA25" s="1">
        <v>-1.3</v>
      </c>
      <c r="AB25" s="1">
        <v>-3.4</v>
      </c>
      <c r="AC25" s="1">
        <v>-0.1</v>
      </c>
      <c r="AD25">
        <f>Advanced_Table[[#This Row],[VORP]]*82/Advanced_Table[[#This Row],[G]]</f>
        <v>-0.63076923076923086</v>
      </c>
    </row>
    <row r="26" spans="1:30" x14ac:dyDescent="0.25">
      <c r="A26" s="1">
        <v>23</v>
      </c>
      <c r="B26" s="1" t="s">
        <v>326</v>
      </c>
      <c r="C26" s="1" t="s">
        <v>316</v>
      </c>
      <c r="D26" s="1">
        <v>22</v>
      </c>
      <c r="E26" s="1" t="s">
        <v>295</v>
      </c>
      <c r="F26" s="1">
        <v>56</v>
      </c>
      <c r="G26" s="1">
        <v>1817</v>
      </c>
      <c r="H26" s="1">
        <v>13.7</v>
      </c>
      <c r="I26" s="1">
        <v>0.52900000000000003</v>
      </c>
      <c r="J26" s="1">
        <v>0.57799999999999996</v>
      </c>
      <c r="K26" s="1">
        <v>0.107</v>
      </c>
      <c r="L26" s="1">
        <v>3.6</v>
      </c>
      <c r="M26" s="1">
        <v>16.600000000000001</v>
      </c>
      <c r="N26" s="1">
        <v>10.1</v>
      </c>
      <c r="O26" s="1">
        <v>29.3</v>
      </c>
      <c r="P26" s="1">
        <v>2</v>
      </c>
      <c r="Q26" s="1">
        <v>1.4</v>
      </c>
      <c r="R26" s="1">
        <v>20.7</v>
      </c>
      <c r="S26" s="1">
        <v>18.600000000000001</v>
      </c>
      <c r="T26" s="1"/>
      <c r="U26" s="1">
        <v>0.7</v>
      </c>
      <c r="V26" s="1">
        <v>1.9</v>
      </c>
      <c r="W26" s="1">
        <v>2.6</v>
      </c>
      <c r="X26" s="1">
        <v>6.8000000000000005E-2</v>
      </c>
      <c r="Y26" s="1"/>
      <c r="Z26" s="1">
        <v>0.5</v>
      </c>
      <c r="AA26" s="1">
        <v>0.6</v>
      </c>
      <c r="AB26" s="1">
        <v>1</v>
      </c>
      <c r="AC26" s="1">
        <v>1.4</v>
      </c>
      <c r="AD26">
        <f>Advanced_Table[[#This Row],[VORP]]*82/Advanced_Table[[#This Row],[G]]</f>
        <v>2.0499999999999998</v>
      </c>
    </row>
    <row r="27" spans="1:30" x14ac:dyDescent="0.25">
      <c r="A27" s="1">
        <v>24</v>
      </c>
      <c r="B27" s="1" t="s">
        <v>327</v>
      </c>
      <c r="C27" s="1" t="s">
        <v>287</v>
      </c>
      <c r="D27" s="1">
        <v>21</v>
      </c>
      <c r="E27" s="1" t="s">
        <v>301</v>
      </c>
      <c r="F27" s="1">
        <v>60</v>
      </c>
      <c r="G27" s="1">
        <v>868</v>
      </c>
      <c r="H27" s="1">
        <v>17.8</v>
      </c>
      <c r="I27" s="1">
        <v>0.54900000000000004</v>
      </c>
      <c r="J27" s="1">
        <v>0.36899999999999999</v>
      </c>
      <c r="K27" s="1">
        <v>0.16300000000000001</v>
      </c>
      <c r="L27" s="1">
        <v>11.7</v>
      </c>
      <c r="M27" s="1">
        <v>25.7</v>
      </c>
      <c r="N27" s="1">
        <v>18.5</v>
      </c>
      <c r="O27" s="1">
        <v>7.3</v>
      </c>
      <c r="P27" s="1">
        <v>1.2</v>
      </c>
      <c r="Q27" s="1">
        <v>8.9</v>
      </c>
      <c r="R27" s="1">
        <v>12.2</v>
      </c>
      <c r="S27" s="1">
        <v>17.2</v>
      </c>
      <c r="T27" s="1"/>
      <c r="U27" s="1">
        <v>0.9</v>
      </c>
      <c r="V27" s="1">
        <v>1.7</v>
      </c>
      <c r="W27" s="1">
        <v>2.5</v>
      </c>
      <c r="X27" s="1">
        <v>0.14000000000000001</v>
      </c>
      <c r="Y27" s="1"/>
      <c r="Z27" s="1">
        <v>-1.2</v>
      </c>
      <c r="AA27" s="1">
        <v>1.7</v>
      </c>
      <c r="AB27" s="1">
        <v>0.5</v>
      </c>
      <c r="AC27" s="1">
        <v>0.6</v>
      </c>
      <c r="AD27">
        <f>Advanced_Table[[#This Row],[VORP]]*82/Advanced_Table[[#This Row],[G]]</f>
        <v>0.82</v>
      </c>
    </row>
    <row r="28" spans="1:30" x14ac:dyDescent="0.25">
      <c r="A28" s="1">
        <v>25</v>
      </c>
      <c r="B28" s="1" t="s">
        <v>328</v>
      </c>
      <c r="C28" s="1" t="s">
        <v>316</v>
      </c>
      <c r="D28" s="1">
        <v>35</v>
      </c>
      <c r="E28" s="1" t="s">
        <v>329</v>
      </c>
      <c r="F28" s="1">
        <v>25</v>
      </c>
      <c r="G28" s="1">
        <v>374</v>
      </c>
      <c r="H28" s="1">
        <v>15.4</v>
      </c>
      <c r="I28" s="1">
        <v>0.51900000000000002</v>
      </c>
      <c r="J28" s="1">
        <v>0.42899999999999999</v>
      </c>
      <c r="K28" s="1">
        <v>0.10199999999999999</v>
      </c>
      <c r="L28" s="1">
        <v>2.9</v>
      </c>
      <c r="M28" s="1">
        <v>10.1</v>
      </c>
      <c r="N28" s="1">
        <v>6.6</v>
      </c>
      <c r="O28" s="1">
        <v>38.1</v>
      </c>
      <c r="P28" s="1">
        <v>0.5</v>
      </c>
      <c r="Q28" s="1">
        <v>0.5</v>
      </c>
      <c r="R28" s="1">
        <v>15.5</v>
      </c>
      <c r="S28" s="1">
        <v>25</v>
      </c>
      <c r="T28" s="1"/>
      <c r="U28" s="1">
        <v>0.5</v>
      </c>
      <c r="V28" s="1">
        <v>0.2</v>
      </c>
      <c r="W28" s="1">
        <v>0.7</v>
      </c>
      <c r="X28" s="1">
        <v>8.5000000000000006E-2</v>
      </c>
      <c r="Y28" s="1"/>
      <c r="Z28" s="1">
        <v>2.5</v>
      </c>
      <c r="AA28" s="1">
        <v>-3</v>
      </c>
      <c r="AB28" s="1">
        <v>-0.5</v>
      </c>
      <c r="AC28" s="1">
        <v>0.1</v>
      </c>
      <c r="AD28">
        <f>Advanced_Table[[#This Row],[VORP]]*82/Advanced_Table[[#This Row],[G]]</f>
        <v>0.32800000000000007</v>
      </c>
    </row>
    <row r="29" spans="1:30" x14ac:dyDescent="0.25">
      <c r="A29" s="1">
        <v>26</v>
      </c>
      <c r="B29" s="1" t="s">
        <v>330</v>
      </c>
      <c r="C29" s="1" t="s">
        <v>23</v>
      </c>
      <c r="D29" s="1">
        <v>27</v>
      </c>
      <c r="E29" s="1" t="s">
        <v>319</v>
      </c>
      <c r="F29" s="1">
        <v>64</v>
      </c>
      <c r="G29" s="1">
        <v>2231</v>
      </c>
      <c r="H29" s="1">
        <v>13.3</v>
      </c>
      <c r="I29" s="1">
        <v>0.57499999999999996</v>
      </c>
      <c r="J29" s="1">
        <v>0.34200000000000003</v>
      </c>
      <c r="K29" s="1">
        <v>0.34300000000000003</v>
      </c>
      <c r="L29" s="1">
        <v>3</v>
      </c>
      <c r="M29" s="1">
        <v>12.7</v>
      </c>
      <c r="N29" s="1">
        <v>7.7</v>
      </c>
      <c r="O29" s="1">
        <v>9.9</v>
      </c>
      <c r="P29" s="1">
        <v>0.8</v>
      </c>
      <c r="Q29" s="1">
        <v>0.4</v>
      </c>
      <c r="R29" s="1">
        <v>8.9</v>
      </c>
      <c r="S29" s="1">
        <v>17.600000000000001</v>
      </c>
      <c r="T29" s="1"/>
      <c r="U29" s="1">
        <v>3.1</v>
      </c>
      <c r="V29" s="1">
        <v>1.1000000000000001</v>
      </c>
      <c r="W29" s="1">
        <v>4.2</v>
      </c>
      <c r="X29" s="1">
        <v>9.0999999999999998E-2</v>
      </c>
      <c r="Y29" s="1"/>
      <c r="Z29" s="1">
        <v>0</v>
      </c>
      <c r="AA29" s="1">
        <v>-1.2</v>
      </c>
      <c r="AB29" s="1">
        <v>-1.2</v>
      </c>
      <c r="AC29" s="1">
        <v>0.5</v>
      </c>
      <c r="AD29">
        <f>Advanced_Table[[#This Row],[VORP]]*82/Advanced_Table[[#This Row],[G]]</f>
        <v>0.640625</v>
      </c>
    </row>
    <row r="30" spans="1:30" x14ac:dyDescent="0.25">
      <c r="A30" s="1">
        <v>27</v>
      </c>
      <c r="B30" s="1" t="s">
        <v>331</v>
      </c>
      <c r="C30" s="1" t="s">
        <v>294</v>
      </c>
      <c r="D30" s="1">
        <v>19</v>
      </c>
      <c r="E30" s="1" t="s">
        <v>332</v>
      </c>
      <c r="F30" s="1">
        <v>55</v>
      </c>
      <c r="G30" s="1">
        <v>1665</v>
      </c>
      <c r="H30" s="1">
        <v>10.4</v>
      </c>
      <c r="I30" s="1">
        <v>0.47299999999999998</v>
      </c>
      <c r="J30" s="1">
        <v>0.26900000000000002</v>
      </c>
      <c r="K30" s="1">
        <v>0.34799999999999998</v>
      </c>
      <c r="L30" s="1">
        <v>3.1</v>
      </c>
      <c r="M30" s="1">
        <v>14.8</v>
      </c>
      <c r="N30" s="1">
        <v>8.8000000000000007</v>
      </c>
      <c r="O30" s="1">
        <v>12.8</v>
      </c>
      <c r="P30" s="1">
        <v>1.6</v>
      </c>
      <c r="Q30" s="1">
        <v>0.9</v>
      </c>
      <c r="R30" s="1">
        <v>12.9</v>
      </c>
      <c r="S30" s="1">
        <v>24.1</v>
      </c>
      <c r="T30" s="1"/>
      <c r="U30" s="1">
        <v>-1.8</v>
      </c>
      <c r="V30" s="1">
        <v>1</v>
      </c>
      <c r="W30" s="1">
        <v>-0.7</v>
      </c>
      <c r="X30" s="1">
        <v>-2.1000000000000001E-2</v>
      </c>
      <c r="Y30" s="1"/>
      <c r="Z30" s="1">
        <v>-3</v>
      </c>
      <c r="AA30" s="1">
        <v>-1.5</v>
      </c>
      <c r="AB30" s="1">
        <v>-4.5</v>
      </c>
      <c r="AC30" s="1">
        <v>-1.1000000000000001</v>
      </c>
      <c r="AD30">
        <f>Advanced_Table[[#This Row],[VORP]]*82/Advanced_Table[[#This Row],[G]]</f>
        <v>-1.6400000000000001</v>
      </c>
    </row>
    <row r="31" spans="1:30" x14ac:dyDescent="0.25">
      <c r="A31" s="1">
        <v>28</v>
      </c>
      <c r="B31" s="1" t="s">
        <v>333</v>
      </c>
      <c r="C31" s="1" t="s">
        <v>303</v>
      </c>
      <c r="D31" s="1">
        <v>29</v>
      </c>
      <c r="E31" s="1" t="s">
        <v>334</v>
      </c>
      <c r="F31" s="1">
        <v>57</v>
      </c>
      <c r="G31" s="1">
        <v>1878</v>
      </c>
      <c r="H31" s="1">
        <v>15.5</v>
      </c>
      <c r="I31" s="1">
        <v>0.54600000000000004</v>
      </c>
      <c r="J31" s="1">
        <v>0.38700000000000001</v>
      </c>
      <c r="K31" s="1">
        <v>0.182</v>
      </c>
      <c r="L31" s="1">
        <v>4.5</v>
      </c>
      <c r="M31" s="1">
        <v>16.8</v>
      </c>
      <c r="N31" s="1">
        <v>10.6</v>
      </c>
      <c r="O31" s="1">
        <v>16.100000000000001</v>
      </c>
      <c r="P31" s="1">
        <v>1.6</v>
      </c>
      <c r="Q31" s="1">
        <v>1.4</v>
      </c>
      <c r="R31" s="1">
        <v>10.199999999999999</v>
      </c>
      <c r="S31" s="1">
        <v>20</v>
      </c>
      <c r="T31" s="1"/>
      <c r="U31" s="1">
        <v>2.2999999999999998</v>
      </c>
      <c r="V31" s="1">
        <v>2.1</v>
      </c>
      <c r="W31" s="1">
        <v>4.4000000000000004</v>
      </c>
      <c r="X31" s="1">
        <v>0.112</v>
      </c>
      <c r="Y31" s="1"/>
      <c r="Z31" s="1">
        <v>1.2</v>
      </c>
      <c r="AA31" s="1">
        <v>-0.1</v>
      </c>
      <c r="AB31" s="1">
        <v>1.1000000000000001</v>
      </c>
      <c r="AC31" s="1">
        <v>1.5</v>
      </c>
      <c r="AD31">
        <f>Advanced_Table[[#This Row],[VORP]]*82/Advanced_Table[[#This Row],[G]]</f>
        <v>2.1578947368421053</v>
      </c>
    </row>
    <row r="32" spans="1:30" x14ac:dyDescent="0.25">
      <c r="A32" s="1">
        <v>29</v>
      </c>
      <c r="B32" s="1" t="s">
        <v>335</v>
      </c>
      <c r="C32" s="1" t="s">
        <v>303</v>
      </c>
      <c r="D32" s="1">
        <v>24</v>
      </c>
      <c r="E32" s="1" t="s">
        <v>957</v>
      </c>
      <c r="F32" s="1">
        <v>39</v>
      </c>
      <c r="G32" s="1">
        <v>665</v>
      </c>
      <c r="H32" s="1">
        <v>12.6</v>
      </c>
      <c r="I32" s="1">
        <v>0.54100000000000004</v>
      </c>
      <c r="J32" s="1">
        <v>0.45200000000000001</v>
      </c>
      <c r="K32" s="1">
        <v>0.33200000000000002</v>
      </c>
      <c r="L32" s="1">
        <v>3.2</v>
      </c>
      <c r="M32" s="1">
        <v>15</v>
      </c>
      <c r="N32" s="1">
        <v>8.9</v>
      </c>
      <c r="O32" s="1">
        <v>6.5</v>
      </c>
      <c r="P32" s="1">
        <v>1.2</v>
      </c>
      <c r="Q32" s="1">
        <v>2.6</v>
      </c>
      <c r="R32" s="1">
        <v>5.5</v>
      </c>
      <c r="S32" s="1">
        <v>15.6</v>
      </c>
      <c r="T32" s="1"/>
      <c r="U32" s="1">
        <v>0.6</v>
      </c>
      <c r="V32" s="1">
        <v>0.5</v>
      </c>
      <c r="W32" s="1">
        <v>1.1000000000000001</v>
      </c>
      <c r="X32" s="1">
        <v>0.08</v>
      </c>
      <c r="Y32" s="1"/>
      <c r="Z32" s="1">
        <v>-0.7</v>
      </c>
      <c r="AA32" s="1">
        <v>-0.1</v>
      </c>
      <c r="AB32" s="1">
        <v>-0.8</v>
      </c>
      <c r="AC32" s="1">
        <v>0.2</v>
      </c>
      <c r="AD32">
        <f>Advanced_Table[[#This Row],[VORP]]*82/Advanced_Table[[#This Row],[G]]</f>
        <v>0.42051282051282057</v>
      </c>
    </row>
    <row r="33" spans="1:30" x14ac:dyDescent="0.25">
      <c r="A33" s="1">
        <v>29</v>
      </c>
      <c r="B33" s="1" t="s">
        <v>335</v>
      </c>
      <c r="C33" s="1" t="s">
        <v>303</v>
      </c>
      <c r="D33" s="1">
        <v>24</v>
      </c>
      <c r="E33" s="1" t="s">
        <v>336</v>
      </c>
      <c r="F33" s="1">
        <v>37</v>
      </c>
      <c r="G33" s="1">
        <v>646</v>
      </c>
      <c r="H33" s="1">
        <v>12.5</v>
      </c>
      <c r="I33" s="1">
        <v>0.53500000000000003</v>
      </c>
      <c r="J33" s="1">
        <v>0.45600000000000002</v>
      </c>
      <c r="K33" s="1">
        <v>0.316</v>
      </c>
      <c r="L33" s="1">
        <v>3.3</v>
      </c>
      <c r="M33" s="1">
        <v>15.1</v>
      </c>
      <c r="N33" s="1">
        <v>9</v>
      </c>
      <c r="O33" s="1">
        <v>6.7</v>
      </c>
      <c r="P33" s="1">
        <v>1.2</v>
      </c>
      <c r="Q33" s="1">
        <v>2.6</v>
      </c>
      <c r="R33" s="1">
        <v>5.6</v>
      </c>
      <c r="S33" s="1">
        <v>15.8</v>
      </c>
      <c r="T33" s="1"/>
      <c r="U33" s="1">
        <v>0.6</v>
      </c>
      <c r="V33" s="1">
        <v>0.5</v>
      </c>
      <c r="W33" s="1">
        <v>1</v>
      </c>
      <c r="X33" s="1">
        <v>7.5999999999999998E-2</v>
      </c>
      <c r="Y33" s="1"/>
      <c r="Z33" s="1">
        <v>-0.7</v>
      </c>
      <c r="AA33" s="1">
        <v>-0.1</v>
      </c>
      <c r="AB33" s="1">
        <v>-0.8</v>
      </c>
      <c r="AC33" s="1">
        <v>0.2</v>
      </c>
      <c r="AD33">
        <f>Advanced_Table[[#This Row],[VORP]]*82/Advanced_Table[[#This Row],[G]]</f>
        <v>0.44324324324324332</v>
      </c>
    </row>
    <row r="34" spans="1:30" x14ac:dyDescent="0.25">
      <c r="A34" s="1">
        <v>29</v>
      </c>
      <c r="B34" s="1" t="s">
        <v>335</v>
      </c>
      <c r="C34" s="1" t="s">
        <v>303</v>
      </c>
      <c r="D34" s="1">
        <v>24</v>
      </c>
      <c r="E34" s="1" t="s">
        <v>334</v>
      </c>
      <c r="F34" s="1">
        <v>2</v>
      </c>
      <c r="G34" s="1">
        <v>19</v>
      </c>
      <c r="H34" s="1">
        <v>15.8</v>
      </c>
      <c r="I34" s="1">
        <v>0.93100000000000005</v>
      </c>
      <c r="J34" s="1">
        <v>0</v>
      </c>
      <c r="K34" s="1">
        <v>2</v>
      </c>
      <c r="L34" s="1">
        <v>0</v>
      </c>
      <c r="M34" s="1">
        <v>11.7</v>
      </c>
      <c r="N34" s="1">
        <v>5.9</v>
      </c>
      <c r="O34" s="1">
        <v>0</v>
      </c>
      <c r="P34" s="1">
        <v>0</v>
      </c>
      <c r="Q34" s="1">
        <v>4.9000000000000004</v>
      </c>
      <c r="R34" s="1">
        <v>0</v>
      </c>
      <c r="S34" s="1">
        <v>8.6</v>
      </c>
      <c r="T34" s="1"/>
      <c r="U34" s="1">
        <v>0.1</v>
      </c>
      <c r="V34" s="1">
        <v>0</v>
      </c>
      <c r="W34" s="1">
        <v>0.1</v>
      </c>
      <c r="X34" s="1">
        <v>0.218</v>
      </c>
      <c r="Y34" s="1"/>
      <c r="Z34" s="1">
        <v>0</v>
      </c>
      <c r="AA34" s="1">
        <v>0.1</v>
      </c>
      <c r="AB34" s="1">
        <v>0.1</v>
      </c>
      <c r="AC34" s="1">
        <v>0</v>
      </c>
      <c r="AD34">
        <f>Advanced_Table[[#This Row],[VORP]]*82/Advanced_Table[[#This Row],[G]]</f>
        <v>0</v>
      </c>
    </row>
    <row r="35" spans="1:30" x14ac:dyDescent="0.25">
      <c r="A35" s="1">
        <v>30</v>
      </c>
      <c r="B35" s="1" t="s">
        <v>337</v>
      </c>
      <c r="C35" s="1" t="s">
        <v>303</v>
      </c>
      <c r="D35" s="1">
        <v>31</v>
      </c>
      <c r="E35" s="1" t="s">
        <v>324</v>
      </c>
      <c r="F35" s="1">
        <v>22</v>
      </c>
      <c r="G35" s="1">
        <v>505</v>
      </c>
      <c r="H35" s="1">
        <v>9.1999999999999993</v>
      </c>
      <c r="I35" s="1">
        <v>0.46300000000000002</v>
      </c>
      <c r="J35" s="1">
        <v>0.60499999999999998</v>
      </c>
      <c r="K35" s="1">
        <v>0.123</v>
      </c>
      <c r="L35" s="1">
        <v>5.2</v>
      </c>
      <c r="M35" s="1">
        <v>16.899999999999999</v>
      </c>
      <c r="N35" s="1">
        <v>10.8</v>
      </c>
      <c r="O35" s="1">
        <v>18.3</v>
      </c>
      <c r="P35" s="1">
        <v>1.7</v>
      </c>
      <c r="Q35" s="1">
        <v>1.5</v>
      </c>
      <c r="R35" s="1">
        <v>20.5</v>
      </c>
      <c r="S35" s="1">
        <v>9.4</v>
      </c>
      <c r="T35" s="1"/>
      <c r="U35" s="1">
        <v>0.2</v>
      </c>
      <c r="V35" s="1">
        <v>0.4</v>
      </c>
      <c r="W35" s="1">
        <v>0.6</v>
      </c>
      <c r="X35" s="1">
        <v>5.3999999999999999E-2</v>
      </c>
      <c r="Y35" s="1"/>
      <c r="Z35" s="1">
        <v>-2.8</v>
      </c>
      <c r="AA35" s="1">
        <v>0.8</v>
      </c>
      <c r="AB35" s="1">
        <v>-1.9</v>
      </c>
      <c r="AC35" s="1">
        <v>0</v>
      </c>
      <c r="AD35">
        <f>Advanced_Table[[#This Row],[VORP]]*82/Advanced_Table[[#This Row],[G]]</f>
        <v>0</v>
      </c>
    </row>
    <row r="36" spans="1:30" x14ac:dyDescent="0.25">
      <c r="A36" s="1">
        <v>31</v>
      </c>
      <c r="B36" s="1" t="s">
        <v>338</v>
      </c>
      <c r="C36" s="1" t="s">
        <v>287</v>
      </c>
      <c r="D36" s="1">
        <v>33</v>
      </c>
      <c r="E36" s="1" t="s">
        <v>322</v>
      </c>
      <c r="F36" s="1">
        <v>42</v>
      </c>
      <c r="G36" s="1">
        <v>934</v>
      </c>
      <c r="H36" s="1">
        <v>15.2</v>
      </c>
      <c r="I36" s="1">
        <v>0.58099999999999996</v>
      </c>
      <c r="J36" s="1">
        <v>0.441</v>
      </c>
      <c r="K36" s="1">
        <v>0.19700000000000001</v>
      </c>
      <c r="L36" s="1">
        <v>8.3000000000000007</v>
      </c>
      <c r="M36" s="1">
        <v>20.2</v>
      </c>
      <c r="N36" s="1">
        <v>14.1</v>
      </c>
      <c r="O36" s="1">
        <v>11</v>
      </c>
      <c r="P36" s="1">
        <v>0.5</v>
      </c>
      <c r="Q36" s="1">
        <v>2.2000000000000002</v>
      </c>
      <c r="R36" s="1">
        <v>10.8</v>
      </c>
      <c r="S36" s="1">
        <v>21.1</v>
      </c>
      <c r="T36" s="1"/>
      <c r="U36" s="1">
        <v>1.3</v>
      </c>
      <c r="V36" s="1">
        <v>0.7</v>
      </c>
      <c r="W36" s="1">
        <v>2</v>
      </c>
      <c r="X36" s="1">
        <v>0.10299999999999999</v>
      </c>
      <c r="Y36" s="1"/>
      <c r="Z36" s="1">
        <v>-0.2</v>
      </c>
      <c r="AA36" s="1">
        <v>-0.9</v>
      </c>
      <c r="AB36" s="1">
        <v>-1.1000000000000001</v>
      </c>
      <c r="AC36" s="1">
        <v>0.2</v>
      </c>
      <c r="AD36">
        <f>Advanced_Table[[#This Row],[VORP]]*82/Advanced_Table[[#This Row],[G]]</f>
        <v>0.39047619047619053</v>
      </c>
    </row>
    <row r="37" spans="1:30" x14ac:dyDescent="0.25">
      <c r="A37" s="1">
        <v>32</v>
      </c>
      <c r="B37" s="1" t="s">
        <v>339</v>
      </c>
      <c r="C37" s="1" t="s">
        <v>1214</v>
      </c>
      <c r="D37" s="1">
        <v>30</v>
      </c>
      <c r="E37" s="1" t="s">
        <v>957</v>
      </c>
      <c r="F37" s="1">
        <v>64</v>
      </c>
      <c r="G37" s="1">
        <v>1604</v>
      </c>
      <c r="H37" s="1">
        <v>9.1999999999999993</v>
      </c>
      <c r="I37" s="1">
        <v>0.5</v>
      </c>
      <c r="J37" s="1">
        <v>0.46100000000000002</v>
      </c>
      <c r="K37" s="1">
        <v>0.28699999999999998</v>
      </c>
      <c r="L37" s="1">
        <v>1.6</v>
      </c>
      <c r="M37" s="1">
        <v>16.899999999999999</v>
      </c>
      <c r="N37" s="1">
        <v>9.1999999999999993</v>
      </c>
      <c r="O37" s="1">
        <v>7.1</v>
      </c>
      <c r="P37" s="1">
        <v>2.1</v>
      </c>
      <c r="Q37" s="1">
        <v>2.1</v>
      </c>
      <c r="R37" s="1">
        <v>13.2</v>
      </c>
      <c r="S37" s="1">
        <v>17.2</v>
      </c>
      <c r="T37" s="1"/>
      <c r="U37" s="1">
        <v>-0.8</v>
      </c>
      <c r="V37" s="1">
        <v>1.5</v>
      </c>
      <c r="W37" s="1">
        <v>0.7</v>
      </c>
      <c r="X37" s="1">
        <v>0.02</v>
      </c>
      <c r="Y37" s="1"/>
      <c r="Z37" s="1">
        <v>-3.4</v>
      </c>
      <c r="AA37" s="1">
        <v>0.4</v>
      </c>
      <c r="AB37" s="1">
        <v>-3</v>
      </c>
      <c r="AC37" s="1">
        <v>-0.4</v>
      </c>
      <c r="AD37">
        <f>Advanced_Table[[#This Row],[VORP]]*82/Advanced_Table[[#This Row],[G]]</f>
        <v>-0.51250000000000007</v>
      </c>
    </row>
    <row r="38" spans="1:30" x14ac:dyDescent="0.25">
      <c r="A38" s="1">
        <v>32</v>
      </c>
      <c r="B38" s="1" t="s">
        <v>339</v>
      </c>
      <c r="C38" s="1" t="s">
        <v>303</v>
      </c>
      <c r="D38" s="1">
        <v>30</v>
      </c>
      <c r="E38" s="1" t="s">
        <v>312</v>
      </c>
      <c r="F38" s="1">
        <v>43</v>
      </c>
      <c r="G38" s="1">
        <v>1111</v>
      </c>
      <c r="H38" s="1">
        <v>7.6</v>
      </c>
      <c r="I38" s="1">
        <v>0.47499999999999998</v>
      </c>
      <c r="J38" s="1">
        <v>0.52500000000000002</v>
      </c>
      <c r="K38" s="1">
        <v>0.221</v>
      </c>
      <c r="L38" s="1">
        <v>1.2</v>
      </c>
      <c r="M38" s="1">
        <v>14.6</v>
      </c>
      <c r="N38" s="1">
        <v>8</v>
      </c>
      <c r="O38" s="1">
        <v>7.2</v>
      </c>
      <c r="P38" s="1">
        <v>1.9</v>
      </c>
      <c r="Q38" s="1">
        <v>2.4</v>
      </c>
      <c r="R38" s="1">
        <v>14.4</v>
      </c>
      <c r="S38" s="1">
        <v>16</v>
      </c>
      <c r="T38" s="1"/>
      <c r="U38" s="1">
        <v>-1</v>
      </c>
      <c r="V38" s="1">
        <v>0.9</v>
      </c>
      <c r="W38" s="1">
        <v>-0.1</v>
      </c>
      <c r="X38" s="1">
        <v>-5.0000000000000001E-3</v>
      </c>
      <c r="Y38" s="1"/>
      <c r="Z38" s="1">
        <v>-3.6</v>
      </c>
      <c r="AA38" s="1">
        <v>0.4</v>
      </c>
      <c r="AB38" s="1">
        <v>-3.2</v>
      </c>
      <c r="AC38" s="1">
        <v>-0.3</v>
      </c>
      <c r="AD38">
        <f>Advanced_Table[[#This Row],[VORP]]*82/Advanced_Table[[#This Row],[G]]</f>
        <v>-0.5720930232558139</v>
      </c>
    </row>
    <row r="39" spans="1:30" x14ac:dyDescent="0.25">
      <c r="A39" s="1">
        <v>32</v>
      </c>
      <c r="B39" s="1" t="s">
        <v>339</v>
      </c>
      <c r="C39" s="1" t="s">
        <v>294</v>
      </c>
      <c r="D39" s="1">
        <v>30</v>
      </c>
      <c r="E39" s="1" t="s">
        <v>319</v>
      </c>
      <c r="F39" s="1">
        <v>21</v>
      </c>
      <c r="G39" s="1">
        <v>493</v>
      </c>
      <c r="H39" s="1">
        <v>13</v>
      </c>
      <c r="I39" s="1">
        <v>0.54300000000000004</v>
      </c>
      <c r="J39" s="1">
        <v>0.33700000000000002</v>
      </c>
      <c r="K39" s="1">
        <v>0.41399999999999998</v>
      </c>
      <c r="L39" s="1">
        <v>2.5</v>
      </c>
      <c r="M39" s="1">
        <v>22.1</v>
      </c>
      <c r="N39" s="1">
        <v>12</v>
      </c>
      <c r="O39" s="1">
        <v>7.1</v>
      </c>
      <c r="P39" s="1">
        <v>2.5</v>
      </c>
      <c r="Q39" s="1">
        <v>1.6</v>
      </c>
      <c r="R39" s="1">
        <v>11.1</v>
      </c>
      <c r="S39" s="1">
        <v>19.899999999999999</v>
      </c>
      <c r="T39" s="1"/>
      <c r="U39" s="1">
        <v>0.2</v>
      </c>
      <c r="V39" s="1">
        <v>0.6</v>
      </c>
      <c r="W39" s="1">
        <v>0.8</v>
      </c>
      <c r="X39" s="1">
        <v>7.6999999999999999E-2</v>
      </c>
      <c r="Y39" s="1"/>
      <c r="Z39" s="1">
        <v>-3.1</v>
      </c>
      <c r="AA39" s="1">
        <v>0.4</v>
      </c>
      <c r="AB39" s="1">
        <v>-2.7</v>
      </c>
      <c r="AC39" s="1">
        <v>-0.1</v>
      </c>
      <c r="AD39">
        <f>Advanced_Table[[#This Row],[VORP]]*82/Advanced_Table[[#This Row],[G]]</f>
        <v>-0.39047619047619053</v>
      </c>
    </row>
    <row r="40" spans="1:30" x14ac:dyDescent="0.25">
      <c r="A40" s="1">
        <v>33</v>
      </c>
      <c r="B40" s="1" t="s">
        <v>340</v>
      </c>
      <c r="C40" s="1" t="s">
        <v>23</v>
      </c>
      <c r="D40" s="1">
        <v>19</v>
      </c>
      <c r="E40" s="1" t="s">
        <v>288</v>
      </c>
      <c r="F40" s="1">
        <v>53</v>
      </c>
      <c r="G40" s="1">
        <v>909</v>
      </c>
      <c r="H40" s="1">
        <v>8.1999999999999993</v>
      </c>
      <c r="I40" s="1">
        <v>0.47499999999999998</v>
      </c>
      <c r="J40" s="1">
        <v>0.435</v>
      </c>
      <c r="K40" s="1">
        <v>0.20399999999999999</v>
      </c>
      <c r="L40" s="1">
        <v>2.7</v>
      </c>
      <c r="M40" s="1">
        <v>20.7</v>
      </c>
      <c r="N40" s="1">
        <v>12</v>
      </c>
      <c r="O40" s="1">
        <v>4.3</v>
      </c>
      <c r="P40" s="1">
        <v>1.1000000000000001</v>
      </c>
      <c r="Q40" s="1">
        <v>3.3</v>
      </c>
      <c r="R40" s="1">
        <v>13.8</v>
      </c>
      <c r="S40" s="1">
        <v>14.1</v>
      </c>
      <c r="T40" s="1"/>
      <c r="U40" s="1">
        <v>-0.8</v>
      </c>
      <c r="V40" s="1">
        <v>1.2</v>
      </c>
      <c r="W40" s="1">
        <v>0.4</v>
      </c>
      <c r="X40" s="1">
        <v>1.9E-2</v>
      </c>
      <c r="Y40" s="1"/>
      <c r="Z40" s="1">
        <v>-3.1</v>
      </c>
      <c r="AA40" s="1">
        <v>0.7</v>
      </c>
      <c r="AB40" s="1">
        <v>-2.4</v>
      </c>
      <c r="AC40" s="1">
        <v>-0.1</v>
      </c>
      <c r="AD40">
        <f>Advanced_Table[[#This Row],[VORP]]*82/Advanced_Table[[#This Row],[G]]</f>
        <v>-0.15471698113207549</v>
      </c>
    </row>
    <row r="41" spans="1:30" x14ac:dyDescent="0.25">
      <c r="A41" s="1">
        <v>34</v>
      </c>
      <c r="B41" s="1" t="s">
        <v>341</v>
      </c>
      <c r="C41" s="1" t="s">
        <v>294</v>
      </c>
      <c r="D41" s="1">
        <v>26</v>
      </c>
      <c r="E41" s="1" t="s">
        <v>342</v>
      </c>
      <c r="F41" s="1">
        <v>57</v>
      </c>
      <c r="G41" s="1">
        <v>2053</v>
      </c>
      <c r="H41" s="1">
        <v>23.1</v>
      </c>
      <c r="I41" s="1">
        <v>0.57899999999999996</v>
      </c>
      <c r="J41" s="1">
        <v>0.36899999999999999</v>
      </c>
      <c r="K41" s="1">
        <v>0.35099999999999998</v>
      </c>
      <c r="L41" s="1">
        <v>2.7</v>
      </c>
      <c r="M41" s="1">
        <v>10.6</v>
      </c>
      <c r="N41" s="1">
        <v>6.5</v>
      </c>
      <c r="O41" s="1">
        <v>29.1</v>
      </c>
      <c r="P41" s="1">
        <v>1.6</v>
      </c>
      <c r="Q41" s="1">
        <v>1</v>
      </c>
      <c r="R41" s="1">
        <v>11.4</v>
      </c>
      <c r="S41" s="1">
        <v>34.4</v>
      </c>
      <c r="T41" s="1"/>
      <c r="U41" s="1">
        <v>4.7</v>
      </c>
      <c r="V41" s="1">
        <v>0.5</v>
      </c>
      <c r="W41" s="1">
        <v>5.0999999999999996</v>
      </c>
      <c r="X41" s="1">
        <v>0.12</v>
      </c>
      <c r="Y41" s="1"/>
      <c r="Z41" s="1">
        <v>5.5</v>
      </c>
      <c r="AA41" s="1">
        <v>-2.5</v>
      </c>
      <c r="AB41" s="1">
        <v>3</v>
      </c>
      <c r="AC41" s="1">
        <v>2.6</v>
      </c>
      <c r="AD41">
        <f>Advanced_Table[[#This Row],[VORP]]*82/Advanced_Table[[#This Row],[G]]</f>
        <v>3.7403508771929825</v>
      </c>
    </row>
    <row r="42" spans="1:30" x14ac:dyDescent="0.25">
      <c r="A42" s="1">
        <v>35</v>
      </c>
      <c r="B42" s="1" t="s">
        <v>343</v>
      </c>
      <c r="C42" s="1" t="s">
        <v>294</v>
      </c>
      <c r="D42" s="1">
        <v>23</v>
      </c>
      <c r="E42" s="1" t="s">
        <v>957</v>
      </c>
      <c r="F42" s="1">
        <v>55</v>
      </c>
      <c r="G42" s="1">
        <v>1209</v>
      </c>
      <c r="H42" s="1">
        <v>12.6</v>
      </c>
      <c r="I42" s="1">
        <v>0.54600000000000004</v>
      </c>
      <c r="J42" s="1">
        <v>0.51700000000000002</v>
      </c>
      <c r="K42" s="1">
        <v>0.124</v>
      </c>
      <c r="L42" s="1">
        <v>1.6</v>
      </c>
      <c r="M42" s="1">
        <v>11.9</v>
      </c>
      <c r="N42" s="1">
        <v>6.6</v>
      </c>
      <c r="O42" s="1">
        <v>9.4</v>
      </c>
      <c r="P42" s="1">
        <v>1.6</v>
      </c>
      <c r="Q42" s="1">
        <v>0.6</v>
      </c>
      <c r="R42" s="1">
        <v>9.3000000000000007</v>
      </c>
      <c r="S42" s="1">
        <v>21.8</v>
      </c>
      <c r="T42" s="1"/>
      <c r="U42" s="1">
        <v>0.4</v>
      </c>
      <c r="V42" s="1">
        <v>0.9</v>
      </c>
      <c r="W42" s="1">
        <v>1.3</v>
      </c>
      <c r="X42" s="1">
        <v>5.2999999999999999E-2</v>
      </c>
      <c r="Y42" s="1"/>
      <c r="Z42" s="1">
        <v>-0.7</v>
      </c>
      <c r="AA42" s="1">
        <v>-1.3</v>
      </c>
      <c r="AB42" s="1">
        <v>-2</v>
      </c>
      <c r="AC42" s="1">
        <v>0</v>
      </c>
      <c r="AD42">
        <f>Advanced_Table[[#This Row],[VORP]]*82/Advanced_Table[[#This Row],[G]]</f>
        <v>0</v>
      </c>
    </row>
    <row r="43" spans="1:30" x14ac:dyDescent="0.25">
      <c r="A43" s="1">
        <v>35</v>
      </c>
      <c r="B43" s="1" t="s">
        <v>343</v>
      </c>
      <c r="C43" s="1" t="s">
        <v>294</v>
      </c>
      <c r="D43" s="1">
        <v>23</v>
      </c>
      <c r="E43" s="1" t="s">
        <v>334</v>
      </c>
      <c r="F43" s="1">
        <v>41</v>
      </c>
      <c r="G43" s="1">
        <v>746</v>
      </c>
      <c r="H43" s="1">
        <v>10.5</v>
      </c>
      <c r="I43" s="1">
        <v>0.51100000000000001</v>
      </c>
      <c r="J43" s="1">
        <v>0.53500000000000003</v>
      </c>
      <c r="K43" s="1">
        <v>0.126</v>
      </c>
      <c r="L43" s="1">
        <v>1.3</v>
      </c>
      <c r="M43" s="1">
        <v>10.199999999999999</v>
      </c>
      <c r="N43" s="1">
        <v>5.7</v>
      </c>
      <c r="O43" s="1">
        <v>9.1</v>
      </c>
      <c r="P43" s="1">
        <v>2.1</v>
      </c>
      <c r="Q43" s="1">
        <v>0.7</v>
      </c>
      <c r="R43" s="1">
        <v>10.199999999999999</v>
      </c>
      <c r="S43" s="1">
        <v>20.6</v>
      </c>
      <c r="T43" s="1"/>
      <c r="U43" s="1">
        <v>-0.1</v>
      </c>
      <c r="V43" s="1">
        <v>0.7</v>
      </c>
      <c r="W43" s="1">
        <v>0.6</v>
      </c>
      <c r="X43" s="1">
        <v>3.7999999999999999E-2</v>
      </c>
      <c r="Y43" s="1"/>
      <c r="Z43" s="1">
        <v>-2.2000000000000002</v>
      </c>
      <c r="AA43" s="1">
        <v>-0.6</v>
      </c>
      <c r="AB43" s="1">
        <v>-2.7</v>
      </c>
      <c r="AC43" s="1">
        <v>-0.2</v>
      </c>
      <c r="AD43">
        <f>Advanced_Table[[#This Row],[VORP]]*82/Advanced_Table[[#This Row],[G]]</f>
        <v>-0.40000000000000008</v>
      </c>
    </row>
    <row r="44" spans="1:30" x14ac:dyDescent="0.25">
      <c r="A44" s="1">
        <v>35</v>
      </c>
      <c r="B44" s="1" t="s">
        <v>343</v>
      </c>
      <c r="C44" s="1" t="s">
        <v>294</v>
      </c>
      <c r="D44" s="1">
        <v>23</v>
      </c>
      <c r="E44" s="1" t="s">
        <v>336</v>
      </c>
      <c r="F44" s="1">
        <v>14</v>
      </c>
      <c r="G44" s="1">
        <v>463</v>
      </c>
      <c r="H44" s="1">
        <v>16.100000000000001</v>
      </c>
      <c r="I44" s="1">
        <v>0.59099999999999997</v>
      </c>
      <c r="J44" s="1">
        <v>0.49399999999999999</v>
      </c>
      <c r="K44" s="1">
        <v>0.12</v>
      </c>
      <c r="L44" s="1">
        <v>2</v>
      </c>
      <c r="M44" s="1">
        <v>14.7</v>
      </c>
      <c r="N44" s="1">
        <v>8.1</v>
      </c>
      <c r="O44" s="1">
        <v>9.8000000000000007</v>
      </c>
      <c r="P44" s="1">
        <v>0.9</v>
      </c>
      <c r="Q44" s="1">
        <v>0.4</v>
      </c>
      <c r="R44" s="1">
        <v>8.1999999999999993</v>
      </c>
      <c r="S44" s="1">
        <v>23.8</v>
      </c>
      <c r="T44" s="1"/>
      <c r="U44" s="1">
        <v>0.5</v>
      </c>
      <c r="V44" s="1">
        <v>0.2</v>
      </c>
      <c r="W44" s="1">
        <v>0.7</v>
      </c>
      <c r="X44" s="1">
        <v>7.5999999999999998E-2</v>
      </c>
      <c r="Y44" s="1"/>
      <c r="Z44" s="1">
        <v>1.7</v>
      </c>
      <c r="AA44" s="1">
        <v>-2.4</v>
      </c>
      <c r="AB44" s="1">
        <v>-0.7</v>
      </c>
      <c r="AC44" s="1">
        <v>0.1</v>
      </c>
      <c r="AD44">
        <f>Advanced_Table[[#This Row],[VORP]]*82/Advanced_Table[[#This Row],[G]]</f>
        <v>0.58571428571428574</v>
      </c>
    </row>
    <row r="45" spans="1:30" x14ac:dyDescent="0.25">
      <c r="A45" s="1">
        <v>36</v>
      </c>
      <c r="B45" s="1" t="s">
        <v>344</v>
      </c>
      <c r="C45" s="1" t="s">
        <v>294</v>
      </c>
      <c r="D45" s="1">
        <v>33</v>
      </c>
      <c r="E45" s="1" t="s">
        <v>292</v>
      </c>
      <c r="F45" s="1">
        <v>52</v>
      </c>
      <c r="G45" s="1">
        <v>779</v>
      </c>
      <c r="H45" s="1">
        <v>10.199999999999999</v>
      </c>
      <c r="I45" s="1">
        <v>0.52100000000000002</v>
      </c>
      <c r="J45" s="1">
        <v>0.57199999999999995</v>
      </c>
      <c r="K45" s="1">
        <v>0.151</v>
      </c>
      <c r="L45" s="1">
        <v>0.6</v>
      </c>
      <c r="M45" s="1">
        <v>11.9</v>
      </c>
      <c r="N45" s="1">
        <v>6.2</v>
      </c>
      <c r="O45" s="1">
        <v>11.3</v>
      </c>
      <c r="P45" s="1">
        <v>0.6</v>
      </c>
      <c r="Q45" s="1">
        <v>0.1</v>
      </c>
      <c r="R45" s="1">
        <v>5.2</v>
      </c>
      <c r="S45" s="1">
        <v>17</v>
      </c>
      <c r="T45" s="1"/>
      <c r="U45" s="1">
        <v>0.4</v>
      </c>
      <c r="V45" s="1">
        <v>0.1</v>
      </c>
      <c r="W45" s="1">
        <v>0.6</v>
      </c>
      <c r="X45" s="1">
        <v>3.5000000000000003E-2</v>
      </c>
      <c r="Y45" s="1"/>
      <c r="Z45" s="1">
        <v>-1.1000000000000001</v>
      </c>
      <c r="AA45" s="1">
        <v>-1.8</v>
      </c>
      <c r="AB45" s="1">
        <v>-3</v>
      </c>
      <c r="AC45" s="1">
        <v>-0.2</v>
      </c>
      <c r="AD45">
        <f>Advanced_Table[[#This Row],[VORP]]*82/Advanced_Table[[#This Row],[G]]</f>
        <v>-0.31538461538461543</v>
      </c>
    </row>
    <row r="46" spans="1:30" x14ac:dyDescent="0.25">
      <c r="A46" s="1">
        <v>37</v>
      </c>
      <c r="B46" s="1" t="s">
        <v>345</v>
      </c>
      <c r="C46" s="1" t="s">
        <v>1624</v>
      </c>
      <c r="D46" s="1">
        <v>25</v>
      </c>
      <c r="E46" s="1" t="s">
        <v>957</v>
      </c>
      <c r="F46" s="1">
        <v>29</v>
      </c>
      <c r="G46" s="1">
        <v>256</v>
      </c>
      <c r="H46" s="1">
        <v>13.9</v>
      </c>
      <c r="I46" s="1">
        <v>0.57699999999999996</v>
      </c>
      <c r="J46" s="1">
        <v>0.17899999999999999</v>
      </c>
      <c r="K46" s="1">
        <v>0.46300000000000002</v>
      </c>
      <c r="L46" s="1">
        <v>12</v>
      </c>
      <c r="M46" s="1">
        <v>21.8</v>
      </c>
      <c r="N46" s="1">
        <v>16.7</v>
      </c>
      <c r="O46" s="1">
        <v>8.9</v>
      </c>
      <c r="P46" s="1">
        <v>0.5</v>
      </c>
      <c r="Q46" s="1">
        <v>3.2</v>
      </c>
      <c r="R46" s="1">
        <v>20.7</v>
      </c>
      <c r="S46" s="1">
        <v>16.399999999999999</v>
      </c>
      <c r="T46" s="1"/>
      <c r="U46" s="1">
        <v>0.2</v>
      </c>
      <c r="V46" s="1">
        <v>0.2</v>
      </c>
      <c r="W46" s="1">
        <v>0.4</v>
      </c>
      <c r="X46" s="1">
        <v>7.0000000000000007E-2</v>
      </c>
      <c r="Y46" s="1"/>
      <c r="Z46" s="1">
        <v>-1.3</v>
      </c>
      <c r="AA46" s="1">
        <v>-1.1000000000000001</v>
      </c>
      <c r="AB46" s="1">
        <v>-2.5</v>
      </c>
      <c r="AC46" s="1">
        <v>0</v>
      </c>
      <c r="AD46">
        <f>Advanced_Table[[#This Row],[VORP]]*82/Advanced_Table[[#This Row],[G]]</f>
        <v>0</v>
      </c>
    </row>
    <row r="47" spans="1:30" x14ac:dyDescent="0.25">
      <c r="A47" s="1">
        <v>37</v>
      </c>
      <c r="B47" s="1" t="s">
        <v>345</v>
      </c>
      <c r="C47" s="1" t="s">
        <v>287</v>
      </c>
      <c r="D47" s="1">
        <v>25</v>
      </c>
      <c r="E47" s="1" t="s">
        <v>336</v>
      </c>
      <c r="F47" s="1">
        <v>27</v>
      </c>
      <c r="G47" s="1">
        <v>235</v>
      </c>
      <c r="H47" s="1">
        <v>14.1</v>
      </c>
      <c r="I47" s="1">
        <v>0.56999999999999995</v>
      </c>
      <c r="J47" s="1">
        <v>0.15</v>
      </c>
      <c r="K47" s="1">
        <v>0.48299999999999998</v>
      </c>
      <c r="L47" s="1">
        <v>12.1</v>
      </c>
      <c r="M47" s="1">
        <v>23.3</v>
      </c>
      <c r="N47" s="1">
        <v>17.5</v>
      </c>
      <c r="O47" s="1">
        <v>8.6</v>
      </c>
      <c r="P47" s="1">
        <v>0.4</v>
      </c>
      <c r="Q47" s="1">
        <v>3.5</v>
      </c>
      <c r="R47" s="1">
        <v>19.8</v>
      </c>
      <c r="S47" s="1">
        <v>15.9</v>
      </c>
      <c r="T47" s="1"/>
      <c r="U47" s="1">
        <v>0.2</v>
      </c>
      <c r="V47" s="1">
        <v>0.2</v>
      </c>
      <c r="W47" s="1">
        <v>0.4</v>
      </c>
      <c r="X47" s="1">
        <v>7.1999999999999995E-2</v>
      </c>
      <c r="Y47" s="1"/>
      <c r="Z47" s="1">
        <v>-1.4</v>
      </c>
      <c r="AA47" s="1">
        <v>-1.1000000000000001</v>
      </c>
      <c r="AB47" s="1">
        <v>-2.5</v>
      </c>
      <c r="AC47" s="1">
        <v>0</v>
      </c>
      <c r="AD47">
        <f>Advanced_Table[[#This Row],[VORP]]*82/Advanced_Table[[#This Row],[G]]</f>
        <v>0</v>
      </c>
    </row>
    <row r="48" spans="1:30" x14ac:dyDescent="0.25">
      <c r="A48" s="1">
        <v>37</v>
      </c>
      <c r="B48" s="1" t="s">
        <v>345</v>
      </c>
      <c r="C48" s="1" t="s">
        <v>23</v>
      </c>
      <c r="D48" s="1">
        <v>25</v>
      </c>
      <c r="E48" s="1" t="s">
        <v>297</v>
      </c>
      <c r="F48" s="1">
        <v>2</v>
      </c>
      <c r="G48" s="1">
        <v>21</v>
      </c>
      <c r="H48" s="1">
        <v>12.6</v>
      </c>
      <c r="I48" s="1">
        <v>0.63500000000000001</v>
      </c>
      <c r="J48" s="1">
        <v>0.42899999999999999</v>
      </c>
      <c r="K48" s="1">
        <v>0.28599999999999998</v>
      </c>
      <c r="L48" s="1">
        <v>10.199999999999999</v>
      </c>
      <c r="M48" s="1">
        <v>4.9000000000000004</v>
      </c>
      <c r="N48" s="1">
        <v>7.5</v>
      </c>
      <c r="O48" s="1">
        <v>12.8</v>
      </c>
      <c r="P48" s="1">
        <v>2.2000000000000002</v>
      </c>
      <c r="Q48" s="1">
        <v>0</v>
      </c>
      <c r="R48" s="1">
        <v>27.6</v>
      </c>
      <c r="S48" s="1">
        <v>21.5</v>
      </c>
      <c r="T48" s="1"/>
      <c r="U48" s="1">
        <v>0</v>
      </c>
      <c r="V48" s="1">
        <v>0</v>
      </c>
      <c r="W48" s="1">
        <v>0</v>
      </c>
      <c r="X48" s="1">
        <v>4.5999999999999999E-2</v>
      </c>
      <c r="Y48" s="1"/>
      <c r="Z48" s="1">
        <v>-0.6</v>
      </c>
      <c r="AA48" s="1">
        <v>-1.3</v>
      </c>
      <c r="AB48" s="1">
        <v>-2</v>
      </c>
      <c r="AC48" s="1">
        <v>0</v>
      </c>
      <c r="AD48">
        <f>Advanced_Table[[#This Row],[VORP]]*82/Advanced_Table[[#This Row],[G]]</f>
        <v>0</v>
      </c>
    </row>
    <row r="49" spans="1:30" x14ac:dyDescent="0.25">
      <c r="A49" s="1">
        <v>38</v>
      </c>
      <c r="B49" s="1" t="s">
        <v>346</v>
      </c>
      <c r="C49" s="1" t="s">
        <v>294</v>
      </c>
      <c r="D49" s="1">
        <v>25</v>
      </c>
      <c r="E49" s="1" t="s">
        <v>347</v>
      </c>
      <c r="F49" s="1">
        <v>43</v>
      </c>
      <c r="G49" s="1">
        <v>915</v>
      </c>
      <c r="H49" s="1">
        <v>9.6</v>
      </c>
      <c r="I49" s="1">
        <v>0.5</v>
      </c>
      <c r="J49" s="1">
        <v>0.28499999999999998</v>
      </c>
      <c r="K49" s="1">
        <v>0.21099999999999999</v>
      </c>
      <c r="L49" s="1">
        <v>4</v>
      </c>
      <c r="M49" s="1">
        <v>14</v>
      </c>
      <c r="N49" s="1">
        <v>8.9</v>
      </c>
      <c r="O49" s="1">
        <v>12.3</v>
      </c>
      <c r="P49" s="1">
        <v>2.8</v>
      </c>
      <c r="Q49" s="1">
        <v>1.7</v>
      </c>
      <c r="R49" s="1">
        <v>19.399999999999999</v>
      </c>
      <c r="S49" s="1">
        <v>14</v>
      </c>
      <c r="T49" s="1"/>
      <c r="U49" s="1">
        <v>-0.5</v>
      </c>
      <c r="V49" s="1">
        <v>0.7</v>
      </c>
      <c r="W49" s="1">
        <v>0.2</v>
      </c>
      <c r="X49" s="1">
        <v>1.0999999999999999E-2</v>
      </c>
      <c r="Y49" s="1"/>
      <c r="Z49" s="1">
        <v>-3.4</v>
      </c>
      <c r="AA49" s="1">
        <v>1</v>
      </c>
      <c r="AB49" s="1">
        <v>-2.4</v>
      </c>
      <c r="AC49" s="1">
        <v>-0.1</v>
      </c>
      <c r="AD49">
        <f>Advanced_Table[[#This Row],[VORP]]*82/Advanced_Table[[#This Row],[G]]</f>
        <v>-0.19069767441860466</v>
      </c>
    </row>
    <row r="50" spans="1:30" x14ac:dyDescent="0.25">
      <c r="A50" s="1">
        <v>39</v>
      </c>
      <c r="B50" s="1" t="s">
        <v>769</v>
      </c>
      <c r="C50" s="1" t="s">
        <v>303</v>
      </c>
      <c r="D50" s="1">
        <v>22</v>
      </c>
      <c r="E50" s="1" t="s">
        <v>957</v>
      </c>
      <c r="F50" s="1">
        <v>16</v>
      </c>
      <c r="G50" s="1">
        <v>286</v>
      </c>
      <c r="H50" s="1">
        <v>11</v>
      </c>
      <c r="I50" s="1">
        <v>0.54500000000000004</v>
      </c>
      <c r="J50" s="1">
        <v>0.46700000000000003</v>
      </c>
      <c r="K50" s="1">
        <v>0.152</v>
      </c>
      <c r="L50" s="1">
        <v>5.9</v>
      </c>
      <c r="M50" s="1">
        <v>21.1</v>
      </c>
      <c r="N50" s="1">
        <v>13.5</v>
      </c>
      <c r="O50" s="1">
        <v>14.4</v>
      </c>
      <c r="P50" s="1">
        <v>0.7</v>
      </c>
      <c r="Q50" s="1">
        <v>2.8</v>
      </c>
      <c r="R50" s="1">
        <v>17.600000000000001</v>
      </c>
      <c r="S50" s="1">
        <v>17.7</v>
      </c>
      <c r="T50" s="1"/>
      <c r="U50" s="1">
        <v>0</v>
      </c>
      <c r="V50" s="1">
        <v>0.3</v>
      </c>
      <c r="W50" s="1">
        <v>0.3</v>
      </c>
      <c r="X50" s="1">
        <v>5.2999999999999999E-2</v>
      </c>
      <c r="Y50" s="1"/>
      <c r="Z50" s="1">
        <v>-3.1</v>
      </c>
      <c r="AA50" s="1">
        <v>0.4</v>
      </c>
      <c r="AB50" s="1">
        <v>-2.7</v>
      </c>
      <c r="AC50" s="1">
        <v>0</v>
      </c>
      <c r="AD50">
        <f>Advanced_Table[[#This Row],[VORP]]*82/Advanced_Table[[#This Row],[G]]</f>
        <v>0</v>
      </c>
    </row>
    <row r="51" spans="1:30" x14ac:dyDescent="0.25">
      <c r="A51" s="1">
        <v>39</v>
      </c>
      <c r="B51" s="1" t="s">
        <v>769</v>
      </c>
      <c r="C51" s="1" t="s">
        <v>303</v>
      </c>
      <c r="D51" s="1">
        <v>22</v>
      </c>
      <c r="E51" s="1" t="s">
        <v>307</v>
      </c>
      <c r="F51" s="1">
        <v>7</v>
      </c>
      <c r="G51" s="1">
        <v>91</v>
      </c>
      <c r="H51" s="1">
        <v>8.5</v>
      </c>
      <c r="I51" s="1">
        <v>0.58199999999999996</v>
      </c>
      <c r="J51" s="1">
        <v>0.42899999999999999</v>
      </c>
      <c r="K51" s="1">
        <v>0.14299999999999999</v>
      </c>
      <c r="L51" s="1">
        <v>0</v>
      </c>
      <c r="M51" s="1">
        <v>20.5</v>
      </c>
      <c r="N51" s="1">
        <v>10.9</v>
      </c>
      <c r="O51" s="1">
        <v>12.5</v>
      </c>
      <c r="P51" s="1">
        <v>0</v>
      </c>
      <c r="Q51" s="1">
        <v>4.8</v>
      </c>
      <c r="R51" s="1">
        <v>18.3</v>
      </c>
      <c r="S51" s="1">
        <v>12.4</v>
      </c>
      <c r="T51" s="1"/>
      <c r="U51" s="1">
        <v>0</v>
      </c>
      <c r="V51" s="1">
        <v>0.2</v>
      </c>
      <c r="W51" s="1">
        <v>0.2</v>
      </c>
      <c r="X51" s="1">
        <v>0.11</v>
      </c>
      <c r="Y51" s="1"/>
      <c r="Z51" s="1">
        <v>-4.2</v>
      </c>
      <c r="AA51" s="1">
        <v>2.8</v>
      </c>
      <c r="AB51" s="1">
        <v>-1.4</v>
      </c>
      <c r="AC51" s="1">
        <v>0</v>
      </c>
      <c r="AD51">
        <f>Advanced_Table[[#This Row],[VORP]]*82/Advanced_Table[[#This Row],[G]]</f>
        <v>0</v>
      </c>
    </row>
    <row r="52" spans="1:30" x14ac:dyDescent="0.25">
      <c r="A52" s="1">
        <v>39</v>
      </c>
      <c r="B52" s="1" t="s">
        <v>769</v>
      </c>
      <c r="C52" s="1" t="s">
        <v>303</v>
      </c>
      <c r="D52" s="1">
        <v>22</v>
      </c>
      <c r="E52" s="1" t="s">
        <v>369</v>
      </c>
      <c r="F52" s="1">
        <v>9</v>
      </c>
      <c r="G52" s="1">
        <v>195</v>
      </c>
      <c r="H52" s="1">
        <v>12.1</v>
      </c>
      <c r="I52" s="1">
        <v>0.53400000000000003</v>
      </c>
      <c r="J52" s="1">
        <v>0.47899999999999998</v>
      </c>
      <c r="K52" s="1">
        <v>0.155</v>
      </c>
      <c r="L52" s="1">
        <v>8.6</v>
      </c>
      <c r="M52" s="1">
        <v>21.3</v>
      </c>
      <c r="N52" s="1">
        <v>14.7</v>
      </c>
      <c r="O52" s="1">
        <v>15.2</v>
      </c>
      <c r="P52" s="1">
        <v>1</v>
      </c>
      <c r="Q52" s="1">
        <v>1.8</v>
      </c>
      <c r="R52" s="1">
        <v>17.399999999999999</v>
      </c>
      <c r="S52" s="1">
        <v>20.100000000000001</v>
      </c>
      <c r="T52" s="1"/>
      <c r="U52" s="1">
        <v>0</v>
      </c>
      <c r="V52" s="1">
        <v>0.1</v>
      </c>
      <c r="W52" s="1">
        <v>0.1</v>
      </c>
      <c r="X52" s="1">
        <v>2.7E-2</v>
      </c>
      <c r="Y52" s="1"/>
      <c r="Z52" s="1">
        <v>-2.6</v>
      </c>
      <c r="AA52" s="1">
        <v>-0.7</v>
      </c>
      <c r="AB52" s="1">
        <v>-3.3</v>
      </c>
      <c r="AC52" s="1">
        <v>-0.1</v>
      </c>
      <c r="AD52">
        <f>Advanced_Table[[#This Row],[VORP]]*82/Advanced_Table[[#This Row],[G]]</f>
        <v>-0.9111111111111112</v>
      </c>
    </row>
    <row r="53" spans="1:30" x14ac:dyDescent="0.25">
      <c r="A53" s="1">
        <v>40</v>
      </c>
      <c r="B53" s="1" t="s">
        <v>348</v>
      </c>
      <c r="C53" s="1" t="s">
        <v>23</v>
      </c>
      <c r="D53" s="1">
        <v>27</v>
      </c>
      <c r="E53" s="1" t="s">
        <v>342</v>
      </c>
      <c r="F53" s="1">
        <v>54</v>
      </c>
      <c r="G53" s="1">
        <v>1583</v>
      </c>
      <c r="H53" s="1">
        <v>15.5</v>
      </c>
      <c r="I53" s="1">
        <v>0.628</v>
      </c>
      <c r="J53" s="1">
        <v>0.77400000000000002</v>
      </c>
      <c r="K53" s="1">
        <v>0.2</v>
      </c>
      <c r="L53" s="1">
        <v>2.2999999999999998</v>
      </c>
      <c r="M53" s="1">
        <v>15.1</v>
      </c>
      <c r="N53" s="1">
        <v>8.5</v>
      </c>
      <c r="O53" s="1">
        <v>8.3000000000000007</v>
      </c>
      <c r="P53" s="1">
        <v>1.1000000000000001</v>
      </c>
      <c r="Q53" s="1">
        <v>1.8</v>
      </c>
      <c r="R53" s="1">
        <v>8.1999999999999993</v>
      </c>
      <c r="S53" s="1">
        <v>19</v>
      </c>
      <c r="T53" s="1"/>
      <c r="U53" s="1">
        <v>3</v>
      </c>
      <c r="V53" s="1">
        <v>0.5</v>
      </c>
      <c r="W53" s="1">
        <v>3.5</v>
      </c>
      <c r="X53" s="1">
        <v>0.105</v>
      </c>
      <c r="Y53" s="1"/>
      <c r="Z53" s="1">
        <v>2.7</v>
      </c>
      <c r="AA53" s="1">
        <v>-1.9</v>
      </c>
      <c r="AB53" s="1">
        <v>0.9</v>
      </c>
      <c r="AC53" s="1">
        <v>1.1000000000000001</v>
      </c>
      <c r="AD53">
        <f>Advanced_Table[[#This Row],[VORP]]*82/Advanced_Table[[#This Row],[G]]</f>
        <v>1.6703703703703705</v>
      </c>
    </row>
    <row r="54" spans="1:30" x14ac:dyDescent="0.25">
      <c r="A54" s="1">
        <v>41</v>
      </c>
      <c r="B54" s="1" t="s">
        <v>349</v>
      </c>
      <c r="C54" s="1" t="s">
        <v>316</v>
      </c>
      <c r="D54" s="1">
        <v>31</v>
      </c>
      <c r="E54" s="1" t="s">
        <v>350</v>
      </c>
      <c r="F54" s="1">
        <v>48</v>
      </c>
      <c r="G54" s="1">
        <v>1299</v>
      </c>
      <c r="H54" s="1">
        <v>12.3</v>
      </c>
      <c r="I54" s="1">
        <v>0.55400000000000005</v>
      </c>
      <c r="J54" s="1">
        <v>0.60899999999999999</v>
      </c>
      <c r="K54" s="1">
        <v>0.126</v>
      </c>
      <c r="L54" s="1">
        <v>4.5999999999999996</v>
      </c>
      <c r="M54" s="1">
        <v>15.7</v>
      </c>
      <c r="N54" s="1">
        <v>10.3</v>
      </c>
      <c r="O54" s="1">
        <v>18.2</v>
      </c>
      <c r="P54" s="1">
        <v>1.9</v>
      </c>
      <c r="Q54" s="1">
        <v>1.7</v>
      </c>
      <c r="R54" s="1">
        <v>15.7</v>
      </c>
      <c r="S54" s="1">
        <v>13</v>
      </c>
      <c r="T54" s="1"/>
      <c r="U54" s="1">
        <v>1.4</v>
      </c>
      <c r="V54" s="1">
        <v>2</v>
      </c>
      <c r="W54" s="1">
        <v>3.4</v>
      </c>
      <c r="X54" s="1">
        <v>0.126</v>
      </c>
      <c r="Y54" s="1"/>
      <c r="Z54" s="1">
        <v>-0.5</v>
      </c>
      <c r="AA54" s="1">
        <v>2.5</v>
      </c>
      <c r="AB54" s="1">
        <v>2</v>
      </c>
      <c r="AC54" s="1">
        <v>1.3</v>
      </c>
      <c r="AD54">
        <f>Advanced_Table[[#This Row],[VORP]]*82/Advanced_Table[[#This Row],[G]]</f>
        <v>2.2208333333333337</v>
      </c>
    </row>
    <row r="55" spans="1:30" x14ac:dyDescent="0.25">
      <c r="A55" s="1">
        <v>42</v>
      </c>
      <c r="B55" s="1" t="s">
        <v>351</v>
      </c>
      <c r="C55" s="1" t="s">
        <v>287</v>
      </c>
      <c r="D55" s="1">
        <v>27</v>
      </c>
      <c r="E55" s="1" t="s">
        <v>301</v>
      </c>
      <c r="F55" s="1">
        <v>40</v>
      </c>
      <c r="G55" s="1">
        <v>777</v>
      </c>
      <c r="H55" s="1">
        <v>10.1</v>
      </c>
      <c r="I55" s="1">
        <v>0.52900000000000003</v>
      </c>
      <c r="J55" s="1">
        <v>8.9999999999999993E-3</v>
      </c>
      <c r="K55" s="1">
        <v>0.58299999999999996</v>
      </c>
      <c r="L55" s="1">
        <v>9.3000000000000007</v>
      </c>
      <c r="M55" s="1">
        <v>15.7</v>
      </c>
      <c r="N55" s="1">
        <v>12.4</v>
      </c>
      <c r="O55" s="1">
        <v>6.1</v>
      </c>
      <c r="P55" s="1">
        <v>1</v>
      </c>
      <c r="Q55" s="1">
        <v>2.4</v>
      </c>
      <c r="R55" s="1">
        <v>13.7</v>
      </c>
      <c r="S55" s="1">
        <v>9.3000000000000007</v>
      </c>
      <c r="T55" s="1"/>
      <c r="U55" s="1">
        <v>0.7</v>
      </c>
      <c r="V55" s="1">
        <v>0.8</v>
      </c>
      <c r="W55" s="1">
        <v>1.5</v>
      </c>
      <c r="X55" s="1">
        <v>9.1999999999999998E-2</v>
      </c>
      <c r="Y55" s="1"/>
      <c r="Z55" s="1">
        <v>-3.4</v>
      </c>
      <c r="AA55" s="1">
        <v>0.3</v>
      </c>
      <c r="AB55" s="1">
        <v>-3.1</v>
      </c>
      <c r="AC55" s="1">
        <v>-0.2</v>
      </c>
      <c r="AD55">
        <f>Advanced_Table[[#This Row],[VORP]]*82/Advanced_Table[[#This Row],[G]]</f>
        <v>-0.41000000000000003</v>
      </c>
    </row>
    <row r="56" spans="1:30" x14ac:dyDescent="0.25">
      <c r="A56" s="1">
        <v>43</v>
      </c>
      <c r="B56" s="1" t="s">
        <v>352</v>
      </c>
      <c r="C56" s="1" t="s">
        <v>287</v>
      </c>
      <c r="D56" s="1">
        <v>20</v>
      </c>
      <c r="E56" s="1" t="s">
        <v>353</v>
      </c>
      <c r="F56" s="1">
        <v>49</v>
      </c>
      <c r="G56" s="1">
        <v>410</v>
      </c>
      <c r="H56" s="1">
        <v>12.3</v>
      </c>
      <c r="I56" s="1">
        <v>0.53</v>
      </c>
      <c r="J56" s="1">
        <v>0.27900000000000003</v>
      </c>
      <c r="K56" s="1">
        <v>0.25600000000000001</v>
      </c>
      <c r="L56" s="1">
        <v>6</v>
      </c>
      <c r="M56" s="1">
        <v>19.8</v>
      </c>
      <c r="N56" s="1">
        <v>12.9</v>
      </c>
      <c r="O56" s="1">
        <v>7.1</v>
      </c>
      <c r="P56" s="1">
        <v>0.7</v>
      </c>
      <c r="Q56" s="1">
        <v>6.9</v>
      </c>
      <c r="R56" s="1">
        <v>14.8</v>
      </c>
      <c r="S56" s="1">
        <v>18.100000000000001</v>
      </c>
      <c r="T56" s="1"/>
      <c r="U56" s="1">
        <v>-0.1</v>
      </c>
      <c r="V56" s="1">
        <v>0.7</v>
      </c>
      <c r="W56" s="1">
        <v>0.6</v>
      </c>
      <c r="X56" s="1">
        <v>6.9000000000000006E-2</v>
      </c>
      <c r="Y56" s="1"/>
      <c r="Z56" s="1">
        <v>-4</v>
      </c>
      <c r="AA56" s="1">
        <v>1.4</v>
      </c>
      <c r="AB56" s="1">
        <v>-2.5</v>
      </c>
      <c r="AC56" s="1">
        <v>-0.1</v>
      </c>
      <c r="AD56">
        <f>Advanced_Table[[#This Row],[VORP]]*82/Advanced_Table[[#This Row],[G]]</f>
        <v>-0.16734693877551021</v>
      </c>
    </row>
    <row r="57" spans="1:30" x14ac:dyDescent="0.25">
      <c r="A57" s="1">
        <v>44</v>
      </c>
      <c r="B57" s="1" t="s">
        <v>354</v>
      </c>
      <c r="C57" s="1" t="s">
        <v>287</v>
      </c>
      <c r="D57" s="1">
        <v>27</v>
      </c>
      <c r="E57" s="1" t="s">
        <v>324</v>
      </c>
      <c r="F57" s="1">
        <v>52</v>
      </c>
      <c r="G57" s="1">
        <v>1018</v>
      </c>
      <c r="H57" s="1">
        <v>16.2</v>
      </c>
      <c r="I57" s="1">
        <v>0.57099999999999995</v>
      </c>
      <c r="J57" s="1">
        <v>0</v>
      </c>
      <c r="K57" s="1">
        <v>0.54700000000000004</v>
      </c>
      <c r="L57" s="1">
        <v>12.4</v>
      </c>
      <c r="M57" s="1">
        <v>20.7</v>
      </c>
      <c r="N57" s="1">
        <v>16.399999999999999</v>
      </c>
      <c r="O57" s="1">
        <v>7.9</v>
      </c>
      <c r="P57" s="1">
        <v>0.5</v>
      </c>
      <c r="Q57" s="1">
        <v>4.4000000000000004</v>
      </c>
      <c r="R57" s="1">
        <v>12.3</v>
      </c>
      <c r="S57" s="1">
        <v>16.899999999999999</v>
      </c>
      <c r="T57" s="1"/>
      <c r="U57" s="1">
        <v>1.5</v>
      </c>
      <c r="V57" s="1">
        <v>0.9</v>
      </c>
      <c r="W57" s="1">
        <v>2.4</v>
      </c>
      <c r="X57" s="1">
        <v>0.113</v>
      </c>
      <c r="Y57" s="1"/>
      <c r="Z57" s="1">
        <v>-1.8</v>
      </c>
      <c r="AA57" s="1">
        <v>-0.8</v>
      </c>
      <c r="AB57" s="1">
        <v>-2.6</v>
      </c>
      <c r="AC57" s="1">
        <v>-0.1</v>
      </c>
      <c r="AD57">
        <f>Advanced_Table[[#This Row],[VORP]]*82/Advanced_Table[[#This Row],[G]]</f>
        <v>-0.15769230769230771</v>
      </c>
    </row>
    <row r="58" spans="1:30" x14ac:dyDescent="0.25">
      <c r="A58" s="1">
        <v>45</v>
      </c>
      <c r="B58" s="1" t="s">
        <v>355</v>
      </c>
      <c r="C58" s="1" t="s">
        <v>23</v>
      </c>
      <c r="D58" s="1">
        <v>31</v>
      </c>
      <c r="E58" s="1" t="s">
        <v>319</v>
      </c>
      <c r="F58" s="1">
        <v>64</v>
      </c>
      <c r="G58" s="1">
        <v>1821</v>
      </c>
      <c r="H58" s="1">
        <v>15.6</v>
      </c>
      <c r="I58" s="1">
        <v>0.59699999999999998</v>
      </c>
      <c r="J58" s="1">
        <v>0.48799999999999999</v>
      </c>
      <c r="K58" s="1">
        <v>0.121</v>
      </c>
      <c r="L58" s="1">
        <v>6.5</v>
      </c>
      <c r="M58" s="1">
        <v>19.399999999999999</v>
      </c>
      <c r="N58" s="1">
        <v>12.8</v>
      </c>
      <c r="O58" s="1">
        <v>14.6</v>
      </c>
      <c r="P58" s="1">
        <v>1.4</v>
      </c>
      <c r="Q58" s="1">
        <v>1.7</v>
      </c>
      <c r="R58" s="1">
        <v>12.6</v>
      </c>
      <c r="S58" s="1">
        <v>17.399999999999999</v>
      </c>
      <c r="T58" s="1"/>
      <c r="U58" s="1">
        <v>3</v>
      </c>
      <c r="V58" s="1">
        <v>1.7</v>
      </c>
      <c r="W58" s="1">
        <v>4.7</v>
      </c>
      <c r="X58" s="1">
        <v>0.125</v>
      </c>
      <c r="Y58" s="1"/>
      <c r="Z58" s="1">
        <v>1.3</v>
      </c>
      <c r="AA58" s="1">
        <v>0.2</v>
      </c>
      <c r="AB58" s="1">
        <v>1.5</v>
      </c>
      <c r="AC58" s="1">
        <v>1.6</v>
      </c>
      <c r="AD58">
        <f>Advanced_Table[[#This Row],[VORP]]*82/Advanced_Table[[#This Row],[G]]</f>
        <v>2.0500000000000003</v>
      </c>
    </row>
    <row r="59" spans="1:30" x14ac:dyDescent="0.25">
      <c r="A59" s="1">
        <v>46</v>
      </c>
      <c r="B59" s="1" t="s">
        <v>356</v>
      </c>
      <c r="C59" s="1" t="s">
        <v>316</v>
      </c>
      <c r="D59" s="1">
        <v>30</v>
      </c>
      <c r="E59" s="1" t="s">
        <v>307</v>
      </c>
      <c r="F59" s="1">
        <v>56</v>
      </c>
      <c r="G59" s="1">
        <v>1524</v>
      </c>
      <c r="H59" s="1">
        <v>18.2</v>
      </c>
      <c r="I59" s="1">
        <v>0.57899999999999996</v>
      </c>
      <c r="J59" s="1">
        <v>0.30399999999999999</v>
      </c>
      <c r="K59" s="1">
        <v>0.29199999999999998</v>
      </c>
      <c r="L59" s="1">
        <v>2.8</v>
      </c>
      <c r="M59" s="1">
        <v>13.3</v>
      </c>
      <c r="N59" s="1">
        <v>8.4</v>
      </c>
      <c r="O59" s="1">
        <v>28.5</v>
      </c>
      <c r="P59" s="1">
        <v>1.6</v>
      </c>
      <c r="Q59" s="1">
        <v>1.4</v>
      </c>
      <c r="R59" s="1">
        <v>15.8</v>
      </c>
      <c r="S59" s="1">
        <v>24</v>
      </c>
      <c r="T59" s="1"/>
      <c r="U59" s="1">
        <v>2.4</v>
      </c>
      <c r="V59" s="1">
        <v>2.9</v>
      </c>
      <c r="W59" s="1">
        <v>5.3</v>
      </c>
      <c r="X59" s="1">
        <v>0.16800000000000001</v>
      </c>
      <c r="Y59" s="1"/>
      <c r="Z59" s="1">
        <v>1.2</v>
      </c>
      <c r="AA59" s="1">
        <v>1</v>
      </c>
      <c r="AB59" s="1">
        <v>2.2000000000000002</v>
      </c>
      <c r="AC59" s="1">
        <v>1.6</v>
      </c>
      <c r="AD59">
        <f>Advanced_Table[[#This Row],[VORP]]*82/Advanced_Table[[#This Row],[G]]</f>
        <v>2.342857142857143</v>
      </c>
    </row>
    <row r="60" spans="1:30" x14ac:dyDescent="0.25">
      <c r="A60" s="1">
        <v>47</v>
      </c>
      <c r="B60" s="1" t="s">
        <v>357</v>
      </c>
      <c r="C60" s="1" t="s">
        <v>294</v>
      </c>
      <c r="D60" s="1">
        <v>27</v>
      </c>
      <c r="E60" s="1" t="s">
        <v>319</v>
      </c>
      <c r="F60" s="1">
        <v>53</v>
      </c>
      <c r="G60" s="1">
        <v>1510</v>
      </c>
      <c r="H60" s="1">
        <v>14.3</v>
      </c>
      <c r="I60" s="1">
        <v>0.56000000000000005</v>
      </c>
      <c r="J60" s="1">
        <v>0.59499999999999997</v>
      </c>
      <c r="K60" s="1">
        <v>0.16400000000000001</v>
      </c>
      <c r="L60" s="1">
        <v>1.2</v>
      </c>
      <c r="M60" s="1">
        <v>11.8</v>
      </c>
      <c r="N60" s="1">
        <v>6.4</v>
      </c>
      <c r="O60" s="1">
        <v>17.2</v>
      </c>
      <c r="P60" s="1">
        <v>1.7</v>
      </c>
      <c r="Q60" s="1">
        <v>0.9</v>
      </c>
      <c r="R60" s="1">
        <v>11.5</v>
      </c>
      <c r="S60" s="1">
        <v>22.3</v>
      </c>
      <c r="T60" s="1"/>
      <c r="U60" s="1">
        <v>1.2</v>
      </c>
      <c r="V60" s="1">
        <v>1.1000000000000001</v>
      </c>
      <c r="W60" s="1">
        <v>2.4</v>
      </c>
      <c r="X60" s="1">
        <v>7.4999999999999997E-2</v>
      </c>
      <c r="Y60" s="1"/>
      <c r="Z60" s="1">
        <v>0.7</v>
      </c>
      <c r="AA60" s="1">
        <v>-0.3</v>
      </c>
      <c r="AB60" s="1">
        <v>0.4</v>
      </c>
      <c r="AC60" s="1">
        <v>0.9</v>
      </c>
      <c r="AD60">
        <f>Advanced_Table[[#This Row],[VORP]]*82/Advanced_Table[[#This Row],[G]]</f>
        <v>1.3924528301886792</v>
      </c>
    </row>
    <row r="61" spans="1:30" x14ac:dyDescent="0.25">
      <c r="A61" s="1">
        <v>48</v>
      </c>
      <c r="B61" s="1" t="s">
        <v>358</v>
      </c>
      <c r="C61" s="1" t="s">
        <v>303</v>
      </c>
      <c r="D61" s="1">
        <v>30</v>
      </c>
      <c r="E61" s="1" t="s">
        <v>359</v>
      </c>
      <c r="F61" s="1">
        <v>63</v>
      </c>
      <c r="G61" s="1">
        <v>2083</v>
      </c>
      <c r="H61" s="1">
        <v>15.7</v>
      </c>
      <c r="I61" s="1">
        <v>0.60299999999999998</v>
      </c>
      <c r="J61" s="1">
        <v>0.48899999999999999</v>
      </c>
      <c r="K61" s="1">
        <v>0.29599999999999999</v>
      </c>
      <c r="L61" s="1">
        <v>2.2000000000000002</v>
      </c>
      <c r="M61" s="1">
        <v>11.1</v>
      </c>
      <c r="N61" s="1">
        <v>6.8</v>
      </c>
      <c r="O61" s="1">
        <v>9.9</v>
      </c>
      <c r="P61" s="1">
        <v>0.8</v>
      </c>
      <c r="Q61" s="1">
        <v>0.3</v>
      </c>
      <c r="R61" s="1">
        <v>13.1</v>
      </c>
      <c r="S61" s="1">
        <v>25.6</v>
      </c>
      <c r="T61" s="1"/>
      <c r="U61" s="1">
        <v>2.7</v>
      </c>
      <c r="V61" s="1">
        <v>1.6</v>
      </c>
      <c r="W61" s="1">
        <v>4.3</v>
      </c>
      <c r="X61" s="1">
        <v>0.1</v>
      </c>
      <c r="Y61" s="1"/>
      <c r="Z61" s="1">
        <v>1.7</v>
      </c>
      <c r="AA61" s="1">
        <v>-1.5</v>
      </c>
      <c r="AB61" s="1">
        <v>0.2</v>
      </c>
      <c r="AC61" s="1">
        <v>1.1000000000000001</v>
      </c>
      <c r="AD61">
        <f>Advanced_Table[[#This Row],[VORP]]*82/Advanced_Table[[#This Row],[G]]</f>
        <v>1.4317460317460318</v>
      </c>
    </row>
    <row r="62" spans="1:30" x14ac:dyDescent="0.25">
      <c r="A62" s="1">
        <v>49</v>
      </c>
      <c r="B62" s="1" t="s">
        <v>360</v>
      </c>
      <c r="C62" s="1" t="s">
        <v>23</v>
      </c>
      <c r="D62" s="1">
        <v>24</v>
      </c>
      <c r="E62" s="1" t="s">
        <v>957</v>
      </c>
      <c r="F62" s="1">
        <v>7</v>
      </c>
      <c r="G62" s="1">
        <v>47</v>
      </c>
      <c r="H62" s="1">
        <v>4.9000000000000004</v>
      </c>
      <c r="I62" s="1">
        <v>0.39200000000000002</v>
      </c>
      <c r="J62" s="1">
        <v>0.36399999999999999</v>
      </c>
      <c r="K62" s="1">
        <v>0.36399999999999999</v>
      </c>
      <c r="L62" s="1">
        <v>7</v>
      </c>
      <c r="M62" s="1">
        <v>14.4</v>
      </c>
      <c r="N62" s="1">
        <v>10.6</v>
      </c>
      <c r="O62" s="1">
        <v>0</v>
      </c>
      <c r="P62" s="1">
        <v>3</v>
      </c>
      <c r="Q62" s="1">
        <v>3.7</v>
      </c>
      <c r="R62" s="1">
        <v>13.6</v>
      </c>
      <c r="S62" s="1">
        <v>13.4</v>
      </c>
      <c r="T62" s="1"/>
      <c r="U62" s="1">
        <v>-0.1</v>
      </c>
      <c r="V62" s="1">
        <v>0.1</v>
      </c>
      <c r="W62" s="1">
        <v>0</v>
      </c>
      <c r="X62" s="1">
        <v>-8.0000000000000002E-3</v>
      </c>
      <c r="Y62" s="1"/>
      <c r="Z62" s="1">
        <v>-8.6999999999999993</v>
      </c>
      <c r="AA62" s="1">
        <v>-0.1</v>
      </c>
      <c r="AB62" s="1">
        <v>-8.9</v>
      </c>
      <c r="AC62" s="1">
        <v>-0.1</v>
      </c>
      <c r="AD62">
        <f>Advanced_Table[[#This Row],[VORP]]*82/Advanced_Table[[#This Row],[G]]</f>
        <v>-1.1714285714285715</v>
      </c>
    </row>
    <row r="63" spans="1:30" x14ac:dyDescent="0.25">
      <c r="A63" s="1">
        <v>49</v>
      </c>
      <c r="B63" s="1" t="s">
        <v>360</v>
      </c>
      <c r="C63" s="1" t="s">
        <v>23</v>
      </c>
      <c r="D63" s="1">
        <v>24</v>
      </c>
      <c r="E63" s="1" t="s">
        <v>361</v>
      </c>
      <c r="F63" s="1">
        <v>4</v>
      </c>
      <c r="G63" s="1">
        <v>14</v>
      </c>
      <c r="H63" s="1">
        <v>-2</v>
      </c>
      <c r="I63" s="1">
        <v>0.51500000000000001</v>
      </c>
      <c r="J63" s="1">
        <v>0.33300000000000002</v>
      </c>
      <c r="K63" s="1">
        <v>0.66700000000000004</v>
      </c>
      <c r="L63" s="1">
        <v>0</v>
      </c>
      <c r="M63" s="1">
        <v>7.9</v>
      </c>
      <c r="N63" s="1">
        <v>3.9</v>
      </c>
      <c r="O63" s="1">
        <v>0</v>
      </c>
      <c r="P63" s="1">
        <v>3.5</v>
      </c>
      <c r="Q63" s="1">
        <v>0</v>
      </c>
      <c r="R63" s="1">
        <v>34</v>
      </c>
      <c r="S63" s="1">
        <v>18.100000000000001</v>
      </c>
      <c r="T63" s="1"/>
      <c r="U63" s="1">
        <v>-0.1</v>
      </c>
      <c r="V63" s="1">
        <v>0</v>
      </c>
      <c r="W63" s="1">
        <v>0</v>
      </c>
      <c r="X63" s="1">
        <v>-0.14699999999999999</v>
      </c>
      <c r="Y63" s="1"/>
      <c r="Z63" s="1">
        <v>-14</v>
      </c>
      <c r="AA63" s="1">
        <v>-0.7</v>
      </c>
      <c r="AB63" s="1">
        <v>-14.7</v>
      </c>
      <c r="AC63" s="1">
        <v>0</v>
      </c>
      <c r="AD63">
        <f>Advanced_Table[[#This Row],[VORP]]*82/Advanced_Table[[#This Row],[G]]</f>
        <v>0</v>
      </c>
    </row>
    <row r="64" spans="1:30" x14ac:dyDescent="0.25">
      <c r="A64" s="1">
        <v>49</v>
      </c>
      <c r="B64" s="1" t="s">
        <v>360</v>
      </c>
      <c r="C64" s="1" t="s">
        <v>23</v>
      </c>
      <c r="D64" s="1">
        <v>24</v>
      </c>
      <c r="E64" s="1" t="s">
        <v>322</v>
      </c>
      <c r="F64" s="1">
        <v>3</v>
      </c>
      <c r="G64" s="1">
        <v>33</v>
      </c>
      <c r="H64" s="1">
        <v>7.9</v>
      </c>
      <c r="I64" s="1">
        <v>0.33800000000000002</v>
      </c>
      <c r="J64" s="1">
        <v>0.375</v>
      </c>
      <c r="K64" s="1">
        <v>0.25</v>
      </c>
      <c r="L64" s="1">
        <v>9.9</v>
      </c>
      <c r="M64" s="1">
        <v>17.2</v>
      </c>
      <c r="N64" s="1">
        <v>13.5</v>
      </c>
      <c r="O64" s="1">
        <v>0</v>
      </c>
      <c r="P64" s="1">
        <v>2.9</v>
      </c>
      <c r="Q64" s="1">
        <v>5.3</v>
      </c>
      <c r="R64" s="1">
        <v>0</v>
      </c>
      <c r="S64" s="1">
        <v>11.4</v>
      </c>
      <c r="T64" s="1"/>
      <c r="U64" s="1">
        <v>0</v>
      </c>
      <c r="V64" s="1">
        <v>0.1</v>
      </c>
      <c r="W64" s="1">
        <v>0</v>
      </c>
      <c r="X64" s="1">
        <v>5.0999999999999997E-2</v>
      </c>
      <c r="Y64" s="1"/>
      <c r="Z64" s="1">
        <v>-6.5</v>
      </c>
      <c r="AA64" s="1">
        <v>0.1</v>
      </c>
      <c r="AB64" s="1">
        <v>-6.4</v>
      </c>
      <c r="AC64" s="1">
        <v>0</v>
      </c>
      <c r="AD64">
        <f>Advanced_Table[[#This Row],[VORP]]*82/Advanced_Table[[#This Row],[G]]</f>
        <v>0</v>
      </c>
    </row>
    <row r="65" spans="1:30" x14ac:dyDescent="0.25">
      <c r="A65" s="1">
        <v>50</v>
      </c>
      <c r="B65" s="1" t="s">
        <v>1364</v>
      </c>
      <c r="C65" s="1" t="s">
        <v>287</v>
      </c>
      <c r="D65" s="1">
        <v>21</v>
      </c>
      <c r="E65" s="1" t="s">
        <v>411</v>
      </c>
      <c r="F65" s="1">
        <v>1</v>
      </c>
      <c r="G65" s="1">
        <v>3</v>
      </c>
      <c r="H65" s="1">
        <v>19.8</v>
      </c>
      <c r="I65" s="1"/>
      <c r="J65" s="1"/>
      <c r="K65" s="1"/>
      <c r="L65" s="1">
        <v>0</v>
      </c>
      <c r="M65" s="1">
        <v>74.7</v>
      </c>
      <c r="N65" s="1">
        <v>37</v>
      </c>
      <c r="O65" s="1">
        <v>0</v>
      </c>
      <c r="P65" s="1">
        <v>16.2</v>
      </c>
      <c r="Q65" s="1">
        <v>0</v>
      </c>
      <c r="R65" s="1"/>
      <c r="S65" s="1">
        <v>0</v>
      </c>
      <c r="T65" s="1"/>
      <c r="U65" s="1">
        <v>0</v>
      </c>
      <c r="V65" s="1">
        <v>0</v>
      </c>
      <c r="W65" s="1">
        <v>0</v>
      </c>
      <c r="X65" s="1">
        <v>0.28199999999999997</v>
      </c>
      <c r="Y65" s="1"/>
      <c r="Z65" s="1">
        <v>-5.9</v>
      </c>
      <c r="AA65" s="1">
        <v>11.2</v>
      </c>
      <c r="AB65" s="1">
        <v>5.3</v>
      </c>
      <c r="AC65" s="1">
        <v>0</v>
      </c>
      <c r="AD65">
        <f>Advanced_Table[[#This Row],[VORP]]*82/Advanced_Table[[#This Row],[G]]</f>
        <v>0</v>
      </c>
    </row>
    <row r="66" spans="1:30" x14ac:dyDescent="0.25">
      <c r="A66" s="1">
        <v>51</v>
      </c>
      <c r="B66" s="1" t="s">
        <v>362</v>
      </c>
      <c r="C66" s="1" t="s">
        <v>316</v>
      </c>
      <c r="D66" s="1">
        <v>22</v>
      </c>
      <c r="E66" s="1" t="s">
        <v>363</v>
      </c>
      <c r="F66" s="1">
        <v>10</v>
      </c>
      <c r="G66" s="1">
        <v>53</v>
      </c>
      <c r="H66" s="1">
        <v>0.8</v>
      </c>
      <c r="I66" s="1">
        <v>0.3</v>
      </c>
      <c r="J66" s="1">
        <v>0.5</v>
      </c>
      <c r="K66" s="1">
        <v>0</v>
      </c>
      <c r="L66" s="1">
        <v>0</v>
      </c>
      <c r="M66" s="1">
        <v>8.6999999999999993</v>
      </c>
      <c r="N66" s="1">
        <v>4.3</v>
      </c>
      <c r="O66" s="1">
        <v>21</v>
      </c>
      <c r="P66" s="1">
        <v>0.9</v>
      </c>
      <c r="Q66" s="1">
        <v>0</v>
      </c>
      <c r="R66" s="1">
        <v>9.1</v>
      </c>
      <c r="S66" s="1">
        <v>18.100000000000001</v>
      </c>
      <c r="T66" s="1"/>
      <c r="U66" s="1">
        <v>-0.1</v>
      </c>
      <c r="V66" s="1">
        <v>0</v>
      </c>
      <c r="W66" s="1">
        <v>-0.1</v>
      </c>
      <c r="X66" s="1">
        <v>-0.11600000000000001</v>
      </c>
      <c r="Y66" s="1"/>
      <c r="Z66" s="1">
        <v>-9</v>
      </c>
      <c r="AA66" s="1">
        <v>-2.9</v>
      </c>
      <c r="AB66" s="1">
        <v>-11.9</v>
      </c>
      <c r="AC66" s="1">
        <v>-0.1</v>
      </c>
      <c r="AD66">
        <f>Advanced_Table[[#This Row],[VORP]]*82/Advanced_Table[[#This Row],[G]]</f>
        <v>-0.82000000000000006</v>
      </c>
    </row>
    <row r="67" spans="1:30" x14ac:dyDescent="0.25">
      <c r="A67" s="1">
        <v>52</v>
      </c>
      <c r="B67" s="1" t="s">
        <v>364</v>
      </c>
      <c r="C67" s="1" t="s">
        <v>303</v>
      </c>
      <c r="D67" s="1">
        <v>20</v>
      </c>
      <c r="E67" s="1" t="s">
        <v>342</v>
      </c>
      <c r="F67" s="1">
        <v>58</v>
      </c>
      <c r="G67" s="1">
        <v>1025</v>
      </c>
      <c r="H67" s="1">
        <v>10.7</v>
      </c>
      <c r="I67" s="1">
        <v>0.627</v>
      </c>
      <c r="J67" s="1">
        <v>0.29899999999999999</v>
      </c>
      <c r="K67" s="1">
        <v>0.34799999999999998</v>
      </c>
      <c r="L67" s="1">
        <v>6.3</v>
      </c>
      <c r="M67" s="1">
        <v>13.6</v>
      </c>
      <c r="N67" s="1">
        <v>9.8000000000000007</v>
      </c>
      <c r="O67" s="1">
        <v>7.7</v>
      </c>
      <c r="P67" s="1">
        <v>1.7</v>
      </c>
      <c r="Q67" s="1">
        <v>1.8</v>
      </c>
      <c r="R67" s="1">
        <v>16.2</v>
      </c>
      <c r="S67" s="1">
        <v>10.3</v>
      </c>
      <c r="T67" s="1"/>
      <c r="U67" s="1">
        <v>1.3</v>
      </c>
      <c r="V67" s="1">
        <v>0.4</v>
      </c>
      <c r="W67" s="1">
        <v>1.7</v>
      </c>
      <c r="X67" s="1">
        <v>8.1000000000000003E-2</v>
      </c>
      <c r="Y67" s="1"/>
      <c r="Z67" s="1">
        <v>-2.2999999999999998</v>
      </c>
      <c r="AA67" s="1">
        <v>-0.1</v>
      </c>
      <c r="AB67" s="1">
        <v>-2.4</v>
      </c>
      <c r="AC67" s="1">
        <v>-0.1</v>
      </c>
      <c r="AD67">
        <f>Advanced_Table[[#This Row],[VORP]]*82/Advanced_Table[[#This Row],[G]]</f>
        <v>-0.14137931034482759</v>
      </c>
    </row>
    <row r="68" spans="1:30" x14ac:dyDescent="0.25">
      <c r="A68" s="1">
        <v>53</v>
      </c>
      <c r="B68" s="1" t="s">
        <v>365</v>
      </c>
      <c r="C68" s="1" t="s">
        <v>294</v>
      </c>
      <c r="D68" s="1">
        <v>23</v>
      </c>
      <c r="E68" s="1" t="s">
        <v>322</v>
      </c>
      <c r="F68" s="1">
        <v>62</v>
      </c>
      <c r="G68" s="1">
        <v>2241</v>
      </c>
      <c r="H68" s="1">
        <v>19.8</v>
      </c>
      <c r="I68" s="1">
        <v>0.61699999999999999</v>
      </c>
      <c r="J68" s="1">
        <v>0.313</v>
      </c>
      <c r="K68" s="1">
        <v>0.39500000000000002</v>
      </c>
      <c r="L68" s="1">
        <v>1.3</v>
      </c>
      <c r="M68" s="1">
        <v>11.7</v>
      </c>
      <c r="N68" s="1">
        <v>6.4</v>
      </c>
      <c r="O68" s="1">
        <v>30.2</v>
      </c>
      <c r="P68" s="1">
        <v>1</v>
      </c>
      <c r="Q68" s="1">
        <v>0.6</v>
      </c>
      <c r="R68" s="1">
        <v>15.7</v>
      </c>
      <c r="S68" s="1">
        <v>29.5</v>
      </c>
      <c r="T68" s="1"/>
      <c r="U68" s="1">
        <v>4.8</v>
      </c>
      <c r="V68" s="1">
        <v>1.2</v>
      </c>
      <c r="W68" s="1">
        <v>6</v>
      </c>
      <c r="X68" s="1">
        <v>0.129</v>
      </c>
      <c r="Y68" s="1"/>
      <c r="Z68" s="1">
        <v>3.1</v>
      </c>
      <c r="AA68" s="1">
        <v>-1.4</v>
      </c>
      <c r="AB68" s="1">
        <v>1.8</v>
      </c>
      <c r="AC68" s="1">
        <v>2.1</v>
      </c>
      <c r="AD68">
        <f>Advanced_Table[[#This Row],[VORP]]*82/Advanced_Table[[#This Row],[G]]</f>
        <v>2.7774193548387101</v>
      </c>
    </row>
    <row r="69" spans="1:30" x14ac:dyDescent="0.25">
      <c r="A69" s="1">
        <v>54</v>
      </c>
      <c r="B69" s="1" t="s">
        <v>366</v>
      </c>
      <c r="C69" s="1" t="s">
        <v>23</v>
      </c>
      <c r="D69" s="1">
        <v>27</v>
      </c>
      <c r="E69" s="1" t="s">
        <v>314</v>
      </c>
      <c r="F69" s="1">
        <v>55</v>
      </c>
      <c r="G69" s="1">
        <v>724</v>
      </c>
      <c r="H69" s="1">
        <v>19.8</v>
      </c>
      <c r="I69" s="1">
        <v>0.56999999999999995</v>
      </c>
      <c r="J69" s="1">
        <v>0.38100000000000001</v>
      </c>
      <c r="K69" s="1">
        <v>0.39600000000000002</v>
      </c>
      <c r="L69" s="1">
        <v>14</v>
      </c>
      <c r="M69" s="1">
        <v>21.1</v>
      </c>
      <c r="N69" s="1">
        <v>17.7</v>
      </c>
      <c r="O69" s="1">
        <v>4.7</v>
      </c>
      <c r="P69" s="1">
        <v>1.3</v>
      </c>
      <c r="Q69" s="1">
        <v>7.1</v>
      </c>
      <c r="R69" s="1">
        <v>7</v>
      </c>
      <c r="S69" s="1">
        <v>19.399999999999999</v>
      </c>
      <c r="T69" s="1"/>
      <c r="U69" s="1">
        <v>1.7</v>
      </c>
      <c r="V69" s="1">
        <v>1.5</v>
      </c>
      <c r="W69" s="1">
        <v>3.2</v>
      </c>
      <c r="X69" s="1">
        <v>0.214</v>
      </c>
      <c r="Y69" s="1"/>
      <c r="Z69" s="1">
        <v>0.5</v>
      </c>
      <c r="AA69" s="1">
        <v>1</v>
      </c>
      <c r="AB69" s="1">
        <v>1.5</v>
      </c>
      <c r="AC69" s="1">
        <v>0.6</v>
      </c>
      <c r="AD69">
        <f>Advanced_Table[[#This Row],[VORP]]*82/Advanced_Table[[#This Row],[G]]</f>
        <v>0.89454545454545442</v>
      </c>
    </row>
    <row r="70" spans="1:30" x14ac:dyDescent="0.25">
      <c r="A70" s="1">
        <v>55</v>
      </c>
      <c r="B70" s="1" t="s">
        <v>367</v>
      </c>
      <c r="C70" s="1" t="s">
        <v>294</v>
      </c>
      <c r="D70" s="1">
        <v>21</v>
      </c>
      <c r="E70" s="1" t="s">
        <v>353</v>
      </c>
      <c r="F70" s="1">
        <v>5</v>
      </c>
      <c r="G70" s="1">
        <v>29</v>
      </c>
      <c r="H70" s="1">
        <v>-2</v>
      </c>
      <c r="I70" s="1">
        <v>0.222</v>
      </c>
      <c r="J70" s="1">
        <v>0.222</v>
      </c>
      <c r="K70" s="1">
        <v>0</v>
      </c>
      <c r="L70" s="1">
        <v>3.8</v>
      </c>
      <c r="M70" s="1">
        <v>22.7</v>
      </c>
      <c r="N70" s="1">
        <v>13.3</v>
      </c>
      <c r="O70" s="1">
        <v>0</v>
      </c>
      <c r="P70" s="1">
        <v>0</v>
      </c>
      <c r="Q70" s="1">
        <v>3</v>
      </c>
      <c r="R70" s="1">
        <v>10</v>
      </c>
      <c r="S70" s="1">
        <v>15.2</v>
      </c>
      <c r="T70" s="1"/>
      <c r="U70" s="1">
        <v>-0.1</v>
      </c>
      <c r="V70" s="1">
        <v>0</v>
      </c>
      <c r="W70" s="1">
        <v>-0.1</v>
      </c>
      <c r="X70" s="1">
        <v>-0.154</v>
      </c>
      <c r="Y70" s="1"/>
      <c r="Z70" s="1">
        <v>-9.9</v>
      </c>
      <c r="AA70" s="1">
        <v>-2.1</v>
      </c>
      <c r="AB70" s="1">
        <v>-12</v>
      </c>
      <c r="AC70" s="1">
        <v>-0.1</v>
      </c>
      <c r="AD70">
        <f>Advanced_Table[[#This Row],[VORP]]*82/Advanced_Table[[#This Row],[G]]</f>
        <v>-1.6400000000000001</v>
      </c>
    </row>
    <row r="71" spans="1:30" x14ac:dyDescent="0.25">
      <c r="A71" s="1">
        <v>56</v>
      </c>
      <c r="B71" s="1" t="s">
        <v>368</v>
      </c>
      <c r="C71" s="1" t="s">
        <v>316</v>
      </c>
      <c r="D71" s="1">
        <v>22</v>
      </c>
      <c r="E71" s="1" t="s">
        <v>369</v>
      </c>
      <c r="F71" s="1">
        <v>45</v>
      </c>
      <c r="G71" s="1">
        <v>1015</v>
      </c>
      <c r="H71" s="1">
        <v>9.1999999999999993</v>
      </c>
      <c r="I71" s="1">
        <v>0.49399999999999999</v>
      </c>
      <c r="J71" s="1">
        <v>0.33300000000000002</v>
      </c>
      <c r="K71" s="1">
        <v>0.128</v>
      </c>
      <c r="L71" s="1">
        <v>2.5</v>
      </c>
      <c r="M71" s="1">
        <v>10.7</v>
      </c>
      <c r="N71" s="1">
        <v>6.5</v>
      </c>
      <c r="O71" s="1">
        <v>19.399999999999999</v>
      </c>
      <c r="P71" s="1">
        <v>2.1</v>
      </c>
      <c r="Q71" s="1">
        <v>0.9</v>
      </c>
      <c r="R71" s="1">
        <v>17.100000000000001</v>
      </c>
      <c r="S71" s="1">
        <v>17.2</v>
      </c>
      <c r="T71" s="1"/>
      <c r="U71" s="1">
        <v>-0.6</v>
      </c>
      <c r="V71" s="1">
        <v>0.6</v>
      </c>
      <c r="W71" s="1">
        <v>-0.1</v>
      </c>
      <c r="X71" s="1">
        <v>-3.0000000000000001E-3</v>
      </c>
      <c r="Y71" s="1"/>
      <c r="Z71" s="1">
        <v>-4.0999999999999996</v>
      </c>
      <c r="AA71" s="1">
        <v>-0.4</v>
      </c>
      <c r="AB71" s="1">
        <v>-4.5</v>
      </c>
      <c r="AC71" s="1">
        <v>-0.6</v>
      </c>
      <c r="AD71">
        <f>Advanced_Table[[#This Row],[VORP]]*82/Advanced_Table[[#This Row],[G]]</f>
        <v>-1.0933333333333333</v>
      </c>
    </row>
    <row r="72" spans="1:30" x14ac:dyDescent="0.25">
      <c r="A72" s="1">
        <v>57</v>
      </c>
      <c r="B72" s="1" t="s">
        <v>370</v>
      </c>
      <c r="C72" s="1" t="s">
        <v>294</v>
      </c>
      <c r="D72" s="1">
        <v>29</v>
      </c>
      <c r="E72" s="1" t="s">
        <v>309</v>
      </c>
      <c r="F72" s="1">
        <v>49</v>
      </c>
      <c r="G72" s="1">
        <v>1186</v>
      </c>
      <c r="H72" s="1">
        <v>8.9</v>
      </c>
      <c r="I72" s="1">
        <v>0.53700000000000003</v>
      </c>
      <c r="J72" s="1">
        <v>0.45200000000000001</v>
      </c>
      <c r="K72" s="1">
        <v>6.3E-2</v>
      </c>
      <c r="L72" s="1">
        <v>1.7</v>
      </c>
      <c r="M72" s="1">
        <v>8.6999999999999993</v>
      </c>
      <c r="N72" s="1">
        <v>5.3</v>
      </c>
      <c r="O72" s="1">
        <v>7.1</v>
      </c>
      <c r="P72" s="1">
        <v>1.7</v>
      </c>
      <c r="Q72" s="1">
        <v>0.4</v>
      </c>
      <c r="R72" s="1">
        <v>10.7</v>
      </c>
      <c r="S72" s="1">
        <v>15.7</v>
      </c>
      <c r="T72" s="1"/>
      <c r="U72" s="1">
        <v>0.2</v>
      </c>
      <c r="V72" s="1">
        <v>1.4</v>
      </c>
      <c r="W72" s="1">
        <v>1.6</v>
      </c>
      <c r="X72" s="1">
        <v>6.6000000000000003E-2</v>
      </c>
      <c r="Y72" s="1"/>
      <c r="Z72" s="1">
        <v>-2.8</v>
      </c>
      <c r="AA72" s="1">
        <v>0.4</v>
      </c>
      <c r="AB72" s="1">
        <v>-2.4</v>
      </c>
      <c r="AC72" s="1">
        <v>-0.1</v>
      </c>
      <c r="AD72">
        <f>Advanced_Table[[#This Row],[VORP]]*82/Advanced_Table[[#This Row],[G]]</f>
        <v>-0.16734693877551021</v>
      </c>
    </row>
    <row r="73" spans="1:30" x14ac:dyDescent="0.25">
      <c r="A73" s="1">
        <v>58</v>
      </c>
      <c r="B73" s="1" t="s">
        <v>371</v>
      </c>
      <c r="C73" s="1" t="s">
        <v>287</v>
      </c>
      <c r="D73" s="1">
        <v>22</v>
      </c>
      <c r="E73" s="1" t="s">
        <v>359</v>
      </c>
      <c r="F73" s="1">
        <v>50</v>
      </c>
      <c r="G73" s="1">
        <v>535</v>
      </c>
      <c r="H73" s="1">
        <v>21.8</v>
      </c>
      <c r="I73" s="1">
        <v>0.67500000000000004</v>
      </c>
      <c r="J73" s="1">
        <v>6.0000000000000001E-3</v>
      </c>
      <c r="K73" s="1">
        <v>0.25800000000000001</v>
      </c>
      <c r="L73" s="1">
        <v>19.3</v>
      </c>
      <c r="M73" s="1">
        <v>24.7</v>
      </c>
      <c r="N73" s="1">
        <v>22.1</v>
      </c>
      <c r="O73" s="1">
        <v>4.9000000000000004</v>
      </c>
      <c r="P73" s="1">
        <v>1.1000000000000001</v>
      </c>
      <c r="Q73" s="1">
        <v>3.9</v>
      </c>
      <c r="R73" s="1">
        <v>11.8</v>
      </c>
      <c r="S73" s="1">
        <v>16.100000000000001</v>
      </c>
      <c r="T73" s="1"/>
      <c r="U73" s="1">
        <v>1.8</v>
      </c>
      <c r="V73" s="1">
        <v>0.9</v>
      </c>
      <c r="W73" s="1">
        <v>2.7</v>
      </c>
      <c r="X73" s="1">
        <v>0.24199999999999999</v>
      </c>
      <c r="Y73" s="1"/>
      <c r="Z73" s="1">
        <v>0.9</v>
      </c>
      <c r="AA73" s="1">
        <v>0.5</v>
      </c>
      <c r="AB73" s="1">
        <v>1.4</v>
      </c>
      <c r="AC73" s="1">
        <v>0.5</v>
      </c>
      <c r="AD73">
        <f>Advanced_Table[[#This Row],[VORP]]*82/Advanced_Table[[#This Row],[G]]</f>
        <v>0.82</v>
      </c>
    </row>
    <row r="74" spans="1:30" x14ac:dyDescent="0.25">
      <c r="A74" s="1">
        <v>59</v>
      </c>
      <c r="B74" s="1" t="s">
        <v>372</v>
      </c>
      <c r="C74" s="1" t="s">
        <v>23</v>
      </c>
      <c r="D74" s="1">
        <v>23</v>
      </c>
      <c r="E74" s="1" t="s">
        <v>359</v>
      </c>
      <c r="F74" s="1">
        <v>5</v>
      </c>
      <c r="G74" s="1">
        <v>13</v>
      </c>
      <c r="H74" s="1">
        <v>2.7</v>
      </c>
      <c r="I74" s="1"/>
      <c r="J74" s="1"/>
      <c r="K74" s="1"/>
      <c r="L74" s="1">
        <v>0</v>
      </c>
      <c r="M74" s="1">
        <v>40.299999999999997</v>
      </c>
      <c r="N74" s="1">
        <v>21.1</v>
      </c>
      <c r="O74" s="1">
        <v>9.1999999999999993</v>
      </c>
      <c r="P74" s="1">
        <v>0</v>
      </c>
      <c r="Q74" s="1">
        <v>12.8</v>
      </c>
      <c r="R74" s="1">
        <v>100</v>
      </c>
      <c r="S74" s="1">
        <v>6.8</v>
      </c>
      <c r="T74" s="1"/>
      <c r="U74" s="1">
        <v>0</v>
      </c>
      <c r="V74" s="1">
        <v>0</v>
      </c>
      <c r="W74" s="1">
        <v>0</v>
      </c>
      <c r="X74" s="1">
        <v>-5.3999999999999999E-2</v>
      </c>
      <c r="Y74" s="1"/>
      <c r="Z74" s="1">
        <v>-8.6999999999999993</v>
      </c>
      <c r="AA74" s="1">
        <v>5.9</v>
      </c>
      <c r="AB74" s="1">
        <v>-2.8</v>
      </c>
      <c r="AC74" s="1">
        <v>0</v>
      </c>
      <c r="AD74">
        <f>Advanced_Table[[#This Row],[VORP]]*82/Advanced_Table[[#This Row],[G]]</f>
        <v>0</v>
      </c>
    </row>
    <row r="75" spans="1:30" x14ac:dyDescent="0.25">
      <c r="A75" s="1">
        <v>60</v>
      </c>
      <c r="B75" s="1" t="s">
        <v>373</v>
      </c>
      <c r="C75" s="1" t="s">
        <v>303</v>
      </c>
      <c r="D75" s="1">
        <v>21</v>
      </c>
      <c r="E75" s="1" t="s">
        <v>332</v>
      </c>
      <c r="F75" s="1">
        <v>9</v>
      </c>
      <c r="G75" s="1">
        <v>53</v>
      </c>
      <c r="H75" s="1">
        <v>3.3</v>
      </c>
      <c r="I75" s="1">
        <v>0.35099999999999998</v>
      </c>
      <c r="J75" s="1">
        <v>0.40899999999999997</v>
      </c>
      <c r="K75" s="1">
        <v>0.22700000000000001</v>
      </c>
      <c r="L75" s="1">
        <v>3.9</v>
      </c>
      <c r="M75" s="1">
        <v>6.2</v>
      </c>
      <c r="N75" s="1">
        <v>5</v>
      </c>
      <c r="O75" s="1">
        <v>10.6</v>
      </c>
      <c r="P75" s="1">
        <v>0</v>
      </c>
      <c r="Q75" s="1">
        <v>1.8</v>
      </c>
      <c r="R75" s="1">
        <v>7.6</v>
      </c>
      <c r="S75" s="1">
        <v>21</v>
      </c>
      <c r="T75" s="1"/>
      <c r="U75" s="1">
        <v>-0.1</v>
      </c>
      <c r="V75" s="1">
        <v>0</v>
      </c>
      <c r="W75" s="1">
        <v>-0.1</v>
      </c>
      <c r="X75" s="1">
        <v>-0.108</v>
      </c>
      <c r="Y75" s="1"/>
      <c r="Z75" s="1">
        <v>-5.0999999999999996</v>
      </c>
      <c r="AA75" s="1">
        <v>-3.9</v>
      </c>
      <c r="AB75" s="1">
        <v>-9</v>
      </c>
      <c r="AC75" s="1">
        <v>-0.1</v>
      </c>
      <c r="AD75">
        <f>Advanced_Table[[#This Row],[VORP]]*82/Advanced_Table[[#This Row],[G]]</f>
        <v>-0.9111111111111112</v>
      </c>
    </row>
    <row r="76" spans="1:30" x14ac:dyDescent="0.25">
      <c r="A76" s="1">
        <v>61</v>
      </c>
      <c r="B76" s="1" t="s">
        <v>374</v>
      </c>
      <c r="C76" s="1" t="s">
        <v>303</v>
      </c>
      <c r="D76" s="1">
        <v>23</v>
      </c>
      <c r="E76" s="1" t="s">
        <v>322</v>
      </c>
      <c r="F76" s="1">
        <v>65</v>
      </c>
      <c r="G76" s="1">
        <v>1772</v>
      </c>
      <c r="H76" s="1">
        <v>13</v>
      </c>
      <c r="I76" s="1">
        <v>0.623</v>
      </c>
      <c r="J76" s="1">
        <v>0.39100000000000001</v>
      </c>
      <c r="K76" s="1">
        <v>0.25800000000000001</v>
      </c>
      <c r="L76" s="1">
        <v>3.6</v>
      </c>
      <c r="M76" s="1">
        <v>12.8</v>
      </c>
      <c r="N76" s="1">
        <v>8.1</v>
      </c>
      <c r="O76" s="1">
        <v>8.9</v>
      </c>
      <c r="P76" s="1">
        <v>2.5</v>
      </c>
      <c r="Q76" s="1">
        <v>1.9</v>
      </c>
      <c r="R76" s="1">
        <v>12.5</v>
      </c>
      <c r="S76" s="1">
        <v>12.4</v>
      </c>
      <c r="T76" s="1"/>
      <c r="U76" s="1">
        <v>2.2000000000000002</v>
      </c>
      <c r="V76" s="1">
        <v>1.9</v>
      </c>
      <c r="W76" s="1">
        <v>4.0999999999999996</v>
      </c>
      <c r="X76" s="1">
        <v>0.111</v>
      </c>
      <c r="Y76" s="1"/>
      <c r="Z76" s="1">
        <v>-0.7</v>
      </c>
      <c r="AA76" s="1">
        <v>1.6</v>
      </c>
      <c r="AB76" s="1">
        <v>0.9</v>
      </c>
      <c r="AC76" s="1">
        <v>1.3</v>
      </c>
      <c r="AD76">
        <f>Advanced_Table[[#This Row],[VORP]]*82/Advanced_Table[[#This Row],[G]]</f>
        <v>1.6400000000000001</v>
      </c>
    </row>
    <row r="77" spans="1:30" x14ac:dyDescent="0.25">
      <c r="A77" s="1">
        <v>62</v>
      </c>
      <c r="B77" s="1" t="s">
        <v>375</v>
      </c>
      <c r="C77" s="1" t="s">
        <v>303</v>
      </c>
      <c r="D77" s="1">
        <v>21</v>
      </c>
      <c r="E77" s="1" t="s">
        <v>324</v>
      </c>
      <c r="F77" s="1">
        <v>64</v>
      </c>
      <c r="G77" s="1">
        <v>1961</v>
      </c>
      <c r="H77" s="1">
        <v>12.1</v>
      </c>
      <c r="I77" s="1">
        <v>0.52200000000000002</v>
      </c>
      <c r="J77" s="1">
        <v>0.40200000000000002</v>
      </c>
      <c r="K77" s="1">
        <v>0.17</v>
      </c>
      <c r="L77" s="1">
        <v>4.5999999999999996</v>
      </c>
      <c r="M77" s="1">
        <v>15.5</v>
      </c>
      <c r="N77" s="1">
        <v>9.9</v>
      </c>
      <c r="O77" s="1">
        <v>9.4</v>
      </c>
      <c r="P77" s="1">
        <v>1</v>
      </c>
      <c r="Q77" s="1">
        <v>2.2000000000000002</v>
      </c>
      <c r="R77" s="1">
        <v>10.6</v>
      </c>
      <c r="S77" s="1">
        <v>19.899999999999999</v>
      </c>
      <c r="T77" s="1"/>
      <c r="U77" s="1">
        <v>0.3</v>
      </c>
      <c r="V77" s="1">
        <v>1.3</v>
      </c>
      <c r="W77" s="1">
        <v>1.6</v>
      </c>
      <c r="X77" s="1">
        <v>3.7999999999999999E-2</v>
      </c>
      <c r="Y77" s="1"/>
      <c r="Z77" s="1">
        <v>-1.5</v>
      </c>
      <c r="AA77" s="1">
        <v>-1.1000000000000001</v>
      </c>
      <c r="AB77" s="1">
        <v>-2.6</v>
      </c>
      <c r="AC77" s="1">
        <v>-0.3</v>
      </c>
      <c r="AD77">
        <f>Advanced_Table[[#This Row],[VORP]]*82/Advanced_Table[[#This Row],[G]]</f>
        <v>-0.38437499999999997</v>
      </c>
    </row>
    <row r="78" spans="1:30" x14ac:dyDescent="0.25">
      <c r="A78" s="1">
        <v>63</v>
      </c>
      <c r="B78" s="1" t="s">
        <v>376</v>
      </c>
      <c r="C78" s="1" t="s">
        <v>303</v>
      </c>
      <c r="D78" s="1">
        <v>21</v>
      </c>
      <c r="E78" s="1" t="s">
        <v>314</v>
      </c>
      <c r="F78" s="1">
        <v>19</v>
      </c>
      <c r="G78" s="1">
        <v>135</v>
      </c>
      <c r="H78" s="1">
        <v>6.7</v>
      </c>
      <c r="I78" s="1">
        <v>0.45800000000000002</v>
      </c>
      <c r="J78" s="1">
        <v>0.41699999999999998</v>
      </c>
      <c r="K78" s="1">
        <v>0.27800000000000002</v>
      </c>
      <c r="L78" s="1">
        <v>7.2</v>
      </c>
      <c r="M78" s="1">
        <v>13</v>
      </c>
      <c r="N78" s="1">
        <v>10.199999999999999</v>
      </c>
      <c r="O78" s="1">
        <v>7</v>
      </c>
      <c r="P78" s="1">
        <v>1.4</v>
      </c>
      <c r="Q78" s="1">
        <v>0.7</v>
      </c>
      <c r="R78" s="1">
        <v>14.8</v>
      </c>
      <c r="S78" s="1">
        <v>15</v>
      </c>
      <c r="T78" s="1"/>
      <c r="U78" s="1">
        <v>-0.1</v>
      </c>
      <c r="V78" s="1">
        <v>0.2</v>
      </c>
      <c r="W78" s="1">
        <v>0.1</v>
      </c>
      <c r="X78" s="1">
        <v>4.2000000000000003E-2</v>
      </c>
      <c r="Y78" s="1"/>
      <c r="Z78" s="1">
        <v>-5.6</v>
      </c>
      <c r="AA78" s="1">
        <v>0.3</v>
      </c>
      <c r="AB78" s="1">
        <v>-5.3</v>
      </c>
      <c r="AC78" s="1">
        <v>-0.1</v>
      </c>
      <c r="AD78">
        <f>Advanced_Table[[#This Row],[VORP]]*82/Advanced_Table[[#This Row],[G]]</f>
        <v>-0.43157894736842112</v>
      </c>
    </row>
    <row r="79" spans="1:30" x14ac:dyDescent="0.25">
      <c r="A79" s="1">
        <v>64</v>
      </c>
      <c r="B79" s="1" t="s">
        <v>377</v>
      </c>
      <c r="C79" s="1" t="s">
        <v>294</v>
      </c>
      <c r="D79" s="1">
        <v>29</v>
      </c>
      <c r="E79" s="1" t="s">
        <v>329</v>
      </c>
      <c r="F79" s="1">
        <v>17</v>
      </c>
      <c r="G79" s="1">
        <v>180</v>
      </c>
      <c r="H79" s="1">
        <v>13.1</v>
      </c>
      <c r="I79" s="1">
        <v>0.56799999999999995</v>
      </c>
      <c r="J79" s="1">
        <v>0.86399999999999999</v>
      </c>
      <c r="K79" s="1">
        <v>0.13600000000000001</v>
      </c>
      <c r="L79" s="1">
        <v>3</v>
      </c>
      <c r="M79" s="1">
        <v>21.6</v>
      </c>
      <c r="N79" s="1">
        <v>12.5</v>
      </c>
      <c r="O79" s="1">
        <v>8.3000000000000007</v>
      </c>
      <c r="P79" s="1">
        <v>1.3</v>
      </c>
      <c r="Q79" s="1">
        <v>1.9</v>
      </c>
      <c r="R79" s="1">
        <v>8.8000000000000007</v>
      </c>
      <c r="S79" s="1">
        <v>16.3</v>
      </c>
      <c r="T79" s="1"/>
      <c r="U79" s="1">
        <v>0.2</v>
      </c>
      <c r="V79" s="1">
        <v>0.2</v>
      </c>
      <c r="W79" s="1">
        <v>0.4</v>
      </c>
      <c r="X79" s="1">
        <v>0.115</v>
      </c>
      <c r="Y79" s="1"/>
      <c r="Z79" s="1">
        <v>0.5</v>
      </c>
      <c r="AA79" s="1">
        <v>0.3</v>
      </c>
      <c r="AB79" s="1">
        <v>0.8</v>
      </c>
      <c r="AC79" s="1">
        <v>0.1</v>
      </c>
      <c r="AD79">
        <f>Advanced_Table[[#This Row],[VORP]]*82/Advanced_Table[[#This Row],[G]]</f>
        <v>0.48235294117647065</v>
      </c>
    </row>
    <row r="80" spans="1:30" x14ac:dyDescent="0.25">
      <c r="A80" s="1">
        <v>65</v>
      </c>
      <c r="B80" s="1" t="s">
        <v>378</v>
      </c>
      <c r="C80" s="1" t="s">
        <v>316</v>
      </c>
      <c r="D80" s="1">
        <v>27</v>
      </c>
      <c r="E80" s="1" t="s">
        <v>353</v>
      </c>
      <c r="F80" s="1">
        <v>48</v>
      </c>
      <c r="G80" s="1">
        <v>1472</v>
      </c>
      <c r="H80" s="1">
        <v>17.8</v>
      </c>
      <c r="I80" s="1">
        <v>0.53700000000000003</v>
      </c>
      <c r="J80" s="1">
        <v>0.29599999999999999</v>
      </c>
      <c r="K80" s="1">
        <v>0.246</v>
      </c>
      <c r="L80" s="1">
        <v>3</v>
      </c>
      <c r="M80" s="1">
        <v>13.8</v>
      </c>
      <c r="N80" s="1">
        <v>8.5</v>
      </c>
      <c r="O80" s="1">
        <v>34.5</v>
      </c>
      <c r="P80" s="1">
        <v>1.1000000000000001</v>
      </c>
      <c r="Q80" s="1">
        <v>0.5</v>
      </c>
      <c r="R80" s="1">
        <v>13.6</v>
      </c>
      <c r="S80" s="1">
        <v>25.2</v>
      </c>
      <c r="T80" s="1"/>
      <c r="U80" s="1">
        <v>2</v>
      </c>
      <c r="V80" s="1">
        <v>1.4</v>
      </c>
      <c r="W80" s="1">
        <v>3.5</v>
      </c>
      <c r="X80" s="1">
        <v>0.113</v>
      </c>
      <c r="Y80" s="1"/>
      <c r="Z80" s="1">
        <v>2.2999999999999998</v>
      </c>
      <c r="AA80" s="1">
        <v>-0.6</v>
      </c>
      <c r="AB80" s="1">
        <v>1.6</v>
      </c>
      <c r="AC80" s="1">
        <v>1.3</v>
      </c>
      <c r="AD80">
        <f>Advanced_Table[[#This Row],[VORP]]*82/Advanced_Table[[#This Row],[G]]</f>
        <v>2.2208333333333337</v>
      </c>
    </row>
    <row r="81" spans="1:30" x14ac:dyDescent="0.25">
      <c r="A81" s="1">
        <v>66</v>
      </c>
      <c r="B81" s="1" t="s">
        <v>379</v>
      </c>
      <c r="C81" s="1" t="s">
        <v>294</v>
      </c>
      <c r="D81" s="1">
        <v>24</v>
      </c>
      <c r="E81" s="1" t="s">
        <v>297</v>
      </c>
      <c r="F81" s="1">
        <v>65</v>
      </c>
      <c r="G81" s="1">
        <v>1851</v>
      </c>
      <c r="H81" s="1">
        <v>11.1</v>
      </c>
      <c r="I81" s="1">
        <v>0.50800000000000001</v>
      </c>
      <c r="J81" s="1">
        <v>0.38700000000000001</v>
      </c>
      <c r="K81" s="1">
        <v>0.192</v>
      </c>
      <c r="L81" s="1">
        <v>3.5</v>
      </c>
      <c r="M81" s="1">
        <v>8.4</v>
      </c>
      <c r="N81" s="1">
        <v>6</v>
      </c>
      <c r="O81" s="1">
        <v>10</v>
      </c>
      <c r="P81" s="1">
        <v>1.4</v>
      </c>
      <c r="Q81" s="1">
        <v>1.2</v>
      </c>
      <c r="R81" s="1">
        <v>9.6999999999999993</v>
      </c>
      <c r="S81" s="1">
        <v>25</v>
      </c>
      <c r="T81" s="1"/>
      <c r="U81" s="1">
        <v>-0.3</v>
      </c>
      <c r="V81" s="1">
        <v>1.3</v>
      </c>
      <c r="W81" s="1">
        <v>1</v>
      </c>
      <c r="X81" s="1">
        <v>2.5000000000000001E-2</v>
      </c>
      <c r="Y81" s="1"/>
      <c r="Z81" s="1">
        <v>-2.8</v>
      </c>
      <c r="AA81" s="1">
        <v>-1.6</v>
      </c>
      <c r="AB81" s="1">
        <v>-4.4000000000000004</v>
      </c>
      <c r="AC81" s="1">
        <v>-1.1000000000000001</v>
      </c>
      <c r="AD81">
        <f>Advanced_Table[[#This Row],[VORP]]*82/Advanced_Table[[#This Row],[G]]</f>
        <v>-1.3876923076923078</v>
      </c>
    </row>
    <row r="82" spans="1:30" x14ac:dyDescent="0.25">
      <c r="A82" s="1">
        <v>67</v>
      </c>
      <c r="B82" s="1" t="s">
        <v>380</v>
      </c>
      <c r="C82" s="1" t="s">
        <v>294</v>
      </c>
      <c r="D82" s="1">
        <v>23</v>
      </c>
      <c r="E82" s="1" t="s">
        <v>363</v>
      </c>
      <c r="F82" s="1">
        <v>58</v>
      </c>
      <c r="G82" s="1">
        <v>1634</v>
      </c>
      <c r="H82" s="1">
        <v>11.9</v>
      </c>
      <c r="I82" s="1">
        <v>0.51800000000000002</v>
      </c>
      <c r="J82" s="1">
        <v>0.215</v>
      </c>
      <c r="K82" s="1">
        <v>0.26600000000000001</v>
      </c>
      <c r="L82" s="1">
        <v>4.2</v>
      </c>
      <c r="M82" s="1">
        <v>15</v>
      </c>
      <c r="N82" s="1">
        <v>9.5</v>
      </c>
      <c r="O82" s="1">
        <v>20.399999999999999</v>
      </c>
      <c r="P82" s="1">
        <v>1.9</v>
      </c>
      <c r="Q82" s="1">
        <v>1.5</v>
      </c>
      <c r="R82" s="1">
        <v>16.7</v>
      </c>
      <c r="S82" s="1">
        <v>16</v>
      </c>
      <c r="T82" s="1"/>
      <c r="U82" s="1">
        <v>0.8</v>
      </c>
      <c r="V82" s="1">
        <v>1.4</v>
      </c>
      <c r="W82" s="1">
        <v>2.2000000000000002</v>
      </c>
      <c r="X82" s="1">
        <v>6.4000000000000001E-2</v>
      </c>
      <c r="Y82" s="1"/>
      <c r="Z82" s="1">
        <v>-2</v>
      </c>
      <c r="AA82" s="1">
        <v>0.9</v>
      </c>
      <c r="AB82" s="1">
        <v>-1.1000000000000001</v>
      </c>
      <c r="AC82" s="1">
        <v>0.3</v>
      </c>
      <c r="AD82">
        <f>Advanced_Table[[#This Row],[VORP]]*82/Advanced_Table[[#This Row],[G]]</f>
        <v>0.42413793103448272</v>
      </c>
    </row>
    <row r="83" spans="1:30" x14ac:dyDescent="0.25">
      <c r="A83" s="1">
        <v>68</v>
      </c>
      <c r="B83" s="1" t="s">
        <v>381</v>
      </c>
      <c r="C83" s="1" t="s">
        <v>294</v>
      </c>
      <c r="D83" s="1">
        <v>22</v>
      </c>
      <c r="E83" s="1" t="s">
        <v>347</v>
      </c>
      <c r="F83" s="1">
        <v>10</v>
      </c>
      <c r="G83" s="1">
        <v>40</v>
      </c>
      <c r="H83" s="1">
        <v>11.1</v>
      </c>
      <c r="I83" s="1">
        <v>0.47199999999999998</v>
      </c>
      <c r="J83" s="1">
        <v>0.47399999999999998</v>
      </c>
      <c r="K83" s="1">
        <v>0.26300000000000001</v>
      </c>
      <c r="L83" s="1">
        <v>5.3</v>
      </c>
      <c r="M83" s="1">
        <v>5.4</v>
      </c>
      <c r="N83" s="1">
        <v>5.4</v>
      </c>
      <c r="O83" s="1">
        <v>7.3</v>
      </c>
      <c r="P83" s="1">
        <v>2.2999999999999998</v>
      </c>
      <c r="Q83" s="1">
        <v>4.2</v>
      </c>
      <c r="R83" s="1">
        <v>12.4</v>
      </c>
      <c r="S83" s="1">
        <v>25.1</v>
      </c>
      <c r="T83" s="1"/>
      <c r="U83" s="1">
        <v>0</v>
      </c>
      <c r="V83" s="1">
        <v>0</v>
      </c>
      <c r="W83" s="1">
        <v>0</v>
      </c>
      <c r="X83" s="1">
        <v>-2.8000000000000001E-2</v>
      </c>
      <c r="Y83" s="1"/>
      <c r="Z83" s="1">
        <v>-1.1000000000000001</v>
      </c>
      <c r="AA83" s="1">
        <v>-1.4</v>
      </c>
      <c r="AB83" s="1">
        <v>-2.5</v>
      </c>
      <c r="AC83" s="1">
        <v>0</v>
      </c>
      <c r="AD83">
        <f>Advanced_Table[[#This Row],[VORP]]*82/Advanced_Table[[#This Row],[G]]</f>
        <v>0</v>
      </c>
    </row>
    <row r="84" spans="1:30" x14ac:dyDescent="0.25">
      <c r="A84" s="1">
        <v>69</v>
      </c>
      <c r="B84" s="1" t="s">
        <v>382</v>
      </c>
      <c r="C84" s="1" t="s">
        <v>303</v>
      </c>
      <c r="D84" s="1">
        <v>23</v>
      </c>
      <c r="E84" s="1" t="s">
        <v>383</v>
      </c>
      <c r="F84" s="1">
        <v>50</v>
      </c>
      <c r="G84" s="1">
        <v>1702</v>
      </c>
      <c r="H84" s="1">
        <v>17.100000000000001</v>
      </c>
      <c r="I84" s="1">
        <v>0.58899999999999997</v>
      </c>
      <c r="J84" s="1">
        <v>0.36399999999999999</v>
      </c>
      <c r="K84" s="1">
        <v>0.28000000000000003</v>
      </c>
      <c r="L84" s="1">
        <v>3.4</v>
      </c>
      <c r="M84" s="1">
        <v>16.5</v>
      </c>
      <c r="N84" s="1">
        <v>10</v>
      </c>
      <c r="O84" s="1">
        <v>10.199999999999999</v>
      </c>
      <c r="P84" s="1">
        <v>1.6</v>
      </c>
      <c r="Q84" s="1">
        <v>0.9</v>
      </c>
      <c r="R84" s="1">
        <v>11.8</v>
      </c>
      <c r="S84" s="1">
        <v>24.7</v>
      </c>
      <c r="T84" s="1"/>
      <c r="U84" s="1">
        <v>2.1</v>
      </c>
      <c r="V84" s="1">
        <v>2.2999999999999998</v>
      </c>
      <c r="W84" s="1">
        <v>4.5</v>
      </c>
      <c r="X84" s="1">
        <v>0.126</v>
      </c>
      <c r="Y84" s="1"/>
      <c r="Z84" s="1">
        <v>1.1000000000000001</v>
      </c>
      <c r="AA84" s="1">
        <v>-0.2</v>
      </c>
      <c r="AB84" s="1">
        <v>0.9</v>
      </c>
      <c r="AC84" s="1">
        <v>1.3</v>
      </c>
      <c r="AD84">
        <f>Advanced_Table[[#This Row],[VORP]]*82/Advanced_Table[[#This Row],[G]]</f>
        <v>2.1320000000000001</v>
      </c>
    </row>
    <row r="85" spans="1:30" x14ac:dyDescent="0.25">
      <c r="A85" s="1">
        <v>70</v>
      </c>
      <c r="B85" s="1" t="s">
        <v>384</v>
      </c>
      <c r="C85" s="1" t="s">
        <v>287</v>
      </c>
      <c r="D85" s="1">
        <v>20</v>
      </c>
      <c r="E85" s="1" t="s">
        <v>312</v>
      </c>
      <c r="F85" s="1">
        <v>9</v>
      </c>
      <c r="G85" s="1">
        <v>33</v>
      </c>
      <c r="H85" s="1">
        <v>6.8</v>
      </c>
      <c r="I85" s="1">
        <v>0.40699999999999997</v>
      </c>
      <c r="J85" s="1">
        <v>0</v>
      </c>
      <c r="K85" s="1">
        <v>0.8</v>
      </c>
      <c r="L85" s="1">
        <v>9.6</v>
      </c>
      <c r="M85" s="1">
        <v>34</v>
      </c>
      <c r="N85" s="1">
        <v>22</v>
      </c>
      <c r="O85" s="1">
        <v>4.0999999999999996</v>
      </c>
      <c r="P85" s="1">
        <v>1.4</v>
      </c>
      <c r="Q85" s="1">
        <v>2.6</v>
      </c>
      <c r="R85" s="1">
        <v>18.2</v>
      </c>
      <c r="S85" s="1">
        <v>21.2</v>
      </c>
      <c r="T85" s="1"/>
      <c r="U85" s="1">
        <v>-0.1</v>
      </c>
      <c r="V85" s="1">
        <v>0</v>
      </c>
      <c r="W85" s="1">
        <v>0</v>
      </c>
      <c r="X85" s="1">
        <v>-6.2E-2</v>
      </c>
      <c r="Y85" s="1"/>
      <c r="Z85" s="1">
        <v>-8.1999999999999993</v>
      </c>
      <c r="AA85" s="1">
        <v>-1.8</v>
      </c>
      <c r="AB85" s="1">
        <v>-10</v>
      </c>
      <c r="AC85" s="1">
        <v>-0.1</v>
      </c>
      <c r="AD85">
        <f>Advanced_Table[[#This Row],[VORP]]*82/Advanced_Table[[#This Row],[G]]</f>
        <v>-0.9111111111111112</v>
      </c>
    </row>
    <row r="86" spans="1:30" x14ac:dyDescent="0.25">
      <c r="A86" s="1">
        <v>71</v>
      </c>
      <c r="B86" s="1" t="s">
        <v>385</v>
      </c>
      <c r="C86" s="1" t="s">
        <v>303</v>
      </c>
      <c r="D86" s="1">
        <v>24</v>
      </c>
      <c r="E86" s="1" t="s">
        <v>307</v>
      </c>
      <c r="F86" s="1">
        <v>45</v>
      </c>
      <c r="G86" s="1">
        <v>665</v>
      </c>
      <c r="H86" s="1">
        <v>9.3000000000000007</v>
      </c>
      <c r="I86" s="1">
        <v>0.47799999999999998</v>
      </c>
      <c r="J86" s="1">
        <v>0.52300000000000002</v>
      </c>
      <c r="K86" s="1">
        <v>0.161</v>
      </c>
      <c r="L86" s="1">
        <v>4.4000000000000004</v>
      </c>
      <c r="M86" s="1">
        <v>19.2</v>
      </c>
      <c r="N86" s="1">
        <v>12.3</v>
      </c>
      <c r="O86" s="1">
        <v>8.8000000000000007</v>
      </c>
      <c r="P86" s="1">
        <v>1.5</v>
      </c>
      <c r="Q86" s="1">
        <v>0.9</v>
      </c>
      <c r="R86" s="1">
        <v>13.4</v>
      </c>
      <c r="S86" s="1">
        <v>16.7</v>
      </c>
      <c r="T86" s="1"/>
      <c r="U86" s="1">
        <v>-0.4</v>
      </c>
      <c r="V86" s="1">
        <v>1.3</v>
      </c>
      <c r="W86" s="1">
        <v>1</v>
      </c>
      <c r="X86" s="1">
        <v>7.0999999999999994E-2</v>
      </c>
      <c r="Y86" s="1"/>
      <c r="Z86" s="1">
        <v>-2.9</v>
      </c>
      <c r="AA86" s="1">
        <v>0.9</v>
      </c>
      <c r="AB86" s="1">
        <v>-2.1</v>
      </c>
      <c r="AC86" s="1">
        <v>0</v>
      </c>
      <c r="AD86">
        <f>Advanced_Table[[#This Row],[VORP]]*82/Advanced_Table[[#This Row],[G]]</f>
        <v>0</v>
      </c>
    </row>
    <row r="87" spans="1:30" x14ac:dyDescent="0.25">
      <c r="A87" s="1">
        <v>72</v>
      </c>
      <c r="B87" s="1" t="s">
        <v>386</v>
      </c>
      <c r="C87" s="1" t="s">
        <v>294</v>
      </c>
      <c r="D87" s="1">
        <v>20</v>
      </c>
      <c r="E87" s="1" t="s">
        <v>342</v>
      </c>
      <c r="F87" s="1">
        <v>61</v>
      </c>
      <c r="G87" s="1">
        <v>1519</v>
      </c>
      <c r="H87" s="1">
        <v>13.7</v>
      </c>
      <c r="I87" s="1">
        <v>0.53400000000000003</v>
      </c>
      <c r="J87" s="1">
        <v>0.28699999999999998</v>
      </c>
      <c r="K87" s="1">
        <v>0.22500000000000001</v>
      </c>
      <c r="L87" s="1">
        <v>4.4000000000000004</v>
      </c>
      <c r="M87" s="1">
        <v>19.600000000000001</v>
      </c>
      <c r="N87" s="1">
        <v>11.7</v>
      </c>
      <c r="O87" s="1">
        <v>13</v>
      </c>
      <c r="P87" s="1">
        <v>2.2999999999999998</v>
      </c>
      <c r="Q87" s="1">
        <v>0.3</v>
      </c>
      <c r="R87" s="1">
        <v>10.5</v>
      </c>
      <c r="S87" s="1">
        <v>17</v>
      </c>
      <c r="T87" s="1"/>
      <c r="U87" s="1">
        <v>1.2</v>
      </c>
      <c r="V87" s="1">
        <v>0.9</v>
      </c>
      <c r="W87" s="1">
        <v>2.2000000000000002</v>
      </c>
      <c r="X87" s="1">
        <v>6.9000000000000006E-2</v>
      </c>
      <c r="Y87" s="1"/>
      <c r="Z87" s="1">
        <v>-0.9</v>
      </c>
      <c r="AA87" s="1">
        <v>-0.5</v>
      </c>
      <c r="AB87" s="1">
        <v>-1.3</v>
      </c>
      <c r="AC87" s="1">
        <v>0.3</v>
      </c>
      <c r="AD87">
        <f>Advanced_Table[[#This Row],[VORP]]*82/Advanced_Table[[#This Row],[G]]</f>
        <v>0.40327868852459015</v>
      </c>
    </row>
    <row r="88" spans="1:30" x14ac:dyDescent="0.25">
      <c r="A88" s="1">
        <v>73</v>
      </c>
      <c r="B88" s="1" t="s">
        <v>387</v>
      </c>
      <c r="C88" s="1" t="s">
        <v>316</v>
      </c>
      <c r="D88" s="1">
        <v>23</v>
      </c>
      <c r="E88" s="1" t="s">
        <v>329</v>
      </c>
      <c r="F88" s="1">
        <v>57</v>
      </c>
      <c r="G88" s="1">
        <v>1022</v>
      </c>
      <c r="H88" s="1">
        <v>15</v>
      </c>
      <c r="I88" s="1">
        <v>0.55300000000000005</v>
      </c>
      <c r="J88" s="1">
        <v>0.309</v>
      </c>
      <c r="K88" s="1">
        <v>0.193</v>
      </c>
      <c r="L88" s="1">
        <v>2.2999999999999998</v>
      </c>
      <c r="M88" s="1">
        <v>11.2</v>
      </c>
      <c r="N88" s="1">
        <v>6.9</v>
      </c>
      <c r="O88" s="1">
        <v>26.9</v>
      </c>
      <c r="P88" s="1">
        <v>1</v>
      </c>
      <c r="Q88" s="1">
        <v>0.3</v>
      </c>
      <c r="R88" s="1">
        <v>13.6</v>
      </c>
      <c r="S88" s="1">
        <v>20.399999999999999</v>
      </c>
      <c r="T88" s="1"/>
      <c r="U88" s="1">
        <v>1.6</v>
      </c>
      <c r="V88" s="1">
        <v>0.7</v>
      </c>
      <c r="W88" s="1">
        <v>2.2999999999999998</v>
      </c>
      <c r="X88" s="1">
        <v>0.107</v>
      </c>
      <c r="Y88" s="1"/>
      <c r="Z88" s="1">
        <v>0.2</v>
      </c>
      <c r="AA88" s="1">
        <v>-1.1000000000000001</v>
      </c>
      <c r="AB88" s="1">
        <v>-0.8</v>
      </c>
      <c r="AC88" s="1">
        <v>0.3</v>
      </c>
      <c r="AD88">
        <f>Advanced_Table[[#This Row],[VORP]]*82/Advanced_Table[[#This Row],[G]]</f>
        <v>0.43157894736842101</v>
      </c>
    </row>
    <row r="89" spans="1:30" x14ac:dyDescent="0.25">
      <c r="A89" s="1">
        <v>74</v>
      </c>
      <c r="B89" s="1" t="s">
        <v>388</v>
      </c>
      <c r="C89" s="1" t="s">
        <v>287</v>
      </c>
      <c r="D89" s="1">
        <v>22</v>
      </c>
      <c r="E89" s="1" t="s">
        <v>342</v>
      </c>
      <c r="F89" s="1">
        <v>38</v>
      </c>
      <c r="G89" s="1">
        <v>901</v>
      </c>
      <c r="H89" s="1">
        <v>20</v>
      </c>
      <c r="I89" s="1">
        <v>0.65900000000000003</v>
      </c>
      <c r="J89" s="1">
        <v>0.17599999999999999</v>
      </c>
      <c r="K89" s="1">
        <v>0.30599999999999999</v>
      </c>
      <c r="L89" s="1">
        <v>8.8000000000000007</v>
      </c>
      <c r="M89" s="1">
        <v>23.4</v>
      </c>
      <c r="N89" s="1">
        <v>15.8</v>
      </c>
      <c r="O89" s="1">
        <v>11.9</v>
      </c>
      <c r="P89" s="1">
        <v>0.7</v>
      </c>
      <c r="Q89" s="1">
        <v>3.2</v>
      </c>
      <c r="R89" s="1">
        <v>12.1</v>
      </c>
      <c r="S89" s="1">
        <v>18.3</v>
      </c>
      <c r="T89" s="1"/>
      <c r="U89" s="1">
        <v>2.4</v>
      </c>
      <c r="V89" s="1">
        <v>0.5</v>
      </c>
      <c r="W89" s="1">
        <v>2.9</v>
      </c>
      <c r="X89" s="1">
        <v>0.152</v>
      </c>
      <c r="Y89" s="1"/>
      <c r="Z89" s="1">
        <v>2.1</v>
      </c>
      <c r="AA89" s="1">
        <v>-1.2</v>
      </c>
      <c r="AB89" s="1">
        <v>0.9</v>
      </c>
      <c r="AC89" s="1">
        <v>0.7</v>
      </c>
      <c r="AD89">
        <f>Advanced_Table[[#This Row],[VORP]]*82/Advanced_Table[[#This Row],[G]]</f>
        <v>1.5105263157894737</v>
      </c>
    </row>
    <row r="90" spans="1:30" x14ac:dyDescent="0.25">
      <c r="A90" s="1">
        <v>75</v>
      </c>
      <c r="B90" s="1" t="s">
        <v>956</v>
      </c>
      <c r="C90" s="1" t="s">
        <v>294</v>
      </c>
      <c r="D90" s="1">
        <v>28</v>
      </c>
      <c r="E90" s="1" t="s">
        <v>332</v>
      </c>
      <c r="F90" s="1">
        <v>29</v>
      </c>
      <c r="G90" s="1">
        <v>684</v>
      </c>
      <c r="H90" s="1">
        <v>9.3000000000000007</v>
      </c>
      <c r="I90" s="1">
        <v>0.502</v>
      </c>
      <c r="J90" s="1">
        <v>0.496</v>
      </c>
      <c r="K90" s="1">
        <v>9.4E-2</v>
      </c>
      <c r="L90" s="1">
        <v>2</v>
      </c>
      <c r="M90" s="1">
        <v>8.9</v>
      </c>
      <c r="N90" s="1">
        <v>5.3</v>
      </c>
      <c r="O90" s="1">
        <v>8.9</v>
      </c>
      <c r="P90" s="1">
        <v>1.8</v>
      </c>
      <c r="Q90" s="1">
        <v>0.4</v>
      </c>
      <c r="R90" s="1">
        <v>7.5</v>
      </c>
      <c r="S90" s="1">
        <v>15.6</v>
      </c>
      <c r="T90" s="1"/>
      <c r="U90" s="1">
        <v>0.2</v>
      </c>
      <c r="V90" s="1">
        <v>0.3</v>
      </c>
      <c r="W90" s="1">
        <v>0.5</v>
      </c>
      <c r="X90" s="1">
        <v>3.5999999999999997E-2</v>
      </c>
      <c r="Y90" s="1"/>
      <c r="Z90" s="1">
        <v>-2.9</v>
      </c>
      <c r="AA90" s="1">
        <v>-0.3</v>
      </c>
      <c r="AB90" s="1">
        <v>-3.2</v>
      </c>
      <c r="AC90" s="1">
        <v>-0.2</v>
      </c>
      <c r="AD90">
        <f>Advanced_Table[[#This Row],[VORP]]*82/Advanced_Table[[#This Row],[G]]</f>
        <v>-0.56551724137931036</v>
      </c>
    </row>
    <row r="91" spans="1:30" x14ac:dyDescent="0.25">
      <c r="A91" s="1">
        <v>76</v>
      </c>
      <c r="B91" s="1" t="s">
        <v>389</v>
      </c>
      <c r="C91" s="1" t="s">
        <v>316</v>
      </c>
      <c r="D91" s="1">
        <v>27</v>
      </c>
      <c r="E91" s="1" t="s">
        <v>361</v>
      </c>
      <c r="F91" s="1">
        <v>25</v>
      </c>
      <c r="G91" s="1">
        <v>329</v>
      </c>
      <c r="H91" s="1">
        <v>15.4</v>
      </c>
      <c r="I91" s="1">
        <v>0.54500000000000004</v>
      </c>
      <c r="J91" s="1">
        <v>0.29899999999999999</v>
      </c>
      <c r="K91" s="1">
        <v>0.14199999999999999</v>
      </c>
      <c r="L91" s="1">
        <v>5</v>
      </c>
      <c r="M91" s="1">
        <v>6.7</v>
      </c>
      <c r="N91" s="1">
        <v>5.9</v>
      </c>
      <c r="O91" s="1">
        <v>24.2</v>
      </c>
      <c r="P91" s="1">
        <v>1</v>
      </c>
      <c r="Q91" s="1">
        <v>0.3</v>
      </c>
      <c r="R91" s="1">
        <v>8.1999999999999993</v>
      </c>
      <c r="S91" s="1">
        <v>19.3</v>
      </c>
      <c r="T91" s="1"/>
      <c r="U91" s="1">
        <v>0.6</v>
      </c>
      <c r="V91" s="1">
        <v>0.2</v>
      </c>
      <c r="W91" s="1">
        <v>0.9</v>
      </c>
      <c r="X91" s="1">
        <v>0.129</v>
      </c>
      <c r="Y91" s="1"/>
      <c r="Z91" s="1">
        <v>0.6</v>
      </c>
      <c r="AA91" s="1">
        <v>-1.1000000000000001</v>
      </c>
      <c r="AB91" s="1">
        <v>-0.5</v>
      </c>
      <c r="AC91" s="1">
        <v>0.1</v>
      </c>
      <c r="AD91">
        <f>Advanced_Table[[#This Row],[VORP]]*82/Advanced_Table[[#This Row],[G]]</f>
        <v>0.32800000000000007</v>
      </c>
    </row>
    <row r="92" spans="1:30" x14ac:dyDescent="0.25">
      <c r="A92" s="1">
        <v>77</v>
      </c>
      <c r="B92" s="1" t="s">
        <v>390</v>
      </c>
      <c r="C92" s="1" t="s">
        <v>294</v>
      </c>
      <c r="D92" s="1">
        <v>28</v>
      </c>
      <c r="E92" s="1" t="s">
        <v>957</v>
      </c>
      <c r="F92" s="1">
        <v>58</v>
      </c>
      <c r="G92" s="1">
        <v>1591</v>
      </c>
      <c r="H92" s="1">
        <v>16</v>
      </c>
      <c r="I92" s="1">
        <v>0.54900000000000004</v>
      </c>
      <c r="J92" s="1">
        <v>0.38800000000000001</v>
      </c>
      <c r="K92" s="1">
        <v>0.35499999999999998</v>
      </c>
      <c r="L92" s="1">
        <v>2.8</v>
      </c>
      <c r="M92" s="1">
        <v>15.2</v>
      </c>
      <c r="N92" s="1">
        <v>8.8000000000000007</v>
      </c>
      <c r="O92" s="1">
        <v>16.899999999999999</v>
      </c>
      <c r="P92" s="1">
        <v>1.7</v>
      </c>
      <c r="Q92" s="1">
        <v>1</v>
      </c>
      <c r="R92" s="1">
        <v>9.1999999999999993</v>
      </c>
      <c r="S92" s="1">
        <v>23.8</v>
      </c>
      <c r="T92" s="1"/>
      <c r="U92" s="1">
        <v>1.9</v>
      </c>
      <c r="V92" s="1">
        <v>1</v>
      </c>
      <c r="W92" s="1">
        <v>2.9</v>
      </c>
      <c r="X92" s="1">
        <v>8.7999999999999995E-2</v>
      </c>
      <c r="Y92" s="1"/>
      <c r="Z92" s="1">
        <v>0.5</v>
      </c>
      <c r="AA92" s="1">
        <v>-0.8</v>
      </c>
      <c r="AB92" s="1">
        <v>-0.3</v>
      </c>
      <c r="AC92" s="1">
        <v>0.7</v>
      </c>
      <c r="AD92">
        <f>Advanced_Table[[#This Row],[VORP]]*82/Advanced_Table[[#This Row],[G]]</f>
        <v>0.98965517241379308</v>
      </c>
    </row>
    <row r="93" spans="1:30" x14ac:dyDescent="0.25">
      <c r="A93" s="1">
        <v>77</v>
      </c>
      <c r="B93" s="1" t="s">
        <v>390</v>
      </c>
      <c r="C93" s="1" t="s">
        <v>294</v>
      </c>
      <c r="D93" s="1">
        <v>28</v>
      </c>
      <c r="E93" s="1" t="s">
        <v>369</v>
      </c>
      <c r="F93" s="1">
        <v>48</v>
      </c>
      <c r="G93" s="1">
        <v>1390</v>
      </c>
      <c r="H93" s="1">
        <v>16.100000000000001</v>
      </c>
      <c r="I93" s="1">
        <v>0.55200000000000005</v>
      </c>
      <c r="J93" s="1">
        <v>0.373</v>
      </c>
      <c r="K93" s="1">
        <v>0.373</v>
      </c>
      <c r="L93" s="1">
        <v>2.8</v>
      </c>
      <c r="M93" s="1">
        <v>15.3</v>
      </c>
      <c r="N93" s="1">
        <v>8.8000000000000007</v>
      </c>
      <c r="O93" s="1">
        <v>17.399999999999999</v>
      </c>
      <c r="P93" s="1">
        <v>1.7</v>
      </c>
      <c r="Q93" s="1">
        <v>1.1000000000000001</v>
      </c>
      <c r="R93" s="1">
        <v>9.8000000000000007</v>
      </c>
      <c r="S93" s="1">
        <v>23.8</v>
      </c>
      <c r="T93" s="1"/>
      <c r="U93" s="1">
        <v>1.6</v>
      </c>
      <c r="V93" s="1">
        <v>0.8</v>
      </c>
      <c r="W93" s="1">
        <v>2.5</v>
      </c>
      <c r="X93" s="1">
        <v>8.5000000000000006E-2</v>
      </c>
      <c r="Y93" s="1"/>
      <c r="Z93" s="1">
        <v>0.7</v>
      </c>
      <c r="AA93" s="1">
        <v>-0.7</v>
      </c>
      <c r="AB93" s="1">
        <v>-0.1</v>
      </c>
      <c r="AC93" s="1">
        <v>0.7</v>
      </c>
      <c r="AD93">
        <f>Advanced_Table[[#This Row],[VORP]]*82/Advanced_Table[[#This Row],[G]]</f>
        <v>1.1958333333333333</v>
      </c>
    </row>
    <row r="94" spans="1:30" x14ac:dyDescent="0.25">
      <c r="A94" s="1">
        <v>77</v>
      </c>
      <c r="B94" s="1" t="s">
        <v>390</v>
      </c>
      <c r="C94" s="1" t="s">
        <v>294</v>
      </c>
      <c r="D94" s="1">
        <v>28</v>
      </c>
      <c r="E94" s="1" t="s">
        <v>361</v>
      </c>
      <c r="F94" s="1">
        <v>10</v>
      </c>
      <c r="G94" s="1">
        <v>201</v>
      </c>
      <c r="H94" s="1">
        <v>15.2</v>
      </c>
      <c r="I94" s="1">
        <v>0.52800000000000002</v>
      </c>
      <c r="J94" s="1">
        <v>0.48399999999999999</v>
      </c>
      <c r="K94" s="1">
        <v>0.24199999999999999</v>
      </c>
      <c r="L94" s="1">
        <v>2.7</v>
      </c>
      <c r="M94" s="1">
        <v>14.8</v>
      </c>
      <c r="N94" s="1">
        <v>8.8000000000000007</v>
      </c>
      <c r="O94" s="1">
        <v>12.9</v>
      </c>
      <c r="P94" s="1">
        <v>1.4</v>
      </c>
      <c r="Q94" s="1">
        <v>0</v>
      </c>
      <c r="R94" s="1">
        <v>5.4</v>
      </c>
      <c r="S94" s="1">
        <v>23.9</v>
      </c>
      <c r="T94" s="1"/>
      <c r="U94" s="1">
        <v>0.2</v>
      </c>
      <c r="V94" s="1">
        <v>0.2</v>
      </c>
      <c r="W94" s="1">
        <v>0.5</v>
      </c>
      <c r="X94" s="1">
        <v>0.108</v>
      </c>
      <c r="Y94" s="1"/>
      <c r="Z94" s="1">
        <v>-0.3</v>
      </c>
      <c r="AA94" s="1">
        <v>-1.5</v>
      </c>
      <c r="AB94" s="1">
        <v>-1.9</v>
      </c>
      <c r="AC94" s="1">
        <v>0</v>
      </c>
      <c r="AD94">
        <f>Advanced_Table[[#This Row],[VORP]]*82/Advanced_Table[[#This Row],[G]]</f>
        <v>0</v>
      </c>
    </row>
    <row r="95" spans="1:30" x14ac:dyDescent="0.25">
      <c r="A95" s="1">
        <v>78</v>
      </c>
      <c r="B95" s="1" t="s">
        <v>391</v>
      </c>
      <c r="C95" s="1" t="s">
        <v>294</v>
      </c>
      <c r="D95" s="1">
        <v>26</v>
      </c>
      <c r="E95" s="1" t="s">
        <v>288</v>
      </c>
      <c r="F95" s="1">
        <v>34</v>
      </c>
      <c r="G95" s="1">
        <v>284</v>
      </c>
      <c r="H95" s="1">
        <v>5.9</v>
      </c>
      <c r="I95" s="1">
        <v>0.42599999999999999</v>
      </c>
      <c r="J95" s="1">
        <v>0.438</v>
      </c>
      <c r="K95" s="1">
        <v>0.114</v>
      </c>
      <c r="L95" s="1">
        <v>2.4</v>
      </c>
      <c r="M95" s="1">
        <v>15.9</v>
      </c>
      <c r="N95" s="1">
        <v>9.4</v>
      </c>
      <c r="O95" s="1">
        <v>5.6</v>
      </c>
      <c r="P95" s="1">
        <v>0.9</v>
      </c>
      <c r="Q95" s="1">
        <v>3</v>
      </c>
      <c r="R95" s="1">
        <v>11.3</v>
      </c>
      <c r="S95" s="1">
        <v>19.3</v>
      </c>
      <c r="T95" s="1"/>
      <c r="U95" s="1">
        <v>-0.6</v>
      </c>
      <c r="V95" s="1">
        <v>0.3</v>
      </c>
      <c r="W95" s="1">
        <v>-0.3</v>
      </c>
      <c r="X95" s="1">
        <v>-4.5999999999999999E-2</v>
      </c>
      <c r="Y95" s="1"/>
      <c r="Z95" s="1">
        <v>-5.5</v>
      </c>
      <c r="AA95" s="1">
        <v>-0.3</v>
      </c>
      <c r="AB95" s="1">
        <v>-5.8</v>
      </c>
      <c r="AC95" s="1">
        <v>-0.3</v>
      </c>
      <c r="AD95">
        <f>Advanced_Table[[#This Row],[VORP]]*82/Advanced_Table[[#This Row],[G]]</f>
        <v>-0.72352941176470587</v>
      </c>
    </row>
    <row r="96" spans="1:30" x14ac:dyDescent="0.25">
      <c r="A96" s="1">
        <v>79</v>
      </c>
      <c r="B96" s="1" t="s">
        <v>392</v>
      </c>
      <c r="C96" s="1" t="s">
        <v>303</v>
      </c>
      <c r="D96" s="1">
        <v>30</v>
      </c>
      <c r="E96" s="1" t="s">
        <v>290</v>
      </c>
      <c r="F96" s="1">
        <v>54</v>
      </c>
      <c r="G96" s="1">
        <v>1851</v>
      </c>
      <c r="H96" s="1">
        <v>23.4</v>
      </c>
      <c r="I96" s="1">
        <v>0.58299999999999996</v>
      </c>
      <c r="J96" s="1">
        <v>0.16200000000000001</v>
      </c>
      <c r="K96" s="1">
        <v>0.67900000000000005</v>
      </c>
      <c r="L96" s="1">
        <v>6.2</v>
      </c>
      <c r="M96" s="1">
        <v>15.2</v>
      </c>
      <c r="N96" s="1">
        <v>10.9</v>
      </c>
      <c r="O96" s="1">
        <v>28.1</v>
      </c>
      <c r="P96" s="1">
        <v>2.4</v>
      </c>
      <c r="Q96" s="1">
        <v>1.6</v>
      </c>
      <c r="R96" s="1">
        <v>11.2</v>
      </c>
      <c r="S96" s="1">
        <v>25.1</v>
      </c>
      <c r="T96" s="1"/>
      <c r="U96" s="1">
        <v>6</v>
      </c>
      <c r="V96" s="1">
        <v>2.5</v>
      </c>
      <c r="W96" s="1">
        <v>8.5</v>
      </c>
      <c r="X96" s="1">
        <v>0.22</v>
      </c>
      <c r="Y96" s="1"/>
      <c r="Z96" s="1">
        <v>4.0999999999999996</v>
      </c>
      <c r="AA96" s="1">
        <v>1.2</v>
      </c>
      <c r="AB96" s="1">
        <v>5.3</v>
      </c>
      <c r="AC96" s="1">
        <v>3.4</v>
      </c>
      <c r="AD96">
        <f>Advanced_Table[[#This Row],[VORP]]*82/Advanced_Table[[#This Row],[G]]</f>
        <v>5.162962962962963</v>
      </c>
    </row>
    <row r="97" spans="1:30" x14ac:dyDescent="0.25">
      <c r="A97" s="1">
        <v>80</v>
      </c>
      <c r="B97" s="1" t="s">
        <v>393</v>
      </c>
      <c r="C97" s="1" t="s">
        <v>303</v>
      </c>
      <c r="D97" s="1">
        <v>24</v>
      </c>
      <c r="E97" s="1" t="s">
        <v>957</v>
      </c>
      <c r="F97" s="1">
        <v>27</v>
      </c>
      <c r="G97" s="1">
        <v>220</v>
      </c>
      <c r="H97" s="1">
        <v>13.4</v>
      </c>
      <c r="I97" s="1">
        <v>0.45500000000000002</v>
      </c>
      <c r="J97" s="1">
        <v>0.36399999999999999</v>
      </c>
      <c r="K97" s="1">
        <v>6.5000000000000002E-2</v>
      </c>
      <c r="L97" s="1">
        <v>10.6</v>
      </c>
      <c r="M97" s="1">
        <v>14.5</v>
      </c>
      <c r="N97" s="1">
        <v>12.6</v>
      </c>
      <c r="O97" s="1">
        <v>7.4</v>
      </c>
      <c r="P97" s="1">
        <v>2.5</v>
      </c>
      <c r="Q97" s="1">
        <v>6.3</v>
      </c>
      <c r="R97" s="1">
        <v>10.199999999999999</v>
      </c>
      <c r="S97" s="1">
        <v>16.7</v>
      </c>
      <c r="T97" s="1"/>
      <c r="U97" s="1">
        <v>0</v>
      </c>
      <c r="V97" s="1">
        <v>0.4</v>
      </c>
      <c r="W97" s="1">
        <v>0.3</v>
      </c>
      <c r="X97" s="1">
        <v>7.0000000000000007E-2</v>
      </c>
      <c r="Y97" s="1"/>
      <c r="Z97" s="1">
        <v>-2.5</v>
      </c>
      <c r="AA97" s="1">
        <v>1.1000000000000001</v>
      </c>
      <c r="AB97" s="1">
        <v>-1.4</v>
      </c>
      <c r="AC97" s="1">
        <v>0</v>
      </c>
      <c r="AD97">
        <f>Advanced_Table[[#This Row],[VORP]]*82/Advanced_Table[[#This Row],[G]]</f>
        <v>0</v>
      </c>
    </row>
    <row r="98" spans="1:30" x14ac:dyDescent="0.25">
      <c r="A98" s="1">
        <v>80</v>
      </c>
      <c r="B98" s="1" t="s">
        <v>393</v>
      </c>
      <c r="C98" s="1" t="s">
        <v>303</v>
      </c>
      <c r="D98" s="1">
        <v>24</v>
      </c>
      <c r="E98" s="1" t="s">
        <v>297</v>
      </c>
      <c r="F98" s="1">
        <v>22</v>
      </c>
      <c r="G98" s="1">
        <v>192</v>
      </c>
      <c r="H98" s="1">
        <v>11.9</v>
      </c>
      <c r="I98" s="1">
        <v>0.441</v>
      </c>
      <c r="J98" s="1">
        <v>0.36199999999999999</v>
      </c>
      <c r="K98" s="1">
        <v>4.2999999999999997E-2</v>
      </c>
      <c r="L98" s="1">
        <v>9.5</v>
      </c>
      <c r="M98" s="1">
        <v>14.5</v>
      </c>
      <c r="N98" s="1">
        <v>12</v>
      </c>
      <c r="O98" s="1">
        <v>7</v>
      </c>
      <c r="P98" s="1">
        <v>2.4</v>
      </c>
      <c r="Q98" s="1">
        <v>5.4</v>
      </c>
      <c r="R98" s="1">
        <v>9.1</v>
      </c>
      <c r="S98" s="1">
        <v>16.7</v>
      </c>
      <c r="T98" s="1"/>
      <c r="U98" s="1">
        <v>-0.1</v>
      </c>
      <c r="V98" s="1">
        <v>0.3</v>
      </c>
      <c r="W98" s="1">
        <v>0.2</v>
      </c>
      <c r="X98" s="1">
        <v>5.0999999999999997E-2</v>
      </c>
      <c r="Y98" s="1"/>
      <c r="Z98" s="1">
        <v>-3.2</v>
      </c>
      <c r="AA98" s="1">
        <v>0.7</v>
      </c>
      <c r="AB98" s="1">
        <v>-2.5</v>
      </c>
      <c r="AC98" s="1">
        <v>0</v>
      </c>
      <c r="AD98">
        <f>Advanced_Table[[#This Row],[VORP]]*82/Advanced_Table[[#This Row],[G]]</f>
        <v>0</v>
      </c>
    </row>
    <row r="99" spans="1:30" x14ac:dyDescent="0.25">
      <c r="A99" s="1">
        <v>80</v>
      </c>
      <c r="B99" s="1" t="s">
        <v>393</v>
      </c>
      <c r="C99" s="1" t="s">
        <v>303</v>
      </c>
      <c r="D99" s="1">
        <v>24</v>
      </c>
      <c r="E99" s="1" t="s">
        <v>305</v>
      </c>
      <c r="F99" s="1">
        <v>5</v>
      </c>
      <c r="G99" s="1">
        <v>28</v>
      </c>
      <c r="H99" s="1">
        <v>23.6</v>
      </c>
      <c r="I99" s="1">
        <v>0.56299999999999994</v>
      </c>
      <c r="J99" s="1">
        <v>0.375</v>
      </c>
      <c r="K99" s="1">
        <v>0.25</v>
      </c>
      <c r="L99" s="1">
        <v>18.600000000000001</v>
      </c>
      <c r="M99" s="1">
        <v>15.1</v>
      </c>
      <c r="N99" s="1">
        <v>16.899999999999999</v>
      </c>
      <c r="O99" s="1">
        <v>10.1</v>
      </c>
      <c r="P99" s="1">
        <v>3.3</v>
      </c>
      <c r="Q99" s="1">
        <v>12.2</v>
      </c>
      <c r="R99" s="1">
        <v>18.399999999999999</v>
      </c>
      <c r="S99" s="1">
        <v>16</v>
      </c>
      <c r="T99" s="1"/>
      <c r="U99" s="1">
        <v>0.1</v>
      </c>
      <c r="V99" s="1">
        <v>0.1</v>
      </c>
      <c r="W99" s="1">
        <v>0.1</v>
      </c>
      <c r="X99" s="1">
        <v>0.2</v>
      </c>
      <c r="Y99" s="1"/>
      <c r="Z99" s="1">
        <v>2.7</v>
      </c>
      <c r="AA99" s="1">
        <v>3.5</v>
      </c>
      <c r="AB99" s="1">
        <v>6.2</v>
      </c>
      <c r="AC99" s="1">
        <v>0.1</v>
      </c>
      <c r="AD99">
        <f>Advanced_Table[[#This Row],[VORP]]*82/Advanced_Table[[#This Row],[G]]</f>
        <v>1.6400000000000001</v>
      </c>
    </row>
    <row r="100" spans="1:30" x14ac:dyDescent="0.25">
      <c r="A100" s="1">
        <v>81</v>
      </c>
      <c r="B100" s="1" t="s">
        <v>394</v>
      </c>
      <c r="C100" s="1" t="s">
        <v>294</v>
      </c>
      <c r="D100" s="1">
        <v>26</v>
      </c>
      <c r="E100" s="1" t="s">
        <v>309</v>
      </c>
      <c r="F100" s="1">
        <v>63</v>
      </c>
      <c r="G100" s="1">
        <v>1603</v>
      </c>
      <c r="H100" s="1">
        <v>11.6</v>
      </c>
      <c r="I100" s="1">
        <v>0.59199999999999997</v>
      </c>
      <c r="J100" s="1">
        <v>0.47399999999999998</v>
      </c>
      <c r="K100" s="1">
        <v>0.20399999999999999</v>
      </c>
      <c r="L100" s="1">
        <v>2.6</v>
      </c>
      <c r="M100" s="1">
        <v>6.3</v>
      </c>
      <c r="N100" s="1">
        <v>4.5</v>
      </c>
      <c r="O100" s="1">
        <v>8.6999999999999993</v>
      </c>
      <c r="P100" s="1">
        <v>1.6</v>
      </c>
      <c r="Q100" s="1">
        <v>0.7</v>
      </c>
      <c r="R100" s="1">
        <v>9.8000000000000007</v>
      </c>
      <c r="S100" s="1">
        <v>14.8</v>
      </c>
      <c r="T100" s="1"/>
      <c r="U100" s="1">
        <v>2</v>
      </c>
      <c r="V100" s="1">
        <v>1.8</v>
      </c>
      <c r="W100" s="1">
        <v>3.8</v>
      </c>
      <c r="X100" s="1">
        <v>0.114</v>
      </c>
      <c r="Y100" s="1"/>
      <c r="Z100" s="1">
        <v>-0.8</v>
      </c>
      <c r="AA100" s="1">
        <v>0.4</v>
      </c>
      <c r="AB100" s="1">
        <v>-0.4</v>
      </c>
      <c r="AC100" s="1">
        <v>0.7</v>
      </c>
      <c r="AD100">
        <f>Advanced_Table[[#This Row],[VORP]]*82/Advanced_Table[[#This Row],[G]]</f>
        <v>0.91111111111111109</v>
      </c>
    </row>
    <row r="101" spans="1:30" x14ac:dyDescent="0.25">
      <c r="A101" s="1">
        <v>82</v>
      </c>
      <c r="B101" s="1" t="s">
        <v>395</v>
      </c>
      <c r="C101" s="1" t="s">
        <v>303</v>
      </c>
      <c r="D101" s="1">
        <v>22</v>
      </c>
      <c r="E101" s="1" t="s">
        <v>334</v>
      </c>
      <c r="F101" s="1">
        <v>14</v>
      </c>
      <c r="G101" s="1">
        <v>45</v>
      </c>
      <c r="H101" s="1">
        <v>11.4</v>
      </c>
      <c r="I101" s="1">
        <v>0.50700000000000001</v>
      </c>
      <c r="J101" s="1">
        <v>0.4</v>
      </c>
      <c r="K101" s="1">
        <v>0.26700000000000002</v>
      </c>
      <c r="L101" s="1">
        <v>12.3</v>
      </c>
      <c r="M101" s="1">
        <v>12.4</v>
      </c>
      <c r="N101" s="1">
        <v>12.4</v>
      </c>
      <c r="O101" s="1">
        <v>9.1</v>
      </c>
      <c r="P101" s="1">
        <v>1.1000000000000001</v>
      </c>
      <c r="Q101" s="1">
        <v>2</v>
      </c>
      <c r="R101" s="1">
        <v>15.2</v>
      </c>
      <c r="S101" s="1">
        <v>19</v>
      </c>
      <c r="T101" s="1"/>
      <c r="U101" s="1">
        <v>0</v>
      </c>
      <c r="V101" s="1">
        <v>0</v>
      </c>
      <c r="W101" s="1">
        <v>0.1</v>
      </c>
      <c r="X101" s="1">
        <v>6.9000000000000006E-2</v>
      </c>
      <c r="Y101" s="1"/>
      <c r="Z101" s="1">
        <v>-3.3</v>
      </c>
      <c r="AA101" s="1">
        <v>-1.2</v>
      </c>
      <c r="AB101" s="1">
        <v>-4.5999999999999996</v>
      </c>
      <c r="AC101" s="1">
        <v>0</v>
      </c>
      <c r="AD101">
        <f>Advanced_Table[[#This Row],[VORP]]*82/Advanced_Table[[#This Row],[G]]</f>
        <v>0</v>
      </c>
    </row>
    <row r="102" spans="1:30" x14ac:dyDescent="0.25">
      <c r="A102" s="1">
        <v>83</v>
      </c>
      <c r="B102" s="1" t="s">
        <v>396</v>
      </c>
      <c r="C102" s="1" t="s">
        <v>287</v>
      </c>
      <c r="D102" s="1">
        <v>25</v>
      </c>
      <c r="E102" s="1" t="s">
        <v>305</v>
      </c>
      <c r="F102" s="1">
        <v>39</v>
      </c>
      <c r="G102" s="1">
        <v>1279</v>
      </c>
      <c r="H102" s="1">
        <v>20.7</v>
      </c>
      <c r="I102" s="1">
        <v>0.626</v>
      </c>
      <c r="J102" s="1">
        <v>0</v>
      </c>
      <c r="K102" s="1">
        <v>0.26800000000000002</v>
      </c>
      <c r="L102" s="1">
        <v>13.7</v>
      </c>
      <c r="M102" s="1">
        <v>30.5</v>
      </c>
      <c r="N102" s="1">
        <v>22</v>
      </c>
      <c r="O102" s="1">
        <v>5.7</v>
      </c>
      <c r="P102" s="1">
        <v>1.2</v>
      </c>
      <c r="Q102" s="1">
        <v>4.8</v>
      </c>
      <c r="R102" s="1">
        <v>12.7</v>
      </c>
      <c r="S102" s="1">
        <v>16</v>
      </c>
      <c r="T102" s="1"/>
      <c r="U102" s="1">
        <v>2.9</v>
      </c>
      <c r="V102" s="1">
        <v>2.1</v>
      </c>
      <c r="W102" s="1">
        <v>5</v>
      </c>
      <c r="X102" s="1">
        <v>0.186</v>
      </c>
      <c r="Y102" s="1"/>
      <c r="Z102" s="1">
        <v>1.2</v>
      </c>
      <c r="AA102" s="1">
        <v>0.4</v>
      </c>
      <c r="AB102" s="1">
        <v>1.6</v>
      </c>
      <c r="AC102" s="1">
        <v>1.2</v>
      </c>
      <c r="AD102">
        <f>Advanced_Table[[#This Row],[VORP]]*82/Advanced_Table[[#This Row],[G]]</f>
        <v>2.523076923076923</v>
      </c>
    </row>
    <row r="103" spans="1:30" x14ac:dyDescent="0.25">
      <c r="A103" s="1">
        <v>84</v>
      </c>
      <c r="B103" s="1" t="s">
        <v>397</v>
      </c>
      <c r="C103" s="1" t="s">
        <v>303</v>
      </c>
      <c r="D103" s="1">
        <v>33</v>
      </c>
      <c r="E103" s="1" t="s">
        <v>957</v>
      </c>
      <c r="F103" s="1">
        <v>21</v>
      </c>
      <c r="G103" s="1">
        <v>231</v>
      </c>
      <c r="H103" s="1">
        <v>8.5</v>
      </c>
      <c r="I103" s="1">
        <v>0.52300000000000002</v>
      </c>
      <c r="J103" s="1">
        <v>0.5</v>
      </c>
      <c r="K103" s="1">
        <v>0.66700000000000004</v>
      </c>
      <c r="L103" s="1">
        <v>5.0999999999999996</v>
      </c>
      <c r="M103" s="1">
        <v>16.7</v>
      </c>
      <c r="N103" s="1">
        <v>10.9</v>
      </c>
      <c r="O103" s="1">
        <v>10.1</v>
      </c>
      <c r="P103" s="1">
        <v>0.8</v>
      </c>
      <c r="Q103" s="1">
        <v>1.5</v>
      </c>
      <c r="R103" s="1">
        <v>18.600000000000001</v>
      </c>
      <c r="S103" s="1">
        <v>15.8</v>
      </c>
      <c r="T103" s="1"/>
      <c r="U103" s="1">
        <v>0</v>
      </c>
      <c r="V103" s="1">
        <v>0.1</v>
      </c>
      <c r="W103" s="1">
        <v>0.1</v>
      </c>
      <c r="X103" s="1">
        <v>2.5999999999999999E-2</v>
      </c>
      <c r="Y103" s="1"/>
      <c r="Z103" s="1">
        <v>-3.4</v>
      </c>
      <c r="AA103" s="1">
        <v>-1.2</v>
      </c>
      <c r="AB103" s="1">
        <v>-4.5</v>
      </c>
      <c r="AC103" s="1">
        <v>-0.1</v>
      </c>
      <c r="AD103">
        <f>Advanced_Table[[#This Row],[VORP]]*82/Advanced_Table[[#This Row],[G]]</f>
        <v>-0.39047619047619053</v>
      </c>
    </row>
    <row r="104" spans="1:30" x14ac:dyDescent="0.25">
      <c r="A104" s="1">
        <v>84</v>
      </c>
      <c r="B104" s="1" t="s">
        <v>397</v>
      </c>
      <c r="C104" s="1" t="s">
        <v>303</v>
      </c>
      <c r="D104" s="1">
        <v>33</v>
      </c>
      <c r="E104" s="1" t="s">
        <v>292</v>
      </c>
      <c r="F104" s="1">
        <v>15</v>
      </c>
      <c r="G104" s="1">
        <v>135</v>
      </c>
      <c r="H104" s="1">
        <v>5</v>
      </c>
      <c r="I104" s="1">
        <v>0.437</v>
      </c>
      <c r="J104" s="1">
        <v>0.44800000000000001</v>
      </c>
      <c r="K104" s="1">
        <v>0.69</v>
      </c>
      <c r="L104" s="1">
        <v>5.6</v>
      </c>
      <c r="M104" s="1">
        <v>19.2</v>
      </c>
      <c r="N104" s="1">
        <v>12.4</v>
      </c>
      <c r="O104" s="1">
        <v>10.199999999999999</v>
      </c>
      <c r="P104" s="1">
        <v>0.7</v>
      </c>
      <c r="Q104" s="1">
        <v>1.3</v>
      </c>
      <c r="R104" s="1">
        <v>20.9</v>
      </c>
      <c r="S104" s="1">
        <v>15.4</v>
      </c>
      <c r="T104" s="1"/>
      <c r="U104" s="1">
        <v>-0.2</v>
      </c>
      <c r="V104" s="1">
        <v>0.1</v>
      </c>
      <c r="W104" s="1">
        <v>-0.1</v>
      </c>
      <c r="X104" s="1">
        <v>-3.7999999999999999E-2</v>
      </c>
      <c r="Y104" s="1"/>
      <c r="Z104" s="1">
        <v>-5.9</v>
      </c>
      <c r="AA104" s="1">
        <v>-1.2</v>
      </c>
      <c r="AB104" s="1">
        <v>-7.1</v>
      </c>
      <c r="AC104" s="1">
        <v>-0.2</v>
      </c>
      <c r="AD104">
        <f>Advanced_Table[[#This Row],[VORP]]*82/Advanced_Table[[#This Row],[G]]</f>
        <v>-1.0933333333333335</v>
      </c>
    </row>
    <row r="105" spans="1:30" x14ac:dyDescent="0.25">
      <c r="A105" s="1">
        <v>84</v>
      </c>
      <c r="B105" s="1" t="s">
        <v>397</v>
      </c>
      <c r="C105" s="1" t="s">
        <v>303</v>
      </c>
      <c r="D105" s="1">
        <v>33</v>
      </c>
      <c r="E105" s="1" t="s">
        <v>305</v>
      </c>
      <c r="F105" s="1">
        <v>6</v>
      </c>
      <c r="G105" s="1">
        <v>96</v>
      </c>
      <c r="H105" s="1">
        <v>13.5</v>
      </c>
      <c r="I105" s="1">
        <v>0.624</v>
      </c>
      <c r="J105" s="1">
        <v>0.56000000000000005</v>
      </c>
      <c r="K105" s="1">
        <v>0.64</v>
      </c>
      <c r="L105" s="1">
        <v>4.3</v>
      </c>
      <c r="M105" s="1">
        <v>13.2</v>
      </c>
      <c r="N105" s="1">
        <v>8.6999999999999993</v>
      </c>
      <c r="O105" s="1">
        <v>10</v>
      </c>
      <c r="P105" s="1">
        <v>1</v>
      </c>
      <c r="Q105" s="1">
        <v>1.8</v>
      </c>
      <c r="R105" s="1">
        <v>15.8</v>
      </c>
      <c r="S105" s="1">
        <v>16.399999999999999</v>
      </c>
      <c r="T105" s="1"/>
      <c r="U105" s="1">
        <v>0.2</v>
      </c>
      <c r="V105" s="1">
        <v>0.1</v>
      </c>
      <c r="W105" s="1">
        <v>0.2</v>
      </c>
      <c r="X105" s="1">
        <v>0.11600000000000001</v>
      </c>
      <c r="Y105" s="1"/>
      <c r="Z105" s="1">
        <v>0.2</v>
      </c>
      <c r="AA105" s="1">
        <v>-1.1000000000000001</v>
      </c>
      <c r="AB105" s="1">
        <v>-0.9</v>
      </c>
      <c r="AC105" s="1">
        <v>0</v>
      </c>
      <c r="AD105">
        <f>Advanced_Table[[#This Row],[VORP]]*82/Advanced_Table[[#This Row],[G]]</f>
        <v>0</v>
      </c>
    </row>
    <row r="106" spans="1:30" x14ac:dyDescent="0.25">
      <c r="A106" s="1">
        <v>85</v>
      </c>
      <c r="B106" s="1" t="s">
        <v>398</v>
      </c>
      <c r="C106" s="1" t="s">
        <v>316</v>
      </c>
      <c r="D106" s="1">
        <v>24</v>
      </c>
      <c r="E106" s="1" t="s">
        <v>322</v>
      </c>
      <c r="F106" s="1">
        <v>50</v>
      </c>
      <c r="G106" s="1">
        <v>754</v>
      </c>
      <c r="H106" s="1">
        <v>10.4</v>
      </c>
      <c r="I106" s="1">
        <v>0.53500000000000003</v>
      </c>
      <c r="J106" s="1">
        <v>0.57099999999999995</v>
      </c>
      <c r="K106" s="1">
        <v>0.122</v>
      </c>
      <c r="L106" s="1">
        <v>3.6</v>
      </c>
      <c r="M106" s="1">
        <v>11</v>
      </c>
      <c r="N106" s="1">
        <v>7.2</v>
      </c>
      <c r="O106" s="1">
        <v>11.7</v>
      </c>
      <c r="P106" s="1">
        <v>2.4</v>
      </c>
      <c r="Q106" s="1">
        <v>1.5</v>
      </c>
      <c r="R106" s="1">
        <v>12.6</v>
      </c>
      <c r="S106" s="1">
        <v>13.9</v>
      </c>
      <c r="T106" s="1"/>
      <c r="U106" s="1">
        <v>0.3</v>
      </c>
      <c r="V106" s="1">
        <v>0.7</v>
      </c>
      <c r="W106" s="1">
        <v>1.1000000000000001</v>
      </c>
      <c r="X106" s="1">
        <v>6.8000000000000005E-2</v>
      </c>
      <c r="Y106" s="1"/>
      <c r="Z106" s="1">
        <v>-1.7</v>
      </c>
      <c r="AA106" s="1">
        <v>0.9</v>
      </c>
      <c r="AB106" s="1">
        <v>-0.8</v>
      </c>
      <c r="AC106" s="1">
        <v>0.2</v>
      </c>
      <c r="AD106">
        <f>Advanced_Table[[#This Row],[VORP]]*82/Advanced_Table[[#This Row],[G]]</f>
        <v>0.32800000000000007</v>
      </c>
    </row>
    <row r="107" spans="1:30" x14ac:dyDescent="0.25">
      <c r="A107" s="1">
        <v>86</v>
      </c>
      <c r="B107" s="1" t="s">
        <v>399</v>
      </c>
      <c r="C107" s="1" t="s">
        <v>303</v>
      </c>
      <c r="D107" s="1">
        <v>43</v>
      </c>
      <c r="E107" s="1" t="s">
        <v>347</v>
      </c>
      <c r="F107" s="1">
        <v>59</v>
      </c>
      <c r="G107" s="1">
        <v>863</v>
      </c>
      <c r="H107" s="1">
        <v>7.6</v>
      </c>
      <c r="I107" s="1">
        <v>0.47</v>
      </c>
      <c r="J107" s="1">
        <v>0.66900000000000004</v>
      </c>
      <c r="K107" s="1">
        <v>9.7000000000000003E-2</v>
      </c>
      <c r="L107" s="1">
        <v>2.2000000000000002</v>
      </c>
      <c r="M107" s="1">
        <v>13.3</v>
      </c>
      <c r="N107" s="1">
        <v>7.7</v>
      </c>
      <c r="O107" s="1">
        <v>7.8</v>
      </c>
      <c r="P107" s="1">
        <v>1.2</v>
      </c>
      <c r="Q107" s="1">
        <v>2.4</v>
      </c>
      <c r="R107" s="1">
        <v>9.6</v>
      </c>
      <c r="S107" s="1">
        <v>16.600000000000001</v>
      </c>
      <c r="T107" s="1"/>
      <c r="U107" s="1">
        <v>-0.6</v>
      </c>
      <c r="V107" s="1">
        <v>0.4</v>
      </c>
      <c r="W107" s="1">
        <v>-0.2</v>
      </c>
      <c r="X107" s="1">
        <v>-1.2E-2</v>
      </c>
      <c r="Y107" s="1"/>
      <c r="Z107" s="1">
        <v>-3</v>
      </c>
      <c r="AA107" s="1">
        <v>-1.2</v>
      </c>
      <c r="AB107" s="1">
        <v>-4.2</v>
      </c>
      <c r="AC107" s="1">
        <v>-0.5</v>
      </c>
      <c r="AD107">
        <f>Advanced_Table[[#This Row],[VORP]]*82/Advanced_Table[[#This Row],[G]]</f>
        <v>-0.69491525423728817</v>
      </c>
    </row>
    <row r="108" spans="1:30" x14ac:dyDescent="0.25">
      <c r="A108" s="1">
        <v>87</v>
      </c>
      <c r="B108" s="1" t="s">
        <v>400</v>
      </c>
      <c r="C108" s="1" t="s">
        <v>287</v>
      </c>
      <c r="D108" s="1">
        <v>20</v>
      </c>
      <c r="E108" s="1" t="s">
        <v>317</v>
      </c>
      <c r="F108" s="1">
        <v>43</v>
      </c>
      <c r="G108" s="1">
        <v>1256</v>
      </c>
      <c r="H108" s="1">
        <v>15.5</v>
      </c>
      <c r="I108" s="1">
        <v>0.59</v>
      </c>
      <c r="J108" s="1">
        <v>8.5000000000000006E-2</v>
      </c>
      <c r="K108" s="1">
        <v>0.443</v>
      </c>
      <c r="L108" s="1">
        <v>11.6</v>
      </c>
      <c r="M108" s="1">
        <v>24.6</v>
      </c>
      <c r="N108" s="1">
        <v>17.8</v>
      </c>
      <c r="O108" s="1">
        <v>6</v>
      </c>
      <c r="P108" s="1">
        <v>1.3</v>
      </c>
      <c r="Q108" s="1">
        <v>2.7</v>
      </c>
      <c r="R108" s="1">
        <v>14.9</v>
      </c>
      <c r="S108" s="1">
        <v>16.399999999999999</v>
      </c>
      <c r="T108" s="1"/>
      <c r="U108" s="1">
        <v>1.7</v>
      </c>
      <c r="V108" s="1">
        <v>1.6</v>
      </c>
      <c r="W108" s="1">
        <v>3.3</v>
      </c>
      <c r="X108" s="1">
        <v>0.127</v>
      </c>
      <c r="Y108" s="1"/>
      <c r="Z108" s="1">
        <v>-2.1</v>
      </c>
      <c r="AA108" s="1">
        <v>-0.3</v>
      </c>
      <c r="AB108" s="1">
        <v>-2.4</v>
      </c>
      <c r="AC108" s="1">
        <v>-0.1</v>
      </c>
      <c r="AD108">
        <f>Advanced_Table[[#This Row],[VORP]]*82/Advanced_Table[[#This Row],[G]]</f>
        <v>-0.19069767441860466</v>
      </c>
    </row>
    <row r="109" spans="1:30" x14ac:dyDescent="0.25">
      <c r="A109" s="1">
        <v>88</v>
      </c>
      <c r="B109" s="1" t="s">
        <v>401</v>
      </c>
      <c r="C109" s="1" t="s">
        <v>294</v>
      </c>
      <c r="D109" s="1">
        <v>28</v>
      </c>
      <c r="E109" s="1" t="s">
        <v>301</v>
      </c>
      <c r="F109" s="1">
        <v>42</v>
      </c>
      <c r="G109" s="1">
        <v>773</v>
      </c>
      <c r="H109" s="1">
        <v>15.7</v>
      </c>
      <c r="I109" s="1">
        <v>0.53900000000000003</v>
      </c>
      <c r="J109" s="1">
        <v>0.28100000000000003</v>
      </c>
      <c r="K109" s="1">
        <v>0.36</v>
      </c>
      <c r="L109" s="1">
        <v>5.9</v>
      </c>
      <c r="M109" s="1">
        <v>13.8</v>
      </c>
      <c r="N109" s="1">
        <v>9.6999999999999993</v>
      </c>
      <c r="O109" s="1">
        <v>19.399999999999999</v>
      </c>
      <c r="P109" s="1">
        <v>2.8</v>
      </c>
      <c r="Q109" s="1">
        <v>2.2999999999999998</v>
      </c>
      <c r="R109" s="1">
        <v>14.6</v>
      </c>
      <c r="S109" s="1">
        <v>18.399999999999999</v>
      </c>
      <c r="T109" s="1"/>
      <c r="U109" s="1">
        <v>0.7</v>
      </c>
      <c r="V109" s="1">
        <v>1.1000000000000001</v>
      </c>
      <c r="W109" s="1">
        <v>1.9</v>
      </c>
      <c r="X109" s="1">
        <v>0.11600000000000001</v>
      </c>
      <c r="Y109" s="1"/>
      <c r="Z109" s="1">
        <v>-1.5</v>
      </c>
      <c r="AA109" s="1">
        <v>1.8</v>
      </c>
      <c r="AB109" s="1">
        <v>0.3</v>
      </c>
      <c r="AC109" s="1">
        <v>0.5</v>
      </c>
      <c r="AD109">
        <f>Advanced_Table[[#This Row],[VORP]]*82/Advanced_Table[[#This Row],[G]]</f>
        <v>0.97619047619047616</v>
      </c>
    </row>
    <row r="110" spans="1:30" x14ac:dyDescent="0.25">
      <c r="A110" s="1">
        <v>89</v>
      </c>
      <c r="B110" s="1" t="s">
        <v>402</v>
      </c>
      <c r="C110" s="1" t="s">
        <v>316</v>
      </c>
      <c r="D110" s="1">
        <v>25</v>
      </c>
      <c r="E110" s="1" t="s">
        <v>309</v>
      </c>
      <c r="F110" s="1">
        <v>58</v>
      </c>
      <c r="G110" s="1">
        <v>1032</v>
      </c>
      <c r="H110" s="1">
        <v>11.1</v>
      </c>
      <c r="I110" s="1">
        <v>0.53800000000000003</v>
      </c>
      <c r="J110" s="1">
        <v>0.41199999999999998</v>
      </c>
      <c r="K110" s="1">
        <v>0.29199999999999998</v>
      </c>
      <c r="L110" s="1">
        <v>1.5</v>
      </c>
      <c r="M110" s="1">
        <v>10.1</v>
      </c>
      <c r="N110" s="1">
        <v>5.9</v>
      </c>
      <c r="O110" s="1">
        <v>12.6</v>
      </c>
      <c r="P110" s="1">
        <v>2.8</v>
      </c>
      <c r="Q110" s="1">
        <v>1.4</v>
      </c>
      <c r="R110" s="1">
        <v>13.6</v>
      </c>
      <c r="S110" s="1">
        <v>13.9</v>
      </c>
      <c r="T110" s="1"/>
      <c r="U110" s="1">
        <v>0.6</v>
      </c>
      <c r="V110" s="1">
        <v>1.6</v>
      </c>
      <c r="W110" s="1">
        <v>2.2000000000000002</v>
      </c>
      <c r="X110" s="1">
        <v>0.10299999999999999</v>
      </c>
      <c r="Y110" s="1"/>
      <c r="Z110" s="1">
        <v>-2.2999999999999998</v>
      </c>
      <c r="AA110" s="1">
        <v>2.4</v>
      </c>
      <c r="AB110" s="1">
        <v>0.1</v>
      </c>
      <c r="AC110" s="1">
        <v>0.5</v>
      </c>
      <c r="AD110">
        <f>Advanced_Table[[#This Row],[VORP]]*82/Advanced_Table[[#This Row],[G]]</f>
        <v>0.7068965517241379</v>
      </c>
    </row>
    <row r="111" spans="1:30" x14ac:dyDescent="0.25">
      <c r="A111" s="1">
        <v>90</v>
      </c>
      <c r="B111" s="1" t="s">
        <v>403</v>
      </c>
      <c r="C111" s="1" t="s">
        <v>287</v>
      </c>
      <c r="D111" s="1">
        <v>26</v>
      </c>
      <c r="E111" s="1" t="s">
        <v>957</v>
      </c>
      <c r="F111" s="1">
        <v>53</v>
      </c>
      <c r="G111" s="1">
        <v>1086</v>
      </c>
      <c r="H111" s="1">
        <v>17</v>
      </c>
      <c r="I111" s="1">
        <v>0.58499999999999996</v>
      </c>
      <c r="J111" s="1">
        <v>3.0000000000000001E-3</v>
      </c>
      <c r="K111" s="1">
        <v>0.221</v>
      </c>
      <c r="L111" s="1">
        <v>8</v>
      </c>
      <c r="M111" s="1">
        <v>22.9</v>
      </c>
      <c r="N111" s="1">
        <v>15.3</v>
      </c>
      <c r="O111" s="1">
        <v>9.9</v>
      </c>
      <c r="P111" s="1">
        <v>2.2000000000000002</v>
      </c>
      <c r="Q111" s="1">
        <v>5</v>
      </c>
      <c r="R111" s="1">
        <v>10.6</v>
      </c>
      <c r="S111" s="1">
        <v>14.4</v>
      </c>
      <c r="T111" s="1"/>
      <c r="U111" s="1">
        <v>1.5</v>
      </c>
      <c r="V111" s="1">
        <v>1.4</v>
      </c>
      <c r="W111" s="1">
        <v>2.9</v>
      </c>
      <c r="X111" s="1">
        <v>0.128</v>
      </c>
      <c r="Y111" s="1"/>
      <c r="Z111" s="1">
        <v>-1.3</v>
      </c>
      <c r="AA111" s="1">
        <v>1.6</v>
      </c>
      <c r="AB111" s="1">
        <v>0.3</v>
      </c>
      <c r="AC111" s="1">
        <v>0.6</v>
      </c>
      <c r="AD111">
        <f>Advanced_Table[[#This Row],[VORP]]*82/Advanced_Table[[#This Row],[G]]</f>
        <v>0.92830188679245274</v>
      </c>
    </row>
    <row r="112" spans="1:30" x14ac:dyDescent="0.25">
      <c r="A112" s="1">
        <v>90</v>
      </c>
      <c r="B112" s="1" t="s">
        <v>403</v>
      </c>
      <c r="C112" s="1" t="s">
        <v>287</v>
      </c>
      <c r="D112" s="1">
        <v>26</v>
      </c>
      <c r="E112" s="1" t="s">
        <v>369</v>
      </c>
      <c r="F112" s="1">
        <v>41</v>
      </c>
      <c r="G112" s="1">
        <v>940</v>
      </c>
      <c r="H112" s="1">
        <v>16.2</v>
      </c>
      <c r="I112" s="1">
        <v>0.57299999999999995</v>
      </c>
      <c r="J112" s="1">
        <v>0</v>
      </c>
      <c r="K112" s="1">
        <v>0.222</v>
      </c>
      <c r="L112" s="1">
        <v>7.9</v>
      </c>
      <c r="M112" s="1">
        <v>22</v>
      </c>
      <c r="N112" s="1">
        <v>14.7</v>
      </c>
      <c r="O112" s="1">
        <v>9.9</v>
      </c>
      <c r="P112" s="1">
        <v>2.2999999999999998</v>
      </c>
      <c r="Q112" s="1">
        <v>4.8</v>
      </c>
      <c r="R112" s="1">
        <v>11</v>
      </c>
      <c r="S112" s="1">
        <v>14.4</v>
      </c>
      <c r="T112" s="1"/>
      <c r="U112" s="1">
        <v>1</v>
      </c>
      <c r="V112" s="1">
        <v>1.2</v>
      </c>
      <c r="W112" s="1">
        <v>2.2000000000000002</v>
      </c>
      <c r="X112" s="1">
        <v>0.113</v>
      </c>
      <c r="Y112" s="1"/>
      <c r="Z112" s="1">
        <v>-1.6</v>
      </c>
      <c r="AA112" s="1">
        <v>1.5</v>
      </c>
      <c r="AB112" s="1">
        <v>-0.1</v>
      </c>
      <c r="AC112" s="1">
        <v>0.5</v>
      </c>
      <c r="AD112">
        <f>Advanced_Table[[#This Row],[VORP]]*82/Advanced_Table[[#This Row],[G]]</f>
        <v>1</v>
      </c>
    </row>
    <row r="113" spans="1:30" x14ac:dyDescent="0.25">
      <c r="A113" s="1">
        <v>90</v>
      </c>
      <c r="B113" s="1" t="s">
        <v>403</v>
      </c>
      <c r="C113" s="1" t="s">
        <v>287</v>
      </c>
      <c r="D113" s="1">
        <v>26</v>
      </c>
      <c r="E113" s="1" t="s">
        <v>329</v>
      </c>
      <c r="F113" s="1">
        <v>12</v>
      </c>
      <c r="G113" s="1">
        <v>146</v>
      </c>
      <c r="H113" s="1">
        <v>22</v>
      </c>
      <c r="I113" s="1">
        <v>0.66400000000000003</v>
      </c>
      <c r="J113" s="1">
        <v>2.4E-2</v>
      </c>
      <c r="K113" s="1">
        <v>0.214</v>
      </c>
      <c r="L113" s="1">
        <v>8.8000000000000007</v>
      </c>
      <c r="M113" s="1">
        <v>28.8</v>
      </c>
      <c r="N113" s="1">
        <v>19</v>
      </c>
      <c r="O113" s="1">
        <v>10.199999999999999</v>
      </c>
      <c r="P113" s="1">
        <v>1.3</v>
      </c>
      <c r="Q113" s="1">
        <v>6.4</v>
      </c>
      <c r="R113" s="1">
        <v>8</v>
      </c>
      <c r="S113" s="1">
        <v>14.6</v>
      </c>
      <c r="T113" s="1"/>
      <c r="U113" s="1">
        <v>0.4</v>
      </c>
      <c r="V113" s="1">
        <v>0.3</v>
      </c>
      <c r="W113" s="1">
        <v>0.7</v>
      </c>
      <c r="X113" s="1">
        <v>0.22800000000000001</v>
      </c>
      <c r="Y113" s="1"/>
      <c r="Z113" s="1">
        <v>0.8</v>
      </c>
      <c r="AA113" s="1">
        <v>2.1</v>
      </c>
      <c r="AB113" s="1">
        <v>2.9</v>
      </c>
      <c r="AC113" s="1">
        <v>0.2</v>
      </c>
      <c r="AD113">
        <f>Advanced_Table[[#This Row],[VORP]]*82/Advanced_Table[[#This Row],[G]]</f>
        <v>1.3666666666666669</v>
      </c>
    </row>
    <row r="114" spans="1:30" x14ac:dyDescent="0.25">
      <c r="A114" s="1">
        <v>91</v>
      </c>
      <c r="B114" s="1" t="s">
        <v>404</v>
      </c>
      <c r="C114" s="1" t="s">
        <v>287</v>
      </c>
      <c r="D114" s="1">
        <v>37</v>
      </c>
      <c r="E114" s="1" t="s">
        <v>305</v>
      </c>
      <c r="F114" s="1">
        <v>26</v>
      </c>
      <c r="G114" s="1">
        <v>219</v>
      </c>
      <c r="H114" s="1">
        <v>10.8</v>
      </c>
      <c r="I114" s="1">
        <v>0.71699999999999997</v>
      </c>
      <c r="J114" s="1">
        <v>0</v>
      </c>
      <c r="K114" s="1">
        <v>0.72199999999999998</v>
      </c>
      <c r="L114" s="1">
        <v>11.9</v>
      </c>
      <c r="M114" s="1">
        <v>19.8</v>
      </c>
      <c r="N114" s="1">
        <v>15.8</v>
      </c>
      <c r="O114" s="1">
        <v>3.5</v>
      </c>
      <c r="P114" s="1">
        <v>1.3</v>
      </c>
      <c r="Q114" s="1">
        <v>3.1</v>
      </c>
      <c r="R114" s="1">
        <v>25.2</v>
      </c>
      <c r="S114" s="1">
        <v>6</v>
      </c>
      <c r="T114" s="1"/>
      <c r="U114" s="1">
        <v>0.3</v>
      </c>
      <c r="V114" s="1">
        <v>0.3</v>
      </c>
      <c r="W114" s="1">
        <v>0.6</v>
      </c>
      <c r="X114" s="1">
        <v>0.13</v>
      </c>
      <c r="Y114" s="1"/>
      <c r="Z114" s="1">
        <v>-2.4</v>
      </c>
      <c r="AA114" s="1">
        <v>1.1000000000000001</v>
      </c>
      <c r="AB114" s="1">
        <v>-1.3</v>
      </c>
      <c r="AC114" s="1">
        <v>0</v>
      </c>
      <c r="AD114">
        <f>Advanced_Table[[#This Row],[VORP]]*82/Advanced_Table[[#This Row],[G]]</f>
        <v>0</v>
      </c>
    </row>
    <row r="115" spans="1:30" x14ac:dyDescent="0.25">
      <c r="A115" s="1">
        <v>92</v>
      </c>
      <c r="B115" s="1" t="s">
        <v>916</v>
      </c>
      <c r="C115" s="1" t="s">
        <v>303</v>
      </c>
      <c r="D115" s="1">
        <v>32</v>
      </c>
      <c r="E115" s="1" t="s">
        <v>299</v>
      </c>
      <c r="F115" s="1">
        <v>35</v>
      </c>
      <c r="G115" s="1">
        <v>734</v>
      </c>
      <c r="H115" s="1">
        <v>7.4</v>
      </c>
      <c r="I115" s="1">
        <v>0.53100000000000003</v>
      </c>
      <c r="J115" s="1">
        <v>0.66100000000000003</v>
      </c>
      <c r="K115" s="1">
        <v>0.126</v>
      </c>
      <c r="L115" s="1">
        <v>1.6</v>
      </c>
      <c r="M115" s="1">
        <v>18.3</v>
      </c>
      <c r="N115" s="1">
        <v>10.199999999999999</v>
      </c>
      <c r="O115" s="1">
        <v>7.4</v>
      </c>
      <c r="P115" s="1">
        <v>1</v>
      </c>
      <c r="Q115" s="1">
        <v>1.4</v>
      </c>
      <c r="R115" s="1">
        <v>15</v>
      </c>
      <c r="S115" s="1">
        <v>13</v>
      </c>
      <c r="T115" s="1"/>
      <c r="U115" s="1">
        <v>-0.1</v>
      </c>
      <c r="V115" s="1">
        <v>0.9</v>
      </c>
      <c r="W115" s="1">
        <v>0.8</v>
      </c>
      <c r="X115" s="1">
        <v>0.05</v>
      </c>
      <c r="Y115" s="1"/>
      <c r="Z115" s="1">
        <v>-3.8</v>
      </c>
      <c r="AA115" s="1">
        <v>0.9</v>
      </c>
      <c r="AB115" s="1">
        <v>-2.9</v>
      </c>
      <c r="AC115" s="1">
        <v>-0.2</v>
      </c>
      <c r="AD115">
        <f>Advanced_Table[[#This Row],[VORP]]*82/Advanced_Table[[#This Row],[G]]</f>
        <v>-0.46857142857142864</v>
      </c>
    </row>
    <row r="116" spans="1:30" x14ac:dyDescent="0.25">
      <c r="A116" s="1">
        <v>93</v>
      </c>
      <c r="B116" s="1" t="s">
        <v>1646</v>
      </c>
      <c r="C116" s="1" t="s">
        <v>316</v>
      </c>
      <c r="D116" s="1">
        <v>24</v>
      </c>
      <c r="E116" s="1" t="s">
        <v>324</v>
      </c>
      <c r="F116" s="1">
        <v>3</v>
      </c>
      <c r="G116" s="1">
        <v>31</v>
      </c>
      <c r="H116" s="1">
        <v>-3</v>
      </c>
      <c r="I116" s="1">
        <v>0.127</v>
      </c>
      <c r="J116" s="1">
        <v>0.57099999999999995</v>
      </c>
      <c r="K116" s="1">
        <v>0.28599999999999998</v>
      </c>
      <c r="L116" s="1">
        <v>0</v>
      </c>
      <c r="M116" s="1">
        <v>0</v>
      </c>
      <c r="N116" s="1">
        <v>0</v>
      </c>
      <c r="O116" s="1">
        <v>4.2</v>
      </c>
      <c r="P116" s="1">
        <v>6.5</v>
      </c>
      <c r="Q116" s="1">
        <v>0</v>
      </c>
      <c r="R116" s="1">
        <v>20.2</v>
      </c>
      <c r="S116" s="1">
        <v>14</v>
      </c>
      <c r="T116" s="1"/>
      <c r="U116" s="1">
        <v>-0.2</v>
      </c>
      <c r="V116" s="1">
        <v>0</v>
      </c>
      <c r="W116" s="1">
        <v>-0.1</v>
      </c>
      <c r="X116" s="1">
        <v>-0.20100000000000001</v>
      </c>
      <c r="Y116" s="1"/>
      <c r="Z116" s="1">
        <v>-15.1</v>
      </c>
      <c r="AA116" s="1">
        <v>1.6</v>
      </c>
      <c r="AB116" s="1">
        <v>-13.5</v>
      </c>
      <c r="AC116" s="1">
        <v>-0.1</v>
      </c>
      <c r="AD116">
        <f>Advanced_Table[[#This Row],[VORP]]*82/Advanced_Table[[#This Row],[G]]</f>
        <v>-2.7333333333333338</v>
      </c>
    </row>
    <row r="117" spans="1:30" x14ac:dyDescent="0.25">
      <c r="A117" s="1">
        <v>94</v>
      </c>
      <c r="B117" s="1" t="s">
        <v>405</v>
      </c>
      <c r="C117" s="1" t="s">
        <v>303</v>
      </c>
      <c r="D117" s="1">
        <v>24</v>
      </c>
      <c r="E117" s="1" t="s">
        <v>295</v>
      </c>
      <c r="F117" s="1">
        <v>3</v>
      </c>
      <c r="G117" s="1">
        <v>31</v>
      </c>
      <c r="H117" s="1">
        <v>0.1</v>
      </c>
      <c r="I117" s="1">
        <v>0.4</v>
      </c>
      <c r="J117" s="1">
        <v>0.2</v>
      </c>
      <c r="K117" s="1">
        <v>0</v>
      </c>
      <c r="L117" s="1">
        <v>3.4</v>
      </c>
      <c r="M117" s="1">
        <v>17.100000000000001</v>
      </c>
      <c r="N117" s="1">
        <v>10.199999999999999</v>
      </c>
      <c r="O117" s="1">
        <v>7.9</v>
      </c>
      <c r="P117" s="1">
        <v>0</v>
      </c>
      <c r="Q117" s="1">
        <v>2.7</v>
      </c>
      <c r="R117" s="1">
        <v>37.5</v>
      </c>
      <c r="S117" s="1">
        <v>10.5</v>
      </c>
      <c r="T117" s="1"/>
      <c r="U117" s="1">
        <v>-0.1</v>
      </c>
      <c r="V117" s="1">
        <v>0</v>
      </c>
      <c r="W117" s="1">
        <v>-0.1</v>
      </c>
      <c r="X117" s="1">
        <v>-0.08</v>
      </c>
      <c r="Y117" s="1"/>
      <c r="Z117" s="1">
        <v>-10.1</v>
      </c>
      <c r="AA117" s="1">
        <v>-0.1</v>
      </c>
      <c r="AB117" s="1">
        <v>-10.199999999999999</v>
      </c>
      <c r="AC117" s="1">
        <v>-0.1</v>
      </c>
      <c r="AD117">
        <f>Advanced_Table[[#This Row],[VORP]]*82/Advanced_Table[[#This Row],[G]]</f>
        <v>-2.7333333333333338</v>
      </c>
    </row>
    <row r="118" spans="1:30" x14ac:dyDescent="0.25">
      <c r="A118" s="1">
        <v>95</v>
      </c>
      <c r="B118" s="1" t="s">
        <v>406</v>
      </c>
      <c r="C118" s="1" t="s">
        <v>316</v>
      </c>
      <c r="D118" s="1">
        <v>24</v>
      </c>
      <c r="E118" s="1" t="s">
        <v>957</v>
      </c>
      <c r="F118" s="1">
        <v>21</v>
      </c>
      <c r="G118" s="1">
        <v>249</v>
      </c>
      <c r="H118" s="1">
        <v>12.9</v>
      </c>
      <c r="I118" s="1">
        <v>0.52600000000000002</v>
      </c>
      <c r="J118" s="1">
        <v>0.51900000000000002</v>
      </c>
      <c r="K118" s="1">
        <v>2.5000000000000001E-2</v>
      </c>
      <c r="L118" s="1">
        <v>2.5</v>
      </c>
      <c r="M118" s="1">
        <v>12.5</v>
      </c>
      <c r="N118" s="1">
        <v>7.4</v>
      </c>
      <c r="O118" s="1">
        <v>26.7</v>
      </c>
      <c r="P118" s="1">
        <v>2.8</v>
      </c>
      <c r="Q118" s="1">
        <v>0.7</v>
      </c>
      <c r="R118" s="1">
        <v>17.5</v>
      </c>
      <c r="S118" s="1">
        <v>16.2</v>
      </c>
      <c r="T118" s="1"/>
      <c r="U118" s="1">
        <v>0.1</v>
      </c>
      <c r="V118" s="1">
        <v>0.3</v>
      </c>
      <c r="W118" s="1">
        <v>0.4</v>
      </c>
      <c r="X118" s="1">
        <v>7.6999999999999999E-2</v>
      </c>
      <c r="Y118" s="1"/>
      <c r="Z118" s="1">
        <v>-1</v>
      </c>
      <c r="AA118" s="1">
        <v>1.8</v>
      </c>
      <c r="AB118" s="1">
        <v>0.8</v>
      </c>
      <c r="AC118" s="1">
        <v>0.2</v>
      </c>
      <c r="AD118">
        <f>Advanced_Table[[#This Row],[VORP]]*82/Advanced_Table[[#This Row],[G]]</f>
        <v>0.78095238095238106</v>
      </c>
    </row>
    <row r="119" spans="1:30" x14ac:dyDescent="0.25">
      <c r="A119" s="1">
        <v>95</v>
      </c>
      <c r="B119" s="1" t="s">
        <v>406</v>
      </c>
      <c r="C119" s="1" t="s">
        <v>316</v>
      </c>
      <c r="D119" s="1">
        <v>24</v>
      </c>
      <c r="E119" s="1" t="s">
        <v>342</v>
      </c>
      <c r="F119" s="1">
        <v>10</v>
      </c>
      <c r="G119" s="1">
        <v>123</v>
      </c>
      <c r="H119" s="1">
        <v>9.1999999999999993</v>
      </c>
      <c r="I119" s="1">
        <v>0.39700000000000002</v>
      </c>
      <c r="J119" s="1">
        <v>0.47099999999999997</v>
      </c>
      <c r="K119" s="1">
        <v>0</v>
      </c>
      <c r="L119" s="1">
        <v>0</v>
      </c>
      <c r="M119" s="1">
        <v>13.9</v>
      </c>
      <c r="N119" s="1">
        <v>6.7</v>
      </c>
      <c r="O119" s="1">
        <v>28.9</v>
      </c>
      <c r="P119" s="1">
        <v>3.8</v>
      </c>
      <c r="Q119" s="1">
        <v>1.4</v>
      </c>
      <c r="R119" s="1">
        <v>20.9</v>
      </c>
      <c r="S119" s="1">
        <v>14.5</v>
      </c>
      <c r="T119" s="1"/>
      <c r="U119" s="1">
        <v>-0.1</v>
      </c>
      <c r="V119" s="1">
        <v>0.1</v>
      </c>
      <c r="W119" s="1">
        <v>0</v>
      </c>
      <c r="X119" s="1">
        <v>-2E-3</v>
      </c>
      <c r="Y119" s="1"/>
      <c r="Z119" s="1">
        <v>-3.5</v>
      </c>
      <c r="AA119" s="1">
        <v>2.1</v>
      </c>
      <c r="AB119" s="1">
        <v>-1.5</v>
      </c>
      <c r="AC119" s="1">
        <v>0</v>
      </c>
      <c r="AD119">
        <f>Advanced_Table[[#This Row],[VORP]]*82/Advanced_Table[[#This Row],[G]]</f>
        <v>0</v>
      </c>
    </row>
    <row r="120" spans="1:30" x14ac:dyDescent="0.25">
      <c r="A120" s="1">
        <v>95</v>
      </c>
      <c r="B120" s="1" t="s">
        <v>406</v>
      </c>
      <c r="C120" s="1" t="s">
        <v>316</v>
      </c>
      <c r="D120" s="1">
        <v>24</v>
      </c>
      <c r="E120" s="1" t="s">
        <v>299</v>
      </c>
      <c r="F120" s="1">
        <v>11</v>
      </c>
      <c r="G120" s="1">
        <v>126</v>
      </c>
      <c r="H120" s="1">
        <v>16.5</v>
      </c>
      <c r="I120" s="1">
        <v>0.621</v>
      </c>
      <c r="J120" s="1">
        <v>0.55600000000000005</v>
      </c>
      <c r="K120" s="1">
        <v>4.3999999999999997E-2</v>
      </c>
      <c r="L120" s="1">
        <v>5</v>
      </c>
      <c r="M120" s="1">
        <v>11.2</v>
      </c>
      <c r="N120" s="1">
        <v>8.1999999999999993</v>
      </c>
      <c r="O120" s="1">
        <v>24.5</v>
      </c>
      <c r="P120" s="1">
        <v>1.9</v>
      </c>
      <c r="Q120" s="1">
        <v>0</v>
      </c>
      <c r="R120" s="1">
        <v>14.8</v>
      </c>
      <c r="S120" s="1">
        <v>17.899999999999999</v>
      </c>
      <c r="T120" s="1"/>
      <c r="U120" s="1">
        <v>0.3</v>
      </c>
      <c r="V120" s="1">
        <v>0.1</v>
      </c>
      <c r="W120" s="1">
        <v>0.4</v>
      </c>
      <c r="X120" s="1">
        <v>0.154</v>
      </c>
      <c r="Y120" s="1"/>
      <c r="Z120" s="1">
        <v>1.5</v>
      </c>
      <c r="AA120" s="1">
        <v>1.5</v>
      </c>
      <c r="AB120" s="1">
        <v>2.9</v>
      </c>
      <c r="AC120" s="1">
        <v>0.2</v>
      </c>
      <c r="AD120">
        <f>Advanced_Table[[#This Row],[VORP]]*82/Advanced_Table[[#This Row],[G]]</f>
        <v>1.4909090909090912</v>
      </c>
    </row>
    <row r="121" spans="1:30" x14ac:dyDescent="0.25">
      <c r="A121" s="1">
        <v>96</v>
      </c>
      <c r="B121" s="1" t="s">
        <v>407</v>
      </c>
      <c r="C121" s="1" t="s">
        <v>23</v>
      </c>
      <c r="D121" s="1">
        <v>22</v>
      </c>
      <c r="E121" s="1" t="s">
        <v>369</v>
      </c>
      <c r="F121" s="1">
        <v>59</v>
      </c>
      <c r="G121" s="1">
        <v>1196</v>
      </c>
      <c r="H121" s="1">
        <v>19.5</v>
      </c>
      <c r="I121" s="1">
        <v>0.60399999999999998</v>
      </c>
      <c r="J121" s="1">
        <v>0.10100000000000001</v>
      </c>
      <c r="K121" s="1">
        <v>0.40500000000000003</v>
      </c>
      <c r="L121" s="1">
        <v>10</v>
      </c>
      <c r="M121" s="1">
        <v>23.6</v>
      </c>
      <c r="N121" s="1">
        <v>16.5</v>
      </c>
      <c r="O121" s="1">
        <v>15.3</v>
      </c>
      <c r="P121" s="1">
        <v>1.6</v>
      </c>
      <c r="Q121" s="1">
        <v>4.7</v>
      </c>
      <c r="R121" s="1">
        <v>14.7</v>
      </c>
      <c r="S121" s="1">
        <v>19</v>
      </c>
      <c r="T121" s="1"/>
      <c r="U121" s="1">
        <v>2.1</v>
      </c>
      <c r="V121" s="1">
        <v>1.3</v>
      </c>
      <c r="W121" s="1">
        <v>3.4</v>
      </c>
      <c r="X121" s="1">
        <v>0.13600000000000001</v>
      </c>
      <c r="Y121" s="1"/>
      <c r="Z121" s="1">
        <v>0</v>
      </c>
      <c r="AA121" s="1">
        <v>0.5</v>
      </c>
      <c r="AB121" s="1">
        <v>0.5</v>
      </c>
      <c r="AC121" s="1">
        <v>0.8</v>
      </c>
      <c r="AD121">
        <f>Advanced_Table[[#This Row],[VORP]]*82/Advanced_Table[[#This Row],[G]]</f>
        <v>1.1118644067796613</v>
      </c>
    </row>
    <row r="122" spans="1:30" x14ac:dyDescent="0.25">
      <c r="A122" s="1">
        <v>97</v>
      </c>
      <c r="B122" s="1" t="s">
        <v>408</v>
      </c>
      <c r="C122" s="1" t="s">
        <v>23</v>
      </c>
      <c r="D122" s="1">
        <v>25</v>
      </c>
      <c r="E122" s="1" t="s">
        <v>957</v>
      </c>
      <c r="F122" s="1">
        <v>35</v>
      </c>
      <c r="G122" s="1">
        <v>425</v>
      </c>
      <c r="H122" s="1">
        <v>10.3</v>
      </c>
      <c r="I122" s="1">
        <v>0.53400000000000003</v>
      </c>
      <c r="J122" s="1">
        <v>0.85099999999999998</v>
      </c>
      <c r="K122" s="1">
        <v>8.8999999999999996E-2</v>
      </c>
      <c r="L122" s="1">
        <v>6.6</v>
      </c>
      <c r="M122" s="1">
        <v>14.8</v>
      </c>
      <c r="N122" s="1">
        <v>10.6</v>
      </c>
      <c r="O122" s="1">
        <v>4.7</v>
      </c>
      <c r="P122" s="1">
        <v>0.6</v>
      </c>
      <c r="Q122" s="1">
        <v>2.9</v>
      </c>
      <c r="R122" s="1">
        <v>4.5</v>
      </c>
      <c r="S122" s="1">
        <v>10.9</v>
      </c>
      <c r="T122" s="1"/>
      <c r="U122" s="1">
        <v>0.5</v>
      </c>
      <c r="V122" s="1">
        <v>0.4</v>
      </c>
      <c r="W122" s="1">
        <v>0.9</v>
      </c>
      <c r="X122" s="1">
        <v>9.8000000000000004E-2</v>
      </c>
      <c r="Y122" s="1"/>
      <c r="Z122" s="1">
        <v>-1.1000000000000001</v>
      </c>
      <c r="AA122" s="1">
        <v>-1.2</v>
      </c>
      <c r="AB122" s="1">
        <v>-2.2999999999999998</v>
      </c>
      <c r="AC122" s="1">
        <v>0</v>
      </c>
      <c r="AD122">
        <f>Advanced_Table[[#This Row],[VORP]]*82/Advanced_Table[[#This Row],[G]]</f>
        <v>0</v>
      </c>
    </row>
    <row r="123" spans="1:30" x14ac:dyDescent="0.25">
      <c r="A123" s="1">
        <v>97</v>
      </c>
      <c r="B123" s="1" t="s">
        <v>408</v>
      </c>
      <c r="C123" s="1" t="s">
        <v>23</v>
      </c>
      <c r="D123" s="1">
        <v>25</v>
      </c>
      <c r="E123" s="1" t="s">
        <v>305</v>
      </c>
      <c r="F123" s="1">
        <v>18</v>
      </c>
      <c r="G123" s="1">
        <v>212</v>
      </c>
      <c r="H123" s="1">
        <v>11.9</v>
      </c>
      <c r="I123" s="1">
        <v>0.56399999999999995</v>
      </c>
      <c r="J123" s="1">
        <v>0.86399999999999999</v>
      </c>
      <c r="K123" s="1">
        <v>0.11899999999999999</v>
      </c>
      <c r="L123" s="1">
        <v>5.4</v>
      </c>
      <c r="M123" s="1">
        <v>14.4</v>
      </c>
      <c r="N123" s="1">
        <v>9.9</v>
      </c>
      <c r="O123" s="1">
        <v>7.6</v>
      </c>
      <c r="P123" s="1">
        <v>0.4</v>
      </c>
      <c r="Q123" s="1">
        <v>2.8</v>
      </c>
      <c r="R123" s="1">
        <v>3.1</v>
      </c>
      <c r="S123" s="1">
        <v>12.5</v>
      </c>
      <c r="T123" s="1"/>
      <c r="U123" s="1">
        <v>0.4</v>
      </c>
      <c r="V123" s="1">
        <v>0.2</v>
      </c>
      <c r="W123" s="1">
        <v>0.6</v>
      </c>
      <c r="X123" s="1">
        <v>0.126</v>
      </c>
      <c r="Y123" s="1"/>
      <c r="Z123" s="1">
        <v>0.5</v>
      </c>
      <c r="AA123" s="1">
        <v>-0.9</v>
      </c>
      <c r="AB123" s="1">
        <v>-0.4</v>
      </c>
      <c r="AC123" s="1">
        <v>0.1</v>
      </c>
      <c r="AD123">
        <f>Advanced_Table[[#This Row],[VORP]]*82/Advanced_Table[[#This Row],[G]]</f>
        <v>0.4555555555555556</v>
      </c>
    </row>
    <row r="124" spans="1:30" x14ac:dyDescent="0.25">
      <c r="A124" s="1">
        <v>97</v>
      </c>
      <c r="B124" s="1" t="s">
        <v>408</v>
      </c>
      <c r="C124" s="1" t="s">
        <v>23</v>
      </c>
      <c r="D124" s="1">
        <v>25</v>
      </c>
      <c r="E124" s="1" t="s">
        <v>301</v>
      </c>
      <c r="F124" s="1">
        <v>17</v>
      </c>
      <c r="G124" s="1">
        <v>213</v>
      </c>
      <c r="H124" s="1">
        <v>8.8000000000000007</v>
      </c>
      <c r="I124" s="1">
        <v>0.49</v>
      </c>
      <c r="J124" s="1">
        <v>0.83299999999999996</v>
      </c>
      <c r="K124" s="1">
        <v>4.8000000000000001E-2</v>
      </c>
      <c r="L124" s="1">
        <v>7.8</v>
      </c>
      <c r="M124" s="1">
        <v>15.1</v>
      </c>
      <c r="N124" s="1">
        <v>11.3</v>
      </c>
      <c r="O124" s="1">
        <v>1.9</v>
      </c>
      <c r="P124" s="1">
        <v>0.7</v>
      </c>
      <c r="Q124" s="1">
        <v>3</v>
      </c>
      <c r="R124" s="1">
        <v>6.5</v>
      </c>
      <c r="S124" s="1">
        <v>9.3000000000000007</v>
      </c>
      <c r="T124" s="1"/>
      <c r="U124" s="1">
        <v>0.1</v>
      </c>
      <c r="V124" s="1">
        <v>0.2</v>
      </c>
      <c r="W124" s="1">
        <v>0.3</v>
      </c>
      <c r="X124" s="1">
        <v>7.0000000000000007E-2</v>
      </c>
      <c r="Y124" s="1"/>
      <c r="Z124" s="1">
        <v>-2.7</v>
      </c>
      <c r="AA124" s="1">
        <v>-1.4</v>
      </c>
      <c r="AB124" s="1">
        <v>-4.0999999999999996</v>
      </c>
      <c r="AC124" s="1">
        <v>-0.1</v>
      </c>
      <c r="AD124">
        <f>Advanced_Table[[#This Row],[VORP]]*82/Advanced_Table[[#This Row],[G]]</f>
        <v>-0.48235294117647065</v>
      </c>
    </row>
    <row r="125" spans="1:30" x14ac:dyDescent="0.25">
      <c r="A125" s="1">
        <v>98</v>
      </c>
      <c r="B125" s="1" t="s">
        <v>409</v>
      </c>
      <c r="C125" s="1" t="s">
        <v>23</v>
      </c>
      <c r="D125" s="1">
        <v>23</v>
      </c>
      <c r="E125" s="1" t="s">
        <v>297</v>
      </c>
      <c r="F125" s="1">
        <v>50</v>
      </c>
      <c r="G125" s="1">
        <v>1086</v>
      </c>
      <c r="H125" s="1">
        <v>21.8</v>
      </c>
      <c r="I125" s="1">
        <v>0.67</v>
      </c>
      <c r="J125" s="1">
        <v>0.127</v>
      </c>
      <c r="K125" s="1">
        <v>0.22800000000000001</v>
      </c>
      <c r="L125" s="1">
        <v>7.7</v>
      </c>
      <c r="M125" s="1">
        <v>20.3</v>
      </c>
      <c r="N125" s="1">
        <v>14.1</v>
      </c>
      <c r="O125" s="1">
        <v>10.1</v>
      </c>
      <c r="P125" s="1">
        <v>1.1000000000000001</v>
      </c>
      <c r="Q125" s="1">
        <v>3.3</v>
      </c>
      <c r="R125" s="1">
        <v>9.3000000000000007</v>
      </c>
      <c r="S125" s="1">
        <v>19</v>
      </c>
      <c r="T125" s="1"/>
      <c r="U125" s="1">
        <v>3.1</v>
      </c>
      <c r="V125" s="1">
        <v>1.3</v>
      </c>
      <c r="W125" s="1">
        <v>4.4000000000000004</v>
      </c>
      <c r="X125" s="1">
        <v>0.193</v>
      </c>
      <c r="Y125" s="1"/>
      <c r="Z125" s="1">
        <v>2.8</v>
      </c>
      <c r="AA125" s="1">
        <v>0.5</v>
      </c>
      <c r="AB125" s="1">
        <v>3.4</v>
      </c>
      <c r="AC125" s="1">
        <v>1.5</v>
      </c>
      <c r="AD125">
        <f>Advanced_Table[[#This Row],[VORP]]*82/Advanced_Table[[#This Row],[G]]</f>
        <v>2.46</v>
      </c>
    </row>
    <row r="126" spans="1:30" x14ac:dyDescent="0.25">
      <c r="A126" s="1">
        <v>99</v>
      </c>
      <c r="B126" s="1" t="s">
        <v>410</v>
      </c>
      <c r="C126" s="1" t="s">
        <v>294</v>
      </c>
      <c r="D126" s="1">
        <v>27</v>
      </c>
      <c r="E126" s="1" t="s">
        <v>957</v>
      </c>
      <c r="F126" s="1">
        <v>63</v>
      </c>
      <c r="G126" s="1">
        <v>1527</v>
      </c>
      <c r="H126" s="1">
        <v>17.899999999999999</v>
      </c>
      <c r="I126" s="1">
        <v>0.58299999999999996</v>
      </c>
      <c r="J126" s="1">
        <v>0.46899999999999997</v>
      </c>
      <c r="K126" s="1">
        <v>0.193</v>
      </c>
      <c r="L126" s="1">
        <v>3.5</v>
      </c>
      <c r="M126" s="1">
        <v>8.5</v>
      </c>
      <c r="N126" s="1">
        <v>6</v>
      </c>
      <c r="O126" s="1">
        <v>13.4</v>
      </c>
      <c r="P126" s="1">
        <v>1.4</v>
      </c>
      <c r="Q126" s="1">
        <v>0.8</v>
      </c>
      <c r="R126" s="1">
        <v>9.1</v>
      </c>
      <c r="S126" s="1">
        <v>25.5</v>
      </c>
      <c r="T126" s="1"/>
      <c r="U126" s="1">
        <v>2.6</v>
      </c>
      <c r="V126" s="1">
        <v>0.9</v>
      </c>
      <c r="W126" s="1">
        <v>3.5</v>
      </c>
      <c r="X126" s="1">
        <v>0.11</v>
      </c>
      <c r="Y126" s="1"/>
      <c r="Z126" s="1">
        <v>2.8</v>
      </c>
      <c r="AA126" s="1">
        <v>-1.2</v>
      </c>
      <c r="AB126" s="1">
        <v>1.6</v>
      </c>
      <c r="AC126" s="1">
        <v>1.4</v>
      </c>
      <c r="AD126">
        <f>Advanced_Table[[#This Row],[VORP]]*82/Advanced_Table[[#This Row],[G]]</f>
        <v>1.8222222222222222</v>
      </c>
    </row>
    <row r="127" spans="1:30" x14ac:dyDescent="0.25">
      <c r="A127" s="1">
        <v>99</v>
      </c>
      <c r="B127" s="1" t="s">
        <v>410</v>
      </c>
      <c r="C127" s="1" t="s">
        <v>294</v>
      </c>
      <c r="D127" s="1">
        <v>27</v>
      </c>
      <c r="E127" s="1" t="s">
        <v>411</v>
      </c>
      <c r="F127" s="1">
        <v>29</v>
      </c>
      <c r="G127" s="1">
        <v>666</v>
      </c>
      <c r="H127" s="1">
        <v>18.600000000000001</v>
      </c>
      <c r="I127" s="1">
        <v>0.58099999999999996</v>
      </c>
      <c r="J127" s="1">
        <v>0.48799999999999999</v>
      </c>
      <c r="K127" s="1">
        <v>0.26400000000000001</v>
      </c>
      <c r="L127" s="1">
        <v>3.5</v>
      </c>
      <c r="M127" s="1">
        <v>8.1</v>
      </c>
      <c r="N127" s="1">
        <v>5.8</v>
      </c>
      <c r="O127" s="1">
        <v>17</v>
      </c>
      <c r="P127" s="1">
        <v>1.2</v>
      </c>
      <c r="Q127" s="1">
        <v>1</v>
      </c>
      <c r="R127" s="1">
        <v>9.6999999999999993</v>
      </c>
      <c r="S127" s="1">
        <v>25.9</v>
      </c>
      <c r="T127" s="1"/>
      <c r="U127" s="1">
        <v>1.4</v>
      </c>
      <c r="V127" s="1">
        <v>0.1</v>
      </c>
      <c r="W127" s="1">
        <v>1.5</v>
      </c>
      <c r="X127" s="1">
        <v>0.108</v>
      </c>
      <c r="Y127" s="1"/>
      <c r="Z127" s="1">
        <v>4.2</v>
      </c>
      <c r="AA127" s="1">
        <v>-1.5</v>
      </c>
      <c r="AB127" s="1">
        <v>2.7</v>
      </c>
      <c r="AC127" s="1">
        <v>0.8</v>
      </c>
      <c r="AD127">
        <f>Advanced_Table[[#This Row],[VORP]]*82/Advanced_Table[[#This Row],[G]]</f>
        <v>2.2620689655172415</v>
      </c>
    </row>
    <row r="128" spans="1:30" x14ac:dyDescent="0.25">
      <c r="A128" s="1">
        <v>99</v>
      </c>
      <c r="B128" s="1" t="s">
        <v>410</v>
      </c>
      <c r="C128" s="1" t="s">
        <v>294</v>
      </c>
      <c r="D128" s="1">
        <v>27</v>
      </c>
      <c r="E128" s="1" t="s">
        <v>359</v>
      </c>
      <c r="F128" s="1">
        <v>34</v>
      </c>
      <c r="G128" s="1">
        <v>861</v>
      </c>
      <c r="H128" s="1">
        <v>17.399999999999999</v>
      </c>
      <c r="I128" s="1">
        <v>0.58399999999999996</v>
      </c>
      <c r="J128" s="1">
        <v>0.45400000000000001</v>
      </c>
      <c r="K128" s="1">
        <v>0.13800000000000001</v>
      </c>
      <c r="L128" s="1">
        <v>3.5</v>
      </c>
      <c r="M128" s="1">
        <v>8.8000000000000007</v>
      </c>
      <c r="N128" s="1">
        <v>6.2</v>
      </c>
      <c r="O128" s="1">
        <v>10.5</v>
      </c>
      <c r="P128" s="1">
        <v>1.5</v>
      </c>
      <c r="Q128" s="1">
        <v>0.7</v>
      </c>
      <c r="R128" s="1">
        <v>8.6999999999999993</v>
      </c>
      <c r="S128" s="1">
        <v>25.3</v>
      </c>
      <c r="T128" s="1"/>
      <c r="U128" s="1">
        <v>1.2</v>
      </c>
      <c r="V128" s="1">
        <v>0.8</v>
      </c>
      <c r="W128" s="1">
        <v>2</v>
      </c>
      <c r="X128" s="1">
        <v>0.112</v>
      </c>
      <c r="Y128" s="1"/>
      <c r="Z128" s="1">
        <v>1.7</v>
      </c>
      <c r="AA128" s="1">
        <v>-0.9</v>
      </c>
      <c r="AB128" s="1">
        <v>0.8</v>
      </c>
      <c r="AC128" s="1">
        <v>0.6</v>
      </c>
      <c r="AD128">
        <f>Advanced_Table[[#This Row],[VORP]]*82/Advanced_Table[[#This Row],[G]]</f>
        <v>1.4470588235294117</v>
      </c>
    </row>
    <row r="129" spans="1:30" x14ac:dyDescent="0.25">
      <c r="A129" s="1">
        <v>100</v>
      </c>
      <c r="B129" s="1" t="s">
        <v>412</v>
      </c>
      <c r="C129" s="1" t="s">
        <v>23</v>
      </c>
      <c r="D129" s="1">
        <v>20</v>
      </c>
      <c r="E129" s="1" t="s">
        <v>299</v>
      </c>
      <c r="F129" s="1">
        <v>15</v>
      </c>
      <c r="G129" s="1">
        <v>187</v>
      </c>
      <c r="H129" s="1">
        <v>14.9</v>
      </c>
      <c r="I129" s="1">
        <v>0.57699999999999996</v>
      </c>
      <c r="J129" s="1">
        <v>0.14599999999999999</v>
      </c>
      <c r="K129" s="1">
        <v>0.438</v>
      </c>
      <c r="L129" s="1">
        <v>10.7</v>
      </c>
      <c r="M129" s="1">
        <v>13.4</v>
      </c>
      <c r="N129" s="1">
        <v>12.1</v>
      </c>
      <c r="O129" s="1">
        <v>12.6</v>
      </c>
      <c r="P129" s="1">
        <v>0.3</v>
      </c>
      <c r="Q129" s="1">
        <v>3.5</v>
      </c>
      <c r="R129" s="1">
        <v>13.6</v>
      </c>
      <c r="S129" s="1">
        <v>14.8</v>
      </c>
      <c r="T129" s="1"/>
      <c r="U129" s="1">
        <v>0.3</v>
      </c>
      <c r="V129" s="1">
        <v>0.2</v>
      </c>
      <c r="W129" s="1">
        <v>0.5</v>
      </c>
      <c r="X129" s="1">
        <v>0.124</v>
      </c>
      <c r="Y129" s="1"/>
      <c r="Z129" s="1">
        <v>-0.7</v>
      </c>
      <c r="AA129" s="1">
        <v>0.1</v>
      </c>
      <c r="AB129" s="1">
        <v>-0.6</v>
      </c>
      <c r="AC129" s="1">
        <v>0.1</v>
      </c>
      <c r="AD129">
        <f>Advanced_Table[[#This Row],[VORP]]*82/Advanced_Table[[#This Row],[G]]</f>
        <v>0.54666666666666675</v>
      </c>
    </row>
    <row r="130" spans="1:30" x14ac:dyDescent="0.25">
      <c r="A130" s="1">
        <v>101</v>
      </c>
      <c r="B130" s="1" t="s">
        <v>413</v>
      </c>
      <c r="C130" s="1" t="s">
        <v>294</v>
      </c>
      <c r="D130" s="1">
        <v>22</v>
      </c>
      <c r="E130" s="1" t="s">
        <v>305</v>
      </c>
      <c r="F130" s="1">
        <v>29</v>
      </c>
      <c r="G130" s="1">
        <v>251</v>
      </c>
      <c r="H130" s="1">
        <v>12.6</v>
      </c>
      <c r="I130" s="1">
        <v>0.54600000000000004</v>
      </c>
      <c r="J130" s="1">
        <v>0.746</v>
      </c>
      <c r="K130" s="1">
        <v>5.6000000000000001E-2</v>
      </c>
      <c r="L130" s="1">
        <v>1.2</v>
      </c>
      <c r="M130" s="1">
        <v>8.4</v>
      </c>
      <c r="N130" s="1">
        <v>4.8</v>
      </c>
      <c r="O130" s="1">
        <v>13.5</v>
      </c>
      <c r="P130" s="1">
        <v>1.1000000000000001</v>
      </c>
      <c r="Q130" s="1">
        <v>1.7</v>
      </c>
      <c r="R130" s="1">
        <v>11.6</v>
      </c>
      <c r="S130" s="1">
        <v>24</v>
      </c>
      <c r="T130" s="1"/>
      <c r="U130" s="1">
        <v>0.1</v>
      </c>
      <c r="V130" s="1">
        <v>0.2</v>
      </c>
      <c r="W130" s="1">
        <v>0.2</v>
      </c>
      <c r="X130" s="1">
        <v>4.5999999999999999E-2</v>
      </c>
      <c r="Y130" s="1"/>
      <c r="Z130" s="1">
        <v>0.5</v>
      </c>
      <c r="AA130" s="1">
        <v>-1.7</v>
      </c>
      <c r="AB130" s="1">
        <v>-1.2</v>
      </c>
      <c r="AC130" s="1">
        <v>0.1</v>
      </c>
      <c r="AD130">
        <f>Advanced_Table[[#This Row],[VORP]]*82/Advanced_Table[[#This Row],[G]]</f>
        <v>0.28275862068965518</v>
      </c>
    </row>
    <row r="131" spans="1:30" x14ac:dyDescent="0.25">
      <c r="A131" s="1">
        <v>102</v>
      </c>
      <c r="B131" s="1" t="s">
        <v>1082</v>
      </c>
      <c r="C131" s="1" t="s">
        <v>294</v>
      </c>
      <c r="D131" s="1">
        <v>25</v>
      </c>
      <c r="E131" s="1" t="s">
        <v>329</v>
      </c>
      <c r="F131" s="1">
        <v>6</v>
      </c>
      <c r="G131" s="1">
        <v>22</v>
      </c>
      <c r="H131" s="1">
        <v>2.9</v>
      </c>
      <c r="I131" s="1">
        <v>0.36299999999999999</v>
      </c>
      <c r="J131" s="1">
        <v>0.16700000000000001</v>
      </c>
      <c r="K131" s="1">
        <v>0.33300000000000002</v>
      </c>
      <c r="L131" s="1">
        <v>0</v>
      </c>
      <c r="M131" s="1">
        <v>14</v>
      </c>
      <c r="N131" s="1">
        <v>7.1</v>
      </c>
      <c r="O131" s="1">
        <v>0</v>
      </c>
      <c r="P131" s="1">
        <v>2.2000000000000002</v>
      </c>
      <c r="Q131" s="1">
        <v>3.8</v>
      </c>
      <c r="R131" s="1">
        <v>12.7</v>
      </c>
      <c r="S131" s="1">
        <v>15.3</v>
      </c>
      <c r="T131" s="1"/>
      <c r="U131" s="1">
        <v>-0.1</v>
      </c>
      <c r="V131" s="1">
        <v>0</v>
      </c>
      <c r="W131" s="1">
        <v>0</v>
      </c>
      <c r="X131" s="1">
        <v>-7.5999999999999998E-2</v>
      </c>
      <c r="Y131" s="1"/>
      <c r="Z131" s="1">
        <v>-8.9</v>
      </c>
      <c r="AA131" s="1">
        <v>0.5</v>
      </c>
      <c r="AB131" s="1">
        <v>-8.4</v>
      </c>
      <c r="AC131" s="1">
        <v>0</v>
      </c>
      <c r="AD131">
        <f>Advanced_Table[[#This Row],[VORP]]*82/Advanced_Table[[#This Row],[G]]</f>
        <v>0</v>
      </c>
    </row>
    <row r="132" spans="1:30" x14ac:dyDescent="0.25">
      <c r="A132" s="1">
        <v>103</v>
      </c>
      <c r="B132" s="1" t="s">
        <v>958</v>
      </c>
      <c r="C132" s="1" t="s">
        <v>294</v>
      </c>
      <c r="D132" s="1">
        <v>22</v>
      </c>
      <c r="E132" s="1" t="s">
        <v>350</v>
      </c>
      <c r="F132" s="1">
        <v>13</v>
      </c>
      <c r="G132" s="1">
        <v>98</v>
      </c>
      <c r="H132" s="1">
        <v>5.9</v>
      </c>
      <c r="I132" s="1">
        <v>0.40799999999999997</v>
      </c>
      <c r="J132" s="1">
        <v>0.21199999999999999</v>
      </c>
      <c r="K132" s="1">
        <v>9.0999999999999998E-2</v>
      </c>
      <c r="L132" s="1">
        <v>4.3</v>
      </c>
      <c r="M132" s="1">
        <v>10.3</v>
      </c>
      <c r="N132" s="1">
        <v>7.4</v>
      </c>
      <c r="O132" s="1">
        <v>12.6</v>
      </c>
      <c r="P132" s="1">
        <v>0.5</v>
      </c>
      <c r="Q132" s="1">
        <v>0.9</v>
      </c>
      <c r="R132" s="1">
        <v>8</v>
      </c>
      <c r="S132" s="1">
        <v>15.8</v>
      </c>
      <c r="T132" s="1"/>
      <c r="U132" s="1">
        <v>-0.1</v>
      </c>
      <c r="V132" s="1">
        <v>0.1</v>
      </c>
      <c r="W132" s="1">
        <v>0</v>
      </c>
      <c r="X132" s="1">
        <v>8.9999999999999993E-3</v>
      </c>
      <c r="Y132" s="1"/>
      <c r="Z132" s="1">
        <v>-5.7</v>
      </c>
      <c r="AA132" s="1">
        <v>-1.3</v>
      </c>
      <c r="AB132" s="1">
        <v>-7</v>
      </c>
      <c r="AC132" s="1">
        <v>-0.1</v>
      </c>
      <c r="AD132">
        <f>Advanced_Table[[#This Row],[VORP]]*82/Advanced_Table[[#This Row],[G]]</f>
        <v>-0.63076923076923086</v>
      </c>
    </row>
    <row r="133" spans="1:30" x14ac:dyDescent="0.25">
      <c r="A133" s="1">
        <v>104</v>
      </c>
      <c r="B133" s="1" t="s">
        <v>414</v>
      </c>
      <c r="C133" s="1" t="s">
        <v>23</v>
      </c>
      <c r="D133" s="1">
        <v>22</v>
      </c>
      <c r="E133" s="1" t="s">
        <v>347</v>
      </c>
      <c r="F133" s="1">
        <v>40</v>
      </c>
      <c r="G133" s="1">
        <v>1322</v>
      </c>
      <c r="H133" s="1">
        <v>23.8</v>
      </c>
      <c r="I133" s="1">
        <v>0.66500000000000004</v>
      </c>
      <c r="J133" s="1">
        <v>0.24099999999999999</v>
      </c>
      <c r="K133" s="1">
        <v>0.25</v>
      </c>
      <c r="L133" s="1">
        <v>9</v>
      </c>
      <c r="M133" s="1">
        <v>23.8</v>
      </c>
      <c r="N133" s="1">
        <v>16.3</v>
      </c>
      <c r="O133" s="1">
        <v>7.9</v>
      </c>
      <c r="P133" s="1">
        <v>1</v>
      </c>
      <c r="Q133" s="1">
        <v>4.0999999999999996</v>
      </c>
      <c r="R133" s="1">
        <v>10</v>
      </c>
      <c r="S133" s="1">
        <v>22.7</v>
      </c>
      <c r="T133" s="1"/>
      <c r="U133" s="1">
        <v>3.8</v>
      </c>
      <c r="V133" s="1">
        <v>1.1000000000000001</v>
      </c>
      <c r="W133" s="1">
        <v>4.9000000000000004</v>
      </c>
      <c r="X133" s="1">
        <v>0.17799999999999999</v>
      </c>
      <c r="Y133" s="1"/>
      <c r="Z133" s="1">
        <v>3.9</v>
      </c>
      <c r="AA133" s="1">
        <v>-0.5</v>
      </c>
      <c r="AB133" s="1">
        <v>3.3</v>
      </c>
      <c r="AC133" s="1">
        <v>1.8</v>
      </c>
      <c r="AD133">
        <f>Advanced_Table[[#This Row],[VORP]]*82/Advanced_Table[[#This Row],[G]]</f>
        <v>3.69</v>
      </c>
    </row>
    <row r="134" spans="1:30" x14ac:dyDescent="0.25">
      <c r="A134" s="1">
        <v>105</v>
      </c>
      <c r="B134" s="1" t="s">
        <v>415</v>
      </c>
      <c r="C134" s="1" t="s">
        <v>23</v>
      </c>
      <c r="D134" s="1">
        <v>22</v>
      </c>
      <c r="E134" s="1" t="s">
        <v>312</v>
      </c>
      <c r="F134" s="1">
        <v>3</v>
      </c>
      <c r="G134" s="1">
        <v>86</v>
      </c>
      <c r="H134" s="1">
        <v>9</v>
      </c>
      <c r="I134" s="1">
        <v>0.624</v>
      </c>
      <c r="J134" s="1">
        <v>0.36799999999999999</v>
      </c>
      <c r="K134" s="1">
        <v>0.316</v>
      </c>
      <c r="L134" s="1">
        <v>4.9000000000000004</v>
      </c>
      <c r="M134" s="1">
        <v>9.5</v>
      </c>
      <c r="N134" s="1">
        <v>7.2</v>
      </c>
      <c r="O134" s="1">
        <v>9.1</v>
      </c>
      <c r="P134" s="1">
        <v>0</v>
      </c>
      <c r="Q134" s="1">
        <v>2</v>
      </c>
      <c r="R134" s="1">
        <v>21.7</v>
      </c>
      <c r="S134" s="1">
        <v>13.6</v>
      </c>
      <c r="T134" s="1"/>
      <c r="U134" s="1">
        <v>0.1</v>
      </c>
      <c r="V134" s="1">
        <v>0</v>
      </c>
      <c r="W134" s="1">
        <v>0.1</v>
      </c>
      <c r="X134" s="1">
        <v>4.4999999999999998E-2</v>
      </c>
      <c r="Y134" s="1"/>
      <c r="Z134" s="1">
        <v>-1.1000000000000001</v>
      </c>
      <c r="AA134" s="1">
        <v>-0.7</v>
      </c>
      <c r="AB134" s="1">
        <v>-1.8</v>
      </c>
      <c r="AC134" s="1">
        <v>0</v>
      </c>
      <c r="AD134">
        <f>Advanced_Table[[#This Row],[VORP]]*82/Advanced_Table[[#This Row],[G]]</f>
        <v>0</v>
      </c>
    </row>
    <row r="135" spans="1:30" x14ac:dyDescent="0.25">
      <c r="A135" s="1">
        <v>106</v>
      </c>
      <c r="B135" s="1" t="s">
        <v>416</v>
      </c>
      <c r="C135" s="1" t="s">
        <v>316</v>
      </c>
      <c r="D135" s="1">
        <v>32</v>
      </c>
      <c r="E135" s="1" t="s">
        <v>359</v>
      </c>
      <c r="F135" s="1">
        <v>41</v>
      </c>
      <c r="G135" s="1">
        <v>1171</v>
      </c>
      <c r="H135" s="1">
        <v>13.7</v>
      </c>
      <c r="I135" s="1">
        <v>0.52700000000000002</v>
      </c>
      <c r="J135" s="1">
        <v>0.438</v>
      </c>
      <c r="K135" s="1">
        <v>0.24099999999999999</v>
      </c>
      <c r="L135" s="1">
        <v>2.7</v>
      </c>
      <c r="M135" s="1">
        <v>9.5</v>
      </c>
      <c r="N135" s="1">
        <v>6.2</v>
      </c>
      <c r="O135" s="1">
        <v>22.8</v>
      </c>
      <c r="P135" s="1">
        <v>1.3</v>
      </c>
      <c r="Q135" s="1">
        <v>0.3</v>
      </c>
      <c r="R135" s="1">
        <v>12.4</v>
      </c>
      <c r="S135" s="1">
        <v>23</v>
      </c>
      <c r="T135" s="1"/>
      <c r="U135" s="1">
        <v>1</v>
      </c>
      <c r="V135" s="1">
        <v>1</v>
      </c>
      <c r="W135" s="1">
        <v>2.1</v>
      </c>
      <c r="X135" s="1">
        <v>8.5000000000000006E-2</v>
      </c>
      <c r="Y135" s="1"/>
      <c r="Z135" s="1">
        <v>0.4</v>
      </c>
      <c r="AA135" s="1">
        <v>-0.3</v>
      </c>
      <c r="AB135" s="1">
        <v>0.1</v>
      </c>
      <c r="AC135" s="1">
        <v>0.6</v>
      </c>
      <c r="AD135">
        <f>Advanced_Table[[#This Row],[VORP]]*82/Advanced_Table[[#This Row],[G]]</f>
        <v>1.2</v>
      </c>
    </row>
    <row r="136" spans="1:30" x14ac:dyDescent="0.25">
      <c r="A136" s="1">
        <v>107</v>
      </c>
      <c r="B136" s="1" t="s">
        <v>417</v>
      </c>
      <c r="C136" s="1" t="s">
        <v>294</v>
      </c>
      <c r="D136" s="1">
        <v>27</v>
      </c>
      <c r="E136" s="1" t="s">
        <v>307</v>
      </c>
      <c r="F136" s="1">
        <v>61</v>
      </c>
      <c r="G136" s="1">
        <v>1119</v>
      </c>
      <c r="H136" s="1">
        <v>11.2</v>
      </c>
      <c r="I136" s="1">
        <v>0.55800000000000005</v>
      </c>
      <c r="J136" s="1">
        <v>0.52500000000000002</v>
      </c>
      <c r="K136" s="1">
        <v>0.13800000000000001</v>
      </c>
      <c r="L136" s="1">
        <v>5.3</v>
      </c>
      <c r="M136" s="1">
        <v>16.899999999999999</v>
      </c>
      <c r="N136" s="1">
        <v>11.4</v>
      </c>
      <c r="O136" s="1">
        <v>10.6</v>
      </c>
      <c r="P136" s="1">
        <v>0.8</v>
      </c>
      <c r="Q136" s="1">
        <v>2.2999999999999998</v>
      </c>
      <c r="R136" s="1">
        <v>14.5</v>
      </c>
      <c r="S136" s="1">
        <v>11.9</v>
      </c>
      <c r="T136" s="1"/>
      <c r="U136" s="1">
        <v>0.9</v>
      </c>
      <c r="V136" s="1">
        <v>2.1</v>
      </c>
      <c r="W136" s="1">
        <v>3</v>
      </c>
      <c r="X136" s="1">
        <v>0.13</v>
      </c>
      <c r="Y136" s="1"/>
      <c r="Z136" s="1">
        <v>-1</v>
      </c>
      <c r="AA136" s="1">
        <v>1.5</v>
      </c>
      <c r="AB136" s="1">
        <v>0.5</v>
      </c>
      <c r="AC136" s="1">
        <v>0.7</v>
      </c>
      <c r="AD136">
        <f>Advanced_Table[[#This Row],[VORP]]*82/Advanced_Table[[#This Row],[G]]</f>
        <v>0.94098360655737701</v>
      </c>
    </row>
    <row r="137" spans="1:30" x14ac:dyDescent="0.25">
      <c r="A137" s="1">
        <v>108</v>
      </c>
      <c r="B137" s="1" t="s">
        <v>418</v>
      </c>
      <c r="C137" s="1" t="s">
        <v>316</v>
      </c>
      <c r="D137" s="1">
        <v>26</v>
      </c>
      <c r="E137" s="1" t="s">
        <v>309</v>
      </c>
      <c r="F137" s="1">
        <v>38</v>
      </c>
      <c r="G137" s="1">
        <v>409</v>
      </c>
      <c r="H137" s="1">
        <v>10.5</v>
      </c>
      <c r="I137" s="1">
        <v>0.51700000000000002</v>
      </c>
      <c r="J137" s="1">
        <v>0.38200000000000001</v>
      </c>
      <c r="K137" s="1">
        <v>5.1999999999999998E-2</v>
      </c>
      <c r="L137" s="1">
        <v>1.9</v>
      </c>
      <c r="M137" s="1">
        <v>8.6</v>
      </c>
      <c r="N137" s="1">
        <v>5.3</v>
      </c>
      <c r="O137" s="1">
        <v>13.9</v>
      </c>
      <c r="P137" s="1">
        <v>1.3</v>
      </c>
      <c r="Q137" s="1">
        <v>0.2</v>
      </c>
      <c r="R137" s="1">
        <v>12.4</v>
      </c>
      <c r="S137" s="1">
        <v>20.8</v>
      </c>
      <c r="T137" s="1"/>
      <c r="U137" s="1">
        <v>-0.1</v>
      </c>
      <c r="V137" s="1">
        <v>0.4</v>
      </c>
      <c r="W137" s="1">
        <v>0.4</v>
      </c>
      <c r="X137" s="1">
        <v>4.2999999999999997E-2</v>
      </c>
      <c r="Y137" s="1"/>
      <c r="Z137" s="1">
        <v>-2.2000000000000002</v>
      </c>
      <c r="AA137" s="1">
        <v>-1.1000000000000001</v>
      </c>
      <c r="AB137" s="1">
        <v>-3.3</v>
      </c>
      <c r="AC137" s="1">
        <v>-0.1</v>
      </c>
      <c r="AD137">
        <f>Advanced_Table[[#This Row],[VORP]]*82/Advanced_Table[[#This Row],[G]]</f>
        <v>-0.21578947368421056</v>
      </c>
    </row>
    <row r="138" spans="1:30" x14ac:dyDescent="0.25">
      <c r="A138" s="1">
        <v>109</v>
      </c>
      <c r="B138" s="1" t="s">
        <v>419</v>
      </c>
      <c r="C138" s="1" t="s">
        <v>23</v>
      </c>
      <c r="D138" s="1">
        <v>22</v>
      </c>
      <c r="E138" s="1" t="s">
        <v>411</v>
      </c>
      <c r="F138" s="1">
        <v>11</v>
      </c>
      <c r="G138" s="1">
        <v>35</v>
      </c>
      <c r="H138" s="1">
        <v>23.9</v>
      </c>
      <c r="I138" s="1">
        <v>0.752</v>
      </c>
      <c r="J138" s="1">
        <v>0</v>
      </c>
      <c r="K138" s="1">
        <v>0.6</v>
      </c>
      <c r="L138" s="1">
        <v>12.6</v>
      </c>
      <c r="M138" s="1">
        <v>19.2</v>
      </c>
      <c r="N138" s="1">
        <v>15.9</v>
      </c>
      <c r="O138" s="1">
        <v>4.5</v>
      </c>
      <c r="P138" s="1">
        <v>1.4</v>
      </c>
      <c r="Q138" s="1">
        <v>0</v>
      </c>
      <c r="R138" s="1">
        <v>7.3</v>
      </c>
      <c r="S138" s="1">
        <v>16.7</v>
      </c>
      <c r="T138" s="1"/>
      <c r="U138" s="1">
        <v>0.2</v>
      </c>
      <c r="V138" s="1">
        <v>0</v>
      </c>
      <c r="W138" s="1">
        <v>0.2</v>
      </c>
      <c r="X138" s="1">
        <v>0.24399999999999999</v>
      </c>
      <c r="Y138" s="1"/>
      <c r="Z138" s="1">
        <v>3</v>
      </c>
      <c r="AA138" s="1">
        <v>-0.7</v>
      </c>
      <c r="AB138" s="1">
        <v>2.2999999999999998</v>
      </c>
      <c r="AC138" s="1">
        <v>0</v>
      </c>
      <c r="AD138">
        <f>Advanced_Table[[#This Row],[VORP]]*82/Advanced_Table[[#This Row],[G]]</f>
        <v>0</v>
      </c>
    </row>
    <row r="139" spans="1:30" x14ac:dyDescent="0.25">
      <c r="A139" s="1">
        <v>110</v>
      </c>
      <c r="B139" s="1" t="s">
        <v>420</v>
      </c>
      <c r="C139" s="1" t="s">
        <v>23</v>
      </c>
      <c r="D139" s="1">
        <v>29</v>
      </c>
      <c r="E139" s="1" t="s">
        <v>957</v>
      </c>
      <c r="F139" s="1">
        <v>62</v>
      </c>
      <c r="G139" s="1">
        <v>1867</v>
      </c>
      <c r="H139" s="1">
        <v>13.6</v>
      </c>
      <c r="I139" s="1">
        <v>0.57099999999999995</v>
      </c>
      <c r="J139" s="1">
        <v>0.65400000000000003</v>
      </c>
      <c r="K139" s="1">
        <v>0.16700000000000001</v>
      </c>
      <c r="L139" s="1">
        <v>3</v>
      </c>
      <c r="M139" s="1">
        <v>19.899999999999999</v>
      </c>
      <c r="N139" s="1">
        <v>11.2</v>
      </c>
      <c r="O139" s="1">
        <v>5.8</v>
      </c>
      <c r="P139" s="1">
        <v>2.4</v>
      </c>
      <c r="Q139" s="1">
        <v>3.6</v>
      </c>
      <c r="R139" s="1">
        <v>11.8</v>
      </c>
      <c r="S139" s="1">
        <v>17.399999999999999</v>
      </c>
      <c r="T139" s="1"/>
      <c r="U139" s="1">
        <v>0.9</v>
      </c>
      <c r="V139" s="1">
        <v>2.4</v>
      </c>
      <c r="W139" s="1">
        <v>3.3</v>
      </c>
      <c r="X139" s="1">
        <v>8.5000000000000006E-2</v>
      </c>
      <c r="Y139" s="1"/>
      <c r="Z139" s="1">
        <v>-0.9</v>
      </c>
      <c r="AA139" s="1">
        <v>1.1000000000000001</v>
      </c>
      <c r="AB139" s="1">
        <v>0.2</v>
      </c>
      <c r="AC139" s="1">
        <v>1</v>
      </c>
      <c r="AD139">
        <f>Advanced_Table[[#This Row],[VORP]]*82/Advanced_Table[[#This Row],[G]]</f>
        <v>1.3225806451612903</v>
      </c>
    </row>
    <row r="140" spans="1:30" x14ac:dyDescent="0.25">
      <c r="A140" s="1">
        <v>110</v>
      </c>
      <c r="B140" s="1" t="s">
        <v>420</v>
      </c>
      <c r="C140" s="1" t="s">
        <v>23</v>
      </c>
      <c r="D140" s="1">
        <v>29</v>
      </c>
      <c r="E140" s="1" t="s">
        <v>336</v>
      </c>
      <c r="F140" s="1">
        <v>48</v>
      </c>
      <c r="G140" s="1">
        <v>1411</v>
      </c>
      <c r="H140" s="1">
        <v>13.5</v>
      </c>
      <c r="I140" s="1">
        <v>0.57199999999999995</v>
      </c>
      <c r="J140" s="1">
        <v>0.629</v>
      </c>
      <c r="K140" s="1">
        <v>0.19</v>
      </c>
      <c r="L140" s="1">
        <v>2.6</v>
      </c>
      <c r="M140" s="1">
        <v>19.5</v>
      </c>
      <c r="N140" s="1">
        <v>10.7</v>
      </c>
      <c r="O140" s="1">
        <v>5.9</v>
      </c>
      <c r="P140" s="1">
        <v>2.6</v>
      </c>
      <c r="Q140" s="1">
        <v>2.6</v>
      </c>
      <c r="R140" s="1">
        <v>12</v>
      </c>
      <c r="S140" s="1">
        <v>17.8</v>
      </c>
      <c r="T140" s="1"/>
      <c r="U140" s="1">
        <v>0.6</v>
      </c>
      <c r="V140" s="1">
        <v>1.7</v>
      </c>
      <c r="W140" s="1">
        <v>2.2999999999999998</v>
      </c>
      <c r="X140" s="1">
        <v>7.6999999999999999E-2</v>
      </c>
      <c r="Y140" s="1"/>
      <c r="Z140" s="1">
        <v>-1.1000000000000001</v>
      </c>
      <c r="AA140" s="1">
        <v>1.2</v>
      </c>
      <c r="AB140" s="1">
        <v>0.1</v>
      </c>
      <c r="AC140" s="1">
        <v>0.7</v>
      </c>
      <c r="AD140">
        <f>Advanced_Table[[#This Row],[VORP]]*82/Advanced_Table[[#This Row],[G]]</f>
        <v>1.1958333333333333</v>
      </c>
    </row>
    <row r="141" spans="1:30" x14ac:dyDescent="0.25">
      <c r="A141" s="1">
        <v>110</v>
      </c>
      <c r="B141" s="1" t="s">
        <v>420</v>
      </c>
      <c r="C141" s="1" t="s">
        <v>23</v>
      </c>
      <c r="D141" s="1">
        <v>29</v>
      </c>
      <c r="E141" s="1" t="s">
        <v>305</v>
      </c>
      <c r="F141" s="1">
        <v>14</v>
      </c>
      <c r="G141" s="1">
        <v>456</v>
      </c>
      <c r="H141" s="1">
        <v>14.2</v>
      </c>
      <c r="I141" s="1">
        <v>0.56599999999999995</v>
      </c>
      <c r="J141" s="1">
        <v>0.73699999999999999</v>
      </c>
      <c r="K141" s="1">
        <v>9.1999999999999998E-2</v>
      </c>
      <c r="L141" s="1">
        <v>4.0999999999999996</v>
      </c>
      <c r="M141" s="1">
        <v>21.3</v>
      </c>
      <c r="N141" s="1">
        <v>12.7</v>
      </c>
      <c r="O141" s="1">
        <v>5.5</v>
      </c>
      <c r="P141" s="1">
        <v>1.5</v>
      </c>
      <c r="Q141" s="1">
        <v>6.6</v>
      </c>
      <c r="R141" s="1">
        <v>11.2</v>
      </c>
      <c r="S141" s="1">
        <v>16.100000000000001</v>
      </c>
      <c r="T141" s="1"/>
      <c r="U141" s="1">
        <v>0.3</v>
      </c>
      <c r="V141" s="1">
        <v>0.7</v>
      </c>
      <c r="W141" s="1">
        <v>1</v>
      </c>
      <c r="X141" s="1">
        <v>0.108</v>
      </c>
      <c r="Y141" s="1"/>
      <c r="Z141" s="1">
        <v>-0.2</v>
      </c>
      <c r="AA141" s="1">
        <v>0.9</v>
      </c>
      <c r="AB141" s="1">
        <v>0.6</v>
      </c>
      <c r="AC141" s="1">
        <v>0.3</v>
      </c>
      <c r="AD141">
        <f>Advanced_Table[[#This Row],[VORP]]*82/Advanced_Table[[#This Row],[G]]</f>
        <v>1.7571428571428569</v>
      </c>
    </row>
    <row r="142" spans="1:30" x14ac:dyDescent="0.25">
      <c r="A142" s="1">
        <v>111</v>
      </c>
      <c r="B142" s="1" t="s">
        <v>421</v>
      </c>
      <c r="C142" s="1" t="s">
        <v>294</v>
      </c>
      <c r="D142" s="1">
        <v>27</v>
      </c>
      <c r="E142" s="1" t="s">
        <v>957</v>
      </c>
      <c r="F142" s="1">
        <v>37</v>
      </c>
      <c r="G142" s="1">
        <v>653</v>
      </c>
      <c r="H142" s="1">
        <v>6</v>
      </c>
      <c r="I142" s="1">
        <v>0.47</v>
      </c>
      <c r="J142" s="1">
        <v>0.67200000000000004</v>
      </c>
      <c r="K142" s="1">
        <v>7.9000000000000001E-2</v>
      </c>
      <c r="L142" s="1">
        <v>1.8</v>
      </c>
      <c r="M142" s="1">
        <v>11</v>
      </c>
      <c r="N142" s="1">
        <v>6.3</v>
      </c>
      <c r="O142" s="1">
        <v>6.9</v>
      </c>
      <c r="P142" s="1">
        <v>1.1000000000000001</v>
      </c>
      <c r="Q142" s="1">
        <v>0.5</v>
      </c>
      <c r="R142" s="1">
        <v>8.5</v>
      </c>
      <c r="S142" s="1">
        <v>12.7</v>
      </c>
      <c r="T142" s="1"/>
      <c r="U142" s="1">
        <v>-0.2</v>
      </c>
      <c r="V142" s="1">
        <v>0.1</v>
      </c>
      <c r="W142" s="1">
        <v>-0.1</v>
      </c>
      <c r="X142" s="1">
        <v>-7.0000000000000001E-3</v>
      </c>
      <c r="Y142" s="1"/>
      <c r="Z142" s="1">
        <v>-3.7</v>
      </c>
      <c r="AA142" s="1">
        <v>-1.5</v>
      </c>
      <c r="AB142" s="1">
        <v>-5.2</v>
      </c>
      <c r="AC142" s="1">
        <v>-0.5</v>
      </c>
      <c r="AD142">
        <f>Advanced_Table[[#This Row],[VORP]]*82/Advanced_Table[[#This Row],[G]]</f>
        <v>-1.1081081081081081</v>
      </c>
    </row>
    <row r="143" spans="1:30" x14ac:dyDescent="0.25">
      <c r="A143" s="1">
        <v>111</v>
      </c>
      <c r="B143" s="1" t="s">
        <v>421</v>
      </c>
      <c r="C143" s="1" t="s">
        <v>294</v>
      </c>
      <c r="D143" s="1">
        <v>27</v>
      </c>
      <c r="E143" s="1" t="s">
        <v>347</v>
      </c>
      <c r="F143" s="1">
        <v>28</v>
      </c>
      <c r="G143" s="1">
        <v>522</v>
      </c>
      <c r="H143" s="1">
        <v>7.2</v>
      </c>
      <c r="I143" s="1">
        <v>0.48199999999999998</v>
      </c>
      <c r="J143" s="1">
        <v>0.65</v>
      </c>
      <c r="K143" s="1">
        <v>8.4000000000000005E-2</v>
      </c>
      <c r="L143" s="1">
        <v>2</v>
      </c>
      <c r="M143" s="1">
        <v>11.5</v>
      </c>
      <c r="N143" s="1">
        <v>6.7</v>
      </c>
      <c r="O143" s="1">
        <v>7.3</v>
      </c>
      <c r="P143" s="1">
        <v>1.3</v>
      </c>
      <c r="Q143" s="1">
        <v>0.6</v>
      </c>
      <c r="R143" s="1">
        <v>7.5</v>
      </c>
      <c r="S143" s="1">
        <v>12.8</v>
      </c>
      <c r="T143" s="1"/>
      <c r="U143" s="1">
        <v>0</v>
      </c>
      <c r="V143" s="1">
        <v>0.1</v>
      </c>
      <c r="W143" s="1">
        <v>0.1</v>
      </c>
      <c r="X143" s="1">
        <v>8.0000000000000002E-3</v>
      </c>
      <c r="Y143" s="1"/>
      <c r="Z143" s="1">
        <v>-3</v>
      </c>
      <c r="AA143" s="1">
        <v>-1.1000000000000001</v>
      </c>
      <c r="AB143" s="1">
        <v>-4.0999999999999996</v>
      </c>
      <c r="AC143" s="1">
        <v>-0.3</v>
      </c>
      <c r="AD143">
        <f>Advanced_Table[[#This Row],[VORP]]*82/Advanced_Table[[#This Row],[G]]</f>
        <v>-0.87857142857142845</v>
      </c>
    </row>
    <row r="144" spans="1:30" x14ac:dyDescent="0.25">
      <c r="A144" s="1">
        <v>111</v>
      </c>
      <c r="B144" s="1" t="s">
        <v>421</v>
      </c>
      <c r="C144" s="1" t="s">
        <v>294</v>
      </c>
      <c r="D144" s="1">
        <v>27</v>
      </c>
      <c r="E144" s="1" t="s">
        <v>336</v>
      </c>
      <c r="F144" s="1">
        <v>9</v>
      </c>
      <c r="G144" s="1">
        <v>131</v>
      </c>
      <c r="H144" s="1">
        <v>1.1000000000000001</v>
      </c>
      <c r="I144" s="1">
        <v>0.41599999999999998</v>
      </c>
      <c r="J144" s="1">
        <v>0.76500000000000001</v>
      </c>
      <c r="K144" s="1">
        <v>5.8999999999999997E-2</v>
      </c>
      <c r="L144" s="1">
        <v>0.8</v>
      </c>
      <c r="M144" s="1">
        <v>9.1999999999999993</v>
      </c>
      <c r="N144" s="1">
        <v>4.8</v>
      </c>
      <c r="O144" s="1">
        <v>5.0999999999999996</v>
      </c>
      <c r="P144" s="1">
        <v>0</v>
      </c>
      <c r="Q144" s="1">
        <v>0</v>
      </c>
      <c r="R144" s="1">
        <v>12.5</v>
      </c>
      <c r="S144" s="1">
        <v>12.5</v>
      </c>
      <c r="T144" s="1"/>
      <c r="U144" s="1">
        <v>-0.2</v>
      </c>
      <c r="V144" s="1">
        <v>0</v>
      </c>
      <c r="W144" s="1">
        <v>-0.2</v>
      </c>
      <c r="X144" s="1">
        <v>-6.9000000000000006E-2</v>
      </c>
      <c r="Y144" s="1"/>
      <c r="Z144" s="1">
        <v>-6.7</v>
      </c>
      <c r="AA144" s="1">
        <v>-3.3</v>
      </c>
      <c r="AB144" s="1">
        <v>-9.9</v>
      </c>
      <c r="AC144" s="1">
        <v>-0.3</v>
      </c>
      <c r="AD144">
        <f>Advanced_Table[[#This Row],[VORP]]*82/Advanced_Table[[#This Row],[G]]</f>
        <v>-2.7333333333333329</v>
      </c>
    </row>
    <row r="145" spans="1:30" x14ac:dyDescent="0.25">
      <c r="A145" s="1">
        <v>112</v>
      </c>
      <c r="B145" s="1" t="s">
        <v>422</v>
      </c>
      <c r="C145" s="1" t="s">
        <v>303</v>
      </c>
      <c r="D145" s="1">
        <v>29</v>
      </c>
      <c r="E145" s="1" t="s">
        <v>334</v>
      </c>
      <c r="F145" s="1">
        <v>49</v>
      </c>
      <c r="G145" s="1">
        <v>850</v>
      </c>
      <c r="H145" s="1">
        <v>10.6</v>
      </c>
      <c r="I145" s="1">
        <v>0.56000000000000005</v>
      </c>
      <c r="J145" s="1">
        <v>0.51700000000000002</v>
      </c>
      <c r="K145" s="1">
        <v>0.151</v>
      </c>
      <c r="L145" s="1">
        <v>6.3</v>
      </c>
      <c r="M145" s="1">
        <v>14</v>
      </c>
      <c r="N145" s="1">
        <v>10.199999999999999</v>
      </c>
      <c r="O145" s="1">
        <v>5.2</v>
      </c>
      <c r="P145" s="1">
        <v>1</v>
      </c>
      <c r="Q145" s="1">
        <v>3.4</v>
      </c>
      <c r="R145" s="1">
        <v>8.8000000000000007</v>
      </c>
      <c r="S145" s="1">
        <v>12.2</v>
      </c>
      <c r="T145" s="1"/>
      <c r="U145" s="1">
        <v>0.8</v>
      </c>
      <c r="V145" s="1">
        <v>0.9</v>
      </c>
      <c r="W145" s="1">
        <v>1.7</v>
      </c>
      <c r="X145" s="1">
        <v>9.8000000000000004E-2</v>
      </c>
      <c r="Y145" s="1"/>
      <c r="Z145" s="1">
        <v>-2.2999999999999998</v>
      </c>
      <c r="AA145" s="1">
        <v>0.2</v>
      </c>
      <c r="AB145" s="1">
        <v>-2.1</v>
      </c>
      <c r="AC145" s="1">
        <v>0</v>
      </c>
      <c r="AD145">
        <f>Advanced_Table[[#This Row],[VORP]]*82/Advanced_Table[[#This Row],[G]]</f>
        <v>0</v>
      </c>
    </row>
    <row r="146" spans="1:30" x14ac:dyDescent="0.25">
      <c r="A146" s="1">
        <v>113</v>
      </c>
      <c r="B146" s="1" t="s">
        <v>423</v>
      </c>
      <c r="C146" s="1" t="s">
        <v>303</v>
      </c>
      <c r="D146" s="1">
        <v>29</v>
      </c>
      <c r="E146" s="1" t="s">
        <v>957</v>
      </c>
      <c r="F146" s="1">
        <v>57</v>
      </c>
      <c r="G146" s="1">
        <v>1664</v>
      </c>
      <c r="H146" s="1">
        <v>12</v>
      </c>
      <c r="I146" s="1">
        <v>0.53200000000000003</v>
      </c>
      <c r="J146" s="1">
        <v>0.68899999999999995</v>
      </c>
      <c r="K146" s="1">
        <v>0.24</v>
      </c>
      <c r="L146" s="1">
        <v>3</v>
      </c>
      <c r="M146" s="1">
        <v>18.5</v>
      </c>
      <c r="N146" s="1">
        <v>11</v>
      </c>
      <c r="O146" s="1">
        <v>11.5</v>
      </c>
      <c r="P146" s="1">
        <v>1.8</v>
      </c>
      <c r="Q146" s="1">
        <v>1.1000000000000001</v>
      </c>
      <c r="R146" s="1">
        <v>10</v>
      </c>
      <c r="S146" s="1">
        <v>15.7</v>
      </c>
      <c r="T146" s="1"/>
      <c r="U146" s="1">
        <v>1.1000000000000001</v>
      </c>
      <c r="V146" s="1">
        <v>1.9</v>
      </c>
      <c r="W146" s="1">
        <v>3</v>
      </c>
      <c r="X146" s="1">
        <v>8.7999999999999995E-2</v>
      </c>
      <c r="Y146" s="1"/>
      <c r="Z146" s="1">
        <v>-0.9</v>
      </c>
      <c r="AA146" s="1">
        <v>0.2</v>
      </c>
      <c r="AB146" s="1">
        <v>-0.7</v>
      </c>
      <c r="AC146" s="1">
        <v>0.5</v>
      </c>
      <c r="AD146">
        <f>Advanced_Table[[#This Row],[VORP]]*82/Advanced_Table[[#This Row],[G]]</f>
        <v>0.7192982456140351</v>
      </c>
    </row>
    <row r="147" spans="1:30" x14ac:dyDescent="0.25">
      <c r="A147" s="1">
        <v>113</v>
      </c>
      <c r="B147" s="1" t="s">
        <v>423</v>
      </c>
      <c r="C147" s="1" t="s">
        <v>303</v>
      </c>
      <c r="D147" s="1">
        <v>29</v>
      </c>
      <c r="E147" s="1" t="s">
        <v>297</v>
      </c>
      <c r="F147" s="1">
        <v>45</v>
      </c>
      <c r="G147" s="1">
        <v>1322</v>
      </c>
      <c r="H147" s="1">
        <v>11</v>
      </c>
      <c r="I147" s="1">
        <v>0.50700000000000001</v>
      </c>
      <c r="J147" s="1">
        <v>0.66700000000000004</v>
      </c>
      <c r="K147" s="1">
        <v>0.23799999999999999</v>
      </c>
      <c r="L147" s="1">
        <v>3.2</v>
      </c>
      <c r="M147" s="1">
        <v>18.399999999999999</v>
      </c>
      <c r="N147" s="1">
        <v>11</v>
      </c>
      <c r="O147" s="1">
        <v>12.2</v>
      </c>
      <c r="P147" s="1">
        <v>1.7</v>
      </c>
      <c r="Q147" s="1">
        <v>0.9</v>
      </c>
      <c r="R147" s="1">
        <v>10.9</v>
      </c>
      <c r="S147" s="1">
        <v>15.6</v>
      </c>
      <c r="T147" s="1"/>
      <c r="U147" s="1">
        <v>0.5</v>
      </c>
      <c r="V147" s="1">
        <v>1.4</v>
      </c>
      <c r="W147" s="1">
        <v>1.9</v>
      </c>
      <c r="X147" s="1">
        <v>6.8000000000000005E-2</v>
      </c>
      <c r="Y147" s="1"/>
      <c r="Z147" s="1">
        <v>-1.3</v>
      </c>
      <c r="AA147" s="1">
        <v>0</v>
      </c>
      <c r="AB147" s="1">
        <v>-1.3</v>
      </c>
      <c r="AC147" s="1">
        <v>0.2</v>
      </c>
      <c r="AD147">
        <f>Advanced_Table[[#This Row],[VORP]]*82/Advanced_Table[[#This Row],[G]]</f>
        <v>0.36444444444444452</v>
      </c>
    </row>
    <row r="148" spans="1:30" x14ac:dyDescent="0.25">
      <c r="A148" s="1">
        <v>113</v>
      </c>
      <c r="B148" s="1" t="s">
        <v>423</v>
      </c>
      <c r="C148" s="1" t="s">
        <v>303</v>
      </c>
      <c r="D148" s="1">
        <v>29</v>
      </c>
      <c r="E148" s="1" t="s">
        <v>290</v>
      </c>
      <c r="F148" s="1">
        <v>12</v>
      </c>
      <c r="G148" s="1">
        <v>342</v>
      </c>
      <c r="H148" s="1">
        <v>15.9</v>
      </c>
      <c r="I148" s="1">
        <v>0.626</v>
      </c>
      <c r="J148" s="1">
        <v>0.77400000000000002</v>
      </c>
      <c r="K148" s="1">
        <v>0.245</v>
      </c>
      <c r="L148" s="1">
        <v>2.1</v>
      </c>
      <c r="M148" s="1">
        <v>18.899999999999999</v>
      </c>
      <c r="N148" s="1">
        <v>10.8</v>
      </c>
      <c r="O148" s="1">
        <v>9.1</v>
      </c>
      <c r="P148" s="1">
        <v>2.6</v>
      </c>
      <c r="Q148" s="1">
        <v>2</v>
      </c>
      <c r="R148" s="1">
        <v>6.4</v>
      </c>
      <c r="S148" s="1">
        <v>16.2</v>
      </c>
      <c r="T148" s="1"/>
      <c r="U148" s="1">
        <v>0.6</v>
      </c>
      <c r="V148" s="1">
        <v>0.5</v>
      </c>
      <c r="W148" s="1">
        <v>1.2</v>
      </c>
      <c r="X148" s="1">
        <v>0.16500000000000001</v>
      </c>
      <c r="Y148" s="1"/>
      <c r="Z148" s="1">
        <v>0.9</v>
      </c>
      <c r="AA148" s="1">
        <v>0.6</v>
      </c>
      <c r="AB148" s="1">
        <v>1.5</v>
      </c>
      <c r="AC148" s="1">
        <v>0.3</v>
      </c>
      <c r="AD148">
        <f>Advanced_Table[[#This Row],[VORP]]*82/Advanced_Table[[#This Row],[G]]</f>
        <v>2.0499999999999998</v>
      </c>
    </row>
    <row r="149" spans="1:30" x14ac:dyDescent="0.25">
      <c r="A149" s="1">
        <v>114</v>
      </c>
      <c r="B149" s="1" t="s">
        <v>424</v>
      </c>
      <c r="C149" s="1" t="s">
        <v>294</v>
      </c>
      <c r="D149" s="1">
        <v>20</v>
      </c>
      <c r="E149" s="1" t="s">
        <v>336</v>
      </c>
      <c r="F149" s="1">
        <v>63</v>
      </c>
      <c r="G149" s="1">
        <v>1506</v>
      </c>
      <c r="H149" s="1">
        <v>9.6</v>
      </c>
      <c r="I149" s="1">
        <v>0.46700000000000003</v>
      </c>
      <c r="J149" s="1">
        <v>0.38800000000000001</v>
      </c>
      <c r="K149" s="1">
        <v>0.20599999999999999</v>
      </c>
      <c r="L149" s="1">
        <v>4.7</v>
      </c>
      <c r="M149" s="1">
        <v>10.3</v>
      </c>
      <c r="N149" s="1">
        <v>7.4</v>
      </c>
      <c r="O149" s="1">
        <v>10.8</v>
      </c>
      <c r="P149" s="1">
        <v>1.8</v>
      </c>
      <c r="Q149" s="1">
        <v>2.1</v>
      </c>
      <c r="R149" s="1">
        <v>11.5</v>
      </c>
      <c r="S149" s="1">
        <v>19.2</v>
      </c>
      <c r="T149" s="1"/>
      <c r="U149" s="1">
        <v>-1.2</v>
      </c>
      <c r="V149" s="1">
        <v>1</v>
      </c>
      <c r="W149" s="1">
        <v>-0.1</v>
      </c>
      <c r="X149" s="1">
        <v>-5.0000000000000001E-3</v>
      </c>
      <c r="Y149" s="1"/>
      <c r="Z149" s="1">
        <v>-3.3</v>
      </c>
      <c r="AA149" s="1">
        <v>-0.7</v>
      </c>
      <c r="AB149" s="1">
        <v>-4</v>
      </c>
      <c r="AC149" s="1">
        <v>-0.7</v>
      </c>
      <c r="AD149">
        <f>Advanced_Table[[#This Row],[VORP]]*82/Advanced_Table[[#This Row],[G]]</f>
        <v>-0.91111111111111109</v>
      </c>
    </row>
    <row r="150" spans="1:30" x14ac:dyDescent="0.25">
      <c r="A150" s="1">
        <v>115</v>
      </c>
      <c r="B150" s="1" t="s">
        <v>425</v>
      </c>
      <c r="C150" s="1" t="s">
        <v>294</v>
      </c>
      <c r="D150" s="1">
        <v>29</v>
      </c>
      <c r="E150" s="1" t="s">
        <v>329</v>
      </c>
      <c r="F150" s="1">
        <v>59</v>
      </c>
      <c r="G150" s="1">
        <v>1448</v>
      </c>
      <c r="H150" s="1">
        <v>16.2</v>
      </c>
      <c r="I150" s="1">
        <v>0.65</v>
      </c>
      <c r="J150" s="1">
        <v>0.56399999999999995</v>
      </c>
      <c r="K150" s="1">
        <v>0.16500000000000001</v>
      </c>
      <c r="L150" s="1">
        <v>1.9</v>
      </c>
      <c r="M150" s="1">
        <v>8</v>
      </c>
      <c r="N150" s="1">
        <v>5</v>
      </c>
      <c r="O150" s="1">
        <v>12.1</v>
      </c>
      <c r="P150" s="1">
        <v>1.2</v>
      </c>
      <c r="Q150" s="1">
        <v>0.5</v>
      </c>
      <c r="R150" s="1">
        <v>9.5</v>
      </c>
      <c r="S150" s="1">
        <v>18.600000000000001</v>
      </c>
      <c r="T150" s="1"/>
      <c r="U150" s="1">
        <v>3.4</v>
      </c>
      <c r="V150" s="1">
        <v>0.9</v>
      </c>
      <c r="W150" s="1">
        <v>4.3</v>
      </c>
      <c r="X150" s="1">
        <v>0.14299999999999999</v>
      </c>
      <c r="Y150" s="1"/>
      <c r="Z150" s="1">
        <v>2.1</v>
      </c>
      <c r="AA150" s="1">
        <v>-0.7</v>
      </c>
      <c r="AB150" s="1">
        <v>1.4</v>
      </c>
      <c r="AC150" s="1">
        <v>1.3</v>
      </c>
      <c r="AD150">
        <f>Advanced_Table[[#This Row],[VORP]]*82/Advanced_Table[[#This Row],[G]]</f>
        <v>1.8067796610169493</v>
      </c>
    </row>
    <row r="151" spans="1:30" x14ac:dyDescent="0.25">
      <c r="A151" s="1">
        <v>116</v>
      </c>
      <c r="B151" s="1" t="s">
        <v>426</v>
      </c>
      <c r="C151" s="1" t="s">
        <v>316</v>
      </c>
      <c r="D151" s="1">
        <v>31</v>
      </c>
      <c r="E151" s="1" t="s">
        <v>369</v>
      </c>
      <c r="F151" s="1">
        <v>5</v>
      </c>
      <c r="G151" s="1">
        <v>139</v>
      </c>
      <c r="H151" s="1">
        <v>21.8</v>
      </c>
      <c r="I151" s="1">
        <v>0.55700000000000005</v>
      </c>
      <c r="J151" s="1">
        <v>0.59799999999999998</v>
      </c>
      <c r="K151" s="1">
        <v>0.317</v>
      </c>
      <c r="L151" s="1">
        <v>3</v>
      </c>
      <c r="M151" s="1">
        <v>17.8</v>
      </c>
      <c r="N151" s="1">
        <v>10.1</v>
      </c>
      <c r="O151" s="1">
        <v>42.3</v>
      </c>
      <c r="P151" s="1">
        <v>1.7</v>
      </c>
      <c r="Q151" s="1">
        <v>1.3</v>
      </c>
      <c r="R151" s="1">
        <v>14.6</v>
      </c>
      <c r="S151" s="1">
        <v>33.6</v>
      </c>
      <c r="T151" s="1"/>
      <c r="U151" s="1">
        <v>0.2</v>
      </c>
      <c r="V151" s="1">
        <v>0.1</v>
      </c>
      <c r="W151" s="1">
        <v>0.3</v>
      </c>
      <c r="X151" s="1">
        <v>0.104</v>
      </c>
      <c r="Y151" s="1"/>
      <c r="Z151" s="1">
        <v>4.2</v>
      </c>
      <c r="AA151" s="1">
        <v>-0.6</v>
      </c>
      <c r="AB151" s="1">
        <v>3.6</v>
      </c>
      <c r="AC151" s="1">
        <v>0.2</v>
      </c>
      <c r="AD151">
        <f>Advanced_Table[[#This Row],[VORP]]*82/Advanced_Table[[#This Row],[G]]</f>
        <v>3.2800000000000002</v>
      </c>
    </row>
    <row r="152" spans="1:30" x14ac:dyDescent="0.25">
      <c r="A152" s="1">
        <v>117</v>
      </c>
      <c r="B152" s="1" t="s">
        <v>427</v>
      </c>
      <c r="C152" s="1" t="s">
        <v>294</v>
      </c>
      <c r="D152" s="1">
        <v>28</v>
      </c>
      <c r="E152" s="1" t="s">
        <v>957</v>
      </c>
      <c r="F152" s="1">
        <v>42</v>
      </c>
      <c r="G152" s="1">
        <v>457</v>
      </c>
      <c r="H152" s="1">
        <v>8.9</v>
      </c>
      <c r="I152" s="1">
        <v>0.52400000000000002</v>
      </c>
      <c r="J152" s="1">
        <v>0.71099999999999997</v>
      </c>
      <c r="K152" s="1">
        <v>0.10100000000000001</v>
      </c>
      <c r="L152" s="1">
        <v>2.9</v>
      </c>
      <c r="M152" s="1">
        <v>7.9</v>
      </c>
      <c r="N152" s="1">
        <v>5.5</v>
      </c>
      <c r="O152" s="1">
        <v>4.0999999999999996</v>
      </c>
      <c r="P152" s="1">
        <v>0.8</v>
      </c>
      <c r="Q152" s="1">
        <v>0.6</v>
      </c>
      <c r="R152" s="1">
        <v>5.0999999999999996</v>
      </c>
      <c r="S152" s="1">
        <v>16.2</v>
      </c>
      <c r="T152" s="1"/>
      <c r="U152" s="1">
        <v>0.2</v>
      </c>
      <c r="V152" s="1">
        <v>0.4</v>
      </c>
      <c r="W152" s="1">
        <v>0.7</v>
      </c>
      <c r="X152" s="1">
        <v>7.0000000000000007E-2</v>
      </c>
      <c r="Y152" s="1"/>
      <c r="Z152" s="1">
        <v>-1.1000000000000001</v>
      </c>
      <c r="AA152" s="1">
        <v>-1.1000000000000001</v>
      </c>
      <c r="AB152" s="1">
        <v>-2.2000000000000002</v>
      </c>
      <c r="AC152" s="1">
        <v>0</v>
      </c>
      <c r="AD152">
        <f>Advanced_Table[[#This Row],[VORP]]*82/Advanced_Table[[#This Row],[G]]</f>
        <v>0</v>
      </c>
    </row>
    <row r="153" spans="1:30" x14ac:dyDescent="0.25">
      <c r="A153" s="1">
        <v>117</v>
      </c>
      <c r="B153" s="1" t="s">
        <v>427</v>
      </c>
      <c r="C153" s="1" t="s">
        <v>294</v>
      </c>
      <c r="D153" s="1">
        <v>28</v>
      </c>
      <c r="E153" s="1" t="s">
        <v>309</v>
      </c>
      <c r="F153" s="1">
        <v>41</v>
      </c>
      <c r="G153" s="1">
        <v>456</v>
      </c>
      <c r="H153" s="1">
        <v>9</v>
      </c>
      <c r="I153" s="1">
        <v>0.52700000000000002</v>
      </c>
      <c r="J153" s="1">
        <v>0.70899999999999996</v>
      </c>
      <c r="K153" s="1">
        <v>0.10100000000000001</v>
      </c>
      <c r="L153" s="1">
        <v>2.9</v>
      </c>
      <c r="M153" s="1">
        <v>7.9</v>
      </c>
      <c r="N153" s="1">
        <v>5.5</v>
      </c>
      <c r="O153" s="1">
        <v>4.0999999999999996</v>
      </c>
      <c r="P153" s="1">
        <v>0.8</v>
      </c>
      <c r="Q153" s="1">
        <v>0.6</v>
      </c>
      <c r="R153" s="1">
        <v>5.2</v>
      </c>
      <c r="S153" s="1">
        <v>16.100000000000001</v>
      </c>
      <c r="T153" s="1"/>
      <c r="U153" s="1">
        <v>0.3</v>
      </c>
      <c r="V153" s="1">
        <v>0.4</v>
      </c>
      <c r="W153" s="1">
        <v>0.7</v>
      </c>
      <c r="X153" s="1">
        <v>7.1999999999999995E-2</v>
      </c>
      <c r="Y153" s="1"/>
      <c r="Z153" s="1">
        <v>-1</v>
      </c>
      <c r="AA153" s="1">
        <v>-1.1000000000000001</v>
      </c>
      <c r="AB153" s="1">
        <v>-2.1</v>
      </c>
      <c r="AC153" s="1">
        <v>0</v>
      </c>
      <c r="AD153">
        <f>Advanced_Table[[#This Row],[VORP]]*82/Advanced_Table[[#This Row],[G]]</f>
        <v>0</v>
      </c>
    </row>
    <row r="154" spans="1:30" x14ac:dyDescent="0.25">
      <c r="A154" s="1">
        <v>117</v>
      </c>
      <c r="B154" s="1" t="s">
        <v>427</v>
      </c>
      <c r="C154" s="1" t="s">
        <v>294</v>
      </c>
      <c r="D154" s="1">
        <v>28</v>
      </c>
      <c r="E154" s="1" t="s">
        <v>334</v>
      </c>
      <c r="F154" s="1">
        <v>1</v>
      </c>
      <c r="G154" s="1">
        <v>1</v>
      </c>
      <c r="H154" s="1">
        <v>-40.799999999999997</v>
      </c>
      <c r="I154" s="1">
        <v>0</v>
      </c>
      <c r="J154" s="1">
        <v>1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43.4</v>
      </c>
      <c r="T154" s="1"/>
      <c r="U154" s="1">
        <v>0</v>
      </c>
      <c r="V154" s="1">
        <v>0</v>
      </c>
      <c r="W154" s="1">
        <v>0</v>
      </c>
      <c r="X154" s="1">
        <v>-1.032</v>
      </c>
      <c r="Y154" s="1"/>
      <c r="Z154" s="1">
        <v>-40</v>
      </c>
      <c r="AA154" s="1">
        <v>-21.9</v>
      </c>
      <c r="AB154" s="1">
        <v>-61.9</v>
      </c>
      <c r="AC154" s="1">
        <v>0</v>
      </c>
      <c r="AD154">
        <f>Advanced_Table[[#This Row],[VORP]]*82/Advanced_Table[[#This Row],[G]]</f>
        <v>0</v>
      </c>
    </row>
    <row r="155" spans="1:30" x14ac:dyDescent="0.25">
      <c r="A155" s="1">
        <v>118</v>
      </c>
      <c r="B155" s="1" t="s">
        <v>428</v>
      </c>
      <c r="C155" s="1" t="s">
        <v>23</v>
      </c>
      <c r="D155" s="1">
        <v>26</v>
      </c>
      <c r="E155" s="1" t="s">
        <v>309</v>
      </c>
      <c r="F155" s="1">
        <v>55</v>
      </c>
      <c r="G155" s="1">
        <v>1889</v>
      </c>
      <c r="H155" s="1">
        <v>28.2</v>
      </c>
      <c r="I155" s="1">
        <v>0.61399999999999999</v>
      </c>
      <c r="J155" s="1">
        <v>0.19500000000000001</v>
      </c>
      <c r="K155" s="1">
        <v>0.46</v>
      </c>
      <c r="L155" s="1">
        <v>7.3</v>
      </c>
      <c r="M155" s="1">
        <v>22.1</v>
      </c>
      <c r="N155" s="1">
        <v>14.9</v>
      </c>
      <c r="O155" s="1">
        <v>14.6</v>
      </c>
      <c r="P155" s="1">
        <v>2.1</v>
      </c>
      <c r="Q155" s="1">
        <v>6.2</v>
      </c>
      <c r="R155" s="1">
        <v>10.1</v>
      </c>
      <c r="S155" s="1">
        <v>29.7</v>
      </c>
      <c r="T155" s="1"/>
      <c r="U155" s="1">
        <v>6.2</v>
      </c>
      <c r="V155" s="1">
        <v>4.0999999999999996</v>
      </c>
      <c r="W155" s="1">
        <v>10.3</v>
      </c>
      <c r="X155" s="1">
        <v>0.26200000000000001</v>
      </c>
      <c r="Y155" s="1"/>
      <c r="Z155" s="1">
        <v>5.8</v>
      </c>
      <c r="AA155" s="1">
        <v>2.7</v>
      </c>
      <c r="AB155" s="1">
        <v>8.5</v>
      </c>
      <c r="AC155" s="1">
        <v>5</v>
      </c>
      <c r="AD155">
        <f>Advanced_Table[[#This Row],[VORP]]*82/Advanced_Table[[#This Row],[G]]</f>
        <v>7.4545454545454541</v>
      </c>
    </row>
    <row r="156" spans="1:30" x14ac:dyDescent="0.25">
      <c r="A156" s="1">
        <v>119</v>
      </c>
      <c r="B156" s="1" t="s">
        <v>429</v>
      </c>
      <c r="C156" s="1" t="s">
        <v>287</v>
      </c>
      <c r="D156" s="1">
        <v>30</v>
      </c>
      <c r="E156" s="1" t="s">
        <v>359</v>
      </c>
      <c r="F156" s="1">
        <v>25</v>
      </c>
      <c r="G156" s="1">
        <v>268</v>
      </c>
      <c r="H156" s="1">
        <v>7.3</v>
      </c>
      <c r="I156" s="1">
        <v>0.42499999999999999</v>
      </c>
      <c r="J156" s="1">
        <v>0</v>
      </c>
      <c r="K156" s="1">
        <v>0.32400000000000001</v>
      </c>
      <c r="L156" s="1">
        <v>12.4</v>
      </c>
      <c r="M156" s="1">
        <v>25.8</v>
      </c>
      <c r="N156" s="1">
        <v>19.399999999999999</v>
      </c>
      <c r="O156" s="1">
        <v>3.8</v>
      </c>
      <c r="P156" s="1">
        <v>1.8</v>
      </c>
      <c r="Q156" s="1">
        <v>2.8</v>
      </c>
      <c r="R156" s="1">
        <v>25.1</v>
      </c>
      <c r="S156" s="1">
        <v>8.5</v>
      </c>
      <c r="T156" s="1"/>
      <c r="U156" s="1">
        <v>-0.1</v>
      </c>
      <c r="V156" s="1">
        <v>0.5</v>
      </c>
      <c r="W156" s="1">
        <v>0.4</v>
      </c>
      <c r="X156" s="1">
        <v>7.3999999999999996E-2</v>
      </c>
      <c r="Y156" s="1"/>
      <c r="Z156" s="1">
        <v>-5.5</v>
      </c>
      <c r="AA156" s="1">
        <v>1.7</v>
      </c>
      <c r="AB156" s="1">
        <v>-3.8</v>
      </c>
      <c r="AC156" s="1">
        <v>-0.1</v>
      </c>
      <c r="AD156">
        <f>Advanced_Table[[#This Row],[VORP]]*82/Advanced_Table[[#This Row],[G]]</f>
        <v>-0.32800000000000007</v>
      </c>
    </row>
    <row r="157" spans="1:30" x14ac:dyDescent="0.25">
      <c r="A157" s="1">
        <v>120</v>
      </c>
      <c r="B157" s="1" t="s">
        <v>430</v>
      </c>
      <c r="C157" s="1" t="s">
        <v>294</v>
      </c>
      <c r="D157" s="1">
        <v>22</v>
      </c>
      <c r="E157" s="1" t="s">
        <v>314</v>
      </c>
      <c r="F157" s="1">
        <v>64</v>
      </c>
      <c r="G157" s="1">
        <v>1087</v>
      </c>
      <c r="H157" s="1">
        <v>14.5</v>
      </c>
      <c r="I157" s="1">
        <v>0.59799999999999998</v>
      </c>
      <c r="J157" s="1">
        <v>0.56799999999999995</v>
      </c>
      <c r="K157" s="1">
        <v>0.13300000000000001</v>
      </c>
      <c r="L157" s="1">
        <v>4.5999999999999996</v>
      </c>
      <c r="M157" s="1">
        <v>16.3</v>
      </c>
      <c r="N157" s="1">
        <v>10.5</v>
      </c>
      <c r="O157" s="1">
        <v>14.6</v>
      </c>
      <c r="P157" s="1">
        <v>1.4</v>
      </c>
      <c r="Q157" s="1">
        <v>1.1000000000000001</v>
      </c>
      <c r="R157" s="1">
        <v>13.6</v>
      </c>
      <c r="S157" s="1">
        <v>18.899999999999999</v>
      </c>
      <c r="T157" s="1"/>
      <c r="U157" s="1">
        <v>1.4</v>
      </c>
      <c r="V157" s="1">
        <v>1.6</v>
      </c>
      <c r="W157" s="1">
        <v>3</v>
      </c>
      <c r="X157" s="1">
        <v>0.13300000000000001</v>
      </c>
      <c r="Y157" s="1"/>
      <c r="Z157" s="1">
        <v>0.8</v>
      </c>
      <c r="AA157" s="1">
        <v>0.5</v>
      </c>
      <c r="AB157" s="1">
        <v>1.3</v>
      </c>
      <c r="AC157" s="1">
        <v>0.9</v>
      </c>
      <c r="AD157">
        <f>Advanced_Table[[#This Row],[VORP]]*82/Advanced_Table[[#This Row],[G]]</f>
        <v>1.153125</v>
      </c>
    </row>
    <row r="158" spans="1:30" x14ac:dyDescent="0.25">
      <c r="A158" s="1">
        <v>121</v>
      </c>
      <c r="B158" s="1" t="s">
        <v>431</v>
      </c>
      <c r="C158" s="1" t="s">
        <v>287</v>
      </c>
      <c r="D158" s="1">
        <v>30</v>
      </c>
      <c r="E158" s="1" t="s">
        <v>957</v>
      </c>
      <c r="F158" s="1">
        <v>43</v>
      </c>
      <c r="G158" s="1">
        <v>747</v>
      </c>
      <c r="H158" s="1">
        <v>9.4</v>
      </c>
      <c r="I158" s="1">
        <v>0.47599999999999998</v>
      </c>
      <c r="J158" s="1">
        <v>0.42099999999999999</v>
      </c>
      <c r="K158" s="1">
        <v>0.14599999999999999</v>
      </c>
      <c r="L158" s="1">
        <v>8.1999999999999993</v>
      </c>
      <c r="M158" s="1">
        <v>27.4</v>
      </c>
      <c r="N158" s="1">
        <v>17.600000000000001</v>
      </c>
      <c r="O158" s="1">
        <v>4</v>
      </c>
      <c r="P158" s="1">
        <v>1.5</v>
      </c>
      <c r="Q158" s="1">
        <v>5</v>
      </c>
      <c r="R158" s="1">
        <v>17.600000000000001</v>
      </c>
      <c r="S158" s="1">
        <v>18.399999999999999</v>
      </c>
      <c r="T158" s="1"/>
      <c r="U158" s="1">
        <v>-0.9</v>
      </c>
      <c r="V158" s="1">
        <v>1</v>
      </c>
      <c r="W158" s="1">
        <v>0.1</v>
      </c>
      <c r="X158" s="1">
        <v>6.0000000000000001E-3</v>
      </c>
      <c r="Y158" s="1"/>
      <c r="Z158" s="1">
        <v>-5.8</v>
      </c>
      <c r="AA158" s="1">
        <v>0</v>
      </c>
      <c r="AB158" s="1">
        <v>-5.8</v>
      </c>
      <c r="AC158" s="1">
        <v>-0.7</v>
      </c>
      <c r="AD158">
        <f>Advanced_Table[[#This Row],[VORP]]*82/Advanced_Table[[#This Row],[G]]</f>
        <v>-1.3348837209302324</v>
      </c>
    </row>
    <row r="159" spans="1:30" x14ac:dyDescent="0.25">
      <c r="A159" s="1">
        <v>121</v>
      </c>
      <c r="B159" s="1" t="s">
        <v>431</v>
      </c>
      <c r="C159" s="1" t="s">
        <v>287</v>
      </c>
      <c r="D159" s="1">
        <v>30</v>
      </c>
      <c r="E159" s="1" t="s">
        <v>319</v>
      </c>
      <c r="F159" s="1">
        <v>34</v>
      </c>
      <c r="G159" s="1">
        <v>541</v>
      </c>
      <c r="H159" s="1">
        <v>8.5</v>
      </c>
      <c r="I159" s="1">
        <v>0.47699999999999998</v>
      </c>
      <c r="J159" s="1">
        <v>0.41499999999999998</v>
      </c>
      <c r="K159" s="1">
        <v>0.16400000000000001</v>
      </c>
      <c r="L159" s="1">
        <v>9.3000000000000007</v>
      </c>
      <c r="M159" s="1">
        <v>25.9</v>
      </c>
      <c r="N159" s="1">
        <v>17.399999999999999</v>
      </c>
      <c r="O159" s="1">
        <v>3.9</v>
      </c>
      <c r="P159" s="1">
        <v>1.4</v>
      </c>
      <c r="Q159" s="1">
        <v>4.5999999999999996</v>
      </c>
      <c r="R159" s="1">
        <v>20.399999999999999</v>
      </c>
      <c r="S159" s="1">
        <v>18.600000000000001</v>
      </c>
      <c r="T159" s="1"/>
      <c r="U159" s="1">
        <v>-0.8</v>
      </c>
      <c r="V159" s="1">
        <v>0.7</v>
      </c>
      <c r="W159" s="1">
        <v>-0.1</v>
      </c>
      <c r="X159" s="1">
        <v>-5.0000000000000001E-3</v>
      </c>
      <c r="Y159" s="1"/>
      <c r="Z159" s="1">
        <v>-6.3</v>
      </c>
      <c r="AA159" s="1">
        <v>-0.1</v>
      </c>
      <c r="AB159" s="1">
        <v>-6.4</v>
      </c>
      <c r="AC159" s="1">
        <v>-0.6</v>
      </c>
      <c r="AD159">
        <f>Advanced_Table[[#This Row],[VORP]]*82/Advanced_Table[[#This Row],[G]]</f>
        <v>-1.4470588235294117</v>
      </c>
    </row>
    <row r="160" spans="1:30" x14ac:dyDescent="0.25">
      <c r="A160" s="1">
        <v>121</v>
      </c>
      <c r="B160" s="1" t="s">
        <v>431</v>
      </c>
      <c r="C160" s="1" t="s">
        <v>287</v>
      </c>
      <c r="D160" s="1">
        <v>30</v>
      </c>
      <c r="E160" s="1" t="s">
        <v>347</v>
      </c>
      <c r="F160" s="1">
        <v>9</v>
      </c>
      <c r="G160" s="1">
        <v>206</v>
      </c>
      <c r="H160" s="1">
        <v>11.6</v>
      </c>
      <c r="I160" s="1">
        <v>0.47199999999999998</v>
      </c>
      <c r="J160" s="1">
        <v>0.434</v>
      </c>
      <c r="K160" s="1">
        <v>0.105</v>
      </c>
      <c r="L160" s="1">
        <v>5.2</v>
      </c>
      <c r="M160" s="1">
        <v>31.2</v>
      </c>
      <c r="N160" s="1">
        <v>18</v>
      </c>
      <c r="O160" s="1">
        <v>4.2</v>
      </c>
      <c r="P160" s="1">
        <v>2</v>
      </c>
      <c r="Q160" s="1">
        <v>6.1</v>
      </c>
      <c r="R160" s="1">
        <v>10.199999999999999</v>
      </c>
      <c r="S160" s="1">
        <v>17.899999999999999</v>
      </c>
      <c r="T160" s="1"/>
      <c r="U160" s="1">
        <v>-0.2</v>
      </c>
      <c r="V160" s="1">
        <v>0.3</v>
      </c>
      <c r="W160" s="1">
        <v>0.1</v>
      </c>
      <c r="X160" s="1">
        <v>3.4000000000000002E-2</v>
      </c>
      <c r="Y160" s="1"/>
      <c r="Z160" s="1">
        <v>-4.7</v>
      </c>
      <c r="AA160" s="1">
        <v>0.3</v>
      </c>
      <c r="AB160" s="1">
        <v>-4.4000000000000004</v>
      </c>
      <c r="AC160" s="1">
        <v>-0.1</v>
      </c>
      <c r="AD160">
        <f>Advanced_Table[[#This Row],[VORP]]*82/Advanced_Table[[#This Row],[G]]</f>
        <v>-0.9111111111111112</v>
      </c>
    </row>
    <row r="161" spans="1:30" x14ac:dyDescent="0.25">
      <c r="A161" s="1">
        <v>122</v>
      </c>
      <c r="B161" s="1" t="s">
        <v>432</v>
      </c>
      <c r="C161" s="1" t="s">
        <v>316</v>
      </c>
      <c r="D161" s="1">
        <v>29</v>
      </c>
      <c r="E161" s="1" t="s">
        <v>411</v>
      </c>
      <c r="F161" s="1">
        <v>57</v>
      </c>
      <c r="G161" s="1">
        <v>821</v>
      </c>
      <c r="H161" s="1">
        <v>8.1</v>
      </c>
      <c r="I161" s="1">
        <v>0.46300000000000002</v>
      </c>
      <c r="J161" s="1">
        <v>0.52</v>
      </c>
      <c r="K161" s="1">
        <v>0.21099999999999999</v>
      </c>
      <c r="L161" s="1">
        <v>2.4</v>
      </c>
      <c r="M161" s="1">
        <v>7.8</v>
      </c>
      <c r="N161" s="1">
        <v>5.0999999999999996</v>
      </c>
      <c r="O161" s="1">
        <v>29</v>
      </c>
      <c r="P161" s="1">
        <v>1.2</v>
      </c>
      <c r="Q161" s="1">
        <v>0.2</v>
      </c>
      <c r="R161" s="1">
        <v>23.6</v>
      </c>
      <c r="S161" s="1">
        <v>13</v>
      </c>
      <c r="T161" s="1"/>
      <c r="U161" s="1">
        <v>0.1</v>
      </c>
      <c r="V161" s="1">
        <v>0.1</v>
      </c>
      <c r="W161" s="1">
        <v>0.2</v>
      </c>
      <c r="X161" s="1">
        <v>0.01</v>
      </c>
      <c r="Y161" s="1"/>
      <c r="Z161" s="1">
        <v>-3.6</v>
      </c>
      <c r="AA161" s="1">
        <v>-1.5</v>
      </c>
      <c r="AB161" s="1">
        <v>-5.0999999999999996</v>
      </c>
      <c r="AC161" s="1">
        <v>-0.6</v>
      </c>
      <c r="AD161">
        <f>Advanced_Table[[#This Row],[VORP]]*82/Advanced_Table[[#This Row],[G]]</f>
        <v>-0.86315789473684201</v>
      </c>
    </row>
    <row r="162" spans="1:30" x14ac:dyDescent="0.25">
      <c r="A162" s="1">
        <v>123</v>
      </c>
      <c r="B162" s="1" t="s">
        <v>433</v>
      </c>
      <c r="C162" s="1" t="s">
        <v>303</v>
      </c>
      <c r="D162" s="1">
        <v>30</v>
      </c>
      <c r="E162" s="1" t="s">
        <v>292</v>
      </c>
      <c r="F162" s="1">
        <v>61</v>
      </c>
      <c r="G162" s="1">
        <v>2091</v>
      </c>
      <c r="H162" s="1">
        <v>21.4</v>
      </c>
      <c r="I162" s="1">
        <v>0.59699999999999998</v>
      </c>
      <c r="J162" s="1">
        <v>3.1E-2</v>
      </c>
      <c r="K162" s="1">
        <v>0.41899999999999998</v>
      </c>
      <c r="L162" s="1">
        <v>2</v>
      </c>
      <c r="M162" s="1">
        <v>15.7</v>
      </c>
      <c r="N162" s="1">
        <v>8.9</v>
      </c>
      <c r="O162" s="1">
        <v>26</v>
      </c>
      <c r="P162" s="1">
        <v>1.4</v>
      </c>
      <c r="Q162" s="1">
        <v>0.6</v>
      </c>
      <c r="R162" s="1">
        <v>11.5</v>
      </c>
      <c r="S162" s="1">
        <v>26.6</v>
      </c>
      <c r="T162" s="1"/>
      <c r="U162" s="1">
        <v>5.0999999999999996</v>
      </c>
      <c r="V162" s="1">
        <v>1.1000000000000001</v>
      </c>
      <c r="W162" s="1">
        <v>6.2</v>
      </c>
      <c r="X162" s="1">
        <v>0.14299999999999999</v>
      </c>
      <c r="Y162" s="1"/>
      <c r="Z162" s="1">
        <v>2.2000000000000002</v>
      </c>
      <c r="AA162" s="1">
        <v>-0.5</v>
      </c>
      <c r="AB162" s="1">
        <v>1.6</v>
      </c>
      <c r="AC162" s="1">
        <v>1.9</v>
      </c>
      <c r="AD162">
        <f>Advanced_Table[[#This Row],[VORP]]*82/Advanced_Table[[#This Row],[G]]</f>
        <v>2.5540983606557375</v>
      </c>
    </row>
    <row r="163" spans="1:30" x14ac:dyDescent="0.25">
      <c r="A163" s="1">
        <v>124</v>
      </c>
      <c r="B163" s="1" t="s">
        <v>434</v>
      </c>
      <c r="C163" s="1" t="s">
        <v>287</v>
      </c>
      <c r="D163" s="1">
        <v>23</v>
      </c>
      <c r="E163" s="1" t="s">
        <v>322</v>
      </c>
      <c r="F163" s="1">
        <v>44</v>
      </c>
      <c r="G163" s="1">
        <v>467</v>
      </c>
      <c r="H163" s="1">
        <v>16.3</v>
      </c>
      <c r="I163" s="1">
        <v>0.68799999999999994</v>
      </c>
      <c r="J163" s="1">
        <v>1.4999999999999999E-2</v>
      </c>
      <c r="K163" s="1">
        <v>0.27</v>
      </c>
      <c r="L163" s="1">
        <v>6.5</v>
      </c>
      <c r="M163" s="1">
        <v>24.1</v>
      </c>
      <c r="N163" s="1">
        <v>15.1</v>
      </c>
      <c r="O163" s="1">
        <v>7.2</v>
      </c>
      <c r="P163" s="1">
        <v>1</v>
      </c>
      <c r="Q163" s="1">
        <v>2.2999999999999998</v>
      </c>
      <c r="R163" s="1">
        <v>16.399999999999999</v>
      </c>
      <c r="S163" s="1">
        <v>16.7</v>
      </c>
      <c r="T163" s="1"/>
      <c r="U163" s="1">
        <v>0.8</v>
      </c>
      <c r="V163" s="1">
        <v>0.5</v>
      </c>
      <c r="W163" s="1">
        <v>1.3</v>
      </c>
      <c r="X163" s="1">
        <v>0.129</v>
      </c>
      <c r="Y163" s="1"/>
      <c r="Z163" s="1">
        <v>-1</v>
      </c>
      <c r="AA163" s="1">
        <v>-0.3</v>
      </c>
      <c r="AB163" s="1">
        <v>-1.3</v>
      </c>
      <c r="AC163" s="1">
        <v>0.1</v>
      </c>
      <c r="AD163">
        <f>Advanced_Table[[#This Row],[VORP]]*82/Advanced_Table[[#This Row],[G]]</f>
        <v>0.1863636363636364</v>
      </c>
    </row>
    <row r="164" spans="1:30" x14ac:dyDescent="0.25">
      <c r="A164" s="1">
        <v>125</v>
      </c>
      <c r="B164" s="1" t="s">
        <v>435</v>
      </c>
      <c r="C164" s="1" t="s">
        <v>303</v>
      </c>
      <c r="D164" s="1">
        <v>21</v>
      </c>
      <c r="E164" s="1" t="s">
        <v>288</v>
      </c>
      <c r="F164" s="1">
        <v>38</v>
      </c>
      <c r="G164" s="1">
        <v>699</v>
      </c>
      <c r="H164" s="1">
        <v>8.4</v>
      </c>
      <c r="I164" s="1">
        <v>0.48799999999999999</v>
      </c>
      <c r="J164" s="1">
        <v>0.16</v>
      </c>
      <c r="K164" s="1">
        <v>0.20499999999999999</v>
      </c>
      <c r="L164" s="1">
        <v>4.8</v>
      </c>
      <c r="M164" s="1">
        <v>14.3</v>
      </c>
      <c r="N164" s="1">
        <v>9.6999999999999993</v>
      </c>
      <c r="O164" s="1">
        <v>4.5</v>
      </c>
      <c r="P164" s="1">
        <v>2</v>
      </c>
      <c r="Q164" s="1">
        <v>1</v>
      </c>
      <c r="R164" s="1">
        <v>13.4</v>
      </c>
      <c r="S164" s="1">
        <v>17.399999999999999</v>
      </c>
      <c r="T164" s="1"/>
      <c r="U164" s="1">
        <v>-0.6</v>
      </c>
      <c r="V164" s="1">
        <v>0.8</v>
      </c>
      <c r="W164" s="1">
        <v>0.2</v>
      </c>
      <c r="X164" s="1">
        <v>1.4E-2</v>
      </c>
      <c r="Y164" s="1"/>
      <c r="Z164" s="1">
        <v>-5</v>
      </c>
      <c r="AA164" s="1">
        <v>0.3</v>
      </c>
      <c r="AB164" s="1">
        <v>-4.7</v>
      </c>
      <c r="AC164" s="1">
        <v>-0.5</v>
      </c>
      <c r="AD164">
        <f>Advanced_Table[[#This Row],[VORP]]*82/Advanced_Table[[#This Row],[G]]</f>
        <v>-1.0789473684210527</v>
      </c>
    </row>
    <row r="165" spans="1:30" x14ac:dyDescent="0.25">
      <c r="A165" s="1">
        <v>126</v>
      </c>
      <c r="B165" s="1" t="s">
        <v>436</v>
      </c>
      <c r="C165" s="1" t="s">
        <v>287</v>
      </c>
      <c r="D165" s="1">
        <v>30</v>
      </c>
      <c r="E165" s="1" t="s">
        <v>957</v>
      </c>
      <c r="F165" s="1">
        <v>58</v>
      </c>
      <c r="G165" s="1">
        <v>1012</v>
      </c>
      <c r="H165" s="1">
        <v>17.5</v>
      </c>
      <c r="I165" s="1">
        <v>0.56399999999999995</v>
      </c>
      <c r="J165" s="1">
        <v>0.41399999999999998</v>
      </c>
      <c r="K165" s="1">
        <v>0.24199999999999999</v>
      </c>
      <c r="L165" s="1">
        <v>8.8000000000000007</v>
      </c>
      <c r="M165" s="1">
        <v>26.5</v>
      </c>
      <c r="N165" s="1">
        <v>17.5</v>
      </c>
      <c r="O165" s="1">
        <v>10.3</v>
      </c>
      <c r="P165" s="1">
        <v>2.2000000000000002</v>
      </c>
      <c r="Q165" s="1">
        <v>4.5999999999999996</v>
      </c>
      <c r="R165" s="1">
        <v>12.7</v>
      </c>
      <c r="S165" s="1">
        <v>17.7</v>
      </c>
      <c r="T165" s="1"/>
      <c r="U165" s="1">
        <v>1.1000000000000001</v>
      </c>
      <c r="V165" s="1">
        <v>1.6</v>
      </c>
      <c r="W165" s="1">
        <v>2.7</v>
      </c>
      <c r="X165" s="1">
        <v>0.128</v>
      </c>
      <c r="Y165" s="1"/>
      <c r="Z165" s="1">
        <v>0</v>
      </c>
      <c r="AA165" s="1">
        <v>1.8</v>
      </c>
      <c r="AB165" s="1">
        <v>1.8</v>
      </c>
      <c r="AC165" s="1">
        <v>0.9</v>
      </c>
      <c r="AD165">
        <f>Advanced_Table[[#This Row],[VORP]]*82/Advanced_Table[[#This Row],[G]]</f>
        <v>1.2724137931034483</v>
      </c>
    </row>
    <row r="166" spans="1:30" x14ac:dyDescent="0.25">
      <c r="A166" s="1">
        <v>126</v>
      </c>
      <c r="B166" s="1" t="s">
        <v>436</v>
      </c>
      <c r="C166" s="1" t="s">
        <v>287</v>
      </c>
      <c r="D166" s="1">
        <v>30</v>
      </c>
      <c r="E166" s="1" t="s">
        <v>336</v>
      </c>
      <c r="F166" s="1">
        <v>46</v>
      </c>
      <c r="G166" s="1">
        <v>778</v>
      </c>
      <c r="H166" s="1">
        <v>17.8</v>
      </c>
      <c r="I166" s="1">
        <v>0.56299999999999994</v>
      </c>
      <c r="J166" s="1">
        <v>0.433</v>
      </c>
      <c r="K166" s="1">
        <v>0.21299999999999999</v>
      </c>
      <c r="L166" s="1">
        <v>9.5</v>
      </c>
      <c r="M166" s="1">
        <v>25.8</v>
      </c>
      <c r="N166" s="1">
        <v>17.399999999999999</v>
      </c>
      <c r="O166" s="1">
        <v>11.1</v>
      </c>
      <c r="P166" s="1">
        <v>2.2000000000000002</v>
      </c>
      <c r="Q166" s="1">
        <v>4.5</v>
      </c>
      <c r="R166" s="1">
        <v>12.7</v>
      </c>
      <c r="S166" s="1">
        <v>18.399999999999999</v>
      </c>
      <c r="T166" s="1"/>
      <c r="U166" s="1">
        <v>1</v>
      </c>
      <c r="V166" s="1">
        <v>1.1000000000000001</v>
      </c>
      <c r="W166" s="1">
        <v>2.1</v>
      </c>
      <c r="X166" s="1">
        <v>0.129</v>
      </c>
      <c r="Y166" s="1"/>
      <c r="Z166" s="1">
        <v>0.4</v>
      </c>
      <c r="AA166" s="1">
        <v>1.5</v>
      </c>
      <c r="AB166" s="1">
        <v>1.9</v>
      </c>
      <c r="AC166" s="1">
        <v>0.7</v>
      </c>
      <c r="AD166">
        <f>Advanced_Table[[#This Row],[VORP]]*82/Advanced_Table[[#This Row],[G]]</f>
        <v>1.2478260869565216</v>
      </c>
    </row>
    <row r="167" spans="1:30" x14ac:dyDescent="0.25">
      <c r="A167" s="1">
        <v>126</v>
      </c>
      <c r="B167" s="1" t="s">
        <v>436</v>
      </c>
      <c r="C167" s="1" t="s">
        <v>287</v>
      </c>
      <c r="D167" s="1">
        <v>30</v>
      </c>
      <c r="E167" s="1" t="s">
        <v>297</v>
      </c>
      <c r="F167" s="1">
        <v>12</v>
      </c>
      <c r="G167" s="1">
        <v>234</v>
      </c>
      <c r="H167" s="1">
        <v>16.2</v>
      </c>
      <c r="I167" s="1">
        <v>0.56799999999999995</v>
      </c>
      <c r="J167" s="1">
        <v>0.33300000000000002</v>
      </c>
      <c r="K167" s="1">
        <v>0.36399999999999999</v>
      </c>
      <c r="L167" s="1">
        <v>6.4</v>
      </c>
      <c r="M167" s="1">
        <v>29</v>
      </c>
      <c r="N167" s="1">
        <v>17.899999999999999</v>
      </c>
      <c r="O167" s="1">
        <v>7.5</v>
      </c>
      <c r="P167" s="1">
        <v>2.2000000000000002</v>
      </c>
      <c r="Q167" s="1">
        <v>5.2</v>
      </c>
      <c r="R167" s="1">
        <v>12.6</v>
      </c>
      <c r="S167" s="1">
        <v>15.6</v>
      </c>
      <c r="T167" s="1"/>
      <c r="U167" s="1">
        <v>0.2</v>
      </c>
      <c r="V167" s="1">
        <v>0.4</v>
      </c>
      <c r="W167" s="1">
        <v>0.6</v>
      </c>
      <c r="X167" s="1">
        <v>0.128</v>
      </c>
      <c r="Y167" s="1"/>
      <c r="Z167" s="1">
        <v>-1.2</v>
      </c>
      <c r="AA167" s="1">
        <v>2.7</v>
      </c>
      <c r="AB167" s="1">
        <v>1.5</v>
      </c>
      <c r="AC167" s="1">
        <v>0.2</v>
      </c>
      <c r="AD167">
        <f>Advanced_Table[[#This Row],[VORP]]*82/Advanced_Table[[#This Row],[G]]</f>
        <v>1.3666666666666669</v>
      </c>
    </row>
    <row r="168" spans="1:30" x14ac:dyDescent="0.25">
      <c r="A168" s="1">
        <v>127</v>
      </c>
      <c r="B168" s="1" t="s">
        <v>437</v>
      </c>
      <c r="C168" s="1" t="s">
        <v>294</v>
      </c>
      <c r="D168" s="1">
        <v>26</v>
      </c>
      <c r="E168" s="1" t="s">
        <v>299</v>
      </c>
      <c r="F168" s="1">
        <v>64</v>
      </c>
      <c r="G168" s="1">
        <v>1994</v>
      </c>
      <c r="H168" s="1">
        <v>18</v>
      </c>
      <c r="I168" s="1">
        <v>0.54100000000000004</v>
      </c>
      <c r="J168" s="1">
        <v>0.39200000000000002</v>
      </c>
      <c r="K168" s="1">
        <v>0.437</v>
      </c>
      <c r="L168" s="1">
        <v>1.7</v>
      </c>
      <c r="M168" s="1">
        <v>9.5</v>
      </c>
      <c r="N168" s="1">
        <v>5.7</v>
      </c>
      <c r="O168" s="1">
        <v>35.6</v>
      </c>
      <c r="P168" s="1">
        <v>1</v>
      </c>
      <c r="Q168" s="1">
        <v>0.9</v>
      </c>
      <c r="R168" s="1">
        <v>12.5</v>
      </c>
      <c r="S168" s="1">
        <v>29.2</v>
      </c>
      <c r="T168" s="1"/>
      <c r="U168" s="1">
        <v>3.4</v>
      </c>
      <c r="V168" s="1">
        <v>1.7</v>
      </c>
      <c r="W168" s="1">
        <v>5.0999999999999996</v>
      </c>
      <c r="X168" s="1">
        <v>0.123</v>
      </c>
      <c r="Y168" s="1"/>
      <c r="Z168" s="1">
        <v>2.6</v>
      </c>
      <c r="AA168" s="1">
        <v>-0.8</v>
      </c>
      <c r="AB168" s="1">
        <v>1.8</v>
      </c>
      <c r="AC168" s="1">
        <v>1.9</v>
      </c>
      <c r="AD168">
        <f>Advanced_Table[[#This Row],[VORP]]*82/Advanced_Table[[#This Row],[G]]</f>
        <v>2.4343749999999997</v>
      </c>
    </row>
    <row r="169" spans="1:30" x14ac:dyDescent="0.25">
      <c r="A169" s="1">
        <v>128</v>
      </c>
      <c r="B169" s="1" t="s">
        <v>438</v>
      </c>
      <c r="C169" s="1" t="s">
        <v>294</v>
      </c>
      <c r="D169" s="1">
        <v>23</v>
      </c>
      <c r="E169" s="1" t="s">
        <v>307</v>
      </c>
      <c r="F169" s="1">
        <v>59</v>
      </c>
      <c r="G169" s="1">
        <v>1362</v>
      </c>
      <c r="H169" s="1">
        <v>15</v>
      </c>
      <c r="I169" s="1">
        <v>0.56999999999999995</v>
      </c>
      <c r="J169" s="1">
        <v>0.48899999999999999</v>
      </c>
      <c r="K169" s="1">
        <v>0.17299999999999999</v>
      </c>
      <c r="L169" s="1">
        <v>4.5999999999999996</v>
      </c>
      <c r="M169" s="1">
        <v>15.7</v>
      </c>
      <c r="N169" s="1">
        <v>10.5</v>
      </c>
      <c r="O169" s="1">
        <v>13.3</v>
      </c>
      <c r="P169" s="1">
        <v>2.7</v>
      </c>
      <c r="Q169" s="1">
        <v>1.2</v>
      </c>
      <c r="R169" s="1">
        <v>12.9</v>
      </c>
      <c r="S169" s="1">
        <v>16.899999999999999</v>
      </c>
      <c r="T169" s="1"/>
      <c r="U169" s="1">
        <v>1.4</v>
      </c>
      <c r="V169" s="1">
        <v>3.1</v>
      </c>
      <c r="W169" s="1">
        <v>4.5</v>
      </c>
      <c r="X169" s="1">
        <v>0.158</v>
      </c>
      <c r="Y169" s="1"/>
      <c r="Z169" s="1">
        <v>-0.6</v>
      </c>
      <c r="AA169" s="1">
        <v>2.7</v>
      </c>
      <c r="AB169" s="1">
        <v>2.1</v>
      </c>
      <c r="AC169" s="1">
        <v>1.4</v>
      </c>
      <c r="AD169">
        <f>Advanced_Table[[#This Row],[VORP]]*82/Advanced_Table[[#This Row],[G]]</f>
        <v>1.9457627118644067</v>
      </c>
    </row>
    <row r="170" spans="1:30" x14ac:dyDescent="0.25">
      <c r="A170" s="1">
        <v>129</v>
      </c>
      <c r="B170" s="1" t="s">
        <v>439</v>
      </c>
      <c r="C170" s="1" t="s">
        <v>316</v>
      </c>
      <c r="D170" s="1">
        <v>20</v>
      </c>
      <c r="E170" s="1" t="s">
        <v>329</v>
      </c>
      <c r="F170" s="1">
        <v>53</v>
      </c>
      <c r="G170" s="1">
        <v>1760</v>
      </c>
      <c r="H170" s="1">
        <v>27.8</v>
      </c>
      <c r="I170" s="1">
        <v>0.58499999999999996</v>
      </c>
      <c r="J170" s="1">
        <v>0.44400000000000001</v>
      </c>
      <c r="K170" s="1">
        <v>0.441</v>
      </c>
      <c r="L170" s="1">
        <v>4.0999999999999996</v>
      </c>
      <c r="M170" s="1">
        <v>24.9</v>
      </c>
      <c r="N170" s="1">
        <v>14.7</v>
      </c>
      <c r="O170" s="1">
        <v>45.5</v>
      </c>
      <c r="P170" s="1">
        <v>1.6</v>
      </c>
      <c r="Q170" s="1">
        <v>0.5</v>
      </c>
      <c r="R170" s="1">
        <v>14.8</v>
      </c>
      <c r="S170" s="1">
        <v>37.1</v>
      </c>
      <c r="T170" s="1"/>
      <c r="U170" s="1">
        <v>5.7</v>
      </c>
      <c r="V170" s="1">
        <v>2.2000000000000002</v>
      </c>
      <c r="W170" s="1">
        <v>7.9</v>
      </c>
      <c r="X170" s="1">
        <v>0.216</v>
      </c>
      <c r="Y170" s="1"/>
      <c r="Z170" s="1">
        <v>7.5</v>
      </c>
      <c r="AA170" s="1">
        <v>0.9</v>
      </c>
      <c r="AB170" s="1">
        <v>8.5</v>
      </c>
      <c r="AC170" s="1">
        <v>4.7</v>
      </c>
      <c r="AD170">
        <f>Advanced_Table[[#This Row],[VORP]]*82/Advanced_Table[[#This Row],[G]]</f>
        <v>7.271698113207548</v>
      </c>
    </row>
    <row r="171" spans="1:30" x14ac:dyDescent="0.25">
      <c r="A171" s="1">
        <v>130</v>
      </c>
      <c r="B171" s="1" t="s">
        <v>815</v>
      </c>
      <c r="C171" s="1" t="s">
        <v>294</v>
      </c>
      <c r="D171" s="1">
        <v>20</v>
      </c>
      <c r="E171" s="1" t="s">
        <v>288</v>
      </c>
      <c r="F171" s="1">
        <v>29</v>
      </c>
      <c r="G171" s="1">
        <v>637</v>
      </c>
      <c r="H171" s="1">
        <v>7.3</v>
      </c>
      <c r="I171" s="1">
        <v>0.52100000000000002</v>
      </c>
      <c r="J171" s="1">
        <v>0.46500000000000002</v>
      </c>
      <c r="K171" s="1">
        <v>0.22900000000000001</v>
      </c>
      <c r="L171" s="1">
        <v>2.7</v>
      </c>
      <c r="M171" s="1">
        <v>6.6</v>
      </c>
      <c r="N171" s="1">
        <v>4.7</v>
      </c>
      <c r="O171" s="1">
        <v>4.5</v>
      </c>
      <c r="P171" s="1">
        <v>1.8</v>
      </c>
      <c r="Q171" s="1">
        <v>0.3</v>
      </c>
      <c r="R171" s="1">
        <v>8</v>
      </c>
      <c r="S171" s="1">
        <v>13</v>
      </c>
      <c r="T171" s="1"/>
      <c r="U171" s="1">
        <v>0.2</v>
      </c>
      <c r="V171" s="1">
        <v>0.5</v>
      </c>
      <c r="W171" s="1">
        <v>0.7</v>
      </c>
      <c r="X171" s="1">
        <v>5.1999999999999998E-2</v>
      </c>
      <c r="Y171" s="1"/>
      <c r="Z171" s="1">
        <v>-4.4000000000000004</v>
      </c>
      <c r="AA171" s="1">
        <v>0.5</v>
      </c>
      <c r="AB171" s="1">
        <v>-3.9</v>
      </c>
      <c r="AC171" s="1">
        <v>-0.3</v>
      </c>
      <c r="AD171">
        <f>Advanced_Table[[#This Row],[VORP]]*82/Advanced_Table[[#This Row],[G]]</f>
        <v>-0.84827586206896544</v>
      </c>
    </row>
    <row r="172" spans="1:30" x14ac:dyDescent="0.25">
      <c r="A172" s="1">
        <v>131</v>
      </c>
      <c r="B172" s="1" t="s">
        <v>440</v>
      </c>
      <c r="C172" s="1" t="s">
        <v>294</v>
      </c>
      <c r="D172" s="1">
        <v>25</v>
      </c>
      <c r="E172" s="1" t="s">
        <v>332</v>
      </c>
      <c r="F172" s="1">
        <v>48</v>
      </c>
      <c r="G172" s="1">
        <v>836</v>
      </c>
      <c r="H172" s="1">
        <v>10.9</v>
      </c>
      <c r="I172" s="1">
        <v>0.52700000000000002</v>
      </c>
      <c r="J172" s="1">
        <v>0.56200000000000006</v>
      </c>
      <c r="K172" s="1">
        <v>0.114</v>
      </c>
      <c r="L172" s="1">
        <v>1.2</v>
      </c>
      <c r="M172" s="1">
        <v>10.7</v>
      </c>
      <c r="N172" s="1">
        <v>5.8</v>
      </c>
      <c r="O172" s="1">
        <v>10</v>
      </c>
      <c r="P172" s="1">
        <v>1.3</v>
      </c>
      <c r="Q172" s="1">
        <v>0.5</v>
      </c>
      <c r="R172" s="1">
        <v>6.5</v>
      </c>
      <c r="S172" s="1">
        <v>16.5</v>
      </c>
      <c r="T172" s="1"/>
      <c r="U172" s="1">
        <v>0.6</v>
      </c>
      <c r="V172" s="1">
        <v>0.3</v>
      </c>
      <c r="W172" s="1">
        <v>0.9</v>
      </c>
      <c r="X172" s="1">
        <v>5.3999999999999999E-2</v>
      </c>
      <c r="Y172" s="1"/>
      <c r="Z172" s="1">
        <v>-1</v>
      </c>
      <c r="AA172" s="1">
        <v>-0.6</v>
      </c>
      <c r="AB172" s="1">
        <v>-1.5</v>
      </c>
      <c r="AC172" s="1">
        <v>0.1</v>
      </c>
      <c r="AD172">
        <f>Advanced_Table[[#This Row],[VORP]]*82/Advanced_Table[[#This Row],[G]]</f>
        <v>0.17083333333333336</v>
      </c>
    </row>
    <row r="173" spans="1:30" x14ac:dyDescent="0.25">
      <c r="A173" s="1">
        <v>132</v>
      </c>
      <c r="B173" s="1" t="s">
        <v>770</v>
      </c>
      <c r="C173" s="1" t="s">
        <v>303</v>
      </c>
      <c r="D173" s="1">
        <v>19</v>
      </c>
      <c r="E173" s="1" t="s">
        <v>363</v>
      </c>
      <c r="F173" s="1">
        <v>37</v>
      </c>
      <c r="G173" s="1">
        <v>731</v>
      </c>
      <c r="H173" s="1">
        <v>6.4</v>
      </c>
      <c r="I173" s="1">
        <v>0.47799999999999998</v>
      </c>
      <c r="J173" s="1">
        <v>0.41799999999999998</v>
      </c>
      <c r="K173" s="1">
        <v>0.19800000000000001</v>
      </c>
      <c r="L173" s="1">
        <v>3.1</v>
      </c>
      <c r="M173" s="1">
        <v>15.2</v>
      </c>
      <c r="N173" s="1">
        <v>9.1</v>
      </c>
      <c r="O173" s="1">
        <v>3.4</v>
      </c>
      <c r="P173" s="1">
        <v>1.3</v>
      </c>
      <c r="Q173" s="1">
        <v>0.9</v>
      </c>
      <c r="R173" s="1">
        <v>12.2</v>
      </c>
      <c r="S173" s="1">
        <v>17.100000000000001</v>
      </c>
      <c r="T173" s="1"/>
      <c r="U173" s="1">
        <v>-0.8</v>
      </c>
      <c r="V173" s="1">
        <v>0.5</v>
      </c>
      <c r="W173" s="1">
        <v>-0.3</v>
      </c>
      <c r="X173" s="1">
        <v>-1.7999999999999999E-2</v>
      </c>
      <c r="Y173" s="1"/>
      <c r="Z173" s="1">
        <v>-5.0999999999999996</v>
      </c>
      <c r="AA173" s="1">
        <v>-1.4</v>
      </c>
      <c r="AB173" s="1">
        <v>-6.6</v>
      </c>
      <c r="AC173" s="1">
        <v>-0.8</v>
      </c>
      <c r="AD173">
        <f>Advanced_Table[[#This Row],[VORP]]*82/Advanced_Table[[#This Row],[G]]</f>
        <v>-1.7729729729729733</v>
      </c>
    </row>
    <row r="174" spans="1:30" x14ac:dyDescent="0.25">
      <c r="A174" s="1">
        <v>133</v>
      </c>
      <c r="B174" s="1" t="s">
        <v>1095</v>
      </c>
      <c r="C174" s="1" t="s">
        <v>316</v>
      </c>
      <c r="D174" s="1">
        <v>23</v>
      </c>
      <c r="E174" s="1" t="s">
        <v>334</v>
      </c>
      <c r="F174" s="1">
        <v>21</v>
      </c>
      <c r="G174" s="1">
        <v>234</v>
      </c>
      <c r="H174" s="1">
        <v>9.3000000000000007</v>
      </c>
      <c r="I174" s="1">
        <v>0.44900000000000001</v>
      </c>
      <c r="J174" s="1">
        <v>0.308</v>
      </c>
      <c r="K174" s="1">
        <v>0.121</v>
      </c>
      <c r="L174" s="1">
        <v>2.4</v>
      </c>
      <c r="M174" s="1">
        <v>11.9</v>
      </c>
      <c r="N174" s="1">
        <v>7.1</v>
      </c>
      <c r="O174" s="1">
        <v>17.5</v>
      </c>
      <c r="P174" s="1">
        <v>1.5</v>
      </c>
      <c r="Q174" s="1">
        <v>2</v>
      </c>
      <c r="R174" s="1">
        <v>10.3</v>
      </c>
      <c r="S174" s="1">
        <v>19.8</v>
      </c>
      <c r="T174" s="1"/>
      <c r="U174" s="1">
        <v>-0.1</v>
      </c>
      <c r="V174" s="1">
        <v>0.2</v>
      </c>
      <c r="W174" s="1">
        <v>0.1</v>
      </c>
      <c r="X174" s="1">
        <v>0.02</v>
      </c>
      <c r="Y174" s="1"/>
      <c r="Z174" s="1">
        <v>-4.3</v>
      </c>
      <c r="AA174" s="1">
        <v>-0.8</v>
      </c>
      <c r="AB174" s="1">
        <v>-5.0999999999999996</v>
      </c>
      <c r="AC174" s="1">
        <v>-0.2</v>
      </c>
      <c r="AD174">
        <f>Advanced_Table[[#This Row],[VORP]]*82/Advanced_Table[[#This Row],[G]]</f>
        <v>-0.78095238095238106</v>
      </c>
    </row>
    <row r="175" spans="1:30" x14ac:dyDescent="0.25">
      <c r="A175" s="1">
        <v>134</v>
      </c>
      <c r="B175" s="1" t="s">
        <v>441</v>
      </c>
      <c r="C175" s="1" t="s">
        <v>316</v>
      </c>
      <c r="D175" s="1">
        <v>33</v>
      </c>
      <c r="E175" s="1" t="s">
        <v>290</v>
      </c>
      <c r="F175" s="1">
        <v>53</v>
      </c>
      <c r="G175" s="1">
        <v>1505</v>
      </c>
      <c r="H175" s="1">
        <v>16.3</v>
      </c>
      <c r="I175" s="1">
        <v>0.57599999999999996</v>
      </c>
      <c r="J175" s="1">
        <v>0.47199999999999998</v>
      </c>
      <c r="K175" s="1">
        <v>0.33600000000000002</v>
      </c>
      <c r="L175" s="1">
        <v>2</v>
      </c>
      <c r="M175" s="1">
        <v>9.6999999999999993</v>
      </c>
      <c r="N175" s="1">
        <v>6</v>
      </c>
      <c r="O175" s="1">
        <v>28.6</v>
      </c>
      <c r="P175" s="1">
        <v>1</v>
      </c>
      <c r="Q175" s="1">
        <v>0.5</v>
      </c>
      <c r="R175" s="1">
        <v>14.6</v>
      </c>
      <c r="S175" s="1">
        <v>25.7</v>
      </c>
      <c r="T175" s="1"/>
      <c r="U175" s="1">
        <v>2.2000000000000002</v>
      </c>
      <c r="V175" s="1">
        <v>1.1000000000000001</v>
      </c>
      <c r="W175" s="1">
        <v>3.3</v>
      </c>
      <c r="X175" s="1">
        <v>0.104</v>
      </c>
      <c r="Y175" s="1"/>
      <c r="Z175" s="1">
        <v>1.8</v>
      </c>
      <c r="AA175" s="1">
        <v>-1.9</v>
      </c>
      <c r="AB175" s="1">
        <v>-0.1</v>
      </c>
      <c r="AC175" s="1">
        <v>0.7</v>
      </c>
      <c r="AD175">
        <f>Advanced_Table[[#This Row],[VORP]]*82/Advanced_Table[[#This Row],[G]]</f>
        <v>1.0830188679245283</v>
      </c>
    </row>
    <row r="176" spans="1:30" x14ac:dyDescent="0.25">
      <c r="A176" s="1">
        <v>135</v>
      </c>
      <c r="B176" s="1" t="s">
        <v>442</v>
      </c>
      <c r="C176" s="1" t="s">
        <v>287</v>
      </c>
      <c r="D176" s="1">
        <v>26</v>
      </c>
      <c r="E176" s="1" t="s">
        <v>957</v>
      </c>
      <c r="F176" s="1">
        <v>57</v>
      </c>
      <c r="G176" s="1">
        <v>1879</v>
      </c>
      <c r="H176" s="1">
        <v>22</v>
      </c>
      <c r="I176" s="1">
        <v>0.55300000000000005</v>
      </c>
      <c r="J176" s="1">
        <v>4.4999999999999998E-2</v>
      </c>
      <c r="K176" s="1">
        <v>0.375</v>
      </c>
      <c r="L176" s="1">
        <v>14.9</v>
      </c>
      <c r="M176" s="1">
        <v>37.4</v>
      </c>
      <c r="N176" s="1">
        <v>26</v>
      </c>
      <c r="O176" s="1">
        <v>13.6</v>
      </c>
      <c r="P176" s="1">
        <v>2.8</v>
      </c>
      <c r="Q176" s="1">
        <v>4.2</v>
      </c>
      <c r="R176" s="1">
        <v>18.2</v>
      </c>
      <c r="S176" s="1">
        <v>25.8</v>
      </c>
      <c r="T176" s="1"/>
      <c r="U176" s="1">
        <v>0.7</v>
      </c>
      <c r="V176" s="1">
        <v>3.6</v>
      </c>
      <c r="W176" s="1">
        <v>4.3</v>
      </c>
      <c r="X176" s="1">
        <v>0.11</v>
      </c>
      <c r="Y176" s="1"/>
      <c r="Z176" s="1">
        <v>-0.1</v>
      </c>
      <c r="AA176" s="1">
        <v>1.1000000000000001</v>
      </c>
      <c r="AB176" s="1">
        <v>0.9</v>
      </c>
      <c r="AC176" s="1">
        <v>1.4</v>
      </c>
      <c r="AD176">
        <f>Advanced_Table[[#This Row],[VORP]]*82/Advanced_Table[[#This Row],[G]]</f>
        <v>2.0140350877192983</v>
      </c>
    </row>
    <row r="177" spans="1:30" x14ac:dyDescent="0.25">
      <c r="A177" s="1">
        <v>135</v>
      </c>
      <c r="B177" s="1" t="s">
        <v>442</v>
      </c>
      <c r="C177" s="1" t="s">
        <v>287</v>
      </c>
      <c r="D177" s="1">
        <v>26</v>
      </c>
      <c r="E177" s="1" t="s">
        <v>363</v>
      </c>
      <c r="F177" s="1">
        <v>49</v>
      </c>
      <c r="G177" s="1">
        <v>1654</v>
      </c>
      <c r="H177" s="1">
        <v>22.1</v>
      </c>
      <c r="I177" s="1">
        <v>0.55000000000000004</v>
      </c>
      <c r="J177" s="1">
        <v>3.1E-2</v>
      </c>
      <c r="K177" s="1">
        <v>0.376</v>
      </c>
      <c r="L177" s="1">
        <v>15.3</v>
      </c>
      <c r="M177" s="1">
        <v>38.1</v>
      </c>
      <c r="N177" s="1">
        <v>26.6</v>
      </c>
      <c r="O177" s="1">
        <v>14</v>
      </c>
      <c r="P177" s="1">
        <v>2.9</v>
      </c>
      <c r="Q177" s="1">
        <v>4.0999999999999996</v>
      </c>
      <c r="R177" s="1">
        <v>18</v>
      </c>
      <c r="S177" s="1">
        <v>25.4</v>
      </c>
      <c r="T177" s="1"/>
      <c r="U177" s="1">
        <v>0.7</v>
      </c>
      <c r="V177" s="1">
        <v>3.3</v>
      </c>
      <c r="W177" s="1">
        <v>4.0999999999999996</v>
      </c>
      <c r="X177" s="1">
        <v>0.11799999999999999</v>
      </c>
      <c r="Y177" s="1"/>
      <c r="Z177" s="1">
        <v>0</v>
      </c>
      <c r="AA177" s="1">
        <v>1.2</v>
      </c>
      <c r="AB177" s="1">
        <v>1.1000000000000001</v>
      </c>
      <c r="AC177" s="1">
        <v>1.3</v>
      </c>
      <c r="AD177">
        <f>Advanced_Table[[#This Row],[VORP]]*82/Advanced_Table[[#This Row],[G]]</f>
        <v>2.175510204081633</v>
      </c>
    </row>
    <row r="178" spans="1:30" x14ac:dyDescent="0.25">
      <c r="A178" s="1">
        <v>135</v>
      </c>
      <c r="B178" s="1" t="s">
        <v>442</v>
      </c>
      <c r="C178" s="1" t="s">
        <v>287</v>
      </c>
      <c r="D178" s="1">
        <v>26</v>
      </c>
      <c r="E178" s="1" t="s">
        <v>411</v>
      </c>
      <c r="F178" s="1">
        <v>8</v>
      </c>
      <c r="G178" s="1">
        <v>225</v>
      </c>
      <c r="H178" s="1">
        <v>21.1</v>
      </c>
      <c r="I178" s="1">
        <v>0.57299999999999995</v>
      </c>
      <c r="J178" s="1">
        <v>0.13300000000000001</v>
      </c>
      <c r="K178" s="1">
        <v>0.371</v>
      </c>
      <c r="L178" s="1">
        <v>11.7</v>
      </c>
      <c r="M178" s="1">
        <v>32.4</v>
      </c>
      <c r="N178" s="1">
        <v>22</v>
      </c>
      <c r="O178" s="1">
        <v>10.8</v>
      </c>
      <c r="P178" s="1">
        <v>2.6</v>
      </c>
      <c r="Q178" s="1">
        <v>4.2</v>
      </c>
      <c r="R178" s="1">
        <v>19.2</v>
      </c>
      <c r="S178" s="1">
        <v>28.7</v>
      </c>
      <c r="T178" s="1"/>
      <c r="U178" s="1">
        <v>-0.1</v>
      </c>
      <c r="V178" s="1">
        <v>0.3</v>
      </c>
      <c r="W178" s="1">
        <v>0.3</v>
      </c>
      <c r="X178" s="1">
        <v>5.3999999999999999E-2</v>
      </c>
      <c r="Y178" s="1"/>
      <c r="Z178" s="1">
        <v>-1.1000000000000001</v>
      </c>
      <c r="AA178" s="1">
        <v>0.4</v>
      </c>
      <c r="AB178" s="1">
        <v>-0.7</v>
      </c>
      <c r="AC178" s="1">
        <v>0.1</v>
      </c>
      <c r="AD178">
        <f>Advanced_Table[[#This Row],[VORP]]*82/Advanced_Table[[#This Row],[G]]</f>
        <v>1.0250000000000001</v>
      </c>
    </row>
    <row r="179" spans="1:30" x14ac:dyDescent="0.25">
      <c r="A179" s="1">
        <v>136</v>
      </c>
      <c r="B179" s="1" t="s">
        <v>443</v>
      </c>
      <c r="C179" s="1" t="s">
        <v>303</v>
      </c>
      <c r="D179" s="1">
        <v>34</v>
      </c>
      <c r="E179" s="1" t="s">
        <v>309</v>
      </c>
      <c r="F179" s="1">
        <v>40</v>
      </c>
      <c r="G179" s="1">
        <v>311</v>
      </c>
      <c r="H179" s="1">
        <v>7.4</v>
      </c>
      <c r="I179" s="1">
        <v>0.56999999999999995</v>
      </c>
      <c r="J179" s="1">
        <v>0.68</v>
      </c>
      <c r="K179" s="1">
        <v>0.04</v>
      </c>
      <c r="L179" s="1">
        <v>1.8</v>
      </c>
      <c r="M179" s="1">
        <v>13</v>
      </c>
      <c r="N179" s="1">
        <v>7.5</v>
      </c>
      <c r="O179" s="1">
        <v>7.4</v>
      </c>
      <c r="P179" s="1">
        <v>1.8</v>
      </c>
      <c r="Q179" s="1">
        <v>0.8</v>
      </c>
      <c r="R179" s="1">
        <v>10.5</v>
      </c>
      <c r="S179" s="1">
        <v>7.7</v>
      </c>
      <c r="T179" s="1"/>
      <c r="U179" s="1">
        <v>0.2</v>
      </c>
      <c r="V179" s="1">
        <v>0.4</v>
      </c>
      <c r="W179" s="1">
        <v>0.7</v>
      </c>
      <c r="X179" s="1">
        <v>0.10299999999999999</v>
      </c>
      <c r="Y179" s="1"/>
      <c r="Z179" s="1">
        <v>-2.6</v>
      </c>
      <c r="AA179" s="1">
        <v>1.9</v>
      </c>
      <c r="AB179" s="1">
        <v>-0.8</v>
      </c>
      <c r="AC179" s="1">
        <v>0.1</v>
      </c>
      <c r="AD179">
        <f>Advanced_Table[[#This Row],[VORP]]*82/Advanced_Table[[#This Row],[G]]</f>
        <v>0.20500000000000002</v>
      </c>
    </row>
    <row r="180" spans="1:30" x14ac:dyDescent="0.25">
      <c r="A180" s="1">
        <v>137</v>
      </c>
      <c r="B180" s="1" t="s">
        <v>444</v>
      </c>
      <c r="C180" s="1" t="s">
        <v>316</v>
      </c>
      <c r="D180" s="1">
        <v>25</v>
      </c>
      <c r="E180" s="1" t="s">
        <v>317</v>
      </c>
      <c r="F180" s="1">
        <v>51</v>
      </c>
      <c r="G180" s="1">
        <v>1269</v>
      </c>
      <c r="H180" s="1">
        <v>12.1</v>
      </c>
      <c r="I180" s="1">
        <v>0.51</v>
      </c>
      <c r="J180" s="1">
        <v>0.32700000000000001</v>
      </c>
      <c r="K180" s="1">
        <v>0.158</v>
      </c>
      <c r="L180" s="1">
        <v>1.9</v>
      </c>
      <c r="M180" s="1">
        <v>14.9</v>
      </c>
      <c r="N180" s="1">
        <v>8.1</v>
      </c>
      <c r="O180" s="1">
        <v>19.399999999999999</v>
      </c>
      <c r="P180" s="1">
        <v>3.8</v>
      </c>
      <c r="Q180" s="1">
        <v>1.3</v>
      </c>
      <c r="R180" s="1">
        <v>15.7</v>
      </c>
      <c r="S180" s="1">
        <v>14.6</v>
      </c>
      <c r="T180" s="1"/>
      <c r="U180" s="1">
        <v>0.3</v>
      </c>
      <c r="V180" s="1">
        <v>2</v>
      </c>
      <c r="W180" s="1">
        <v>2.2999999999999998</v>
      </c>
      <c r="X180" s="1">
        <v>8.5000000000000006E-2</v>
      </c>
      <c r="Y180" s="1"/>
      <c r="Z180" s="1">
        <v>-3.7</v>
      </c>
      <c r="AA180" s="1">
        <v>3.2</v>
      </c>
      <c r="AB180" s="1">
        <v>-0.6</v>
      </c>
      <c r="AC180" s="1">
        <v>0.4</v>
      </c>
      <c r="AD180">
        <f>Advanced_Table[[#This Row],[VORP]]*82/Advanced_Table[[#This Row],[G]]</f>
        <v>0.64313725490196083</v>
      </c>
    </row>
    <row r="181" spans="1:30" x14ac:dyDescent="0.25">
      <c r="A181" s="1">
        <v>138</v>
      </c>
      <c r="B181" s="1" t="s">
        <v>445</v>
      </c>
      <c r="C181" s="1" t="s">
        <v>294</v>
      </c>
      <c r="D181" s="1">
        <v>21</v>
      </c>
      <c r="E181" s="1" t="s">
        <v>383</v>
      </c>
      <c r="F181" s="1">
        <v>35</v>
      </c>
      <c r="G181" s="1">
        <v>316</v>
      </c>
      <c r="H181" s="1">
        <v>6.5</v>
      </c>
      <c r="I181" s="1">
        <v>0.44600000000000001</v>
      </c>
      <c r="J181" s="1">
        <v>0.60199999999999998</v>
      </c>
      <c r="K181" s="1">
        <v>0.115</v>
      </c>
      <c r="L181" s="1">
        <v>2.1</v>
      </c>
      <c r="M181" s="1">
        <v>12.4</v>
      </c>
      <c r="N181" s="1">
        <v>7.3</v>
      </c>
      <c r="O181" s="1">
        <v>9.5</v>
      </c>
      <c r="P181" s="1">
        <v>1.5</v>
      </c>
      <c r="Q181" s="1">
        <v>0.9</v>
      </c>
      <c r="R181" s="1">
        <v>11.2</v>
      </c>
      <c r="S181" s="1">
        <v>18.100000000000001</v>
      </c>
      <c r="T181" s="1"/>
      <c r="U181" s="1">
        <v>-0.3</v>
      </c>
      <c r="V181" s="1">
        <v>0.4</v>
      </c>
      <c r="W181" s="1">
        <v>0.1</v>
      </c>
      <c r="X181" s="1">
        <v>1.2E-2</v>
      </c>
      <c r="Y181" s="1"/>
      <c r="Z181" s="1">
        <v>-4.5999999999999996</v>
      </c>
      <c r="AA181" s="1">
        <v>-0.4</v>
      </c>
      <c r="AB181" s="1">
        <v>-5</v>
      </c>
      <c r="AC181" s="1">
        <v>-0.2</v>
      </c>
      <c r="AD181">
        <f>Advanced_Table[[#This Row],[VORP]]*82/Advanced_Table[[#This Row],[G]]</f>
        <v>-0.46857142857142864</v>
      </c>
    </row>
    <row r="182" spans="1:30" x14ac:dyDescent="0.25">
      <c r="A182" s="1">
        <v>139</v>
      </c>
      <c r="B182" s="1" t="s">
        <v>771</v>
      </c>
      <c r="C182" s="1" t="s">
        <v>23</v>
      </c>
      <c r="D182" s="1">
        <v>23</v>
      </c>
      <c r="E182" s="1" t="s">
        <v>299</v>
      </c>
      <c r="F182" s="1">
        <v>5</v>
      </c>
      <c r="G182" s="1">
        <v>15</v>
      </c>
      <c r="H182" s="1">
        <v>-1.2</v>
      </c>
      <c r="I182" s="1">
        <v>0.14299999999999999</v>
      </c>
      <c r="J182" s="1">
        <v>0.57099999999999995</v>
      </c>
      <c r="K182" s="1">
        <v>0</v>
      </c>
      <c r="L182" s="1">
        <v>14.1</v>
      </c>
      <c r="M182" s="1">
        <v>26.8</v>
      </c>
      <c r="N182" s="1">
        <v>20.6</v>
      </c>
      <c r="O182" s="1">
        <v>8.8000000000000007</v>
      </c>
      <c r="P182" s="1">
        <v>0</v>
      </c>
      <c r="Q182" s="1">
        <v>0</v>
      </c>
      <c r="R182" s="1">
        <v>0</v>
      </c>
      <c r="S182" s="1">
        <v>19.5</v>
      </c>
      <c r="T182" s="1"/>
      <c r="U182" s="1">
        <v>-0.1</v>
      </c>
      <c r="V182" s="1">
        <v>0</v>
      </c>
      <c r="W182" s="1">
        <v>-0.1</v>
      </c>
      <c r="X182" s="1">
        <v>-0.18</v>
      </c>
      <c r="Y182" s="1"/>
      <c r="Z182" s="1">
        <v>-7.7</v>
      </c>
      <c r="AA182" s="1">
        <v>-3</v>
      </c>
      <c r="AB182" s="1">
        <v>-10.8</v>
      </c>
      <c r="AC182" s="1">
        <v>0</v>
      </c>
      <c r="AD182">
        <f>Advanced_Table[[#This Row],[VORP]]*82/Advanced_Table[[#This Row],[G]]</f>
        <v>0</v>
      </c>
    </row>
    <row r="183" spans="1:30" x14ac:dyDescent="0.25">
      <c r="A183" s="1">
        <v>140</v>
      </c>
      <c r="B183" s="1" t="s">
        <v>446</v>
      </c>
      <c r="C183" s="1" t="s">
        <v>294</v>
      </c>
      <c r="D183" s="1">
        <v>32</v>
      </c>
      <c r="E183" s="1" t="s">
        <v>332</v>
      </c>
      <c r="F183" s="1">
        <v>35</v>
      </c>
      <c r="G183" s="1">
        <v>549</v>
      </c>
      <c r="H183" s="1">
        <v>8.6999999999999993</v>
      </c>
      <c r="I183" s="1">
        <v>0.51800000000000002</v>
      </c>
      <c r="J183" s="1">
        <v>0.81899999999999995</v>
      </c>
      <c r="K183" s="1">
        <v>7.5999999999999998E-2</v>
      </c>
      <c r="L183" s="1">
        <v>0.8</v>
      </c>
      <c r="M183" s="1">
        <v>11.8</v>
      </c>
      <c r="N183" s="1">
        <v>6.1</v>
      </c>
      <c r="O183" s="1">
        <v>10.7</v>
      </c>
      <c r="P183" s="1">
        <v>1.2</v>
      </c>
      <c r="Q183" s="1">
        <v>0.7</v>
      </c>
      <c r="R183" s="1">
        <v>9.1999999999999993</v>
      </c>
      <c r="S183" s="1">
        <v>15</v>
      </c>
      <c r="T183" s="1"/>
      <c r="U183" s="1">
        <v>0.2</v>
      </c>
      <c r="V183" s="1">
        <v>0.2</v>
      </c>
      <c r="W183" s="1">
        <v>0.4</v>
      </c>
      <c r="X183" s="1">
        <v>3.9E-2</v>
      </c>
      <c r="Y183" s="1"/>
      <c r="Z183" s="1">
        <v>-1.8</v>
      </c>
      <c r="AA183" s="1">
        <v>-0.8</v>
      </c>
      <c r="AB183" s="1">
        <v>-2.6</v>
      </c>
      <c r="AC183" s="1">
        <v>-0.1</v>
      </c>
      <c r="AD183">
        <f>Advanced_Table[[#This Row],[VORP]]*82/Advanced_Table[[#This Row],[G]]</f>
        <v>-0.23428571428571432</v>
      </c>
    </row>
    <row r="184" spans="1:30" x14ac:dyDescent="0.25">
      <c r="A184" s="1">
        <v>141</v>
      </c>
      <c r="B184" s="1" t="s">
        <v>447</v>
      </c>
      <c r="C184" s="1" t="s">
        <v>287</v>
      </c>
      <c r="D184" s="1">
        <v>25</v>
      </c>
      <c r="E184" s="1" t="s">
        <v>361</v>
      </c>
      <c r="F184" s="1">
        <v>43</v>
      </c>
      <c r="G184" s="1">
        <v>1302</v>
      </c>
      <c r="H184" s="1">
        <v>25.7</v>
      </c>
      <c r="I184" s="1">
        <v>0.59099999999999997</v>
      </c>
      <c r="J184" s="1">
        <v>0.23100000000000001</v>
      </c>
      <c r="K184" s="1">
        <v>0.54100000000000004</v>
      </c>
      <c r="L184" s="1">
        <v>9.9</v>
      </c>
      <c r="M184" s="1">
        <v>33</v>
      </c>
      <c r="N184" s="1">
        <v>21.4</v>
      </c>
      <c r="O184" s="1">
        <v>17.2</v>
      </c>
      <c r="P184" s="1">
        <v>1.4</v>
      </c>
      <c r="Q184" s="1">
        <v>3.8</v>
      </c>
      <c r="R184" s="1">
        <v>13.4</v>
      </c>
      <c r="S184" s="1">
        <v>32.5</v>
      </c>
      <c r="T184" s="1"/>
      <c r="U184" s="1">
        <v>3</v>
      </c>
      <c r="V184" s="1">
        <v>2.4</v>
      </c>
      <c r="W184" s="1">
        <v>5.4</v>
      </c>
      <c r="X184" s="1">
        <v>0.19900000000000001</v>
      </c>
      <c r="Y184" s="1"/>
      <c r="Z184" s="1">
        <v>3.9</v>
      </c>
      <c r="AA184" s="1">
        <v>1.3</v>
      </c>
      <c r="AB184" s="1">
        <v>5.2</v>
      </c>
      <c r="AC184" s="1">
        <v>2.2999999999999998</v>
      </c>
      <c r="AD184">
        <f>Advanced_Table[[#This Row],[VORP]]*82/Advanced_Table[[#This Row],[G]]</f>
        <v>4.3860465116279066</v>
      </c>
    </row>
    <row r="185" spans="1:30" x14ac:dyDescent="0.25">
      <c r="A185" s="1">
        <v>142</v>
      </c>
      <c r="B185" s="1" t="s">
        <v>448</v>
      </c>
      <c r="C185" s="1" t="s">
        <v>303</v>
      </c>
      <c r="D185" s="1">
        <v>29</v>
      </c>
      <c r="E185" s="1" t="s">
        <v>957</v>
      </c>
      <c r="F185" s="1">
        <v>61</v>
      </c>
      <c r="G185" s="1">
        <v>1053</v>
      </c>
      <c r="H185" s="1">
        <v>11.5</v>
      </c>
      <c r="I185" s="1">
        <v>0.55700000000000005</v>
      </c>
      <c r="J185" s="1">
        <v>0.47299999999999998</v>
      </c>
      <c r="K185" s="1">
        <v>0.26500000000000001</v>
      </c>
      <c r="L185" s="1">
        <v>6.3</v>
      </c>
      <c r="M185" s="1">
        <v>14.5</v>
      </c>
      <c r="N185" s="1">
        <v>10.4</v>
      </c>
      <c r="O185" s="1">
        <v>7.2</v>
      </c>
      <c r="P185" s="1">
        <v>1.3</v>
      </c>
      <c r="Q185" s="1">
        <v>1.6</v>
      </c>
      <c r="R185" s="1">
        <v>11.6</v>
      </c>
      <c r="S185" s="1">
        <v>15.2</v>
      </c>
      <c r="T185" s="1"/>
      <c r="U185" s="1">
        <v>0.9</v>
      </c>
      <c r="V185" s="1">
        <v>1.2</v>
      </c>
      <c r="W185" s="1">
        <v>2.1</v>
      </c>
      <c r="X185" s="1">
        <v>9.6000000000000002E-2</v>
      </c>
      <c r="Y185" s="1"/>
      <c r="Z185" s="1">
        <v>-2.2000000000000002</v>
      </c>
      <c r="AA185" s="1">
        <v>-0.3</v>
      </c>
      <c r="AB185" s="1">
        <v>-2.5</v>
      </c>
      <c r="AC185" s="1">
        <v>-0.1</v>
      </c>
      <c r="AD185">
        <f>Advanced_Table[[#This Row],[VORP]]*82/Advanced_Table[[#This Row],[G]]</f>
        <v>-0.13442622950819674</v>
      </c>
    </row>
    <row r="186" spans="1:30" x14ac:dyDescent="0.25">
      <c r="A186" s="1">
        <v>142</v>
      </c>
      <c r="B186" s="1" t="s">
        <v>448</v>
      </c>
      <c r="C186" s="1" t="s">
        <v>303</v>
      </c>
      <c r="D186" s="1">
        <v>29</v>
      </c>
      <c r="E186" s="1" t="s">
        <v>361</v>
      </c>
      <c r="F186" s="1">
        <v>49</v>
      </c>
      <c r="G186" s="1">
        <v>776</v>
      </c>
      <c r="H186" s="1">
        <v>12.3</v>
      </c>
      <c r="I186" s="1">
        <v>0.56399999999999995</v>
      </c>
      <c r="J186" s="1">
        <v>0.46899999999999997</v>
      </c>
      <c r="K186" s="1">
        <v>0.27</v>
      </c>
      <c r="L186" s="1">
        <v>6.8</v>
      </c>
      <c r="M186" s="1">
        <v>14.5</v>
      </c>
      <c r="N186" s="1">
        <v>10.7</v>
      </c>
      <c r="O186" s="1">
        <v>7.4</v>
      </c>
      <c r="P186" s="1">
        <v>1.4</v>
      </c>
      <c r="Q186" s="1">
        <v>1.5</v>
      </c>
      <c r="R186" s="1">
        <v>10.9</v>
      </c>
      <c r="S186" s="1">
        <v>15.8</v>
      </c>
      <c r="T186" s="1"/>
      <c r="U186" s="1">
        <v>0.8</v>
      </c>
      <c r="V186" s="1">
        <v>0.9</v>
      </c>
      <c r="W186" s="1">
        <v>1.8</v>
      </c>
      <c r="X186" s="1">
        <v>0.109</v>
      </c>
      <c r="Y186" s="1"/>
      <c r="Z186" s="1">
        <v>-1.6</v>
      </c>
      <c r="AA186" s="1">
        <v>0.1</v>
      </c>
      <c r="AB186" s="1">
        <v>-1.6</v>
      </c>
      <c r="AC186" s="1">
        <v>0.1</v>
      </c>
      <c r="AD186">
        <f>Advanced_Table[[#This Row],[VORP]]*82/Advanced_Table[[#This Row],[G]]</f>
        <v>0.16734693877551021</v>
      </c>
    </row>
    <row r="187" spans="1:30" x14ac:dyDescent="0.25">
      <c r="A187" s="1">
        <v>142</v>
      </c>
      <c r="B187" s="1" t="s">
        <v>448</v>
      </c>
      <c r="C187" s="1" t="s">
        <v>303</v>
      </c>
      <c r="D187" s="1">
        <v>29</v>
      </c>
      <c r="E187" s="1" t="s">
        <v>301</v>
      </c>
      <c r="F187" s="1">
        <v>12</v>
      </c>
      <c r="G187" s="1">
        <v>277</v>
      </c>
      <c r="H187" s="1">
        <v>9.4</v>
      </c>
      <c r="I187" s="1">
        <v>0.53700000000000003</v>
      </c>
      <c r="J187" s="1">
        <v>0.48499999999999999</v>
      </c>
      <c r="K187" s="1">
        <v>0.25</v>
      </c>
      <c r="L187" s="1">
        <v>4.9000000000000004</v>
      </c>
      <c r="M187" s="1">
        <v>14.4</v>
      </c>
      <c r="N187" s="1">
        <v>9.5</v>
      </c>
      <c r="O187" s="1">
        <v>6.6</v>
      </c>
      <c r="P187" s="1">
        <v>1.1000000000000001</v>
      </c>
      <c r="Q187" s="1">
        <v>2</v>
      </c>
      <c r="R187" s="1">
        <v>13.7</v>
      </c>
      <c r="S187" s="1">
        <v>13.7</v>
      </c>
      <c r="T187" s="1"/>
      <c r="U187" s="1">
        <v>0.1</v>
      </c>
      <c r="V187" s="1">
        <v>0.3</v>
      </c>
      <c r="W187" s="1">
        <v>0.3</v>
      </c>
      <c r="X187" s="1">
        <v>0.06</v>
      </c>
      <c r="Y187" s="1"/>
      <c r="Z187" s="1">
        <v>-3.7</v>
      </c>
      <c r="AA187" s="1">
        <v>-1.3</v>
      </c>
      <c r="AB187" s="1">
        <v>-5.0999999999999996</v>
      </c>
      <c r="AC187" s="1">
        <v>-0.2</v>
      </c>
      <c r="AD187">
        <f>Advanced_Table[[#This Row],[VORP]]*82/Advanced_Table[[#This Row],[G]]</f>
        <v>-1.3666666666666669</v>
      </c>
    </row>
    <row r="188" spans="1:30" x14ac:dyDescent="0.25">
      <c r="A188" s="1">
        <v>143</v>
      </c>
      <c r="B188" s="1" t="s">
        <v>449</v>
      </c>
      <c r="C188" s="1" t="s">
        <v>23</v>
      </c>
      <c r="D188" s="1">
        <v>22</v>
      </c>
      <c r="E188" s="1" t="s">
        <v>292</v>
      </c>
      <c r="F188" s="1">
        <v>14</v>
      </c>
      <c r="G188" s="1">
        <v>130</v>
      </c>
      <c r="H188" s="1">
        <v>15.3</v>
      </c>
      <c r="I188" s="1">
        <v>0.77600000000000002</v>
      </c>
      <c r="J188" s="1">
        <v>3.5999999999999997E-2</v>
      </c>
      <c r="K188" s="1">
        <v>0.39300000000000002</v>
      </c>
      <c r="L188" s="1">
        <v>6.6</v>
      </c>
      <c r="M188" s="1">
        <v>22.4</v>
      </c>
      <c r="N188" s="1">
        <v>14.5</v>
      </c>
      <c r="O188" s="1">
        <v>5.5</v>
      </c>
      <c r="P188" s="1">
        <v>0.7</v>
      </c>
      <c r="Q188" s="1">
        <v>4.0999999999999996</v>
      </c>
      <c r="R188" s="1">
        <v>23.3</v>
      </c>
      <c r="S188" s="1">
        <v>14.3</v>
      </c>
      <c r="T188" s="1"/>
      <c r="U188" s="1">
        <v>0.2</v>
      </c>
      <c r="V188" s="1">
        <v>0.1</v>
      </c>
      <c r="W188" s="1">
        <v>0.3</v>
      </c>
      <c r="X188" s="1">
        <v>0.12</v>
      </c>
      <c r="Y188" s="1"/>
      <c r="Z188" s="1">
        <v>-2.6</v>
      </c>
      <c r="AA188" s="1">
        <v>-1.1000000000000001</v>
      </c>
      <c r="AB188" s="1">
        <v>-3.7</v>
      </c>
      <c r="AC188" s="1">
        <v>-0.1</v>
      </c>
      <c r="AD188">
        <f>Advanced_Table[[#This Row],[VORP]]*82/Advanced_Table[[#This Row],[G]]</f>
        <v>-0.58571428571428574</v>
      </c>
    </row>
    <row r="189" spans="1:30" x14ac:dyDescent="0.25">
      <c r="A189" s="1">
        <v>144</v>
      </c>
      <c r="B189" s="1" t="s">
        <v>450</v>
      </c>
      <c r="C189" s="1" t="s">
        <v>294</v>
      </c>
      <c r="D189" s="1">
        <v>22</v>
      </c>
      <c r="E189" s="1" t="s">
        <v>957</v>
      </c>
      <c r="F189" s="1">
        <v>29</v>
      </c>
      <c r="G189" s="1">
        <v>418</v>
      </c>
      <c r="H189" s="1">
        <v>5.5</v>
      </c>
      <c r="I189" s="1">
        <v>0.436</v>
      </c>
      <c r="J189" s="1">
        <v>0.29099999999999998</v>
      </c>
      <c r="K189" s="1">
        <v>0.216</v>
      </c>
      <c r="L189" s="1">
        <v>2.2999999999999998</v>
      </c>
      <c r="M189" s="1">
        <v>8.6</v>
      </c>
      <c r="N189" s="1">
        <v>5.3</v>
      </c>
      <c r="O189" s="1">
        <v>10.8</v>
      </c>
      <c r="P189" s="1">
        <v>1.3</v>
      </c>
      <c r="Q189" s="1">
        <v>2.6</v>
      </c>
      <c r="R189" s="1">
        <v>14.6</v>
      </c>
      <c r="S189" s="1">
        <v>17.5</v>
      </c>
      <c r="T189" s="1"/>
      <c r="U189" s="1">
        <v>-0.7</v>
      </c>
      <c r="V189" s="1">
        <v>0.2</v>
      </c>
      <c r="W189" s="1">
        <v>-0.5</v>
      </c>
      <c r="X189" s="1">
        <v>-5.6000000000000001E-2</v>
      </c>
      <c r="Y189" s="1"/>
      <c r="Z189" s="1">
        <v>-5.8</v>
      </c>
      <c r="AA189" s="1">
        <v>-1.4</v>
      </c>
      <c r="AB189" s="1">
        <v>-7.2</v>
      </c>
      <c r="AC189" s="1">
        <v>-0.5</v>
      </c>
      <c r="AD189">
        <f>Advanced_Table[[#This Row],[VORP]]*82/Advanced_Table[[#This Row],[G]]</f>
        <v>-1.4137931034482758</v>
      </c>
    </row>
    <row r="190" spans="1:30" x14ac:dyDescent="0.25">
      <c r="A190" s="1">
        <v>144</v>
      </c>
      <c r="B190" s="1" t="s">
        <v>450</v>
      </c>
      <c r="C190" s="1" t="s">
        <v>294</v>
      </c>
      <c r="D190" s="1">
        <v>22</v>
      </c>
      <c r="E190" s="1" t="s">
        <v>369</v>
      </c>
      <c r="F190" s="1">
        <v>27</v>
      </c>
      <c r="G190" s="1">
        <v>414</v>
      </c>
      <c r="H190" s="1">
        <v>5.7</v>
      </c>
      <c r="I190" s="1">
        <v>0.439</v>
      </c>
      <c r="J190" s="1">
        <v>0.28599999999999998</v>
      </c>
      <c r="K190" s="1">
        <v>0.218</v>
      </c>
      <c r="L190" s="1">
        <v>2.2999999999999998</v>
      </c>
      <c r="M190" s="1">
        <v>8.6999999999999993</v>
      </c>
      <c r="N190" s="1">
        <v>5.4</v>
      </c>
      <c r="O190" s="1">
        <v>10.9</v>
      </c>
      <c r="P190" s="1">
        <v>1.3</v>
      </c>
      <c r="Q190" s="1">
        <v>2.6</v>
      </c>
      <c r="R190" s="1">
        <v>14.6</v>
      </c>
      <c r="S190" s="1">
        <v>17.600000000000001</v>
      </c>
      <c r="T190" s="1"/>
      <c r="U190" s="1">
        <v>-0.6</v>
      </c>
      <c r="V190" s="1">
        <v>0.2</v>
      </c>
      <c r="W190" s="1">
        <v>-0.5</v>
      </c>
      <c r="X190" s="1">
        <v>-5.3999999999999999E-2</v>
      </c>
      <c r="Y190" s="1"/>
      <c r="Z190" s="1">
        <v>-5.8</v>
      </c>
      <c r="AA190" s="1">
        <v>-1.4</v>
      </c>
      <c r="AB190" s="1">
        <v>-7.1</v>
      </c>
      <c r="AC190" s="1">
        <v>-0.5</v>
      </c>
      <c r="AD190">
        <f>Advanced_Table[[#This Row],[VORP]]*82/Advanced_Table[[#This Row],[G]]</f>
        <v>-1.5185185185185186</v>
      </c>
    </row>
    <row r="191" spans="1:30" x14ac:dyDescent="0.25">
      <c r="A191" s="1">
        <v>144</v>
      </c>
      <c r="B191" s="1" t="s">
        <v>450</v>
      </c>
      <c r="C191" s="1" t="s">
        <v>294</v>
      </c>
      <c r="D191" s="1">
        <v>22</v>
      </c>
      <c r="E191" s="1" t="s">
        <v>336</v>
      </c>
      <c r="F191" s="1">
        <v>2</v>
      </c>
      <c r="G191" s="1">
        <v>4</v>
      </c>
      <c r="H191" s="1">
        <v>-9.6</v>
      </c>
      <c r="I191" s="1">
        <v>0</v>
      </c>
      <c r="J191" s="1">
        <v>1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10.3</v>
      </c>
      <c r="T191" s="1"/>
      <c r="U191" s="1">
        <v>0</v>
      </c>
      <c r="V191" s="1">
        <v>0</v>
      </c>
      <c r="W191" s="1">
        <v>0</v>
      </c>
      <c r="X191" s="1">
        <v>-0.26500000000000001</v>
      </c>
      <c r="Y191" s="1"/>
      <c r="Z191" s="1">
        <v>-10.6</v>
      </c>
      <c r="AA191" s="1">
        <v>-5.6</v>
      </c>
      <c r="AB191" s="1">
        <v>-16.2</v>
      </c>
      <c r="AC191" s="1">
        <v>0</v>
      </c>
      <c r="AD191">
        <f>Advanced_Table[[#This Row],[VORP]]*82/Advanced_Table[[#This Row],[G]]</f>
        <v>0</v>
      </c>
    </row>
    <row r="192" spans="1:30" x14ac:dyDescent="0.25">
      <c r="A192" s="1">
        <v>145</v>
      </c>
      <c r="B192" s="1" t="s">
        <v>451</v>
      </c>
      <c r="C192" s="1" t="s">
        <v>294</v>
      </c>
      <c r="D192" s="1">
        <v>24</v>
      </c>
      <c r="E192" s="1" t="s">
        <v>957</v>
      </c>
      <c r="F192" s="1">
        <v>35</v>
      </c>
      <c r="G192" s="1">
        <v>485</v>
      </c>
      <c r="H192" s="1">
        <v>10.4</v>
      </c>
      <c r="I192" s="1">
        <v>0.57599999999999996</v>
      </c>
      <c r="J192" s="1">
        <v>0.36099999999999999</v>
      </c>
      <c r="K192" s="1">
        <v>0.36099999999999999</v>
      </c>
      <c r="L192" s="1">
        <v>2.8</v>
      </c>
      <c r="M192" s="1">
        <v>12.6</v>
      </c>
      <c r="N192" s="1">
        <v>7.7</v>
      </c>
      <c r="O192" s="1">
        <v>11.5</v>
      </c>
      <c r="P192" s="1">
        <v>1.3</v>
      </c>
      <c r="Q192" s="1">
        <v>1.4</v>
      </c>
      <c r="R192" s="1">
        <v>18.399999999999999</v>
      </c>
      <c r="S192" s="1">
        <v>15</v>
      </c>
      <c r="T192" s="1"/>
      <c r="U192" s="1">
        <v>0.2</v>
      </c>
      <c r="V192" s="1">
        <v>0.2</v>
      </c>
      <c r="W192" s="1">
        <v>0.4</v>
      </c>
      <c r="X192" s="1">
        <v>4.2999999999999997E-2</v>
      </c>
      <c r="Y192" s="1"/>
      <c r="Z192" s="1">
        <v>-2.5</v>
      </c>
      <c r="AA192" s="1">
        <v>-0.5</v>
      </c>
      <c r="AB192" s="1">
        <v>-3</v>
      </c>
      <c r="AC192" s="1">
        <v>-0.1</v>
      </c>
      <c r="AD192">
        <f>Advanced_Table[[#This Row],[VORP]]*82/Advanced_Table[[#This Row],[G]]</f>
        <v>-0.23428571428571432</v>
      </c>
    </row>
    <row r="193" spans="1:30" x14ac:dyDescent="0.25">
      <c r="A193" s="1">
        <v>145</v>
      </c>
      <c r="B193" s="1" t="s">
        <v>451</v>
      </c>
      <c r="C193" s="1" t="s">
        <v>294</v>
      </c>
      <c r="D193" s="1">
        <v>24</v>
      </c>
      <c r="E193" s="1" t="s">
        <v>359</v>
      </c>
      <c r="F193" s="1">
        <v>11</v>
      </c>
      <c r="G193" s="1">
        <v>83</v>
      </c>
      <c r="H193" s="1">
        <v>4.8</v>
      </c>
      <c r="I193" s="1">
        <v>0.503</v>
      </c>
      <c r="J193" s="1">
        <v>0.26100000000000001</v>
      </c>
      <c r="K193" s="1">
        <v>8.6999999999999994E-2</v>
      </c>
      <c r="L193" s="1">
        <v>4.2</v>
      </c>
      <c r="M193" s="1">
        <v>11.4</v>
      </c>
      <c r="N193" s="1">
        <v>7.9</v>
      </c>
      <c r="O193" s="1">
        <v>11.8</v>
      </c>
      <c r="P193" s="1">
        <v>0.6</v>
      </c>
      <c r="Q193" s="1">
        <v>2</v>
      </c>
      <c r="R193" s="1">
        <v>29.5</v>
      </c>
      <c r="S193" s="1">
        <v>17.899999999999999</v>
      </c>
      <c r="T193" s="1"/>
      <c r="U193" s="1">
        <v>-0.2</v>
      </c>
      <c r="V193" s="1">
        <v>0.1</v>
      </c>
      <c r="W193" s="1">
        <v>-0.1</v>
      </c>
      <c r="X193" s="1">
        <v>-5.3999999999999999E-2</v>
      </c>
      <c r="Y193" s="1"/>
      <c r="Z193" s="1">
        <v>-5.0999999999999996</v>
      </c>
      <c r="AA193" s="1">
        <v>-0.5</v>
      </c>
      <c r="AB193" s="1">
        <v>-5.6</v>
      </c>
      <c r="AC193" s="1">
        <v>-0.1</v>
      </c>
      <c r="AD193">
        <f>Advanced_Table[[#This Row],[VORP]]*82/Advanced_Table[[#This Row],[G]]</f>
        <v>-0.74545454545454559</v>
      </c>
    </row>
    <row r="194" spans="1:30" x14ac:dyDescent="0.25">
      <c r="A194" s="1">
        <v>145</v>
      </c>
      <c r="B194" s="1" t="s">
        <v>451</v>
      </c>
      <c r="C194" s="1" t="s">
        <v>294</v>
      </c>
      <c r="D194" s="1">
        <v>24</v>
      </c>
      <c r="E194" s="1" t="s">
        <v>411</v>
      </c>
      <c r="F194" s="1">
        <v>24</v>
      </c>
      <c r="G194" s="1">
        <v>402</v>
      </c>
      <c r="H194" s="1">
        <v>11.5</v>
      </c>
      <c r="I194" s="1">
        <v>0.59199999999999997</v>
      </c>
      <c r="J194" s="1">
        <v>0.38500000000000001</v>
      </c>
      <c r="K194" s="1">
        <v>0.42699999999999999</v>
      </c>
      <c r="L194" s="1">
        <v>2.5</v>
      </c>
      <c r="M194" s="1">
        <v>12.8</v>
      </c>
      <c r="N194" s="1">
        <v>7.6</v>
      </c>
      <c r="O194" s="1">
        <v>11.4</v>
      </c>
      <c r="P194" s="1">
        <v>1.5</v>
      </c>
      <c r="Q194" s="1">
        <v>1.3</v>
      </c>
      <c r="R194" s="1">
        <v>15.6</v>
      </c>
      <c r="S194" s="1">
        <v>14.4</v>
      </c>
      <c r="T194" s="1"/>
      <c r="U194" s="1">
        <v>0.4</v>
      </c>
      <c r="V194" s="1">
        <v>0.2</v>
      </c>
      <c r="W194" s="1">
        <v>0.5</v>
      </c>
      <c r="X194" s="1">
        <v>6.3E-2</v>
      </c>
      <c r="Y194" s="1"/>
      <c r="Z194" s="1">
        <v>-2</v>
      </c>
      <c r="AA194" s="1">
        <v>-0.5</v>
      </c>
      <c r="AB194" s="1">
        <v>-2.5</v>
      </c>
      <c r="AC194" s="1">
        <v>0</v>
      </c>
      <c r="AD194">
        <f>Advanced_Table[[#This Row],[VORP]]*82/Advanced_Table[[#This Row],[G]]</f>
        <v>0</v>
      </c>
    </row>
    <row r="195" spans="1:30" x14ac:dyDescent="0.25">
      <c r="A195" s="1">
        <v>146</v>
      </c>
      <c r="B195" s="1" t="s">
        <v>452</v>
      </c>
      <c r="C195" s="1" t="s">
        <v>287</v>
      </c>
      <c r="D195" s="1">
        <v>24</v>
      </c>
      <c r="E195" s="1" t="s">
        <v>383</v>
      </c>
      <c r="F195" s="1">
        <v>6</v>
      </c>
      <c r="G195" s="1">
        <v>24</v>
      </c>
      <c r="H195" s="1">
        <v>24</v>
      </c>
      <c r="I195" s="1">
        <v>0.71299999999999997</v>
      </c>
      <c r="J195" s="1">
        <v>0</v>
      </c>
      <c r="K195" s="1">
        <v>0.25</v>
      </c>
      <c r="L195" s="1">
        <v>0</v>
      </c>
      <c r="M195" s="1">
        <v>48.7</v>
      </c>
      <c r="N195" s="1">
        <v>24.6</v>
      </c>
      <c r="O195" s="1">
        <v>0</v>
      </c>
      <c r="P195" s="1">
        <v>0</v>
      </c>
      <c r="Q195" s="1">
        <v>7.7</v>
      </c>
      <c r="R195" s="1">
        <v>18.399999999999999</v>
      </c>
      <c r="S195" s="1">
        <v>29</v>
      </c>
      <c r="T195" s="1"/>
      <c r="U195" s="1">
        <v>0</v>
      </c>
      <c r="V195" s="1">
        <v>0.1</v>
      </c>
      <c r="W195" s="1">
        <v>0.1</v>
      </c>
      <c r="X195" s="1">
        <v>0.10199999999999999</v>
      </c>
      <c r="Y195" s="1"/>
      <c r="Z195" s="1">
        <v>-1.9</v>
      </c>
      <c r="AA195" s="1">
        <v>3</v>
      </c>
      <c r="AB195" s="1">
        <v>1.1000000000000001</v>
      </c>
      <c r="AC195" s="1">
        <v>0</v>
      </c>
      <c r="AD195">
        <f>Advanced_Table[[#This Row],[VORP]]*82/Advanced_Table[[#This Row],[G]]</f>
        <v>0</v>
      </c>
    </row>
    <row r="196" spans="1:30" x14ac:dyDescent="0.25">
      <c r="A196" s="1">
        <v>147</v>
      </c>
      <c r="B196" s="1" t="s">
        <v>453</v>
      </c>
      <c r="C196" s="1" t="s">
        <v>287</v>
      </c>
      <c r="D196" s="1">
        <v>28</v>
      </c>
      <c r="E196" s="1" t="s">
        <v>295</v>
      </c>
      <c r="F196" s="1">
        <v>45</v>
      </c>
      <c r="G196" s="1">
        <v>1089</v>
      </c>
      <c r="H196" s="1">
        <v>19</v>
      </c>
      <c r="I196" s="1">
        <v>0.624</v>
      </c>
      <c r="J196" s="1">
        <v>2.3E-2</v>
      </c>
      <c r="K196" s="1">
        <v>0.20300000000000001</v>
      </c>
      <c r="L196" s="1">
        <v>14.1</v>
      </c>
      <c r="M196" s="1">
        <v>29</v>
      </c>
      <c r="N196" s="1">
        <v>21.5</v>
      </c>
      <c r="O196" s="1">
        <v>9.8000000000000007</v>
      </c>
      <c r="P196" s="1">
        <v>1.1000000000000001</v>
      </c>
      <c r="Q196" s="1">
        <v>3.4</v>
      </c>
      <c r="R196" s="1">
        <v>13.3</v>
      </c>
      <c r="S196" s="1">
        <v>14.4</v>
      </c>
      <c r="T196" s="1"/>
      <c r="U196" s="1">
        <v>2.4</v>
      </c>
      <c r="V196" s="1">
        <v>1.4</v>
      </c>
      <c r="W196" s="1">
        <v>3.8</v>
      </c>
      <c r="X196" s="1">
        <v>0.16800000000000001</v>
      </c>
      <c r="Y196" s="1"/>
      <c r="Z196" s="1">
        <v>0.9</v>
      </c>
      <c r="AA196" s="1">
        <v>0.2</v>
      </c>
      <c r="AB196" s="1">
        <v>1.1000000000000001</v>
      </c>
      <c r="AC196" s="1">
        <v>0.9</v>
      </c>
      <c r="AD196">
        <f>Advanced_Table[[#This Row],[VORP]]*82/Advanced_Table[[#This Row],[G]]</f>
        <v>1.64</v>
      </c>
    </row>
    <row r="197" spans="1:30" x14ac:dyDescent="0.25">
      <c r="A197" s="1">
        <v>148</v>
      </c>
      <c r="B197" s="1" t="s">
        <v>1096</v>
      </c>
      <c r="C197" s="1" t="s">
        <v>23</v>
      </c>
      <c r="D197" s="1">
        <v>27</v>
      </c>
      <c r="E197" s="1" t="s">
        <v>317</v>
      </c>
      <c r="F197" s="1">
        <v>22</v>
      </c>
      <c r="G197" s="1">
        <v>386</v>
      </c>
      <c r="H197" s="1">
        <v>12.8</v>
      </c>
      <c r="I197" s="1">
        <v>0.67100000000000004</v>
      </c>
      <c r="J197" s="1">
        <v>3.6999999999999998E-2</v>
      </c>
      <c r="K197" s="1">
        <v>0.42599999999999999</v>
      </c>
      <c r="L197" s="1">
        <v>15</v>
      </c>
      <c r="M197" s="1">
        <v>14.1</v>
      </c>
      <c r="N197" s="1">
        <v>14.6</v>
      </c>
      <c r="O197" s="1">
        <v>5.7</v>
      </c>
      <c r="P197" s="1">
        <v>1.2</v>
      </c>
      <c r="Q197" s="1">
        <v>0.5</v>
      </c>
      <c r="R197" s="1">
        <v>21.9</v>
      </c>
      <c r="S197" s="1">
        <v>9.1</v>
      </c>
      <c r="T197" s="1"/>
      <c r="U197" s="1">
        <v>0.7</v>
      </c>
      <c r="V197" s="1">
        <v>0.3</v>
      </c>
      <c r="W197" s="1">
        <v>1</v>
      </c>
      <c r="X197" s="1">
        <v>0.126</v>
      </c>
      <c r="Y197" s="1"/>
      <c r="Z197" s="1">
        <v>-1.5</v>
      </c>
      <c r="AA197" s="1">
        <v>-1.6</v>
      </c>
      <c r="AB197" s="1">
        <v>-3.1</v>
      </c>
      <c r="AC197" s="1">
        <v>-0.1</v>
      </c>
      <c r="AD197">
        <f>Advanced_Table[[#This Row],[VORP]]*82/Advanced_Table[[#This Row],[G]]</f>
        <v>-0.3727272727272728</v>
      </c>
    </row>
    <row r="198" spans="1:30" x14ac:dyDescent="0.25">
      <c r="A198" s="1">
        <v>149</v>
      </c>
      <c r="B198" s="1" t="s">
        <v>454</v>
      </c>
      <c r="C198" s="1" t="s">
        <v>303</v>
      </c>
      <c r="D198" s="1">
        <v>21</v>
      </c>
      <c r="E198" s="1" t="s">
        <v>288</v>
      </c>
      <c r="F198" s="1">
        <v>50</v>
      </c>
      <c r="G198" s="1">
        <v>1170</v>
      </c>
      <c r="H198" s="1">
        <v>4.0999999999999996</v>
      </c>
      <c r="I198" s="1">
        <v>0.504</v>
      </c>
      <c r="J198" s="1">
        <v>0.77900000000000003</v>
      </c>
      <c r="K198" s="1">
        <v>9.5000000000000001E-2</v>
      </c>
      <c r="L198" s="1">
        <v>2.2999999999999998</v>
      </c>
      <c r="M198" s="1">
        <v>4.5999999999999996</v>
      </c>
      <c r="N198" s="1">
        <v>3.5</v>
      </c>
      <c r="O198" s="1">
        <v>5</v>
      </c>
      <c r="P198" s="1">
        <v>1.1000000000000001</v>
      </c>
      <c r="Q198" s="1">
        <v>1.2</v>
      </c>
      <c r="R198" s="1">
        <v>12.6</v>
      </c>
      <c r="S198" s="1">
        <v>9</v>
      </c>
      <c r="T198" s="1"/>
      <c r="U198" s="1">
        <v>-0.1</v>
      </c>
      <c r="V198" s="1">
        <v>0.8</v>
      </c>
      <c r="W198" s="1">
        <v>0.7</v>
      </c>
      <c r="X198" s="1">
        <v>2.7E-2</v>
      </c>
      <c r="Y198" s="1"/>
      <c r="Z198" s="1">
        <v>-4.4000000000000004</v>
      </c>
      <c r="AA198" s="1">
        <v>0.3</v>
      </c>
      <c r="AB198" s="1">
        <v>-4.2</v>
      </c>
      <c r="AC198" s="1">
        <v>-0.7</v>
      </c>
      <c r="AD198">
        <f>Advanced_Table[[#This Row],[VORP]]*82/Advanced_Table[[#This Row],[G]]</f>
        <v>-1.1479999999999999</v>
      </c>
    </row>
    <row r="199" spans="1:30" x14ac:dyDescent="0.25">
      <c r="A199" s="1">
        <v>150</v>
      </c>
      <c r="B199" s="1" t="s">
        <v>455</v>
      </c>
      <c r="C199" s="1" t="s">
        <v>287</v>
      </c>
      <c r="D199" s="1">
        <v>21</v>
      </c>
      <c r="E199" s="1" t="s">
        <v>347</v>
      </c>
      <c r="F199" s="1">
        <v>55</v>
      </c>
      <c r="G199" s="1">
        <v>697</v>
      </c>
      <c r="H199" s="1">
        <v>12.1</v>
      </c>
      <c r="I199" s="1">
        <v>0.54600000000000004</v>
      </c>
      <c r="J199" s="1">
        <v>0.189</v>
      </c>
      <c r="K199" s="1">
        <v>0.255</v>
      </c>
      <c r="L199" s="1">
        <v>10.1</v>
      </c>
      <c r="M199" s="1">
        <v>20.3</v>
      </c>
      <c r="N199" s="1">
        <v>15.1</v>
      </c>
      <c r="O199" s="1">
        <v>10</v>
      </c>
      <c r="P199" s="1">
        <v>1.2</v>
      </c>
      <c r="Q199" s="1">
        <v>2</v>
      </c>
      <c r="R199" s="1">
        <v>16.2</v>
      </c>
      <c r="S199" s="1">
        <v>15.5</v>
      </c>
      <c r="T199" s="1"/>
      <c r="U199" s="1">
        <v>0.4</v>
      </c>
      <c r="V199" s="1">
        <v>0.4</v>
      </c>
      <c r="W199" s="1">
        <v>0.8</v>
      </c>
      <c r="X199" s="1">
        <v>5.7000000000000002E-2</v>
      </c>
      <c r="Y199" s="1"/>
      <c r="Z199" s="1">
        <v>-3.1</v>
      </c>
      <c r="AA199" s="1">
        <v>-1</v>
      </c>
      <c r="AB199" s="1">
        <v>-4.0999999999999996</v>
      </c>
      <c r="AC199" s="1">
        <v>-0.4</v>
      </c>
      <c r="AD199">
        <f>Advanced_Table[[#This Row],[VORP]]*82/Advanced_Table[[#This Row],[G]]</f>
        <v>-0.59636363636363643</v>
      </c>
    </row>
    <row r="200" spans="1:30" x14ac:dyDescent="0.25">
      <c r="A200" s="1">
        <v>151</v>
      </c>
      <c r="B200" s="1" t="s">
        <v>456</v>
      </c>
      <c r="C200" s="1" t="s">
        <v>316</v>
      </c>
      <c r="D200" s="1">
        <v>26</v>
      </c>
      <c r="E200" s="1" t="s">
        <v>319</v>
      </c>
      <c r="F200" s="1">
        <v>44</v>
      </c>
      <c r="G200" s="1">
        <v>484</v>
      </c>
      <c r="H200" s="1">
        <v>10.7</v>
      </c>
      <c r="I200" s="1">
        <v>0.499</v>
      </c>
      <c r="J200" s="1">
        <v>0.40799999999999997</v>
      </c>
      <c r="K200" s="1">
        <v>0.219</v>
      </c>
      <c r="L200" s="1">
        <v>1.4</v>
      </c>
      <c r="M200" s="1">
        <v>10</v>
      </c>
      <c r="N200" s="1">
        <v>5.6</v>
      </c>
      <c r="O200" s="1">
        <v>17.600000000000001</v>
      </c>
      <c r="P200" s="1">
        <v>1.4</v>
      </c>
      <c r="Q200" s="1">
        <v>0.8</v>
      </c>
      <c r="R200" s="1">
        <v>11.9</v>
      </c>
      <c r="S200" s="1">
        <v>18.899999999999999</v>
      </c>
      <c r="T200" s="1"/>
      <c r="U200" s="1">
        <v>0.1</v>
      </c>
      <c r="V200" s="1">
        <v>0.3</v>
      </c>
      <c r="W200" s="1">
        <v>0.4</v>
      </c>
      <c r="X200" s="1">
        <v>3.5999999999999997E-2</v>
      </c>
      <c r="Y200" s="1"/>
      <c r="Z200" s="1">
        <v>-2.1</v>
      </c>
      <c r="AA200" s="1">
        <v>-0.4</v>
      </c>
      <c r="AB200" s="1">
        <v>-2.5</v>
      </c>
      <c r="AC200" s="1">
        <v>-0.1</v>
      </c>
      <c r="AD200">
        <f>Advanced_Table[[#This Row],[VORP]]*82/Advanced_Table[[#This Row],[G]]</f>
        <v>-0.1863636363636364</v>
      </c>
    </row>
    <row r="201" spans="1:30" x14ac:dyDescent="0.25">
      <c r="A201" s="1">
        <v>152</v>
      </c>
      <c r="B201" s="1" t="s">
        <v>457</v>
      </c>
      <c r="C201" s="1" t="s">
        <v>23</v>
      </c>
      <c r="D201" s="1">
        <v>26</v>
      </c>
      <c r="E201" s="1" t="s">
        <v>329</v>
      </c>
      <c r="F201" s="1">
        <v>64</v>
      </c>
      <c r="G201" s="1">
        <v>1898</v>
      </c>
      <c r="H201" s="1">
        <v>12.2</v>
      </c>
      <c r="I201" s="1">
        <v>0.59699999999999998</v>
      </c>
      <c r="J201" s="1">
        <v>0.57999999999999996</v>
      </c>
      <c r="K201" s="1">
        <v>0.21199999999999999</v>
      </c>
      <c r="L201" s="1">
        <v>7</v>
      </c>
      <c r="M201" s="1">
        <v>12.3</v>
      </c>
      <c r="N201" s="1">
        <v>9.6999999999999993</v>
      </c>
      <c r="O201" s="1">
        <v>6.8</v>
      </c>
      <c r="P201" s="1">
        <v>1.1000000000000001</v>
      </c>
      <c r="Q201" s="1">
        <v>1.6</v>
      </c>
      <c r="R201" s="1">
        <v>11.2</v>
      </c>
      <c r="S201" s="1">
        <v>12.7</v>
      </c>
      <c r="T201" s="1"/>
      <c r="U201" s="1">
        <v>2.9</v>
      </c>
      <c r="V201" s="1">
        <v>1.6</v>
      </c>
      <c r="W201" s="1">
        <v>4.5</v>
      </c>
      <c r="X201" s="1">
        <v>0.113</v>
      </c>
      <c r="Y201" s="1"/>
      <c r="Z201" s="1">
        <v>0.1</v>
      </c>
      <c r="AA201" s="1">
        <v>-0.2</v>
      </c>
      <c r="AB201" s="1">
        <v>-0.2</v>
      </c>
      <c r="AC201" s="1">
        <v>0.9</v>
      </c>
      <c r="AD201">
        <f>Advanced_Table[[#This Row],[VORP]]*82/Advanced_Table[[#This Row],[G]]</f>
        <v>1.153125</v>
      </c>
    </row>
    <row r="202" spans="1:30" x14ac:dyDescent="0.25">
      <c r="A202" s="1">
        <v>153</v>
      </c>
      <c r="B202" s="1" t="s">
        <v>458</v>
      </c>
      <c r="C202" s="1" t="s">
        <v>294</v>
      </c>
      <c r="D202" s="1">
        <v>26</v>
      </c>
      <c r="E202" s="1" t="s">
        <v>292</v>
      </c>
      <c r="F202" s="1">
        <v>63</v>
      </c>
      <c r="G202" s="1">
        <v>1579</v>
      </c>
      <c r="H202" s="1">
        <v>11.2</v>
      </c>
      <c r="I202" s="1">
        <v>0.56999999999999995</v>
      </c>
      <c r="J202" s="1">
        <v>0.65600000000000003</v>
      </c>
      <c r="K202" s="1">
        <v>0.155</v>
      </c>
      <c r="L202" s="1">
        <v>0.8</v>
      </c>
      <c r="M202" s="1">
        <v>7.8</v>
      </c>
      <c r="N202" s="1">
        <v>4.3</v>
      </c>
      <c r="O202" s="1">
        <v>9.6</v>
      </c>
      <c r="P202" s="1">
        <v>1</v>
      </c>
      <c r="Q202" s="1">
        <v>0</v>
      </c>
      <c r="R202" s="1">
        <v>8.4</v>
      </c>
      <c r="S202" s="1">
        <v>18.600000000000001</v>
      </c>
      <c r="T202" s="1"/>
      <c r="U202" s="1">
        <v>1.3</v>
      </c>
      <c r="V202" s="1">
        <v>0.2</v>
      </c>
      <c r="W202" s="1">
        <v>1.5</v>
      </c>
      <c r="X202" s="1">
        <v>4.4999999999999998E-2</v>
      </c>
      <c r="Y202" s="1"/>
      <c r="Z202" s="1">
        <v>-0.6</v>
      </c>
      <c r="AA202" s="1">
        <v>-2.1</v>
      </c>
      <c r="AB202" s="1">
        <v>-2.7</v>
      </c>
      <c r="AC202" s="1">
        <v>-0.3</v>
      </c>
      <c r="AD202">
        <f>Advanced_Table[[#This Row],[VORP]]*82/Advanced_Table[[#This Row],[G]]</f>
        <v>-0.39047619047619042</v>
      </c>
    </row>
    <row r="203" spans="1:30" x14ac:dyDescent="0.25">
      <c r="A203" s="1">
        <v>154</v>
      </c>
      <c r="B203" s="1" t="s">
        <v>459</v>
      </c>
      <c r="C203" s="1" t="s">
        <v>294</v>
      </c>
      <c r="D203" s="1">
        <v>27</v>
      </c>
      <c r="E203" s="1" t="s">
        <v>301</v>
      </c>
      <c r="F203" s="1">
        <v>61</v>
      </c>
      <c r="G203" s="1">
        <v>1931</v>
      </c>
      <c r="H203" s="1">
        <v>16.7</v>
      </c>
      <c r="I203" s="1">
        <v>0.59899999999999998</v>
      </c>
      <c r="J203" s="1">
        <v>0.46700000000000003</v>
      </c>
      <c r="K203" s="1">
        <v>0.23599999999999999</v>
      </c>
      <c r="L203" s="1">
        <v>0.9</v>
      </c>
      <c r="M203" s="1">
        <v>8.1</v>
      </c>
      <c r="N203" s="1">
        <v>4.4000000000000004</v>
      </c>
      <c r="O203" s="1">
        <v>16.5</v>
      </c>
      <c r="P203" s="1">
        <v>1.8</v>
      </c>
      <c r="Q203" s="1">
        <v>0.7</v>
      </c>
      <c r="R203" s="1">
        <v>11.1</v>
      </c>
      <c r="S203" s="1">
        <v>24.2</v>
      </c>
      <c r="T203" s="1"/>
      <c r="U203" s="1">
        <v>2.7</v>
      </c>
      <c r="V203" s="1">
        <v>1.7</v>
      </c>
      <c r="W203" s="1">
        <v>4.4000000000000004</v>
      </c>
      <c r="X203" s="1">
        <v>0.11</v>
      </c>
      <c r="Y203" s="1"/>
      <c r="Z203" s="1">
        <v>1.5</v>
      </c>
      <c r="AA203" s="1">
        <v>-0.3</v>
      </c>
      <c r="AB203" s="1">
        <v>1.2</v>
      </c>
      <c r="AC203" s="1">
        <v>1.6</v>
      </c>
      <c r="AD203">
        <f>Advanced_Table[[#This Row],[VORP]]*82/Advanced_Table[[#This Row],[G]]</f>
        <v>2.1508196721311479</v>
      </c>
    </row>
    <row r="204" spans="1:30" x14ac:dyDescent="0.25">
      <c r="A204" s="1">
        <v>155</v>
      </c>
      <c r="B204" s="1" t="s">
        <v>460</v>
      </c>
      <c r="C204" s="1" t="s">
        <v>316</v>
      </c>
      <c r="D204" s="1">
        <v>22</v>
      </c>
      <c r="E204" s="1" t="s">
        <v>319</v>
      </c>
      <c r="F204" s="1">
        <v>45</v>
      </c>
      <c r="G204" s="1">
        <v>1426</v>
      </c>
      <c r="H204" s="1">
        <v>20.399999999999999</v>
      </c>
      <c r="I204" s="1">
        <v>0.55600000000000005</v>
      </c>
      <c r="J204" s="1">
        <v>0.221</v>
      </c>
      <c r="K204" s="1">
        <v>0.442</v>
      </c>
      <c r="L204" s="1">
        <v>2.2999999999999998</v>
      </c>
      <c r="M204" s="1">
        <v>12.3</v>
      </c>
      <c r="N204" s="1">
        <v>7.2</v>
      </c>
      <c r="O204" s="1">
        <v>35.4</v>
      </c>
      <c r="P204" s="1">
        <v>2.2000000000000002</v>
      </c>
      <c r="Q204" s="1">
        <v>1.5</v>
      </c>
      <c r="R204" s="1">
        <v>14.6</v>
      </c>
      <c r="S204" s="1">
        <v>29.6</v>
      </c>
      <c r="T204" s="1"/>
      <c r="U204" s="1">
        <v>2.1</v>
      </c>
      <c r="V204" s="1">
        <v>1.3</v>
      </c>
      <c r="W204" s="1">
        <v>3.5</v>
      </c>
      <c r="X204" s="1">
        <v>0.11700000000000001</v>
      </c>
      <c r="Y204" s="1"/>
      <c r="Z204" s="1">
        <v>2</v>
      </c>
      <c r="AA204" s="1">
        <v>-0.4</v>
      </c>
      <c r="AB204" s="1">
        <v>1.7</v>
      </c>
      <c r="AC204" s="1">
        <v>1.3</v>
      </c>
      <c r="AD204">
        <f>Advanced_Table[[#This Row],[VORP]]*82/Advanced_Table[[#This Row],[G]]</f>
        <v>2.3688888888888893</v>
      </c>
    </row>
    <row r="205" spans="1:30" x14ac:dyDescent="0.25">
      <c r="A205" s="1">
        <v>156</v>
      </c>
      <c r="B205" s="1" t="s">
        <v>461</v>
      </c>
      <c r="C205" s="1" t="s">
        <v>294</v>
      </c>
      <c r="D205" s="1">
        <v>23</v>
      </c>
      <c r="E205" s="1" t="s">
        <v>301</v>
      </c>
      <c r="F205" s="1">
        <v>15</v>
      </c>
      <c r="G205" s="1">
        <v>51</v>
      </c>
      <c r="H205" s="1">
        <v>7.5</v>
      </c>
      <c r="I205" s="1">
        <v>0.48</v>
      </c>
      <c r="J205" s="1">
        <v>0.41199999999999998</v>
      </c>
      <c r="K205" s="1">
        <v>0.23499999999999999</v>
      </c>
      <c r="L205" s="1">
        <v>2</v>
      </c>
      <c r="M205" s="1">
        <v>6.5</v>
      </c>
      <c r="N205" s="1">
        <v>4.2</v>
      </c>
      <c r="O205" s="1">
        <v>2.8</v>
      </c>
      <c r="P205" s="1">
        <v>3.8</v>
      </c>
      <c r="Q205" s="1">
        <v>3.5</v>
      </c>
      <c r="R205" s="1">
        <v>13.8</v>
      </c>
      <c r="S205" s="1">
        <v>18.5</v>
      </c>
      <c r="T205" s="1"/>
      <c r="U205" s="1">
        <v>-0.1</v>
      </c>
      <c r="V205" s="1">
        <v>0.1</v>
      </c>
      <c r="W205" s="1">
        <v>0</v>
      </c>
      <c r="X205" s="1">
        <v>3.0000000000000001E-3</v>
      </c>
      <c r="Y205" s="1"/>
      <c r="Z205" s="1">
        <v>-6.1</v>
      </c>
      <c r="AA205" s="1">
        <v>1.6</v>
      </c>
      <c r="AB205" s="1">
        <v>-4.5</v>
      </c>
      <c r="AC205" s="1">
        <v>0</v>
      </c>
      <c r="AD205">
        <f>Advanced_Table[[#This Row],[VORP]]*82/Advanced_Table[[#This Row],[G]]</f>
        <v>0</v>
      </c>
    </row>
    <row r="206" spans="1:30" x14ac:dyDescent="0.25">
      <c r="A206" s="1">
        <v>157</v>
      </c>
      <c r="B206" s="1" t="s">
        <v>1054</v>
      </c>
      <c r="C206" s="1" t="s">
        <v>294</v>
      </c>
      <c r="D206" s="1">
        <v>25</v>
      </c>
      <c r="E206" s="1" t="s">
        <v>305</v>
      </c>
      <c r="F206" s="1">
        <v>8</v>
      </c>
      <c r="G206" s="1">
        <v>66</v>
      </c>
      <c r="H206" s="1">
        <v>2.4</v>
      </c>
      <c r="I206" s="1">
        <v>0.51300000000000001</v>
      </c>
      <c r="J206" s="1">
        <v>0.72699999999999998</v>
      </c>
      <c r="K206" s="1">
        <v>0.54500000000000004</v>
      </c>
      <c r="L206" s="1">
        <v>1.6</v>
      </c>
      <c r="M206" s="1">
        <v>3.2</v>
      </c>
      <c r="N206" s="1">
        <v>2.4</v>
      </c>
      <c r="O206" s="1">
        <v>1.9</v>
      </c>
      <c r="P206" s="1">
        <v>1.4</v>
      </c>
      <c r="Q206" s="1">
        <v>0</v>
      </c>
      <c r="R206" s="1">
        <v>12.8</v>
      </c>
      <c r="S206" s="1">
        <v>9.8000000000000007</v>
      </c>
      <c r="T206" s="1"/>
      <c r="U206" s="1">
        <v>0</v>
      </c>
      <c r="V206" s="1">
        <v>0</v>
      </c>
      <c r="W206" s="1">
        <v>0</v>
      </c>
      <c r="X206" s="1">
        <v>1.6E-2</v>
      </c>
      <c r="Y206" s="1"/>
      <c r="Z206" s="1">
        <v>-7.8</v>
      </c>
      <c r="AA206" s="1">
        <v>-0.9</v>
      </c>
      <c r="AB206" s="1">
        <v>-8.6999999999999993</v>
      </c>
      <c r="AC206" s="1">
        <v>-0.1</v>
      </c>
      <c r="AD206">
        <f>Advanced_Table[[#This Row],[VORP]]*82/Advanced_Table[[#This Row],[G]]</f>
        <v>-1.0250000000000001</v>
      </c>
    </row>
    <row r="207" spans="1:30" x14ac:dyDescent="0.25">
      <c r="A207" s="1">
        <v>158</v>
      </c>
      <c r="B207" s="1" t="s">
        <v>462</v>
      </c>
      <c r="C207" s="1" t="s">
        <v>316</v>
      </c>
      <c r="D207" s="1">
        <v>29</v>
      </c>
      <c r="E207" s="1" t="s">
        <v>363</v>
      </c>
      <c r="F207" s="1">
        <v>27</v>
      </c>
      <c r="G207" s="1">
        <v>355</v>
      </c>
      <c r="H207" s="1">
        <v>9.8000000000000007</v>
      </c>
      <c r="I207" s="1">
        <v>0.46400000000000002</v>
      </c>
      <c r="J207" s="1">
        <v>0.31900000000000001</v>
      </c>
      <c r="K207" s="1">
        <v>0.255</v>
      </c>
      <c r="L207" s="1">
        <v>2.8</v>
      </c>
      <c r="M207" s="1">
        <v>7.8</v>
      </c>
      <c r="N207" s="1">
        <v>5.3</v>
      </c>
      <c r="O207" s="1">
        <v>36.5</v>
      </c>
      <c r="P207" s="1">
        <v>1.9</v>
      </c>
      <c r="Q207" s="1">
        <v>0.9</v>
      </c>
      <c r="R207" s="1">
        <v>25.6</v>
      </c>
      <c r="S207" s="1">
        <v>17.3</v>
      </c>
      <c r="T207" s="1"/>
      <c r="U207" s="1">
        <v>-0.1</v>
      </c>
      <c r="V207" s="1">
        <v>0.2</v>
      </c>
      <c r="W207" s="1">
        <v>0.1</v>
      </c>
      <c r="X207" s="1">
        <v>1.7000000000000001E-2</v>
      </c>
      <c r="Y207" s="1"/>
      <c r="Z207" s="1">
        <v>-2.9</v>
      </c>
      <c r="AA207" s="1">
        <v>-1.6</v>
      </c>
      <c r="AB207" s="1">
        <v>-4.5999999999999996</v>
      </c>
      <c r="AC207" s="1">
        <v>-0.2</v>
      </c>
      <c r="AD207">
        <f>Advanced_Table[[#This Row],[VORP]]*82/Advanced_Table[[#This Row],[G]]</f>
        <v>-0.60740740740740751</v>
      </c>
    </row>
    <row r="208" spans="1:30" x14ac:dyDescent="0.25">
      <c r="A208" s="1">
        <v>159</v>
      </c>
      <c r="B208" s="1" t="s">
        <v>463</v>
      </c>
      <c r="C208" s="1" t="s">
        <v>316</v>
      </c>
      <c r="D208" s="1">
        <v>21</v>
      </c>
      <c r="E208" s="1" t="s">
        <v>301</v>
      </c>
      <c r="F208" s="1">
        <v>64</v>
      </c>
      <c r="G208" s="1">
        <v>1813</v>
      </c>
      <c r="H208" s="1">
        <v>14.4</v>
      </c>
      <c r="I208" s="1">
        <v>0.52300000000000002</v>
      </c>
      <c r="J208" s="1">
        <v>0.17499999999999999</v>
      </c>
      <c r="K208" s="1">
        <v>0.20899999999999999</v>
      </c>
      <c r="L208" s="1">
        <v>2</v>
      </c>
      <c r="M208" s="1">
        <v>10.9</v>
      </c>
      <c r="N208" s="1">
        <v>6.3</v>
      </c>
      <c r="O208" s="1">
        <v>28.8</v>
      </c>
      <c r="P208" s="1">
        <v>2.2000000000000002</v>
      </c>
      <c r="Q208" s="1">
        <v>0.5</v>
      </c>
      <c r="R208" s="1">
        <v>15.1</v>
      </c>
      <c r="S208" s="1">
        <v>20.7</v>
      </c>
      <c r="T208" s="1"/>
      <c r="U208" s="1">
        <v>0.8</v>
      </c>
      <c r="V208" s="1">
        <v>1.9</v>
      </c>
      <c r="W208" s="1">
        <v>2.7</v>
      </c>
      <c r="X208" s="1">
        <v>7.0999999999999994E-2</v>
      </c>
      <c r="Y208" s="1"/>
      <c r="Z208" s="1">
        <v>-1.9</v>
      </c>
      <c r="AA208" s="1">
        <v>0.2</v>
      </c>
      <c r="AB208" s="1">
        <v>-1.7</v>
      </c>
      <c r="AC208" s="1">
        <v>0.1</v>
      </c>
      <c r="AD208">
        <f>Advanced_Table[[#This Row],[VORP]]*82/Advanced_Table[[#This Row],[G]]</f>
        <v>0.12812500000000002</v>
      </c>
    </row>
    <row r="209" spans="1:30" x14ac:dyDescent="0.25">
      <c r="A209" s="1">
        <v>160</v>
      </c>
      <c r="B209" s="1" t="s">
        <v>464</v>
      </c>
      <c r="C209" s="1" t="s">
        <v>23</v>
      </c>
      <c r="D209" s="1">
        <v>22</v>
      </c>
      <c r="E209" s="1" t="s">
        <v>957</v>
      </c>
      <c r="F209" s="1">
        <v>28</v>
      </c>
      <c r="G209" s="1">
        <v>210</v>
      </c>
      <c r="H209" s="1">
        <v>9.6</v>
      </c>
      <c r="I209" s="1">
        <v>0.54700000000000004</v>
      </c>
      <c r="J209" s="1">
        <v>0.435</v>
      </c>
      <c r="K209" s="1">
        <v>0.435</v>
      </c>
      <c r="L209" s="1">
        <v>9.1</v>
      </c>
      <c r="M209" s="1">
        <v>14</v>
      </c>
      <c r="N209" s="1">
        <v>11.6</v>
      </c>
      <c r="O209" s="1">
        <v>5</v>
      </c>
      <c r="P209" s="1">
        <v>2.2999999999999998</v>
      </c>
      <c r="Q209" s="1">
        <v>2.5</v>
      </c>
      <c r="R209" s="1">
        <v>22.6</v>
      </c>
      <c r="S209" s="1">
        <v>14.5</v>
      </c>
      <c r="T209" s="1"/>
      <c r="U209" s="1">
        <v>0</v>
      </c>
      <c r="V209" s="1">
        <v>0.2</v>
      </c>
      <c r="W209" s="1">
        <v>0.2</v>
      </c>
      <c r="X209" s="1">
        <v>4.2999999999999997E-2</v>
      </c>
      <c r="Y209" s="1"/>
      <c r="Z209" s="1">
        <v>-3.9</v>
      </c>
      <c r="AA209" s="1">
        <v>0.1</v>
      </c>
      <c r="AB209" s="1">
        <v>-3.8</v>
      </c>
      <c r="AC209" s="1">
        <v>-0.1</v>
      </c>
      <c r="AD209">
        <f>Advanced_Table[[#This Row],[VORP]]*82/Advanced_Table[[#This Row],[G]]</f>
        <v>-0.29285714285714287</v>
      </c>
    </row>
    <row r="210" spans="1:30" x14ac:dyDescent="0.25">
      <c r="A210" s="1">
        <v>160</v>
      </c>
      <c r="B210" s="1" t="s">
        <v>464</v>
      </c>
      <c r="C210" s="1" t="s">
        <v>23</v>
      </c>
      <c r="D210" s="1">
        <v>22</v>
      </c>
      <c r="E210" s="1" t="s">
        <v>319</v>
      </c>
      <c r="F210" s="1">
        <v>11</v>
      </c>
      <c r="G210" s="1">
        <v>61</v>
      </c>
      <c r="H210" s="1">
        <v>7.5</v>
      </c>
      <c r="I210" s="1">
        <v>0.44400000000000001</v>
      </c>
      <c r="J210" s="1">
        <v>0.47099999999999997</v>
      </c>
      <c r="K210" s="1">
        <v>0.58799999999999997</v>
      </c>
      <c r="L210" s="1">
        <v>7.2</v>
      </c>
      <c r="M210" s="1">
        <v>11.4</v>
      </c>
      <c r="N210" s="1">
        <v>9.1999999999999993</v>
      </c>
      <c r="O210" s="1">
        <v>6.7</v>
      </c>
      <c r="P210" s="1">
        <v>2.4</v>
      </c>
      <c r="Q210" s="1">
        <v>3.1</v>
      </c>
      <c r="R210" s="1">
        <v>18.899999999999999</v>
      </c>
      <c r="S210" s="1">
        <v>18.899999999999999</v>
      </c>
      <c r="T210" s="1"/>
      <c r="U210" s="1">
        <v>-0.1</v>
      </c>
      <c r="V210" s="1">
        <v>0.1</v>
      </c>
      <c r="W210" s="1">
        <v>0</v>
      </c>
      <c r="X210" s="1">
        <v>-2.7E-2</v>
      </c>
      <c r="Y210" s="1"/>
      <c r="Z210" s="1">
        <v>-4.4000000000000004</v>
      </c>
      <c r="AA210" s="1">
        <v>0.4</v>
      </c>
      <c r="AB210" s="1">
        <v>-3.9</v>
      </c>
      <c r="AC210" s="1">
        <v>0</v>
      </c>
      <c r="AD210">
        <f>Advanced_Table[[#This Row],[VORP]]*82/Advanced_Table[[#This Row],[G]]</f>
        <v>0</v>
      </c>
    </row>
    <row r="211" spans="1:30" x14ac:dyDescent="0.25">
      <c r="A211" s="1">
        <v>160</v>
      </c>
      <c r="B211" s="1" t="s">
        <v>464</v>
      </c>
      <c r="C211" s="1" t="s">
        <v>23</v>
      </c>
      <c r="D211" s="1">
        <v>22</v>
      </c>
      <c r="E211" s="1" t="s">
        <v>312</v>
      </c>
      <c r="F211" s="1">
        <v>17</v>
      </c>
      <c r="G211" s="1">
        <v>149</v>
      </c>
      <c r="H211" s="1">
        <v>10.5</v>
      </c>
      <c r="I211" s="1">
        <v>0.61399999999999999</v>
      </c>
      <c r="J211" s="1">
        <v>0.41399999999999998</v>
      </c>
      <c r="K211" s="1">
        <v>0.34499999999999997</v>
      </c>
      <c r="L211" s="1">
        <v>9.9</v>
      </c>
      <c r="M211" s="1">
        <v>15.1</v>
      </c>
      <c r="N211" s="1">
        <v>12.5</v>
      </c>
      <c r="O211" s="1">
        <v>4.3</v>
      </c>
      <c r="P211" s="1">
        <v>2.2000000000000002</v>
      </c>
      <c r="Q211" s="1">
        <v>2.2999999999999998</v>
      </c>
      <c r="R211" s="1">
        <v>24.8</v>
      </c>
      <c r="S211" s="1">
        <v>12.6</v>
      </c>
      <c r="T211" s="1"/>
      <c r="U211" s="1">
        <v>0.1</v>
      </c>
      <c r="V211" s="1">
        <v>0.1</v>
      </c>
      <c r="W211" s="1">
        <v>0.2</v>
      </c>
      <c r="X211" s="1">
        <v>7.1999999999999995E-2</v>
      </c>
      <c r="Y211" s="1"/>
      <c r="Z211" s="1">
        <v>-3.7</v>
      </c>
      <c r="AA211" s="1">
        <v>0</v>
      </c>
      <c r="AB211" s="1">
        <v>-3.7</v>
      </c>
      <c r="AC211" s="1">
        <v>-0.1</v>
      </c>
      <c r="AD211">
        <f>Advanced_Table[[#This Row],[VORP]]*82/Advanced_Table[[#This Row],[G]]</f>
        <v>-0.48235294117647065</v>
      </c>
    </row>
    <row r="212" spans="1:30" x14ac:dyDescent="0.25">
      <c r="A212" s="1">
        <v>161</v>
      </c>
      <c r="B212" s="1" t="s">
        <v>465</v>
      </c>
      <c r="C212" s="1" t="s">
        <v>287</v>
      </c>
      <c r="D212" s="1">
        <v>21</v>
      </c>
      <c r="E212" s="1" t="s">
        <v>317</v>
      </c>
      <c r="F212" s="1">
        <v>43</v>
      </c>
      <c r="G212" s="1">
        <v>609</v>
      </c>
      <c r="H212" s="1">
        <v>16.2</v>
      </c>
      <c r="I212" s="1">
        <v>0.68600000000000005</v>
      </c>
      <c r="J212" s="1">
        <v>0</v>
      </c>
      <c r="K212" s="1">
        <v>0.44800000000000001</v>
      </c>
      <c r="L212" s="1">
        <v>9</v>
      </c>
      <c r="M212" s="1">
        <v>10.3</v>
      </c>
      <c r="N212" s="1">
        <v>9.6</v>
      </c>
      <c r="O212" s="1">
        <v>5.2</v>
      </c>
      <c r="P212" s="1">
        <v>1</v>
      </c>
      <c r="Q212" s="1">
        <v>8.6999999999999993</v>
      </c>
      <c r="R212" s="1">
        <v>15.3</v>
      </c>
      <c r="S212" s="1">
        <v>13.3</v>
      </c>
      <c r="T212" s="1"/>
      <c r="U212" s="1">
        <v>1.1000000000000001</v>
      </c>
      <c r="V212" s="1">
        <v>0.8</v>
      </c>
      <c r="W212" s="1">
        <v>1.8</v>
      </c>
      <c r="X212" s="1">
        <v>0.14599999999999999</v>
      </c>
      <c r="Y212" s="1"/>
      <c r="Z212" s="1">
        <v>-2.8</v>
      </c>
      <c r="AA212" s="1">
        <v>1.6</v>
      </c>
      <c r="AB212" s="1">
        <v>-1.3</v>
      </c>
      <c r="AC212" s="1">
        <v>0.1</v>
      </c>
      <c r="AD212">
        <f>Advanced_Table[[#This Row],[VORP]]*82/Advanced_Table[[#This Row],[G]]</f>
        <v>0.19069767441860466</v>
      </c>
    </row>
    <row r="213" spans="1:30" x14ac:dyDescent="0.25">
      <c r="A213" s="1">
        <v>162</v>
      </c>
      <c r="B213" s="1" t="s">
        <v>466</v>
      </c>
      <c r="C213" s="1" t="s">
        <v>23</v>
      </c>
      <c r="D213" s="1">
        <v>31</v>
      </c>
      <c r="E213" s="1" t="s">
        <v>288</v>
      </c>
      <c r="F213" s="1">
        <v>55</v>
      </c>
      <c r="G213" s="1">
        <v>1690</v>
      </c>
      <c r="H213" s="1">
        <v>19.399999999999999</v>
      </c>
      <c r="I213" s="1">
        <v>0.61099999999999999</v>
      </c>
      <c r="J213" s="1">
        <v>0.53800000000000003</v>
      </c>
      <c r="K213" s="1">
        <v>0.35199999999999998</v>
      </c>
      <c r="L213" s="1">
        <v>2.2000000000000002</v>
      </c>
      <c r="M213" s="1">
        <v>17.100000000000001</v>
      </c>
      <c r="N213" s="1">
        <v>9.9</v>
      </c>
      <c r="O213" s="1">
        <v>10.5</v>
      </c>
      <c r="P213" s="1">
        <v>1.2</v>
      </c>
      <c r="Q213" s="1">
        <v>0.2</v>
      </c>
      <c r="R213" s="1">
        <v>7.5</v>
      </c>
      <c r="S213" s="1">
        <v>24.4</v>
      </c>
      <c r="T213" s="1"/>
      <c r="U213" s="1">
        <v>4.0999999999999996</v>
      </c>
      <c r="V213" s="1">
        <v>1.6</v>
      </c>
      <c r="W213" s="1">
        <v>5.7</v>
      </c>
      <c r="X213" s="1">
        <v>0.16300000000000001</v>
      </c>
      <c r="Y213" s="1"/>
      <c r="Z213" s="1">
        <v>4.2</v>
      </c>
      <c r="AA213" s="1">
        <v>-1</v>
      </c>
      <c r="AB213" s="1">
        <v>3.2</v>
      </c>
      <c r="AC213" s="1">
        <v>2.2000000000000002</v>
      </c>
      <c r="AD213">
        <f>Advanced_Table[[#This Row],[VORP]]*82/Advanced_Table[[#This Row],[G]]</f>
        <v>3.2800000000000002</v>
      </c>
    </row>
    <row r="214" spans="1:30" x14ac:dyDescent="0.25">
      <c r="A214" s="1">
        <v>163</v>
      </c>
      <c r="B214" s="1" t="s">
        <v>467</v>
      </c>
      <c r="C214" s="1" t="s">
        <v>294</v>
      </c>
      <c r="D214" s="1">
        <v>28</v>
      </c>
      <c r="E214" s="1" t="s">
        <v>363</v>
      </c>
      <c r="F214" s="1">
        <v>65</v>
      </c>
      <c r="G214" s="1">
        <v>1674</v>
      </c>
      <c r="H214" s="1">
        <v>12.2</v>
      </c>
      <c r="I214" s="1">
        <v>0.58499999999999996</v>
      </c>
      <c r="J214" s="1">
        <v>0.61699999999999999</v>
      </c>
      <c r="K214" s="1">
        <v>0.16</v>
      </c>
      <c r="L214" s="1">
        <v>2.1</v>
      </c>
      <c r="M214" s="1">
        <v>7.9</v>
      </c>
      <c r="N214" s="1">
        <v>5</v>
      </c>
      <c r="O214" s="1">
        <v>8.6999999999999993</v>
      </c>
      <c r="P214" s="1">
        <v>1.4</v>
      </c>
      <c r="Q214" s="1">
        <v>0.5</v>
      </c>
      <c r="R214" s="1">
        <v>6.6</v>
      </c>
      <c r="S214" s="1">
        <v>15.8</v>
      </c>
      <c r="T214" s="1"/>
      <c r="U214" s="1">
        <v>2.2999999999999998</v>
      </c>
      <c r="V214" s="1">
        <v>0.7</v>
      </c>
      <c r="W214" s="1">
        <v>3.1</v>
      </c>
      <c r="X214" s="1">
        <v>8.7999999999999995E-2</v>
      </c>
      <c r="Y214" s="1"/>
      <c r="Z214" s="1">
        <v>0</v>
      </c>
      <c r="AA214" s="1">
        <v>-0.8</v>
      </c>
      <c r="AB214" s="1">
        <v>-0.8</v>
      </c>
      <c r="AC214" s="1">
        <v>0.5</v>
      </c>
      <c r="AD214">
        <f>Advanced_Table[[#This Row],[VORP]]*82/Advanced_Table[[#This Row],[G]]</f>
        <v>0.63076923076923075</v>
      </c>
    </row>
    <row r="215" spans="1:30" x14ac:dyDescent="0.25">
      <c r="A215" s="1">
        <v>164</v>
      </c>
      <c r="B215" s="1" t="s">
        <v>468</v>
      </c>
      <c r="C215" s="1" t="s">
        <v>316</v>
      </c>
      <c r="D215" s="1">
        <v>20</v>
      </c>
      <c r="E215" s="1" t="s">
        <v>411</v>
      </c>
      <c r="F215" s="1">
        <v>59</v>
      </c>
      <c r="G215" s="1">
        <v>1824</v>
      </c>
      <c r="H215" s="1">
        <v>8.5</v>
      </c>
      <c r="I215" s="1">
        <v>0.498</v>
      </c>
      <c r="J215" s="1">
        <v>0.42299999999999999</v>
      </c>
      <c r="K215" s="1">
        <v>0.10299999999999999</v>
      </c>
      <c r="L215" s="1">
        <v>1.6</v>
      </c>
      <c r="M215" s="1">
        <v>5.2</v>
      </c>
      <c r="N215" s="1">
        <v>3.4</v>
      </c>
      <c r="O215" s="1">
        <v>18.5</v>
      </c>
      <c r="P215" s="1">
        <v>1.1000000000000001</v>
      </c>
      <c r="Q215" s="1">
        <v>0.2</v>
      </c>
      <c r="R215" s="1">
        <v>17.100000000000001</v>
      </c>
      <c r="S215" s="1">
        <v>20.7</v>
      </c>
      <c r="T215" s="1"/>
      <c r="U215" s="1">
        <v>-1.3</v>
      </c>
      <c r="V215" s="1">
        <v>0</v>
      </c>
      <c r="W215" s="1">
        <v>-1.3</v>
      </c>
      <c r="X215" s="1">
        <v>-3.5000000000000003E-2</v>
      </c>
      <c r="Y215" s="1"/>
      <c r="Z215" s="1">
        <v>-2.7</v>
      </c>
      <c r="AA215" s="1">
        <v>-3</v>
      </c>
      <c r="AB215" s="1">
        <v>-5.7</v>
      </c>
      <c r="AC215" s="1">
        <v>-1.7</v>
      </c>
      <c r="AD215">
        <f>Advanced_Table[[#This Row],[VORP]]*82/Advanced_Table[[#This Row],[G]]</f>
        <v>-2.3627118644067799</v>
      </c>
    </row>
    <row r="216" spans="1:30" x14ac:dyDescent="0.25">
      <c r="A216" s="1">
        <v>165</v>
      </c>
      <c r="B216" s="1" t="s">
        <v>469</v>
      </c>
      <c r="C216" s="1" t="s">
        <v>287</v>
      </c>
      <c r="D216" s="1">
        <v>35</v>
      </c>
      <c r="E216" s="1" t="s">
        <v>314</v>
      </c>
      <c r="F216" s="1">
        <v>36</v>
      </c>
      <c r="G216" s="1">
        <v>990</v>
      </c>
      <c r="H216" s="1">
        <v>11.9</v>
      </c>
      <c r="I216" s="1">
        <v>0.54600000000000004</v>
      </c>
      <c r="J216" s="1">
        <v>0.53800000000000003</v>
      </c>
      <c r="K216" s="1">
        <v>0.153</v>
      </c>
      <c r="L216" s="1">
        <v>3.2</v>
      </c>
      <c r="M216" s="1">
        <v>20.8</v>
      </c>
      <c r="N216" s="1">
        <v>12.2</v>
      </c>
      <c r="O216" s="1">
        <v>16.899999999999999</v>
      </c>
      <c r="P216" s="1">
        <v>1.3</v>
      </c>
      <c r="Q216" s="1">
        <v>3.2</v>
      </c>
      <c r="R216" s="1">
        <v>14.6</v>
      </c>
      <c r="S216" s="1">
        <v>12.7</v>
      </c>
      <c r="T216" s="1"/>
      <c r="U216" s="1">
        <v>0.9</v>
      </c>
      <c r="V216" s="1">
        <v>1.8</v>
      </c>
      <c r="W216" s="1">
        <v>2.6</v>
      </c>
      <c r="X216" s="1">
        <v>0.128</v>
      </c>
      <c r="Y216" s="1"/>
      <c r="Z216" s="1">
        <v>-0.8</v>
      </c>
      <c r="AA216" s="1">
        <v>2.6</v>
      </c>
      <c r="AB216" s="1">
        <v>1.8</v>
      </c>
      <c r="AC216" s="1">
        <v>1</v>
      </c>
      <c r="AD216">
        <f>Advanced_Table[[#This Row],[VORP]]*82/Advanced_Table[[#This Row],[G]]</f>
        <v>2.2777777777777777</v>
      </c>
    </row>
    <row r="217" spans="1:30" x14ac:dyDescent="0.25">
      <c r="A217" s="1">
        <v>166</v>
      </c>
      <c r="B217" s="1" t="s">
        <v>470</v>
      </c>
      <c r="C217" s="1" t="s">
        <v>23</v>
      </c>
      <c r="D217" s="1">
        <v>33</v>
      </c>
      <c r="E217" s="1" t="s">
        <v>292</v>
      </c>
      <c r="F217" s="1">
        <v>60</v>
      </c>
      <c r="G217" s="1">
        <v>1287</v>
      </c>
      <c r="H217" s="1">
        <v>14.5</v>
      </c>
      <c r="I217" s="1">
        <v>0.54500000000000004</v>
      </c>
      <c r="J217" s="1">
        <v>0.36899999999999999</v>
      </c>
      <c r="K217" s="1">
        <v>0.22500000000000001</v>
      </c>
      <c r="L217" s="1">
        <v>4.7</v>
      </c>
      <c r="M217" s="1">
        <v>22.3</v>
      </c>
      <c r="N217" s="1">
        <v>13.5</v>
      </c>
      <c r="O217" s="1">
        <v>11.3</v>
      </c>
      <c r="P217" s="1">
        <v>1</v>
      </c>
      <c r="Q217" s="1">
        <v>1.9</v>
      </c>
      <c r="R217" s="1">
        <v>12.4</v>
      </c>
      <c r="S217" s="1">
        <v>21.3</v>
      </c>
      <c r="T217" s="1"/>
      <c r="U217" s="1">
        <v>0.6</v>
      </c>
      <c r="V217" s="1">
        <v>0.9</v>
      </c>
      <c r="W217" s="1">
        <v>1.5</v>
      </c>
      <c r="X217" s="1">
        <v>5.3999999999999999E-2</v>
      </c>
      <c r="Y217" s="1"/>
      <c r="Z217" s="1">
        <v>-0.4</v>
      </c>
      <c r="AA217" s="1">
        <v>-1.1000000000000001</v>
      </c>
      <c r="AB217" s="1">
        <v>-1.5</v>
      </c>
      <c r="AC217" s="1">
        <v>0.2</v>
      </c>
      <c r="AD217">
        <f>Advanced_Table[[#This Row],[VORP]]*82/Advanced_Table[[#This Row],[G]]</f>
        <v>0.27333333333333337</v>
      </c>
    </row>
    <row r="218" spans="1:30" x14ac:dyDescent="0.25">
      <c r="A218" s="1">
        <v>167</v>
      </c>
      <c r="B218" s="1" t="s">
        <v>471</v>
      </c>
      <c r="C218" s="1" t="s">
        <v>303</v>
      </c>
      <c r="D218" s="1">
        <v>29</v>
      </c>
      <c r="E218" s="1" t="s">
        <v>350</v>
      </c>
      <c r="F218" s="1">
        <v>42</v>
      </c>
      <c r="G218" s="1">
        <v>1222</v>
      </c>
      <c r="H218" s="1">
        <v>20.5</v>
      </c>
      <c r="I218" s="1">
        <v>0.58199999999999996</v>
      </c>
      <c r="J218" s="1">
        <v>0.49399999999999999</v>
      </c>
      <c r="K218" s="1">
        <v>0.27700000000000002</v>
      </c>
      <c r="L218" s="1">
        <v>1.9</v>
      </c>
      <c r="M218" s="1">
        <v>18.100000000000001</v>
      </c>
      <c r="N218" s="1">
        <v>10.199999999999999</v>
      </c>
      <c r="O218" s="1">
        <v>21.2</v>
      </c>
      <c r="P218" s="1">
        <v>2.2000000000000002</v>
      </c>
      <c r="Q218" s="1">
        <v>1.4</v>
      </c>
      <c r="R218" s="1">
        <v>13</v>
      </c>
      <c r="S218" s="1">
        <v>29.6</v>
      </c>
      <c r="T218" s="1"/>
      <c r="U218" s="1">
        <v>1.9</v>
      </c>
      <c r="V218" s="1">
        <v>2</v>
      </c>
      <c r="W218" s="1">
        <v>3.9</v>
      </c>
      <c r="X218" s="1">
        <v>0.153</v>
      </c>
      <c r="Y218" s="1"/>
      <c r="Z218" s="1">
        <v>3.4</v>
      </c>
      <c r="AA218" s="1">
        <v>1</v>
      </c>
      <c r="AB218" s="1">
        <v>4.5</v>
      </c>
      <c r="AC218" s="1">
        <v>2</v>
      </c>
      <c r="AD218">
        <f>Advanced_Table[[#This Row],[VORP]]*82/Advanced_Table[[#This Row],[G]]</f>
        <v>3.9047619047619047</v>
      </c>
    </row>
    <row r="219" spans="1:30" x14ac:dyDescent="0.25">
      <c r="A219" s="1">
        <v>168</v>
      </c>
      <c r="B219" s="1" t="s">
        <v>472</v>
      </c>
      <c r="C219" s="1" t="s">
        <v>287</v>
      </c>
      <c r="D219" s="1">
        <v>34</v>
      </c>
      <c r="E219" s="1" t="s">
        <v>332</v>
      </c>
      <c r="F219" s="1">
        <v>61</v>
      </c>
      <c r="G219" s="1">
        <v>1006</v>
      </c>
      <c r="H219" s="1">
        <v>15.9</v>
      </c>
      <c r="I219" s="1">
        <v>0.60699999999999998</v>
      </c>
      <c r="J219" s="1">
        <v>4.2999999999999997E-2</v>
      </c>
      <c r="K219" s="1">
        <v>0.2</v>
      </c>
      <c r="L219" s="1">
        <v>11.4</v>
      </c>
      <c r="M219" s="1">
        <v>16.8</v>
      </c>
      <c r="N219" s="1">
        <v>14</v>
      </c>
      <c r="O219" s="1">
        <v>7.7</v>
      </c>
      <c r="P219" s="1">
        <v>1.2</v>
      </c>
      <c r="Q219" s="1">
        <v>2.5</v>
      </c>
      <c r="R219" s="1">
        <v>13.4</v>
      </c>
      <c r="S219" s="1">
        <v>14.8</v>
      </c>
      <c r="T219" s="1"/>
      <c r="U219" s="1">
        <v>1.7</v>
      </c>
      <c r="V219" s="1">
        <v>0.7</v>
      </c>
      <c r="W219" s="1">
        <v>2.4</v>
      </c>
      <c r="X219" s="1">
        <v>0.11700000000000001</v>
      </c>
      <c r="Y219" s="1"/>
      <c r="Z219" s="1">
        <v>-0.9</v>
      </c>
      <c r="AA219" s="1">
        <v>-0.4</v>
      </c>
      <c r="AB219" s="1">
        <v>-1.3</v>
      </c>
      <c r="AC219" s="1">
        <v>0.2</v>
      </c>
      <c r="AD219">
        <f>Advanced_Table[[#This Row],[VORP]]*82/Advanced_Table[[#This Row],[G]]</f>
        <v>0.26885245901639349</v>
      </c>
    </row>
    <row r="220" spans="1:30" x14ac:dyDescent="0.25">
      <c r="A220" s="1">
        <v>169</v>
      </c>
      <c r="B220" s="1" t="s">
        <v>473</v>
      </c>
      <c r="C220" s="1" t="s">
        <v>23</v>
      </c>
      <c r="D220" s="1">
        <v>21</v>
      </c>
      <c r="E220" s="1" t="s">
        <v>319</v>
      </c>
      <c r="F220" s="1">
        <v>38</v>
      </c>
      <c r="G220" s="1">
        <v>579</v>
      </c>
      <c r="H220" s="1">
        <v>16.3</v>
      </c>
      <c r="I220" s="1">
        <v>0.58599999999999997</v>
      </c>
      <c r="J220" s="1">
        <v>0</v>
      </c>
      <c r="K220" s="1">
        <v>0.20799999999999999</v>
      </c>
      <c r="L220" s="1">
        <v>6.3</v>
      </c>
      <c r="M220" s="1">
        <v>25.2</v>
      </c>
      <c r="N220" s="1">
        <v>15.5</v>
      </c>
      <c r="O220" s="1">
        <v>13.4</v>
      </c>
      <c r="P220" s="1">
        <v>1.8</v>
      </c>
      <c r="Q220" s="1">
        <v>2.2999999999999998</v>
      </c>
      <c r="R220" s="1">
        <v>13.4</v>
      </c>
      <c r="S220" s="1">
        <v>19.600000000000001</v>
      </c>
      <c r="T220" s="1"/>
      <c r="U220" s="1">
        <v>0.7</v>
      </c>
      <c r="V220" s="1">
        <v>0.7</v>
      </c>
      <c r="W220" s="1">
        <v>1.4</v>
      </c>
      <c r="X220" s="1">
        <v>0.12</v>
      </c>
      <c r="Y220" s="1"/>
      <c r="Z220" s="1">
        <v>-2.2000000000000002</v>
      </c>
      <c r="AA220" s="1">
        <v>1.1000000000000001</v>
      </c>
      <c r="AB220" s="1">
        <v>-1.1000000000000001</v>
      </c>
      <c r="AC220" s="1">
        <v>0.1</v>
      </c>
      <c r="AD220">
        <f>Advanced_Table[[#This Row],[VORP]]*82/Advanced_Table[[#This Row],[G]]</f>
        <v>0.21578947368421056</v>
      </c>
    </row>
    <row r="221" spans="1:30" x14ac:dyDescent="0.25">
      <c r="A221" s="1">
        <v>170</v>
      </c>
      <c r="B221" s="1" t="s">
        <v>474</v>
      </c>
      <c r="C221" s="1" t="s">
        <v>294</v>
      </c>
      <c r="D221" s="1">
        <v>21</v>
      </c>
      <c r="E221" s="1" t="s">
        <v>288</v>
      </c>
      <c r="F221" s="1">
        <v>63</v>
      </c>
      <c r="G221" s="1">
        <v>2214</v>
      </c>
      <c r="H221" s="1">
        <v>17.899999999999999</v>
      </c>
      <c r="I221" s="1">
        <v>0.56599999999999995</v>
      </c>
      <c r="J221" s="1">
        <v>0.23699999999999999</v>
      </c>
      <c r="K221" s="1">
        <v>0.33900000000000002</v>
      </c>
      <c r="L221" s="1">
        <v>2.2999999999999998</v>
      </c>
      <c r="M221" s="1">
        <v>16.399999999999999</v>
      </c>
      <c r="N221" s="1">
        <v>9.6</v>
      </c>
      <c r="O221" s="1">
        <v>14.8</v>
      </c>
      <c r="P221" s="1">
        <v>1.5</v>
      </c>
      <c r="Q221" s="1">
        <v>1.7</v>
      </c>
      <c r="R221" s="1">
        <v>9.8000000000000007</v>
      </c>
      <c r="S221" s="1">
        <v>23.7</v>
      </c>
      <c r="T221" s="1"/>
      <c r="U221" s="1">
        <v>2.9</v>
      </c>
      <c r="V221" s="1">
        <v>2.6</v>
      </c>
      <c r="W221" s="1">
        <v>5.5</v>
      </c>
      <c r="X221" s="1">
        <v>0.12</v>
      </c>
      <c r="Y221" s="1"/>
      <c r="Z221" s="1">
        <v>1.3</v>
      </c>
      <c r="AA221" s="1">
        <v>0.3</v>
      </c>
      <c r="AB221" s="1">
        <v>1.6</v>
      </c>
      <c r="AC221" s="1">
        <v>2</v>
      </c>
      <c r="AD221">
        <f>Advanced_Table[[#This Row],[VORP]]*82/Advanced_Table[[#This Row],[G]]</f>
        <v>2.6031746031746033</v>
      </c>
    </row>
    <row r="222" spans="1:30" x14ac:dyDescent="0.25">
      <c r="A222" s="1">
        <v>171</v>
      </c>
      <c r="B222" s="1" t="s">
        <v>475</v>
      </c>
      <c r="C222" s="1" t="s">
        <v>287</v>
      </c>
      <c r="D222" s="1">
        <v>27</v>
      </c>
      <c r="E222" s="1" t="s">
        <v>359</v>
      </c>
      <c r="F222" s="1">
        <v>62</v>
      </c>
      <c r="G222" s="1">
        <v>2142</v>
      </c>
      <c r="H222" s="1">
        <v>21.7</v>
      </c>
      <c r="I222" s="1">
        <v>0.7</v>
      </c>
      <c r="J222" s="1">
        <v>0</v>
      </c>
      <c r="K222" s="1">
        <v>0.72499999999999998</v>
      </c>
      <c r="L222" s="1">
        <v>11.3</v>
      </c>
      <c r="M222" s="1">
        <v>31.3</v>
      </c>
      <c r="N222" s="1">
        <v>21.8</v>
      </c>
      <c r="O222" s="1">
        <v>6.5</v>
      </c>
      <c r="P222" s="1">
        <v>1.1000000000000001</v>
      </c>
      <c r="Q222" s="1">
        <v>4.8</v>
      </c>
      <c r="R222" s="1">
        <v>15.2</v>
      </c>
      <c r="S222" s="1">
        <v>16.100000000000001</v>
      </c>
      <c r="T222" s="1"/>
      <c r="U222" s="1">
        <v>6</v>
      </c>
      <c r="V222" s="1">
        <v>4</v>
      </c>
      <c r="W222" s="1">
        <v>10</v>
      </c>
      <c r="X222" s="1">
        <v>0.22500000000000001</v>
      </c>
      <c r="Y222" s="1"/>
      <c r="Z222" s="1">
        <v>1.8</v>
      </c>
      <c r="AA222" s="1">
        <v>1.9</v>
      </c>
      <c r="AB222" s="1">
        <v>3.7</v>
      </c>
      <c r="AC222" s="1">
        <v>3.1</v>
      </c>
      <c r="AD222">
        <f>Advanced_Table[[#This Row],[VORP]]*82/Advanced_Table[[#This Row],[G]]</f>
        <v>4.1000000000000005</v>
      </c>
    </row>
    <row r="223" spans="1:30" x14ac:dyDescent="0.25">
      <c r="A223" s="1">
        <v>172</v>
      </c>
      <c r="B223" s="1" t="s">
        <v>801</v>
      </c>
      <c r="C223" s="1" t="s">
        <v>316</v>
      </c>
      <c r="D223" s="1">
        <v>24</v>
      </c>
      <c r="E223" s="1" t="s">
        <v>347</v>
      </c>
      <c r="F223" s="1">
        <v>34</v>
      </c>
      <c r="G223" s="1">
        <v>430</v>
      </c>
      <c r="H223" s="1">
        <v>11.7</v>
      </c>
      <c r="I223" s="1">
        <v>0.50700000000000001</v>
      </c>
      <c r="J223" s="1">
        <v>0.45800000000000002</v>
      </c>
      <c r="K223" s="1">
        <v>0.158</v>
      </c>
      <c r="L223" s="1">
        <v>2.7</v>
      </c>
      <c r="M223" s="1">
        <v>15.4</v>
      </c>
      <c r="N223" s="1">
        <v>9</v>
      </c>
      <c r="O223" s="1">
        <v>18</v>
      </c>
      <c r="P223" s="1">
        <v>1.3</v>
      </c>
      <c r="Q223" s="1">
        <v>0.8</v>
      </c>
      <c r="R223" s="1">
        <v>12.5</v>
      </c>
      <c r="S223" s="1">
        <v>22.4</v>
      </c>
      <c r="T223" s="1"/>
      <c r="U223" s="1">
        <v>-0.1</v>
      </c>
      <c r="V223" s="1">
        <v>0.2</v>
      </c>
      <c r="W223" s="1">
        <v>0.1</v>
      </c>
      <c r="X223" s="1">
        <v>1.2E-2</v>
      </c>
      <c r="Y223" s="1"/>
      <c r="Z223" s="1">
        <v>-1.5</v>
      </c>
      <c r="AA223" s="1">
        <v>-1.3</v>
      </c>
      <c r="AB223" s="1">
        <v>-2.8</v>
      </c>
      <c r="AC223" s="1">
        <v>-0.1</v>
      </c>
      <c r="AD223">
        <f>Advanced_Table[[#This Row],[VORP]]*82/Advanced_Table[[#This Row],[G]]</f>
        <v>-0.24117647058823533</v>
      </c>
    </row>
    <row r="224" spans="1:30" x14ac:dyDescent="0.25">
      <c r="A224" s="1">
        <v>173</v>
      </c>
      <c r="B224" s="1" t="s">
        <v>476</v>
      </c>
      <c r="C224" s="1" t="s">
        <v>23</v>
      </c>
      <c r="D224" s="1">
        <v>24</v>
      </c>
      <c r="E224" s="1" t="s">
        <v>301</v>
      </c>
      <c r="F224" s="1">
        <v>58</v>
      </c>
      <c r="G224" s="1">
        <v>1914</v>
      </c>
      <c r="H224" s="1">
        <v>14.8</v>
      </c>
      <c r="I224" s="1">
        <v>0.51100000000000001</v>
      </c>
      <c r="J224" s="1">
        <v>0.311</v>
      </c>
      <c r="K224" s="1">
        <v>0.28000000000000003</v>
      </c>
      <c r="L224" s="1">
        <v>5.6</v>
      </c>
      <c r="M224" s="1">
        <v>19.600000000000001</v>
      </c>
      <c r="N224" s="1">
        <v>12.4</v>
      </c>
      <c r="O224" s="1">
        <v>17.2</v>
      </c>
      <c r="P224" s="1">
        <v>1.3</v>
      </c>
      <c r="Q224" s="1">
        <v>1.7</v>
      </c>
      <c r="R224" s="1">
        <v>10.3</v>
      </c>
      <c r="S224" s="1">
        <v>20.6</v>
      </c>
      <c r="T224" s="1"/>
      <c r="U224" s="1">
        <v>1.2</v>
      </c>
      <c r="V224" s="1">
        <v>2.2000000000000002</v>
      </c>
      <c r="W224" s="1">
        <v>3.3</v>
      </c>
      <c r="X224" s="1">
        <v>8.4000000000000005E-2</v>
      </c>
      <c r="Y224" s="1"/>
      <c r="Z224" s="1">
        <v>-0.4</v>
      </c>
      <c r="AA224" s="1">
        <v>0.1</v>
      </c>
      <c r="AB224" s="1">
        <v>-0.3</v>
      </c>
      <c r="AC224" s="1">
        <v>0.8</v>
      </c>
      <c r="AD224">
        <f>Advanced_Table[[#This Row],[VORP]]*82/Advanced_Table[[#This Row],[G]]</f>
        <v>1.1310344827586207</v>
      </c>
    </row>
    <row r="225" spans="1:30" x14ac:dyDescent="0.25">
      <c r="A225" s="1">
        <v>174</v>
      </c>
      <c r="B225" s="1" t="s">
        <v>477</v>
      </c>
      <c r="C225" s="1" t="s">
        <v>294</v>
      </c>
      <c r="D225" s="1">
        <v>31</v>
      </c>
      <c r="E225" s="1" t="s">
        <v>305</v>
      </c>
      <c r="F225" s="1">
        <v>34</v>
      </c>
      <c r="G225" s="1">
        <v>972</v>
      </c>
      <c r="H225" s="1">
        <v>10.5</v>
      </c>
      <c r="I225" s="1">
        <v>0.51100000000000001</v>
      </c>
      <c r="J225" s="1">
        <v>0.65800000000000003</v>
      </c>
      <c r="K225" s="1">
        <v>0.23499999999999999</v>
      </c>
      <c r="L225" s="1">
        <v>0.9</v>
      </c>
      <c r="M225" s="1">
        <v>6.2</v>
      </c>
      <c r="N225" s="1">
        <v>3.5</v>
      </c>
      <c r="O225" s="1">
        <v>7.8</v>
      </c>
      <c r="P225" s="1">
        <v>1.1000000000000001</v>
      </c>
      <c r="Q225" s="1">
        <v>1.1000000000000001</v>
      </c>
      <c r="R225" s="1">
        <v>6.9</v>
      </c>
      <c r="S225" s="1">
        <v>22.1</v>
      </c>
      <c r="T225" s="1"/>
      <c r="U225" s="1">
        <v>0.2</v>
      </c>
      <c r="V225" s="1">
        <v>0.5</v>
      </c>
      <c r="W225" s="1">
        <v>0.7</v>
      </c>
      <c r="X225" s="1">
        <v>3.6999999999999998E-2</v>
      </c>
      <c r="Y225" s="1"/>
      <c r="Z225" s="1">
        <v>-1.5</v>
      </c>
      <c r="AA225" s="1">
        <v>-2</v>
      </c>
      <c r="AB225" s="1">
        <v>-3.5</v>
      </c>
      <c r="AC225" s="1">
        <v>-0.4</v>
      </c>
      <c r="AD225">
        <f>Advanced_Table[[#This Row],[VORP]]*82/Advanced_Table[[#This Row],[G]]</f>
        <v>-0.9647058823529413</v>
      </c>
    </row>
    <row r="226" spans="1:30" x14ac:dyDescent="0.25">
      <c r="A226" s="1">
        <v>175</v>
      </c>
      <c r="B226" s="1" t="s">
        <v>478</v>
      </c>
      <c r="C226" s="1" t="s">
        <v>316</v>
      </c>
      <c r="D226" s="1">
        <v>24</v>
      </c>
      <c r="E226" s="1" t="s">
        <v>324</v>
      </c>
      <c r="F226" s="1">
        <v>62</v>
      </c>
      <c r="G226" s="1">
        <v>2174</v>
      </c>
      <c r="H226" s="1">
        <v>15.6</v>
      </c>
      <c r="I226" s="1">
        <v>0.53300000000000003</v>
      </c>
      <c r="J226" s="1">
        <v>0.60799999999999998</v>
      </c>
      <c r="K226" s="1">
        <v>0.247</v>
      </c>
      <c r="L226" s="1">
        <v>2</v>
      </c>
      <c r="M226" s="1">
        <v>8.8000000000000007</v>
      </c>
      <c r="N226" s="1">
        <v>5.3</v>
      </c>
      <c r="O226" s="1">
        <v>35.299999999999997</v>
      </c>
      <c r="P226" s="1">
        <v>1.4</v>
      </c>
      <c r="Q226" s="1">
        <v>0.6</v>
      </c>
      <c r="R226" s="1">
        <v>14.4</v>
      </c>
      <c r="S226" s="1">
        <v>24.7</v>
      </c>
      <c r="T226" s="1"/>
      <c r="U226" s="1">
        <v>2.2999999999999998</v>
      </c>
      <c r="V226" s="1">
        <v>0.9</v>
      </c>
      <c r="W226" s="1">
        <v>3.2</v>
      </c>
      <c r="X226" s="1">
        <v>7.0000000000000007E-2</v>
      </c>
      <c r="Y226" s="1"/>
      <c r="Z226" s="1">
        <v>2.4</v>
      </c>
      <c r="AA226" s="1">
        <v>-2.1</v>
      </c>
      <c r="AB226" s="1">
        <v>0.3</v>
      </c>
      <c r="AC226" s="1">
        <v>1.2</v>
      </c>
      <c r="AD226">
        <f>Advanced_Table[[#This Row],[VORP]]*82/Advanced_Table[[#This Row],[G]]</f>
        <v>1.5870967741935482</v>
      </c>
    </row>
    <row r="227" spans="1:30" x14ac:dyDescent="0.25">
      <c r="A227" s="1">
        <v>176</v>
      </c>
      <c r="B227" s="1" t="s">
        <v>479</v>
      </c>
      <c r="C227" s="1" t="s">
        <v>294</v>
      </c>
      <c r="D227" s="1">
        <v>26</v>
      </c>
      <c r="E227" s="1" t="s">
        <v>957</v>
      </c>
      <c r="F227" s="1">
        <v>54</v>
      </c>
      <c r="G227" s="1">
        <v>917</v>
      </c>
      <c r="H227" s="1">
        <v>6.5</v>
      </c>
      <c r="I227" s="1">
        <v>0.45300000000000001</v>
      </c>
      <c r="J227" s="1">
        <v>0.49199999999999999</v>
      </c>
      <c r="K227" s="1">
        <v>0.23499999999999999</v>
      </c>
      <c r="L227" s="1">
        <v>5.7</v>
      </c>
      <c r="M227" s="1">
        <v>11.6</v>
      </c>
      <c r="N227" s="1">
        <v>8.5</v>
      </c>
      <c r="O227" s="1">
        <v>6.3</v>
      </c>
      <c r="P227" s="1">
        <v>1.2</v>
      </c>
      <c r="Q227" s="1">
        <v>0.5</v>
      </c>
      <c r="R227" s="1">
        <v>9.6</v>
      </c>
      <c r="S227" s="1">
        <v>13.1</v>
      </c>
      <c r="T227" s="1"/>
      <c r="U227" s="1">
        <v>-0.2</v>
      </c>
      <c r="V227" s="1">
        <v>0.4</v>
      </c>
      <c r="W227" s="1">
        <v>0.1</v>
      </c>
      <c r="X227" s="1">
        <v>8.0000000000000002E-3</v>
      </c>
      <c r="Y227" s="1"/>
      <c r="Z227" s="1">
        <v>-4.5</v>
      </c>
      <c r="AA227" s="1">
        <v>-1</v>
      </c>
      <c r="AB227" s="1">
        <v>-5.5</v>
      </c>
      <c r="AC227" s="1">
        <v>-0.8</v>
      </c>
      <c r="AD227">
        <f>Advanced_Table[[#This Row],[VORP]]*82/Advanced_Table[[#This Row],[G]]</f>
        <v>-1.214814814814815</v>
      </c>
    </row>
    <row r="228" spans="1:30" x14ac:dyDescent="0.25">
      <c r="A228" s="1">
        <v>176</v>
      </c>
      <c r="B228" s="1" t="s">
        <v>479</v>
      </c>
      <c r="C228" s="1" t="s">
        <v>294</v>
      </c>
      <c r="D228" s="1">
        <v>26</v>
      </c>
      <c r="E228" s="1" t="s">
        <v>336</v>
      </c>
      <c r="F228" s="1">
        <v>33</v>
      </c>
      <c r="G228" s="1">
        <v>663</v>
      </c>
      <c r="H228" s="1">
        <v>6</v>
      </c>
      <c r="I228" s="1">
        <v>0.44700000000000001</v>
      </c>
      <c r="J228" s="1">
        <v>0.47399999999999998</v>
      </c>
      <c r="K228" s="1">
        <v>0.21099999999999999</v>
      </c>
      <c r="L228" s="1">
        <v>4.5</v>
      </c>
      <c r="M228" s="1">
        <v>11.7</v>
      </c>
      <c r="N228" s="1">
        <v>8</v>
      </c>
      <c r="O228" s="1">
        <v>6.1</v>
      </c>
      <c r="P228" s="1">
        <v>1.2</v>
      </c>
      <c r="Q228" s="1">
        <v>0.3</v>
      </c>
      <c r="R228" s="1">
        <v>9</v>
      </c>
      <c r="S228" s="1">
        <v>13.1</v>
      </c>
      <c r="T228" s="1"/>
      <c r="U228" s="1">
        <v>-0.2</v>
      </c>
      <c r="V228" s="1">
        <v>0.3</v>
      </c>
      <c r="W228" s="1">
        <v>0</v>
      </c>
      <c r="X228" s="1">
        <v>3.0000000000000001E-3</v>
      </c>
      <c r="Y228" s="1"/>
      <c r="Z228" s="1">
        <v>-5</v>
      </c>
      <c r="AA228" s="1">
        <v>-0.8</v>
      </c>
      <c r="AB228" s="1">
        <v>-5.8</v>
      </c>
      <c r="AC228" s="1">
        <v>-0.6</v>
      </c>
      <c r="AD228">
        <f>Advanced_Table[[#This Row],[VORP]]*82/Advanced_Table[[#This Row],[G]]</f>
        <v>-1.4909090909090907</v>
      </c>
    </row>
    <row r="229" spans="1:30" x14ac:dyDescent="0.25">
      <c r="A229" s="1">
        <v>176</v>
      </c>
      <c r="B229" s="1" t="s">
        <v>479</v>
      </c>
      <c r="C229" s="1" t="s">
        <v>294</v>
      </c>
      <c r="D229" s="1">
        <v>26</v>
      </c>
      <c r="E229" s="1" t="s">
        <v>347</v>
      </c>
      <c r="F229" s="1">
        <v>21</v>
      </c>
      <c r="G229" s="1">
        <v>254</v>
      </c>
      <c r="H229" s="1">
        <v>7.9</v>
      </c>
      <c r="I229" s="1">
        <v>0.46899999999999997</v>
      </c>
      <c r="J229" s="1">
        <v>0.54</v>
      </c>
      <c r="K229" s="1">
        <v>0.30199999999999999</v>
      </c>
      <c r="L229" s="1">
        <v>8.8000000000000007</v>
      </c>
      <c r="M229" s="1">
        <v>11.1</v>
      </c>
      <c r="N229" s="1">
        <v>10</v>
      </c>
      <c r="O229" s="1">
        <v>6.9</v>
      </c>
      <c r="P229" s="1">
        <v>1.3</v>
      </c>
      <c r="Q229" s="1">
        <v>1.3</v>
      </c>
      <c r="R229" s="1">
        <v>11.2</v>
      </c>
      <c r="S229" s="1">
        <v>13.1</v>
      </c>
      <c r="T229" s="1"/>
      <c r="U229" s="1">
        <v>0</v>
      </c>
      <c r="V229" s="1">
        <v>0.1</v>
      </c>
      <c r="W229" s="1">
        <v>0.1</v>
      </c>
      <c r="X229" s="1">
        <v>1.9E-2</v>
      </c>
      <c r="Y229" s="1"/>
      <c r="Z229" s="1">
        <v>-3.3</v>
      </c>
      <c r="AA229" s="1">
        <v>-1.5</v>
      </c>
      <c r="AB229" s="1">
        <v>-4.8</v>
      </c>
      <c r="AC229" s="1">
        <v>-0.2</v>
      </c>
      <c r="AD229">
        <f>Advanced_Table[[#This Row],[VORP]]*82/Advanced_Table[[#This Row],[G]]</f>
        <v>-0.78095238095238106</v>
      </c>
    </row>
    <row r="230" spans="1:30" x14ac:dyDescent="0.25">
      <c r="A230" s="1">
        <v>177</v>
      </c>
      <c r="B230" s="1" t="s">
        <v>480</v>
      </c>
      <c r="C230" s="1" t="s">
        <v>23</v>
      </c>
      <c r="D230" s="1">
        <v>25</v>
      </c>
      <c r="E230" s="1" t="s">
        <v>334</v>
      </c>
      <c r="F230" s="1">
        <v>63</v>
      </c>
      <c r="G230" s="1">
        <v>1659</v>
      </c>
      <c r="H230" s="1">
        <v>14.2</v>
      </c>
      <c r="I230" s="1">
        <v>0.58199999999999996</v>
      </c>
      <c r="J230" s="1">
        <v>0.39200000000000002</v>
      </c>
      <c r="K230" s="1">
        <v>0.309</v>
      </c>
      <c r="L230" s="1">
        <v>3.6</v>
      </c>
      <c r="M230" s="1">
        <v>11.6</v>
      </c>
      <c r="N230" s="1">
        <v>7.6</v>
      </c>
      <c r="O230" s="1">
        <v>6.7</v>
      </c>
      <c r="P230" s="1">
        <v>1.3</v>
      </c>
      <c r="Q230" s="1">
        <v>2.9</v>
      </c>
      <c r="R230" s="1">
        <v>8</v>
      </c>
      <c r="S230" s="1">
        <v>17.899999999999999</v>
      </c>
      <c r="T230" s="1"/>
      <c r="U230" s="1">
        <v>2.2999999999999998</v>
      </c>
      <c r="V230" s="1">
        <v>1.7</v>
      </c>
      <c r="W230" s="1">
        <v>4</v>
      </c>
      <c r="X230" s="1">
        <v>0.115</v>
      </c>
      <c r="Y230" s="1"/>
      <c r="Z230" s="1">
        <v>-0.1</v>
      </c>
      <c r="AA230" s="1">
        <v>-0.3</v>
      </c>
      <c r="AB230" s="1">
        <v>-0.4</v>
      </c>
      <c r="AC230" s="1">
        <v>0.7</v>
      </c>
      <c r="AD230">
        <f>Advanced_Table[[#This Row],[VORP]]*82/Advanced_Table[[#This Row],[G]]</f>
        <v>0.91111111111111109</v>
      </c>
    </row>
    <row r="231" spans="1:30" x14ac:dyDescent="0.25">
      <c r="A231" s="1">
        <v>178</v>
      </c>
      <c r="B231" s="1" t="s">
        <v>481</v>
      </c>
      <c r="C231" s="1" t="s">
        <v>316</v>
      </c>
      <c r="D231" s="1">
        <v>26</v>
      </c>
      <c r="E231" s="1" t="s">
        <v>295</v>
      </c>
      <c r="F231" s="1">
        <v>2</v>
      </c>
      <c r="G231" s="1">
        <v>23</v>
      </c>
      <c r="H231" s="1">
        <v>-5</v>
      </c>
      <c r="I231" s="1">
        <v>0.5</v>
      </c>
      <c r="J231" s="1">
        <v>0</v>
      </c>
      <c r="K231" s="1">
        <v>0</v>
      </c>
      <c r="L231" s="1">
        <v>4.5999999999999996</v>
      </c>
      <c r="M231" s="1">
        <v>4.5999999999999996</v>
      </c>
      <c r="N231" s="1">
        <v>4.5999999999999996</v>
      </c>
      <c r="O231" s="1">
        <v>10.4</v>
      </c>
      <c r="P231" s="1">
        <v>0</v>
      </c>
      <c r="Q231" s="1">
        <v>0</v>
      </c>
      <c r="R231" s="1">
        <v>71.400000000000006</v>
      </c>
      <c r="S231" s="1">
        <v>12.4</v>
      </c>
      <c r="T231" s="1"/>
      <c r="U231" s="1">
        <v>-0.1</v>
      </c>
      <c r="V231" s="1">
        <v>0</v>
      </c>
      <c r="W231" s="1">
        <v>-0.1</v>
      </c>
      <c r="X231" s="1">
        <v>-0.224</v>
      </c>
      <c r="Y231" s="1"/>
      <c r="Z231" s="1">
        <v>-11.2</v>
      </c>
      <c r="AA231" s="1">
        <v>-4.8</v>
      </c>
      <c r="AB231" s="1">
        <v>-16</v>
      </c>
      <c r="AC231" s="1">
        <v>-0.1</v>
      </c>
      <c r="AD231">
        <f>Advanced_Table[[#This Row],[VORP]]*82/Advanced_Table[[#This Row],[G]]</f>
        <v>-4.1000000000000005</v>
      </c>
    </row>
    <row r="232" spans="1:30" x14ac:dyDescent="0.25">
      <c r="A232" s="1">
        <v>179</v>
      </c>
      <c r="B232" s="1" t="s">
        <v>482</v>
      </c>
      <c r="C232" s="1" t="s">
        <v>294</v>
      </c>
      <c r="D232" s="1">
        <v>32</v>
      </c>
      <c r="E232" s="1" t="s">
        <v>309</v>
      </c>
      <c r="F232" s="1">
        <v>61</v>
      </c>
      <c r="G232" s="1">
        <v>1529</v>
      </c>
      <c r="H232" s="1">
        <v>11.1</v>
      </c>
      <c r="I232" s="1">
        <v>0.56399999999999995</v>
      </c>
      <c r="J232" s="1">
        <v>0.70399999999999996</v>
      </c>
      <c r="K232" s="1">
        <v>0.104</v>
      </c>
      <c r="L232" s="1">
        <v>3.2</v>
      </c>
      <c r="M232" s="1">
        <v>11.3</v>
      </c>
      <c r="N232" s="1">
        <v>7.3</v>
      </c>
      <c r="O232" s="1">
        <v>7.3</v>
      </c>
      <c r="P232" s="1">
        <v>2.4</v>
      </c>
      <c r="Q232" s="1">
        <v>1.7</v>
      </c>
      <c r="R232" s="1">
        <v>10.8</v>
      </c>
      <c r="S232" s="1">
        <v>13.8</v>
      </c>
      <c r="T232" s="1"/>
      <c r="U232" s="1">
        <v>1.1000000000000001</v>
      </c>
      <c r="V232" s="1">
        <v>2.4</v>
      </c>
      <c r="W232" s="1">
        <v>3.4</v>
      </c>
      <c r="X232" s="1">
        <v>0.108</v>
      </c>
      <c r="Y232" s="1"/>
      <c r="Z232" s="1">
        <v>-0.7</v>
      </c>
      <c r="AA232" s="1">
        <v>1.6</v>
      </c>
      <c r="AB232" s="1">
        <v>0.9</v>
      </c>
      <c r="AC232" s="1">
        <v>1.1000000000000001</v>
      </c>
      <c r="AD232">
        <f>Advanced_Table[[#This Row],[VORP]]*82/Advanced_Table[[#This Row],[G]]</f>
        <v>1.478688524590164</v>
      </c>
    </row>
    <row r="233" spans="1:30" x14ac:dyDescent="0.25">
      <c r="A233" s="1">
        <v>180</v>
      </c>
      <c r="B233" s="1" t="s">
        <v>483</v>
      </c>
      <c r="C233" s="1" t="s">
        <v>23</v>
      </c>
      <c r="D233" s="1">
        <v>29</v>
      </c>
      <c r="E233" s="1" t="s">
        <v>369</v>
      </c>
      <c r="F233" s="1">
        <v>43</v>
      </c>
      <c r="G233" s="1">
        <v>1222</v>
      </c>
      <c r="H233" s="1">
        <v>12.6</v>
      </c>
      <c r="I233" s="1">
        <v>0.48899999999999999</v>
      </c>
      <c r="J233" s="1">
        <v>0.40799999999999997</v>
      </c>
      <c r="K233" s="1">
        <v>0.26300000000000001</v>
      </c>
      <c r="L233" s="1">
        <v>2</v>
      </c>
      <c r="M233" s="1">
        <v>22.3</v>
      </c>
      <c r="N233" s="1">
        <v>11.8</v>
      </c>
      <c r="O233" s="1">
        <v>31.2</v>
      </c>
      <c r="P233" s="1">
        <v>2.2999999999999998</v>
      </c>
      <c r="Q233" s="1">
        <v>2.4</v>
      </c>
      <c r="R233" s="1">
        <v>21.8</v>
      </c>
      <c r="S233" s="1">
        <v>15.7</v>
      </c>
      <c r="T233" s="1"/>
      <c r="U233" s="1">
        <v>-0.2</v>
      </c>
      <c r="V233" s="1">
        <v>1.3</v>
      </c>
      <c r="W233" s="1">
        <v>1.1000000000000001</v>
      </c>
      <c r="X233" s="1">
        <v>4.3999999999999997E-2</v>
      </c>
      <c r="Y233" s="1"/>
      <c r="Z233" s="1">
        <v>-2.1</v>
      </c>
      <c r="AA233" s="1">
        <v>1.8</v>
      </c>
      <c r="AB233" s="1">
        <v>-0.3</v>
      </c>
      <c r="AC233" s="1">
        <v>0.5</v>
      </c>
      <c r="AD233">
        <f>Advanced_Table[[#This Row],[VORP]]*82/Advanced_Table[[#This Row],[G]]</f>
        <v>0.95348837209302328</v>
      </c>
    </row>
    <row r="234" spans="1:30" x14ac:dyDescent="0.25">
      <c r="A234" s="1">
        <v>181</v>
      </c>
      <c r="B234" s="1" t="s">
        <v>484</v>
      </c>
      <c r="C234" s="1" t="s">
        <v>23</v>
      </c>
      <c r="D234" s="1">
        <v>29</v>
      </c>
      <c r="E234" s="1" t="s">
        <v>350</v>
      </c>
      <c r="F234" s="1">
        <v>55</v>
      </c>
      <c r="G234" s="1">
        <v>1130</v>
      </c>
      <c r="H234" s="1">
        <v>10.8</v>
      </c>
      <c r="I234" s="1">
        <v>0.55400000000000005</v>
      </c>
      <c r="J234" s="1">
        <v>0.67500000000000004</v>
      </c>
      <c r="K234" s="1">
        <v>0.14599999999999999</v>
      </c>
      <c r="L234" s="1">
        <v>7</v>
      </c>
      <c r="M234" s="1">
        <v>24.3</v>
      </c>
      <c r="N234" s="1">
        <v>15.9</v>
      </c>
      <c r="O234" s="1">
        <v>5.0999999999999996</v>
      </c>
      <c r="P234" s="1">
        <v>1</v>
      </c>
      <c r="Q234" s="1">
        <v>1.6</v>
      </c>
      <c r="R234" s="1">
        <v>12.3</v>
      </c>
      <c r="S234" s="1">
        <v>13.5</v>
      </c>
      <c r="T234" s="1"/>
      <c r="U234" s="1">
        <v>0.8</v>
      </c>
      <c r="V234" s="1">
        <v>1.8</v>
      </c>
      <c r="W234" s="1">
        <v>2.6</v>
      </c>
      <c r="X234" s="1">
        <v>0.111</v>
      </c>
      <c r="Y234" s="1"/>
      <c r="Z234" s="1">
        <v>-1.5</v>
      </c>
      <c r="AA234" s="1">
        <v>0.6</v>
      </c>
      <c r="AB234" s="1">
        <v>-0.9</v>
      </c>
      <c r="AC234" s="1">
        <v>0.3</v>
      </c>
      <c r="AD234">
        <f>Advanced_Table[[#This Row],[VORP]]*82/Advanced_Table[[#This Row],[G]]</f>
        <v>0.44727272727272721</v>
      </c>
    </row>
    <row r="235" spans="1:30" x14ac:dyDescent="0.25">
      <c r="A235" s="1">
        <v>182</v>
      </c>
      <c r="B235" s="1" t="s">
        <v>485</v>
      </c>
      <c r="C235" s="1" t="s">
        <v>303</v>
      </c>
      <c r="D235" s="1">
        <v>26</v>
      </c>
      <c r="E235" s="1" t="s">
        <v>383</v>
      </c>
      <c r="F235" s="1">
        <v>44</v>
      </c>
      <c r="G235" s="1">
        <v>414</v>
      </c>
      <c r="H235" s="1">
        <v>12.3</v>
      </c>
      <c r="I235" s="1">
        <v>0.55800000000000005</v>
      </c>
      <c r="J235" s="1">
        <v>0.23499999999999999</v>
      </c>
      <c r="K235" s="1">
        <v>0.36699999999999999</v>
      </c>
      <c r="L235" s="1">
        <v>4.7</v>
      </c>
      <c r="M235" s="1">
        <v>15.9</v>
      </c>
      <c r="N235" s="1">
        <v>10.4</v>
      </c>
      <c r="O235" s="1">
        <v>7.6</v>
      </c>
      <c r="P235" s="1">
        <v>2.7</v>
      </c>
      <c r="Q235" s="1">
        <v>1.6</v>
      </c>
      <c r="R235" s="1">
        <v>13.7</v>
      </c>
      <c r="S235" s="1">
        <v>13.6</v>
      </c>
      <c r="T235" s="1"/>
      <c r="U235" s="1">
        <v>0.3</v>
      </c>
      <c r="V235" s="1">
        <v>0.7</v>
      </c>
      <c r="W235" s="1">
        <v>1</v>
      </c>
      <c r="X235" s="1">
        <v>0.112</v>
      </c>
      <c r="Y235" s="1"/>
      <c r="Z235" s="1">
        <v>-2.4</v>
      </c>
      <c r="AA235" s="1">
        <v>1.8</v>
      </c>
      <c r="AB235" s="1">
        <v>-0.7</v>
      </c>
      <c r="AC235" s="1">
        <v>0.1</v>
      </c>
      <c r="AD235">
        <f>Advanced_Table[[#This Row],[VORP]]*82/Advanced_Table[[#This Row],[G]]</f>
        <v>0.1863636363636364</v>
      </c>
    </row>
    <row r="236" spans="1:30" x14ac:dyDescent="0.25">
      <c r="A236" s="1">
        <v>183</v>
      </c>
      <c r="B236" s="1" t="s">
        <v>486</v>
      </c>
      <c r="C236" s="1" t="s">
        <v>23</v>
      </c>
      <c r="D236" s="1">
        <v>33</v>
      </c>
      <c r="E236" s="1" t="s">
        <v>957</v>
      </c>
      <c r="F236" s="1">
        <v>40</v>
      </c>
      <c r="G236" s="1">
        <v>754</v>
      </c>
      <c r="H236" s="1">
        <v>12.8</v>
      </c>
      <c r="I236" s="1">
        <v>0.57499999999999996</v>
      </c>
      <c r="J236" s="1">
        <v>0.52900000000000003</v>
      </c>
      <c r="K236" s="1">
        <v>0.28000000000000003</v>
      </c>
      <c r="L236" s="1">
        <v>3.4</v>
      </c>
      <c r="M236" s="1">
        <v>12.5</v>
      </c>
      <c r="N236" s="1">
        <v>8.1</v>
      </c>
      <c r="O236" s="1">
        <v>6.2</v>
      </c>
      <c r="P236" s="1">
        <v>1.3</v>
      </c>
      <c r="Q236" s="1">
        <v>1.7</v>
      </c>
      <c r="R236" s="1">
        <v>10.9</v>
      </c>
      <c r="S236" s="1">
        <v>18.899999999999999</v>
      </c>
      <c r="T236" s="1"/>
      <c r="U236" s="1">
        <v>0.6</v>
      </c>
      <c r="V236" s="1">
        <v>0.8</v>
      </c>
      <c r="W236" s="1">
        <v>1.4</v>
      </c>
      <c r="X236" s="1">
        <v>8.8999999999999996E-2</v>
      </c>
      <c r="Y236" s="1"/>
      <c r="Z236" s="1">
        <v>-0.4</v>
      </c>
      <c r="AA236" s="1">
        <v>-0.1</v>
      </c>
      <c r="AB236" s="1">
        <v>-0.5</v>
      </c>
      <c r="AC236" s="1">
        <v>0.3</v>
      </c>
      <c r="AD236">
        <f>Advanced_Table[[#This Row],[VORP]]*82/Advanced_Table[[#This Row],[G]]</f>
        <v>0.61499999999999999</v>
      </c>
    </row>
    <row r="237" spans="1:30" x14ac:dyDescent="0.25">
      <c r="A237" s="1">
        <v>183</v>
      </c>
      <c r="B237" s="1" t="s">
        <v>486</v>
      </c>
      <c r="C237" s="1" t="s">
        <v>23</v>
      </c>
      <c r="D237" s="1">
        <v>33</v>
      </c>
      <c r="E237" s="1" t="s">
        <v>359</v>
      </c>
      <c r="F237" s="1">
        <v>30</v>
      </c>
      <c r="G237" s="1">
        <v>553</v>
      </c>
      <c r="H237" s="1">
        <v>10.1</v>
      </c>
      <c r="I237" s="1">
        <v>0.52300000000000002</v>
      </c>
      <c r="J237" s="1">
        <v>0.53300000000000003</v>
      </c>
      <c r="K237" s="1">
        <v>0.32300000000000001</v>
      </c>
      <c r="L237" s="1">
        <v>2.9</v>
      </c>
      <c r="M237" s="1">
        <v>12.7</v>
      </c>
      <c r="N237" s="1">
        <v>8</v>
      </c>
      <c r="O237" s="1">
        <v>5.2</v>
      </c>
      <c r="P237" s="1">
        <v>1.1000000000000001</v>
      </c>
      <c r="Q237" s="1">
        <v>1.5</v>
      </c>
      <c r="R237" s="1">
        <v>10.8</v>
      </c>
      <c r="S237" s="1">
        <v>19.8</v>
      </c>
      <c r="T237" s="1"/>
      <c r="U237" s="1">
        <v>0</v>
      </c>
      <c r="V237" s="1">
        <v>0.6</v>
      </c>
      <c r="W237" s="1">
        <v>0.6</v>
      </c>
      <c r="X237" s="1">
        <v>4.8000000000000001E-2</v>
      </c>
      <c r="Y237" s="1"/>
      <c r="Z237" s="1">
        <v>-1.8</v>
      </c>
      <c r="AA237" s="1">
        <v>-0.2</v>
      </c>
      <c r="AB237" s="1">
        <v>-2.1</v>
      </c>
      <c r="AC237" s="1">
        <v>0</v>
      </c>
      <c r="AD237">
        <f>Advanced_Table[[#This Row],[VORP]]*82/Advanced_Table[[#This Row],[G]]</f>
        <v>0</v>
      </c>
    </row>
    <row r="238" spans="1:30" x14ac:dyDescent="0.25">
      <c r="A238" s="1">
        <v>183</v>
      </c>
      <c r="B238" s="1" t="s">
        <v>486</v>
      </c>
      <c r="C238" s="1" t="s">
        <v>23</v>
      </c>
      <c r="D238" s="1">
        <v>33</v>
      </c>
      <c r="E238" s="1" t="s">
        <v>305</v>
      </c>
      <c r="F238" s="1">
        <v>10</v>
      </c>
      <c r="G238" s="1">
        <v>201</v>
      </c>
      <c r="H238" s="1">
        <v>20</v>
      </c>
      <c r="I238" s="1">
        <v>0.73899999999999999</v>
      </c>
      <c r="J238" s="1">
        <v>0.51500000000000001</v>
      </c>
      <c r="K238" s="1">
        <v>0.152</v>
      </c>
      <c r="L238" s="1">
        <v>4.7</v>
      </c>
      <c r="M238" s="1">
        <v>12.1</v>
      </c>
      <c r="N238" s="1">
        <v>8.3000000000000007</v>
      </c>
      <c r="O238" s="1">
        <v>9.1999999999999993</v>
      </c>
      <c r="P238" s="1">
        <v>2.1</v>
      </c>
      <c r="Q238" s="1">
        <v>2.1</v>
      </c>
      <c r="R238" s="1">
        <v>11.3</v>
      </c>
      <c r="S238" s="1">
        <v>16.3</v>
      </c>
      <c r="T238" s="1"/>
      <c r="U238" s="1">
        <v>0.6</v>
      </c>
      <c r="V238" s="1">
        <v>0.2</v>
      </c>
      <c r="W238" s="1">
        <v>0.8</v>
      </c>
      <c r="X238" s="1">
        <v>0.20100000000000001</v>
      </c>
      <c r="Y238" s="1"/>
      <c r="Z238" s="1">
        <v>3.4</v>
      </c>
      <c r="AA238" s="1">
        <v>0.3</v>
      </c>
      <c r="AB238" s="1">
        <v>3.8</v>
      </c>
      <c r="AC238" s="1">
        <v>0.3</v>
      </c>
      <c r="AD238">
        <f>Advanced_Table[[#This Row],[VORP]]*82/Advanced_Table[[#This Row],[G]]</f>
        <v>2.46</v>
      </c>
    </row>
    <row r="239" spans="1:30" x14ac:dyDescent="0.25">
      <c r="A239" s="1">
        <v>184</v>
      </c>
      <c r="B239" s="1" t="s">
        <v>487</v>
      </c>
      <c r="C239" s="1" t="s">
        <v>23</v>
      </c>
      <c r="D239" s="1">
        <v>30</v>
      </c>
      <c r="E239" s="1" t="s">
        <v>363</v>
      </c>
      <c r="F239" s="1">
        <v>18</v>
      </c>
      <c r="G239" s="1">
        <v>512</v>
      </c>
      <c r="H239" s="1">
        <v>11.9</v>
      </c>
      <c r="I239" s="1">
        <v>0.47599999999999998</v>
      </c>
      <c r="J239" s="1">
        <v>0.44400000000000001</v>
      </c>
      <c r="K239" s="1">
        <v>0.39200000000000002</v>
      </c>
      <c r="L239" s="1">
        <v>3.7</v>
      </c>
      <c r="M239" s="1">
        <v>15</v>
      </c>
      <c r="N239" s="1">
        <v>9.3000000000000007</v>
      </c>
      <c r="O239" s="1">
        <v>18</v>
      </c>
      <c r="P239" s="1">
        <v>0.7</v>
      </c>
      <c r="Q239" s="1">
        <v>1.1000000000000001</v>
      </c>
      <c r="R239" s="1">
        <v>12</v>
      </c>
      <c r="S239" s="1">
        <v>28.4</v>
      </c>
      <c r="T239" s="1"/>
      <c r="U239" s="1">
        <v>-0.4</v>
      </c>
      <c r="V239" s="1">
        <v>0.3</v>
      </c>
      <c r="W239" s="1">
        <v>-0.1</v>
      </c>
      <c r="X239" s="1">
        <v>-0.01</v>
      </c>
      <c r="Y239" s="1"/>
      <c r="Z239" s="1">
        <v>-1.7</v>
      </c>
      <c r="AA239" s="1">
        <v>-2.6</v>
      </c>
      <c r="AB239" s="1">
        <v>-4.2</v>
      </c>
      <c r="AC239" s="1">
        <v>-0.3</v>
      </c>
      <c r="AD239">
        <f>Advanced_Table[[#This Row],[VORP]]*82/Advanced_Table[[#This Row],[G]]</f>
        <v>-1.3666666666666665</v>
      </c>
    </row>
    <row r="240" spans="1:30" x14ac:dyDescent="0.25">
      <c r="A240" s="1">
        <v>185</v>
      </c>
      <c r="B240" s="1" t="s">
        <v>488</v>
      </c>
      <c r="C240" s="1" t="s">
        <v>294</v>
      </c>
      <c r="D240" s="1">
        <v>24</v>
      </c>
      <c r="E240" s="1" t="s">
        <v>297</v>
      </c>
      <c r="F240" s="1">
        <v>42</v>
      </c>
      <c r="G240" s="1">
        <v>476</v>
      </c>
      <c r="H240" s="1">
        <v>8.8000000000000007</v>
      </c>
      <c r="I240" s="1">
        <v>0.51500000000000001</v>
      </c>
      <c r="J240" s="1">
        <v>0.52600000000000002</v>
      </c>
      <c r="K240" s="1">
        <v>0.16200000000000001</v>
      </c>
      <c r="L240" s="1">
        <v>3.1</v>
      </c>
      <c r="M240" s="1">
        <v>12.3</v>
      </c>
      <c r="N240" s="1">
        <v>7.8</v>
      </c>
      <c r="O240" s="1">
        <v>12.4</v>
      </c>
      <c r="P240" s="1">
        <v>1.2</v>
      </c>
      <c r="Q240" s="1">
        <v>1.5</v>
      </c>
      <c r="R240" s="1">
        <v>17.899999999999999</v>
      </c>
      <c r="S240" s="1">
        <v>17.600000000000001</v>
      </c>
      <c r="T240" s="1"/>
      <c r="U240" s="1">
        <v>-0.2</v>
      </c>
      <c r="V240" s="1">
        <v>0.4</v>
      </c>
      <c r="W240" s="1">
        <v>0.1</v>
      </c>
      <c r="X240" s="1">
        <v>1.2E-2</v>
      </c>
      <c r="Y240" s="1"/>
      <c r="Z240" s="1">
        <v>-2.6</v>
      </c>
      <c r="AA240" s="1">
        <v>-0.9</v>
      </c>
      <c r="AB240" s="1">
        <v>-3.5</v>
      </c>
      <c r="AC240" s="1">
        <v>-0.2</v>
      </c>
      <c r="AD240">
        <f>Advanced_Table[[#This Row],[VORP]]*82/Advanced_Table[[#This Row],[G]]</f>
        <v>-0.39047619047619053</v>
      </c>
    </row>
    <row r="241" spans="1:30" x14ac:dyDescent="0.25">
      <c r="A241" s="1">
        <v>186</v>
      </c>
      <c r="B241" s="1" t="s">
        <v>1083</v>
      </c>
      <c r="C241" s="1" t="s">
        <v>294</v>
      </c>
      <c r="D241" s="1">
        <v>22</v>
      </c>
      <c r="E241" s="1" t="s">
        <v>319</v>
      </c>
      <c r="F241" s="1">
        <v>2</v>
      </c>
      <c r="G241" s="1">
        <v>4</v>
      </c>
      <c r="H241" s="1">
        <v>9.8000000000000007</v>
      </c>
      <c r="I241" s="1">
        <v>0.5</v>
      </c>
      <c r="J241" s="1">
        <v>0.5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21.8</v>
      </c>
      <c r="T241" s="1"/>
      <c r="U241" s="1">
        <v>0</v>
      </c>
      <c r="V241" s="1">
        <v>0</v>
      </c>
      <c r="W241" s="1">
        <v>0</v>
      </c>
      <c r="X241" s="1">
        <v>-2.1999999999999999E-2</v>
      </c>
      <c r="Y241" s="1"/>
      <c r="Z241" s="1">
        <v>-1.4</v>
      </c>
      <c r="AA241" s="1">
        <v>-2.7</v>
      </c>
      <c r="AB241" s="1">
        <v>-4.0999999999999996</v>
      </c>
      <c r="AC241" s="1">
        <v>0</v>
      </c>
      <c r="AD241">
        <f>Advanced_Table[[#This Row],[VORP]]*82/Advanced_Table[[#This Row],[G]]</f>
        <v>0</v>
      </c>
    </row>
    <row r="242" spans="1:30" x14ac:dyDescent="0.25">
      <c r="A242" s="1">
        <v>187</v>
      </c>
      <c r="B242" s="1" t="s">
        <v>489</v>
      </c>
      <c r="C242" s="1" t="s">
        <v>23</v>
      </c>
      <c r="D242" s="1">
        <v>21</v>
      </c>
      <c r="E242" s="1" t="s">
        <v>342</v>
      </c>
      <c r="F242" s="1">
        <v>41</v>
      </c>
      <c r="G242" s="1">
        <v>1217</v>
      </c>
      <c r="H242" s="1">
        <v>13.9</v>
      </c>
      <c r="I242" s="1">
        <v>0.54300000000000004</v>
      </c>
      <c r="J242" s="1">
        <v>0.16</v>
      </c>
      <c r="K242" s="1">
        <v>0.24299999999999999</v>
      </c>
      <c r="L242" s="1">
        <v>5.5</v>
      </c>
      <c r="M242" s="1">
        <v>17.399999999999999</v>
      </c>
      <c r="N242" s="1">
        <v>11.2</v>
      </c>
      <c r="O242" s="1">
        <v>8.3000000000000007</v>
      </c>
      <c r="P242" s="1">
        <v>1.3</v>
      </c>
      <c r="Q242" s="1">
        <v>0.5</v>
      </c>
      <c r="R242" s="1">
        <v>7.5</v>
      </c>
      <c r="S242" s="1">
        <v>18.7</v>
      </c>
      <c r="T242" s="1"/>
      <c r="U242" s="1">
        <v>1.3</v>
      </c>
      <c r="V242" s="1">
        <v>0.4</v>
      </c>
      <c r="W242" s="1">
        <v>1.7</v>
      </c>
      <c r="X242" s="1">
        <v>6.6000000000000003E-2</v>
      </c>
      <c r="Y242" s="1"/>
      <c r="Z242" s="1">
        <v>-1</v>
      </c>
      <c r="AA242" s="1">
        <v>-2</v>
      </c>
      <c r="AB242" s="1">
        <v>-3.1</v>
      </c>
      <c r="AC242" s="1">
        <v>-0.3</v>
      </c>
      <c r="AD242">
        <f>Advanced_Table[[#This Row],[VORP]]*82/Advanced_Table[[#This Row],[G]]</f>
        <v>-0.6</v>
      </c>
    </row>
    <row r="243" spans="1:30" x14ac:dyDescent="0.25">
      <c r="A243" s="1">
        <v>188</v>
      </c>
      <c r="B243" s="1" t="s">
        <v>490</v>
      </c>
      <c r="C243" s="1" t="s">
        <v>294</v>
      </c>
      <c r="D243" s="1">
        <v>24</v>
      </c>
      <c r="E243" s="1" t="s">
        <v>288</v>
      </c>
      <c r="F243" s="1">
        <v>5</v>
      </c>
      <c r="G243" s="1">
        <v>20</v>
      </c>
      <c r="H243" s="1">
        <v>3.6</v>
      </c>
      <c r="I243" s="1">
        <v>0.37</v>
      </c>
      <c r="J243" s="1">
        <v>0.4</v>
      </c>
      <c r="K243" s="1">
        <v>0.8</v>
      </c>
      <c r="L243" s="1">
        <v>0</v>
      </c>
      <c r="M243" s="1">
        <v>5.4</v>
      </c>
      <c r="N243" s="1">
        <v>2.8</v>
      </c>
      <c r="O243" s="1">
        <v>19.100000000000001</v>
      </c>
      <c r="P243" s="1">
        <v>0</v>
      </c>
      <c r="Q243" s="1">
        <v>0</v>
      </c>
      <c r="R243" s="1">
        <v>12.9</v>
      </c>
      <c r="S243" s="1">
        <v>17.100000000000001</v>
      </c>
      <c r="T243" s="1"/>
      <c r="U243" s="1">
        <v>0</v>
      </c>
      <c r="V243" s="1">
        <v>0</v>
      </c>
      <c r="W243" s="1">
        <v>0</v>
      </c>
      <c r="X243" s="1">
        <v>-6.4000000000000001E-2</v>
      </c>
      <c r="Y243" s="1"/>
      <c r="Z243" s="1">
        <v>-6.2</v>
      </c>
      <c r="AA243" s="1">
        <v>-3.6</v>
      </c>
      <c r="AB243" s="1">
        <v>-9.6999999999999993</v>
      </c>
      <c r="AC243" s="1">
        <v>0</v>
      </c>
      <c r="AD243">
        <f>Advanced_Table[[#This Row],[VORP]]*82/Advanced_Table[[#This Row],[G]]</f>
        <v>0</v>
      </c>
    </row>
    <row r="244" spans="1:30" x14ac:dyDescent="0.25">
      <c r="A244" s="1">
        <v>189</v>
      </c>
      <c r="B244" s="1" t="s">
        <v>1693</v>
      </c>
      <c r="C244" s="1" t="s">
        <v>23</v>
      </c>
      <c r="D244" s="1">
        <v>22</v>
      </c>
      <c r="E244" s="1" t="s">
        <v>363</v>
      </c>
      <c r="F244" s="1">
        <v>3</v>
      </c>
      <c r="G244" s="1">
        <v>41</v>
      </c>
      <c r="H244" s="1">
        <v>7.7</v>
      </c>
      <c r="I244" s="1">
        <v>0.434</v>
      </c>
      <c r="J244" s="1">
        <v>0</v>
      </c>
      <c r="K244" s="1">
        <v>1</v>
      </c>
      <c r="L244" s="1">
        <v>13.7</v>
      </c>
      <c r="M244" s="1">
        <v>16.8</v>
      </c>
      <c r="N244" s="1">
        <v>15.2</v>
      </c>
      <c r="O244" s="1">
        <v>6.2</v>
      </c>
      <c r="P244" s="1">
        <v>1.2</v>
      </c>
      <c r="Q244" s="1">
        <v>2</v>
      </c>
      <c r="R244" s="1">
        <v>25.8</v>
      </c>
      <c r="S244" s="1">
        <v>8.3000000000000007</v>
      </c>
      <c r="T244" s="1"/>
      <c r="U244" s="1">
        <v>0</v>
      </c>
      <c r="V244" s="1">
        <v>0</v>
      </c>
      <c r="W244" s="1">
        <v>0</v>
      </c>
      <c r="X244" s="1">
        <v>0.05</v>
      </c>
      <c r="Y244" s="1"/>
      <c r="Z244" s="1">
        <v>-4.5999999999999996</v>
      </c>
      <c r="AA244" s="1">
        <v>-1.1000000000000001</v>
      </c>
      <c r="AB244" s="1">
        <v>-5.6</v>
      </c>
      <c r="AC244" s="1">
        <v>0</v>
      </c>
      <c r="AD244">
        <f>Advanced_Table[[#This Row],[VORP]]*82/Advanced_Table[[#This Row],[G]]</f>
        <v>0</v>
      </c>
    </row>
    <row r="245" spans="1:30" x14ac:dyDescent="0.25">
      <c r="A245" s="1">
        <v>190</v>
      </c>
      <c r="B245" s="1" t="s">
        <v>1676</v>
      </c>
      <c r="C245" s="1" t="s">
        <v>294</v>
      </c>
      <c r="D245" s="1">
        <v>26</v>
      </c>
      <c r="E245" s="1" t="s">
        <v>297</v>
      </c>
      <c r="F245" s="1">
        <v>2</v>
      </c>
      <c r="G245" s="1">
        <v>13</v>
      </c>
      <c r="H245" s="1">
        <v>21.3</v>
      </c>
      <c r="I245" s="1">
        <v>0.60699999999999998</v>
      </c>
      <c r="J245" s="1">
        <v>0.33300000000000002</v>
      </c>
      <c r="K245" s="1">
        <v>0.222</v>
      </c>
      <c r="L245" s="1">
        <v>0</v>
      </c>
      <c r="M245" s="1">
        <v>7.9</v>
      </c>
      <c r="N245" s="1">
        <v>4</v>
      </c>
      <c r="O245" s="1">
        <v>0</v>
      </c>
      <c r="P245" s="1">
        <v>0</v>
      </c>
      <c r="Q245" s="1">
        <v>0</v>
      </c>
      <c r="R245" s="1">
        <v>0</v>
      </c>
      <c r="S245" s="1">
        <v>31.6</v>
      </c>
      <c r="T245" s="1"/>
      <c r="U245" s="1">
        <v>0</v>
      </c>
      <c r="V245" s="1">
        <v>0</v>
      </c>
      <c r="W245" s="1">
        <v>0</v>
      </c>
      <c r="X245" s="1">
        <v>0.14599999999999999</v>
      </c>
      <c r="Y245" s="1"/>
      <c r="Z245" s="1">
        <v>4.9000000000000004</v>
      </c>
      <c r="AA245" s="1">
        <v>-2.4</v>
      </c>
      <c r="AB245" s="1">
        <v>2.5</v>
      </c>
      <c r="AC245" s="1">
        <v>0</v>
      </c>
      <c r="AD245">
        <f>Advanced_Table[[#This Row],[VORP]]*82/Advanced_Table[[#This Row],[G]]</f>
        <v>0</v>
      </c>
    </row>
    <row r="246" spans="1:30" x14ac:dyDescent="0.25">
      <c r="A246" s="1">
        <v>191</v>
      </c>
      <c r="B246" s="1" t="s">
        <v>491</v>
      </c>
      <c r="C246" s="1" t="s">
        <v>294</v>
      </c>
      <c r="D246" s="1">
        <v>27</v>
      </c>
      <c r="E246" s="1" t="s">
        <v>329</v>
      </c>
      <c r="F246" s="1">
        <v>62</v>
      </c>
      <c r="G246" s="1">
        <v>1775</v>
      </c>
      <c r="H246" s="1">
        <v>15.2</v>
      </c>
      <c r="I246" s="1">
        <v>0.58399999999999996</v>
      </c>
      <c r="J246" s="1">
        <v>0.56999999999999995</v>
      </c>
      <c r="K246" s="1">
        <v>0.192</v>
      </c>
      <c r="L246" s="1">
        <v>1.4</v>
      </c>
      <c r="M246" s="1">
        <v>9.8000000000000007</v>
      </c>
      <c r="N246" s="1">
        <v>5.7</v>
      </c>
      <c r="O246" s="1">
        <v>10.4</v>
      </c>
      <c r="P246" s="1">
        <v>1</v>
      </c>
      <c r="Q246" s="1">
        <v>0.2</v>
      </c>
      <c r="R246" s="1">
        <v>6.8</v>
      </c>
      <c r="S246" s="1">
        <v>21.8</v>
      </c>
      <c r="T246" s="1"/>
      <c r="U246" s="1">
        <v>3.1</v>
      </c>
      <c r="V246" s="1">
        <v>1.1000000000000001</v>
      </c>
      <c r="W246" s="1">
        <v>4.2</v>
      </c>
      <c r="X246" s="1">
        <v>0.112</v>
      </c>
      <c r="Y246" s="1"/>
      <c r="Z246" s="1">
        <v>1.7</v>
      </c>
      <c r="AA246" s="1">
        <v>-1.3</v>
      </c>
      <c r="AB246" s="1">
        <v>0.4</v>
      </c>
      <c r="AC246" s="1">
        <v>1.1000000000000001</v>
      </c>
      <c r="AD246">
        <f>Advanced_Table[[#This Row],[VORP]]*82/Advanced_Table[[#This Row],[G]]</f>
        <v>1.4548387096774194</v>
      </c>
    </row>
    <row r="247" spans="1:30" x14ac:dyDescent="0.25">
      <c r="A247" s="1">
        <v>192</v>
      </c>
      <c r="B247" s="1" t="s">
        <v>492</v>
      </c>
      <c r="C247" s="1" t="s">
        <v>294</v>
      </c>
      <c r="D247" s="1">
        <v>30</v>
      </c>
      <c r="E247" s="1" t="s">
        <v>305</v>
      </c>
      <c r="F247" s="1">
        <v>61</v>
      </c>
      <c r="G247" s="1">
        <v>2241</v>
      </c>
      <c r="H247" s="1">
        <v>28.4</v>
      </c>
      <c r="I247" s="1">
        <v>0.61599999999999999</v>
      </c>
      <c r="J247" s="1">
        <v>0.55500000000000005</v>
      </c>
      <c r="K247" s="1">
        <v>0.51900000000000002</v>
      </c>
      <c r="L247" s="1">
        <v>3</v>
      </c>
      <c r="M247" s="1">
        <v>15.3</v>
      </c>
      <c r="N247" s="1">
        <v>9.1</v>
      </c>
      <c r="O247" s="1">
        <v>34.4</v>
      </c>
      <c r="P247" s="1">
        <v>2.2000000000000002</v>
      </c>
      <c r="Q247" s="1">
        <v>2</v>
      </c>
      <c r="R247" s="1">
        <v>13.8</v>
      </c>
      <c r="S247" s="1">
        <v>36.4</v>
      </c>
      <c r="T247" s="1"/>
      <c r="U247" s="1">
        <v>8.8000000000000007</v>
      </c>
      <c r="V247" s="1">
        <v>2.7</v>
      </c>
      <c r="W247" s="1">
        <v>11.5</v>
      </c>
      <c r="X247" s="1">
        <v>0.245</v>
      </c>
      <c r="Y247" s="1"/>
      <c r="Z247" s="1">
        <v>8</v>
      </c>
      <c r="AA247" s="1">
        <v>1.2</v>
      </c>
      <c r="AB247" s="1">
        <v>9.1999999999999993</v>
      </c>
      <c r="AC247" s="1">
        <v>6.4</v>
      </c>
      <c r="AD247">
        <f>Advanced_Table[[#This Row],[VORP]]*82/Advanced_Table[[#This Row],[G]]</f>
        <v>8.6032786885245915</v>
      </c>
    </row>
    <row r="248" spans="1:30" x14ac:dyDescent="0.25">
      <c r="A248" s="1">
        <v>193</v>
      </c>
      <c r="B248" s="1" t="s">
        <v>493</v>
      </c>
      <c r="C248" s="1" t="s">
        <v>303</v>
      </c>
      <c r="D248" s="1">
        <v>26</v>
      </c>
      <c r="E248" s="1" t="s">
        <v>957</v>
      </c>
      <c r="F248" s="1">
        <v>61</v>
      </c>
      <c r="G248" s="1">
        <v>1386</v>
      </c>
      <c r="H248" s="1">
        <v>9.6999999999999993</v>
      </c>
      <c r="I248" s="1">
        <v>0.57599999999999996</v>
      </c>
      <c r="J248" s="1">
        <v>0.34799999999999998</v>
      </c>
      <c r="K248" s="1">
        <v>0.23300000000000001</v>
      </c>
      <c r="L248" s="1">
        <v>4.0999999999999996</v>
      </c>
      <c r="M248" s="1">
        <v>13.3</v>
      </c>
      <c r="N248" s="1">
        <v>8.8000000000000007</v>
      </c>
      <c r="O248" s="1">
        <v>5.9</v>
      </c>
      <c r="P248" s="1">
        <v>1.9</v>
      </c>
      <c r="Q248" s="1">
        <v>2.1</v>
      </c>
      <c r="R248" s="1">
        <v>14.9</v>
      </c>
      <c r="S248" s="1">
        <v>10.5</v>
      </c>
      <c r="T248" s="1"/>
      <c r="U248" s="1">
        <v>0.7</v>
      </c>
      <c r="V248" s="1">
        <v>1.9</v>
      </c>
      <c r="W248" s="1">
        <v>2.6</v>
      </c>
      <c r="X248" s="1">
        <v>9.0999999999999998E-2</v>
      </c>
      <c r="Y248" s="1"/>
      <c r="Z248" s="1">
        <v>-2.6</v>
      </c>
      <c r="AA248" s="1">
        <v>1.9</v>
      </c>
      <c r="AB248" s="1">
        <v>-0.7</v>
      </c>
      <c r="AC248" s="1">
        <v>0.5</v>
      </c>
      <c r="AD248">
        <f>Advanced_Table[[#This Row],[VORP]]*82/Advanced_Table[[#This Row],[G]]</f>
        <v>0.67213114754098358</v>
      </c>
    </row>
    <row r="249" spans="1:30" x14ac:dyDescent="0.25">
      <c r="A249" s="1">
        <v>193</v>
      </c>
      <c r="B249" s="1" t="s">
        <v>493</v>
      </c>
      <c r="C249" s="1" t="s">
        <v>303</v>
      </c>
      <c r="D249" s="1">
        <v>26</v>
      </c>
      <c r="E249" s="1" t="s">
        <v>350</v>
      </c>
      <c r="F249" s="1">
        <v>50</v>
      </c>
      <c r="G249" s="1">
        <v>1141</v>
      </c>
      <c r="H249" s="1">
        <v>9.6</v>
      </c>
      <c r="I249" s="1">
        <v>0.58399999999999996</v>
      </c>
      <c r="J249" s="1">
        <v>0.33600000000000002</v>
      </c>
      <c r="K249" s="1">
        <v>0.19400000000000001</v>
      </c>
      <c r="L249" s="1">
        <v>4.4000000000000004</v>
      </c>
      <c r="M249" s="1">
        <v>13.5</v>
      </c>
      <c r="N249" s="1">
        <v>9</v>
      </c>
      <c r="O249" s="1">
        <v>5.5</v>
      </c>
      <c r="P249" s="1">
        <v>2</v>
      </c>
      <c r="Q249" s="1">
        <v>2.2999999999999998</v>
      </c>
      <c r="R249" s="1">
        <v>16.3</v>
      </c>
      <c r="S249" s="1">
        <v>10.3</v>
      </c>
      <c r="T249" s="1"/>
      <c r="U249" s="1">
        <v>0.5</v>
      </c>
      <c r="V249" s="1">
        <v>1.7</v>
      </c>
      <c r="W249" s="1">
        <v>2.2999999999999998</v>
      </c>
      <c r="X249" s="1">
        <v>9.6000000000000002E-2</v>
      </c>
      <c r="Y249" s="1"/>
      <c r="Z249" s="1">
        <v>-2.6</v>
      </c>
      <c r="AA249" s="1">
        <v>2.4</v>
      </c>
      <c r="AB249" s="1">
        <v>-0.2</v>
      </c>
      <c r="AC249" s="1">
        <v>0.5</v>
      </c>
      <c r="AD249">
        <f>Advanced_Table[[#This Row],[VORP]]*82/Advanced_Table[[#This Row],[G]]</f>
        <v>0.82</v>
      </c>
    </row>
    <row r="250" spans="1:30" x14ac:dyDescent="0.25">
      <c r="A250" s="1">
        <v>193</v>
      </c>
      <c r="B250" s="1" t="s">
        <v>493</v>
      </c>
      <c r="C250" s="1" t="s">
        <v>303</v>
      </c>
      <c r="D250" s="1">
        <v>26</v>
      </c>
      <c r="E250" s="1" t="s">
        <v>332</v>
      </c>
      <c r="F250" s="1">
        <v>11</v>
      </c>
      <c r="G250" s="1">
        <v>245</v>
      </c>
      <c r="H250" s="1">
        <v>9.6999999999999993</v>
      </c>
      <c r="I250" s="1">
        <v>0.54600000000000004</v>
      </c>
      <c r="J250" s="1">
        <v>0.39600000000000002</v>
      </c>
      <c r="K250" s="1">
        <v>0.39600000000000002</v>
      </c>
      <c r="L250" s="1">
        <v>3</v>
      </c>
      <c r="M250" s="1">
        <v>12.1</v>
      </c>
      <c r="N250" s="1">
        <v>7.4</v>
      </c>
      <c r="O250" s="1">
        <v>7.9</v>
      </c>
      <c r="P250" s="1">
        <v>1.6</v>
      </c>
      <c r="Q250" s="1">
        <v>1.2</v>
      </c>
      <c r="R250" s="1">
        <v>8.8000000000000007</v>
      </c>
      <c r="S250" s="1">
        <v>11.8</v>
      </c>
      <c r="T250" s="1"/>
      <c r="U250" s="1">
        <v>0.2</v>
      </c>
      <c r="V250" s="1">
        <v>0.1</v>
      </c>
      <c r="W250" s="1">
        <v>0.4</v>
      </c>
      <c r="X250" s="1">
        <v>6.9000000000000006E-2</v>
      </c>
      <c r="Y250" s="1"/>
      <c r="Z250" s="1">
        <v>-2.8</v>
      </c>
      <c r="AA250" s="1">
        <v>-0.1</v>
      </c>
      <c r="AB250" s="1">
        <v>-2.9</v>
      </c>
      <c r="AC250" s="1">
        <v>-0.1</v>
      </c>
      <c r="AD250">
        <f>Advanced_Table[[#This Row],[VORP]]*82/Advanced_Table[[#This Row],[G]]</f>
        <v>-0.74545454545454559</v>
      </c>
    </row>
    <row r="251" spans="1:30" x14ac:dyDescent="0.25">
      <c r="A251" s="1">
        <v>194</v>
      </c>
      <c r="B251" s="1" t="s">
        <v>494</v>
      </c>
      <c r="C251" s="1" t="s">
        <v>316</v>
      </c>
      <c r="D251" s="1">
        <v>22</v>
      </c>
      <c r="E251" s="1" t="s">
        <v>322</v>
      </c>
      <c r="F251" s="1">
        <v>3</v>
      </c>
      <c r="G251" s="1">
        <v>8</v>
      </c>
      <c r="H251" s="1">
        <v>-5.3</v>
      </c>
      <c r="I251" s="1">
        <v>0.25</v>
      </c>
      <c r="J251" s="1">
        <v>0.5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21.3</v>
      </c>
      <c r="T251" s="1"/>
      <c r="U251" s="1">
        <v>0</v>
      </c>
      <c r="V251" s="1">
        <v>0</v>
      </c>
      <c r="W251" s="1">
        <v>0</v>
      </c>
      <c r="X251" s="1">
        <v>-0.253</v>
      </c>
      <c r="Y251" s="1"/>
      <c r="Z251" s="1">
        <v>-10.1</v>
      </c>
      <c r="AA251" s="1">
        <v>-5.7</v>
      </c>
      <c r="AB251" s="1">
        <v>-15.7</v>
      </c>
      <c r="AC251" s="1">
        <v>0</v>
      </c>
      <c r="AD251">
        <f>Advanced_Table[[#This Row],[VORP]]*82/Advanced_Table[[#This Row],[G]]</f>
        <v>0</v>
      </c>
    </row>
    <row r="252" spans="1:30" x14ac:dyDescent="0.25">
      <c r="A252" s="1">
        <v>195</v>
      </c>
      <c r="B252" s="1" t="s">
        <v>495</v>
      </c>
      <c r="C252" s="1" t="s">
        <v>287</v>
      </c>
      <c r="D252" s="1">
        <v>26</v>
      </c>
      <c r="E252" s="1" t="s">
        <v>350</v>
      </c>
      <c r="F252" s="1">
        <v>63</v>
      </c>
      <c r="G252" s="1">
        <v>1749</v>
      </c>
      <c r="H252" s="1">
        <v>23.1</v>
      </c>
      <c r="I252" s="1">
        <v>0.60699999999999998</v>
      </c>
      <c r="J252" s="1">
        <v>2.1999999999999999E-2</v>
      </c>
      <c r="K252" s="1">
        <v>0.432</v>
      </c>
      <c r="L252" s="1">
        <v>9.9</v>
      </c>
      <c r="M252" s="1">
        <v>16.2</v>
      </c>
      <c r="N252" s="1">
        <v>13.1</v>
      </c>
      <c r="O252" s="1">
        <v>10.3</v>
      </c>
      <c r="P252" s="1">
        <v>1.1000000000000001</v>
      </c>
      <c r="Q252" s="1">
        <v>3.6</v>
      </c>
      <c r="R252" s="1">
        <v>10.1</v>
      </c>
      <c r="S252" s="1">
        <v>25.5</v>
      </c>
      <c r="T252" s="1"/>
      <c r="U252" s="1">
        <v>4.5</v>
      </c>
      <c r="V252" s="1">
        <v>2.5</v>
      </c>
      <c r="W252" s="1">
        <v>7</v>
      </c>
      <c r="X252" s="1">
        <v>0.193</v>
      </c>
      <c r="Y252" s="1"/>
      <c r="Z252" s="1">
        <v>2.4</v>
      </c>
      <c r="AA252" s="1">
        <v>0.5</v>
      </c>
      <c r="AB252" s="1">
        <v>2.9</v>
      </c>
      <c r="AC252" s="1">
        <v>2.2000000000000002</v>
      </c>
      <c r="AD252">
        <f>Advanced_Table[[#This Row],[VORP]]*82/Advanced_Table[[#This Row],[G]]</f>
        <v>2.8634920634920635</v>
      </c>
    </row>
    <row r="253" spans="1:30" x14ac:dyDescent="0.25">
      <c r="A253" s="1">
        <v>196</v>
      </c>
      <c r="B253" s="1" t="s">
        <v>496</v>
      </c>
      <c r="C253" s="1" t="s">
        <v>294</v>
      </c>
      <c r="D253" s="1">
        <v>25</v>
      </c>
      <c r="E253" s="1" t="s">
        <v>334</v>
      </c>
      <c r="F253" s="1">
        <v>55</v>
      </c>
      <c r="G253" s="1">
        <v>1755</v>
      </c>
      <c r="H253" s="1">
        <v>9.8000000000000007</v>
      </c>
      <c r="I253" s="1">
        <v>0.51800000000000002</v>
      </c>
      <c r="J253" s="1">
        <v>0.40300000000000002</v>
      </c>
      <c r="K253" s="1">
        <v>0.17499999999999999</v>
      </c>
      <c r="L253" s="1">
        <v>1.6</v>
      </c>
      <c r="M253" s="1">
        <v>8.6999999999999993</v>
      </c>
      <c r="N253" s="1">
        <v>5.2</v>
      </c>
      <c r="O253" s="1">
        <v>9</v>
      </c>
      <c r="P253" s="1">
        <v>2.1</v>
      </c>
      <c r="Q253" s="1">
        <v>0.7</v>
      </c>
      <c r="R253" s="1">
        <v>9.6</v>
      </c>
      <c r="S253" s="1">
        <v>15.1</v>
      </c>
      <c r="T253" s="1"/>
      <c r="U253" s="1">
        <v>0.5</v>
      </c>
      <c r="V253" s="1">
        <v>1.7</v>
      </c>
      <c r="W253" s="1">
        <v>2.2000000000000002</v>
      </c>
      <c r="X253" s="1">
        <v>5.8999999999999997E-2</v>
      </c>
      <c r="Y253" s="1"/>
      <c r="Z253" s="1">
        <v>-2.8</v>
      </c>
      <c r="AA253" s="1">
        <v>0.6</v>
      </c>
      <c r="AB253" s="1">
        <v>-2.2999999999999998</v>
      </c>
      <c r="AC253" s="1">
        <v>-0.1</v>
      </c>
      <c r="AD253">
        <f>Advanced_Table[[#This Row],[VORP]]*82/Advanced_Table[[#This Row],[G]]</f>
        <v>-0.14909090909090911</v>
      </c>
    </row>
    <row r="254" spans="1:30" x14ac:dyDescent="0.25">
      <c r="A254" s="1">
        <v>197</v>
      </c>
      <c r="B254" s="1" t="s">
        <v>497</v>
      </c>
      <c r="C254" s="1" t="s">
        <v>303</v>
      </c>
      <c r="D254" s="1">
        <v>28</v>
      </c>
      <c r="E254" s="1" t="s">
        <v>299</v>
      </c>
      <c r="F254" s="1">
        <v>63</v>
      </c>
      <c r="G254" s="1">
        <v>1946</v>
      </c>
      <c r="H254" s="1">
        <v>12.7</v>
      </c>
      <c r="I254" s="1">
        <v>0.59199999999999997</v>
      </c>
      <c r="J254" s="1">
        <v>0.52300000000000002</v>
      </c>
      <c r="K254" s="1">
        <v>0.11799999999999999</v>
      </c>
      <c r="L254" s="1">
        <v>3.3</v>
      </c>
      <c r="M254" s="1">
        <v>10.9</v>
      </c>
      <c r="N254" s="1">
        <v>7.2</v>
      </c>
      <c r="O254" s="1">
        <v>10.3</v>
      </c>
      <c r="P254" s="1">
        <v>0.9</v>
      </c>
      <c r="Q254" s="1">
        <v>0.7</v>
      </c>
      <c r="R254" s="1">
        <v>11.1</v>
      </c>
      <c r="S254" s="1">
        <v>17.899999999999999</v>
      </c>
      <c r="T254" s="1"/>
      <c r="U254" s="1">
        <v>2.1</v>
      </c>
      <c r="V254" s="1">
        <v>1.7</v>
      </c>
      <c r="W254" s="1">
        <v>3.8</v>
      </c>
      <c r="X254" s="1">
        <v>9.4E-2</v>
      </c>
      <c r="Y254" s="1"/>
      <c r="Z254" s="1">
        <v>0.1</v>
      </c>
      <c r="AA254" s="1">
        <v>-0.4</v>
      </c>
      <c r="AB254" s="1">
        <v>-0.4</v>
      </c>
      <c r="AC254" s="1">
        <v>0.8</v>
      </c>
      <c r="AD254">
        <f>Advanced_Table[[#This Row],[VORP]]*82/Advanced_Table[[#This Row],[G]]</f>
        <v>1.0412698412698413</v>
      </c>
    </row>
    <row r="255" spans="1:30" x14ac:dyDescent="0.25">
      <c r="A255" s="1">
        <v>198</v>
      </c>
      <c r="B255" s="1" t="s">
        <v>498</v>
      </c>
      <c r="C255" s="1" t="s">
        <v>23</v>
      </c>
      <c r="D255" s="1">
        <v>27</v>
      </c>
      <c r="E255" s="1" t="s">
        <v>361</v>
      </c>
      <c r="F255" s="1">
        <v>64</v>
      </c>
      <c r="G255" s="1">
        <v>2214</v>
      </c>
      <c r="H255" s="1">
        <v>16.8</v>
      </c>
      <c r="I255" s="1">
        <v>0.55800000000000005</v>
      </c>
      <c r="J255" s="1">
        <v>0.30599999999999999</v>
      </c>
      <c r="K255" s="1">
        <v>0.18099999999999999</v>
      </c>
      <c r="L255" s="1">
        <v>2.6</v>
      </c>
      <c r="M255" s="1">
        <v>19</v>
      </c>
      <c r="N255" s="1">
        <v>10.8</v>
      </c>
      <c r="O255" s="1">
        <v>14.5</v>
      </c>
      <c r="P255" s="1">
        <v>1.1000000000000001</v>
      </c>
      <c r="Q255" s="1">
        <v>1.3</v>
      </c>
      <c r="R255" s="1">
        <v>8</v>
      </c>
      <c r="S255" s="1">
        <v>23.6</v>
      </c>
      <c r="T255" s="1"/>
      <c r="U255" s="1">
        <v>2.9</v>
      </c>
      <c r="V255" s="1">
        <v>2.6</v>
      </c>
      <c r="W255" s="1">
        <v>5.5</v>
      </c>
      <c r="X255" s="1">
        <v>0.11899999999999999</v>
      </c>
      <c r="Y255" s="1"/>
      <c r="Z255" s="1">
        <v>0.9</v>
      </c>
      <c r="AA255" s="1">
        <v>-0.3</v>
      </c>
      <c r="AB255" s="1">
        <v>0.6</v>
      </c>
      <c r="AC255" s="1">
        <v>1.5</v>
      </c>
      <c r="AD255">
        <f>Advanced_Table[[#This Row],[VORP]]*82/Advanced_Table[[#This Row],[G]]</f>
        <v>1.921875</v>
      </c>
    </row>
    <row r="256" spans="1:30" x14ac:dyDescent="0.25">
      <c r="A256" s="1">
        <v>199</v>
      </c>
      <c r="B256" s="1" t="s">
        <v>499</v>
      </c>
      <c r="C256" s="1" t="s">
        <v>303</v>
      </c>
      <c r="D256" s="1">
        <v>26</v>
      </c>
      <c r="E256" s="1" t="s">
        <v>317</v>
      </c>
      <c r="F256" s="1">
        <v>43</v>
      </c>
      <c r="G256" s="1">
        <v>484</v>
      </c>
      <c r="H256" s="1">
        <v>17.8</v>
      </c>
      <c r="I256" s="1">
        <v>0.55900000000000005</v>
      </c>
      <c r="J256" s="1">
        <v>0.255</v>
      </c>
      <c r="K256" s="1">
        <v>0.30299999999999999</v>
      </c>
      <c r="L256" s="1">
        <v>4.8</v>
      </c>
      <c r="M256" s="1">
        <v>15.3</v>
      </c>
      <c r="N256" s="1">
        <v>9.8000000000000007</v>
      </c>
      <c r="O256" s="1">
        <v>15.3</v>
      </c>
      <c r="P256" s="1">
        <v>3.4</v>
      </c>
      <c r="Q256" s="1">
        <v>3.7</v>
      </c>
      <c r="R256" s="1">
        <v>9.1999999999999993</v>
      </c>
      <c r="S256" s="1">
        <v>18.100000000000001</v>
      </c>
      <c r="T256" s="1"/>
      <c r="U256" s="1">
        <v>0.8</v>
      </c>
      <c r="V256" s="1">
        <v>0.8</v>
      </c>
      <c r="W256" s="1">
        <v>1.5</v>
      </c>
      <c r="X256" s="1">
        <v>0.153</v>
      </c>
      <c r="Y256" s="1"/>
      <c r="Z256" s="1">
        <v>0.3</v>
      </c>
      <c r="AA256" s="1">
        <v>2.5</v>
      </c>
      <c r="AB256" s="1">
        <v>2.8</v>
      </c>
      <c r="AC256" s="1">
        <v>0.6</v>
      </c>
      <c r="AD256">
        <f>Advanced_Table[[#This Row],[VORP]]*82/Advanced_Table[[#This Row],[G]]</f>
        <v>1.1441860465116278</v>
      </c>
    </row>
    <row r="257" spans="1:30" x14ac:dyDescent="0.25">
      <c r="A257" s="1">
        <v>200</v>
      </c>
      <c r="B257" s="1" t="s">
        <v>500</v>
      </c>
      <c r="C257" s="1" t="s">
        <v>303</v>
      </c>
      <c r="D257" s="1">
        <v>24</v>
      </c>
      <c r="E257" s="1" t="s">
        <v>295</v>
      </c>
      <c r="F257" s="1">
        <v>57</v>
      </c>
      <c r="G257" s="1">
        <v>1563</v>
      </c>
      <c r="H257" s="1">
        <v>11.7</v>
      </c>
      <c r="I257" s="1">
        <v>0.55600000000000005</v>
      </c>
      <c r="J257" s="1">
        <v>0.67600000000000005</v>
      </c>
      <c r="K257" s="1">
        <v>0.189</v>
      </c>
      <c r="L257" s="1">
        <v>3.6</v>
      </c>
      <c r="M257" s="1">
        <v>21.4</v>
      </c>
      <c r="N257" s="1">
        <v>12.5</v>
      </c>
      <c r="O257" s="1">
        <v>8</v>
      </c>
      <c r="P257" s="1">
        <v>1.7</v>
      </c>
      <c r="Q257" s="1">
        <v>1.1000000000000001</v>
      </c>
      <c r="R257" s="1">
        <v>11.1</v>
      </c>
      <c r="S257" s="1">
        <v>15.3</v>
      </c>
      <c r="T257" s="1"/>
      <c r="U257" s="1">
        <v>1</v>
      </c>
      <c r="V257" s="1">
        <v>1.7</v>
      </c>
      <c r="W257" s="1">
        <v>2.7</v>
      </c>
      <c r="X257" s="1">
        <v>8.3000000000000004E-2</v>
      </c>
      <c r="Y257" s="1"/>
      <c r="Z257" s="1">
        <v>-1</v>
      </c>
      <c r="AA257" s="1">
        <v>0.4</v>
      </c>
      <c r="AB257" s="1">
        <v>-0.6</v>
      </c>
      <c r="AC257" s="1">
        <v>0.6</v>
      </c>
      <c r="AD257">
        <f>Advanced_Table[[#This Row],[VORP]]*82/Advanced_Table[[#This Row],[G]]</f>
        <v>0.86315789473684201</v>
      </c>
    </row>
    <row r="258" spans="1:30" x14ac:dyDescent="0.25">
      <c r="A258" s="1">
        <v>201</v>
      </c>
      <c r="B258" s="1" t="s">
        <v>501</v>
      </c>
      <c r="C258" s="1" t="s">
        <v>287</v>
      </c>
      <c r="D258" s="1">
        <v>21</v>
      </c>
      <c r="E258" s="1" t="s">
        <v>305</v>
      </c>
      <c r="F258" s="1">
        <v>23</v>
      </c>
      <c r="G258" s="1">
        <v>266</v>
      </c>
      <c r="H258" s="1">
        <v>18.7</v>
      </c>
      <c r="I258" s="1">
        <v>0.67400000000000004</v>
      </c>
      <c r="J258" s="1">
        <v>7.4999999999999997E-2</v>
      </c>
      <c r="K258" s="1">
        <v>0.41799999999999998</v>
      </c>
      <c r="L258" s="1">
        <v>11.4</v>
      </c>
      <c r="M258" s="1">
        <v>24.2</v>
      </c>
      <c r="N258" s="1">
        <v>17.7</v>
      </c>
      <c r="O258" s="1">
        <v>9.8000000000000007</v>
      </c>
      <c r="P258" s="1">
        <v>1.6</v>
      </c>
      <c r="Q258" s="1">
        <v>3.9</v>
      </c>
      <c r="R258" s="1">
        <v>16.8</v>
      </c>
      <c r="S258" s="1">
        <v>14.8</v>
      </c>
      <c r="T258" s="1"/>
      <c r="U258" s="1">
        <v>0.7</v>
      </c>
      <c r="V258" s="1">
        <v>0.4</v>
      </c>
      <c r="W258" s="1">
        <v>1.1000000000000001</v>
      </c>
      <c r="X258" s="1">
        <v>0.191</v>
      </c>
      <c r="Y258" s="1"/>
      <c r="Z258" s="1">
        <v>-0.8</v>
      </c>
      <c r="AA258" s="1">
        <v>1.3</v>
      </c>
      <c r="AB258" s="1">
        <v>0.6</v>
      </c>
      <c r="AC258" s="1">
        <v>0.2</v>
      </c>
      <c r="AD258">
        <f>Advanced_Table[[#This Row],[VORP]]*82/Advanced_Table[[#This Row],[G]]</f>
        <v>0.71304347826086967</v>
      </c>
    </row>
    <row r="259" spans="1:30" x14ac:dyDescent="0.25">
      <c r="A259" s="1">
        <v>202</v>
      </c>
      <c r="B259" s="1" t="s">
        <v>502</v>
      </c>
      <c r="C259" s="1" t="s">
        <v>23</v>
      </c>
      <c r="D259" s="1">
        <v>39</v>
      </c>
      <c r="E259" s="1" t="s">
        <v>290</v>
      </c>
      <c r="F259" s="1">
        <v>3</v>
      </c>
      <c r="G259" s="1">
        <v>21</v>
      </c>
      <c r="H259" s="1">
        <v>3</v>
      </c>
      <c r="I259" s="1">
        <v>0.32200000000000001</v>
      </c>
      <c r="J259" s="1">
        <v>0.33300000000000002</v>
      </c>
      <c r="K259" s="1">
        <v>0.66700000000000004</v>
      </c>
      <c r="L259" s="1">
        <v>0</v>
      </c>
      <c r="M259" s="1">
        <v>41</v>
      </c>
      <c r="N259" s="1">
        <v>21.4</v>
      </c>
      <c r="O259" s="1">
        <v>6.2</v>
      </c>
      <c r="P259" s="1">
        <v>0</v>
      </c>
      <c r="Q259" s="1">
        <v>0</v>
      </c>
      <c r="R259" s="1">
        <v>0</v>
      </c>
      <c r="S259" s="1">
        <v>16.3</v>
      </c>
      <c r="T259" s="1"/>
      <c r="U259" s="1">
        <v>0</v>
      </c>
      <c r="V259" s="1">
        <v>0</v>
      </c>
      <c r="W259" s="1">
        <v>0</v>
      </c>
      <c r="X259" s="1">
        <v>-3.1E-2</v>
      </c>
      <c r="Y259" s="1"/>
      <c r="Z259" s="1">
        <v>-9.6999999999999993</v>
      </c>
      <c r="AA259" s="1">
        <v>-3.2</v>
      </c>
      <c r="AB259" s="1">
        <v>-12.8</v>
      </c>
      <c r="AC259" s="1">
        <v>-0.1</v>
      </c>
      <c r="AD259">
        <f>Advanced_Table[[#This Row],[VORP]]*82/Advanced_Table[[#This Row],[G]]</f>
        <v>-2.7333333333333338</v>
      </c>
    </row>
    <row r="260" spans="1:30" x14ac:dyDescent="0.25">
      <c r="A260" s="1">
        <v>203</v>
      </c>
      <c r="B260" s="1" t="s">
        <v>503</v>
      </c>
      <c r="C260" s="1" t="s">
        <v>287</v>
      </c>
      <c r="D260" s="1">
        <v>19</v>
      </c>
      <c r="E260" s="1" t="s">
        <v>295</v>
      </c>
      <c r="F260" s="1">
        <v>56</v>
      </c>
      <c r="G260" s="1">
        <v>951</v>
      </c>
      <c r="H260" s="1">
        <v>17.8</v>
      </c>
      <c r="I260" s="1">
        <v>0.67500000000000004</v>
      </c>
      <c r="J260" s="1">
        <v>1.7000000000000001E-2</v>
      </c>
      <c r="K260" s="1">
        <v>0.73599999999999999</v>
      </c>
      <c r="L260" s="1">
        <v>9</v>
      </c>
      <c r="M260" s="1">
        <v>15.7</v>
      </c>
      <c r="N260" s="1">
        <v>12.3</v>
      </c>
      <c r="O260" s="1">
        <v>7.5</v>
      </c>
      <c r="P260" s="1">
        <v>1.1000000000000001</v>
      </c>
      <c r="Q260" s="1">
        <v>4.5999999999999996</v>
      </c>
      <c r="R260" s="1">
        <v>11.6</v>
      </c>
      <c r="S260" s="1">
        <v>15.1</v>
      </c>
      <c r="T260" s="1"/>
      <c r="U260" s="1">
        <v>2.5</v>
      </c>
      <c r="V260" s="1">
        <v>1</v>
      </c>
      <c r="W260" s="1">
        <v>3.5</v>
      </c>
      <c r="X260" s="1">
        <v>0.17599999999999999</v>
      </c>
      <c r="Y260" s="1"/>
      <c r="Z260" s="1">
        <v>-0.6</v>
      </c>
      <c r="AA260" s="1">
        <v>0.7</v>
      </c>
      <c r="AB260" s="1">
        <v>0.1</v>
      </c>
      <c r="AC260" s="1">
        <v>0.5</v>
      </c>
      <c r="AD260">
        <f>Advanced_Table[[#This Row],[VORP]]*82/Advanced_Table[[#This Row],[G]]</f>
        <v>0.7321428571428571</v>
      </c>
    </row>
    <row r="261" spans="1:30" x14ac:dyDescent="0.25">
      <c r="A261" s="1">
        <v>204</v>
      </c>
      <c r="B261" s="1" t="s">
        <v>504</v>
      </c>
      <c r="C261" s="1" t="s">
        <v>303</v>
      </c>
      <c r="D261" s="1">
        <v>29</v>
      </c>
      <c r="E261" s="1" t="s">
        <v>383</v>
      </c>
      <c r="F261" s="1">
        <v>45</v>
      </c>
      <c r="G261" s="1">
        <v>1501</v>
      </c>
      <c r="H261" s="1">
        <v>18.2</v>
      </c>
      <c r="I261" s="1">
        <v>0.59299999999999997</v>
      </c>
      <c r="J261" s="1">
        <v>0.311</v>
      </c>
      <c r="K261" s="1">
        <v>0.183</v>
      </c>
      <c r="L261" s="1">
        <v>3.2</v>
      </c>
      <c r="M261" s="1">
        <v>17.600000000000001</v>
      </c>
      <c r="N261" s="1">
        <v>10.5</v>
      </c>
      <c r="O261" s="1">
        <v>19</v>
      </c>
      <c r="P261" s="1">
        <v>1.1000000000000001</v>
      </c>
      <c r="Q261" s="1">
        <v>1.2</v>
      </c>
      <c r="R261" s="1">
        <v>10.8</v>
      </c>
      <c r="S261" s="1">
        <v>20.9</v>
      </c>
      <c r="T261" s="1"/>
      <c r="U261" s="1">
        <v>3.1</v>
      </c>
      <c r="V261" s="1">
        <v>1.9</v>
      </c>
      <c r="W261" s="1">
        <v>5</v>
      </c>
      <c r="X261" s="1">
        <v>0.16</v>
      </c>
      <c r="Y261" s="1"/>
      <c r="Z261" s="1">
        <v>2.7</v>
      </c>
      <c r="AA261" s="1">
        <v>0.2</v>
      </c>
      <c r="AB261" s="1">
        <v>2.9</v>
      </c>
      <c r="AC261" s="1">
        <v>1.9</v>
      </c>
      <c r="AD261">
        <f>Advanced_Table[[#This Row],[VORP]]*82/Advanced_Table[[#This Row],[G]]</f>
        <v>3.4622222222222216</v>
      </c>
    </row>
    <row r="262" spans="1:30" x14ac:dyDescent="0.25">
      <c r="A262" s="1">
        <v>205</v>
      </c>
      <c r="B262" s="1" t="s">
        <v>505</v>
      </c>
      <c r="C262" s="1" t="s">
        <v>23</v>
      </c>
      <c r="D262" s="1">
        <v>29</v>
      </c>
      <c r="E262" s="1" t="s">
        <v>957</v>
      </c>
      <c r="F262" s="1">
        <v>40</v>
      </c>
      <c r="G262" s="1">
        <v>600</v>
      </c>
      <c r="H262" s="1">
        <v>17</v>
      </c>
      <c r="I262" s="1">
        <v>0.57799999999999996</v>
      </c>
      <c r="J262" s="1">
        <v>0.21099999999999999</v>
      </c>
      <c r="K262" s="1">
        <v>0.26900000000000002</v>
      </c>
      <c r="L262" s="1">
        <v>8.5</v>
      </c>
      <c r="M262" s="1">
        <v>21.8</v>
      </c>
      <c r="N262" s="1">
        <v>15.1</v>
      </c>
      <c r="O262" s="1">
        <v>13.4</v>
      </c>
      <c r="P262" s="1">
        <v>2</v>
      </c>
      <c r="Q262" s="1">
        <v>6</v>
      </c>
      <c r="R262" s="1">
        <v>15.8</v>
      </c>
      <c r="S262" s="1">
        <v>16.3</v>
      </c>
      <c r="T262" s="1"/>
      <c r="U262" s="1">
        <v>0.6</v>
      </c>
      <c r="V262" s="1">
        <v>0.8</v>
      </c>
      <c r="W262" s="1">
        <v>1.4</v>
      </c>
      <c r="X262" s="1">
        <v>0.11</v>
      </c>
      <c r="Y262" s="1"/>
      <c r="Z262" s="1">
        <v>-1.1000000000000001</v>
      </c>
      <c r="AA262" s="1">
        <v>2</v>
      </c>
      <c r="AB262" s="1">
        <v>0.9</v>
      </c>
      <c r="AC262" s="1">
        <v>0.4</v>
      </c>
      <c r="AD262">
        <f>Advanced_Table[[#This Row],[VORP]]*82/Advanced_Table[[#This Row],[G]]</f>
        <v>0.82000000000000006</v>
      </c>
    </row>
    <row r="263" spans="1:30" x14ac:dyDescent="0.25">
      <c r="A263" s="1">
        <v>205</v>
      </c>
      <c r="B263" s="1" t="s">
        <v>505</v>
      </c>
      <c r="C263" s="1" t="s">
        <v>23</v>
      </c>
      <c r="D263" s="1">
        <v>29</v>
      </c>
      <c r="E263" s="1" t="s">
        <v>411</v>
      </c>
      <c r="F263" s="1">
        <v>29</v>
      </c>
      <c r="G263" s="1">
        <v>412</v>
      </c>
      <c r="H263" s="1">
        <v>16.899999999999999</v>
      </c>
      <c r="I263" s="1">
        <v>0.53900000000000003</v>
      </c>
      <c r="J263" s="1">
        <v>0.25800000000000001</v>
      </c>
      <c r="K263" s="1">
        <v>0.27500000000000002</v>
      </c>
      <c r="L263" s="1">
        <v>8.5</v>
      </c>
      <c r="M263" s="1">
        <v>22.3</v>
      </c>
      <c r="N263" s="1">
        <v>15.4</v>
      </c>
      <c r="O263" s="1">
        <v>15.2</v>
      </c>
      <c r="P263" s="1">
        <v>1.9</v>
      </c>
      <c r="Q263" s="1">
        <v>6.7</v>
      </c>
      <c r="R263" s="1">
        <v>13.5</v>
      </c>
      <c r="S263" s="1">
        <v>16.100000000000001</v>
      </c>
      <c r="T263" s="1"/>
      <c r="U263" s="1">
        <v>0.4</v>
      </c>
      <c r="V263" s="1">
        <v>0.5</v>
      </c>
      <c r="W263" s="1">
        <v>0.9</v>
      </c>
      <c r="X263" s="1">
        <v>0.109</v>
      </c>
      <c r="Y263" s="1"/>
      <c r="Z263" s="1">
        <v>-1.1000000000000001</v>
      </c>
      <c r="AA263" s="1">
        <v>2.2000000000000002</v>
      </c>
      <c r="AB263" s="1">
        <v>1.1000000000000001</v>
      </c>
      <c r="AC263" s="1">
        <v>0.3</v>
      </c>
      <c r="AD263">
        <f>Advanced_Table[[#This Row],[VORP]]*82/Advanced_Table[[#This Row],[G]]</f>
        <v>0.84827586206896544</v>
      </c>
    </row>
    <row r="264" spans="1:30" x14ac:dyDescent="0.25">
      <c r="A264" s="1">
        <v>205</v>
      </c>
      <c r="B264" s="1" t="s">
        <v>505</v>
      </c>
      <c r="C264" s="1" t="s">
        <v>23</v>
      </c>
      <c r="D264" s="1">
        <v>29</v>
      </c>
      <c r="E264" s="1" t="s">
        <v>363</v>
      </c>
      <c r="F264" s="1">
        <v>11</v>
      </c>
      <c r="G264" s="1">
        <v>188</v>
      </c>
      <c r="H264" s="1">
        <v>17.100000000000001</v>
      </c>
      <c r="I264" s="1">
        <v>0.67</v>
      </c>
      <c r="J264" s="1">
        <v>9.8000000000000004E-2</v>
      </c>
      <c r="K264" s="1">
        <v>0.255</v>
      </c>
      <c r="L264" s="1">
        <v>8.3000000000000007</v>
      </c>
      <c r="M264" s="1">
        <v>20.8</v>
      </c>
      <c r="N264" s="1">
        <v>14.5</v>
      </c>
      <c r="O264" s="1">
        <v>9.3000000000000007</v>
      </c>
      <c r="P264" s="1">
        <v>2.1</v>
      </c>
      <c r="Q264" s="1">
        <v>4.4000000000000004</v>
      </c>
      <c r="R264" s="1">
        <v>20.9</v>
      </c>
      <c r="S264" s="1">
        <v>16.600000000000001</v>
      </c>
      <c r="T264" s="1"/>
      <c r="U264" s="1">
        <v>0.2</v>
      </c>
      <c r="V264" s="1">
        <v>0.3</v>
      </c>
      <c r="W264" s="1">
        <v>0.4</v>
      </c>
      <c r="X264" s="1">
        <v>0.111</v>
      </c>
      <c r="Y264" s="1"/>
      <c r="Z264" s="1">
        <v>-1.1000000000000001</v>
      </c>
      <c r="AA264" s="1">
        <v>1.8</v>
      </c>
      <c r="AB264" s="1">
        <v>0.7</v>
      </c>
      <c r="AC264" s="1">
        <v>0.1</v>
      </c>
      <c r="AD264">
        <f>Advanced_Table[[#This Row],[VORP]]*82/Advanced_Table[[#This Row],[G]]</f>
        <v>0.74545454545454559</v>
      </c>
    </row>
    <row r="265" spans="1:30" x14ac:dyDescent="0.25">
      <c r="A265" s="1">
        <v>206</v>
      </c>
      <c r="B265" s="1" t="s">
        <v>506</v>
      </c>
      <c r="C265" s="1" t="s">
        <v>287</v>
      </c>
      <c r="D265" s="1">
        <v>23</v>
      </c>
      <c r="E265" s="1" t="s">
        <v>314</v>
      </c>
      <c r="F265" s="1">
        <v>4</v>
      </c>
      <c r="G265" s="1">
        <v>11</v>
      </c>
      <c r="H265" s="1">
        <v>4.2</v>
      </c>
      <c r="I265" s="1">
        <v>0.34</v>
      </c>
      <c r="J265" s="1">
        <v>0.2</v>
      </c>
      <c r="K265" s="1">
        <v>0.4</v>
      </c>
      <c r="L265" s="1">
        <v>19.600000000000001</v>
      </c>
      <c r="M265" s="1">
        <v>47</v>
      </c>
      <c r="N265" s="1">
        <v>33.6</v>
      </c>
      <c r="O265" s="1">
        <v>0</v>
      </c>
      <c r="P265" s="1">
        <v>4.3</v>
      </c>
      <c r="Q265" s="1">
        <v>0</v>
      </c>
      <c r="R265" s="1">
        <v>14.5</v>
      </c>
      <c r="S265" s="1">
        <v>26.8</v>
      </c>
      <c r="T265" s="1"/>
      <c r="U265" s="1">
        <v>0</v>
      </c>
      <c r="V265" s="1">
        <v>0</v>
      </c>
      <c r="W265" s="1">
        <v>0</v>
      </c>
      <c r="X265" s="1">
        <v>3.0000000000000001E-3</v>
      </c>
      <c r="Y265" s="1"/>
      <c r="Z265" s="1">
        <v>-18.2</v>
      </c>
      <c r="AA265" s="1">
        <v>-3.1</v>
      </c>
      <c r="AB265" s="1">
        <v>-21.3</v>
      </c>
      <c r="AC265" s="1">
        <v>-0.1</v>
      </c>
      <c r="AD265">
        <f>Advanced_Table[[#This Row],[VORP]]*82/Advanced_Table[[#This Row],[G]]</f>
        <v>-2.0500000000000003</v>
      </c>
    </row>
    <row r="266" spans="1:30" x14ac:dyDescent="0.25">
      <c r="A266" s="1">
        <v>207</v>
      </c>
      <c r="B266" s="1" t="s">
        <v>507</v>
      </c>
      <c r="C266" s="1" t="s">
        <v>23</v>
      </c>
      <c r="D266" s="1">
        <v>24</v>
      </c>
      <c r="E266" s="1" t="s">
        <v>957</v>
      </c>
      <c r="F266" s="1">
        <v>48</v>
      </c>
      <c r="G266" s="1">
        <v>833</v>
      </c>
      <c r="H266" s="1">
        <v>10.5</v>
      </c>
      <c r="I266" s="1">
        <v>0.51800000000000002</v>
      </c>
      <c r="J266" s="1">
        <v>0.52200000000000002</v>
      </c>
      <c r="K266" s="1">
        <v>0.28699999999999998</v>
      </c>
      <c r="L266" s="1">
        <v>5.5</v>
      </c>
      <c r="M266" s="1">
        <v>20.399999999999999</v>
      </c>
      <c r="N266" s="1">
        <v>12.8</v>
      </c>
      <c r="O266" s="1">
        <v>6.6</v>
      </c>
      <c r="P266" s="1">
        <v>1.1000000000000001</v>
      </c>
      <c r="Q266" s="1">
        <v>1</v>
      </c>
      <c r="R266" s="1">
        <v>10</v>
      </c>
      <c r="S266" s="1">
        <v>15.7</v>
      </c>
      <c r="T266" s="1"/>
      <c r="U266" s="1">
        <v>0.3</v>
      </c>
      <c r="V266" s="1">
        <v>0.7</v>
      </c>
      <c r="W266" s="1">
        <v>1</v>
      </c>
      <c r="X266" s="1">
        <v>5.7000000000000002E-2</v>
      </c>
      <c r="Y266" s="1"/>
      <c r="Z266" s="1">
        <v>-2.2000000000000002</v>
      </c>
      <c r="AA266" s="1">
        <v>-1.1000000000000001</v>
      </c>
      <c r="AB266" s="1">
        <v>-3.3</v>
      </c>
      <c r="AC266" s="1">
        <v>-0.3</v>
      </c>
      <c r="AD266">
        <f>Advanced_Table[[#This Row],[VORP]]*82/Advanced_Table[[#This Row],[G]]</f>
        <v>-0.51249999999999996</v>
      </c>
    </row>
    <row r="267" spans="1:30" x14ac:dyDescent="0.25">
      <c r="A267" s="1">
        <v>207</v>
      </c>
      <c r="B267" s="1" t="s">
        <v>507</v>
      </c>
      <c r="C267" s="1" t="s">
        <v>23</v>
      </c>
      <c r="D267" s="1">
        <v>24</v>
      </c>
      <c r="E267" s="1" t="s">
        <v>334</v>
      </c>
      <c r="F267" s="1">
        <v>34</v>
      </c>
      <c r="G267" s="1">
        <v>422</v>
      </c>
      <c r="H267" s="1">
        <v>6.9</v>
      </c>
      <c r="I267" s="1">
        <v>0.442</v>
      </c>
      <c r="J267" s="1">
        <v>0.54500000000000004</v>
      </c>
      <c r="K267" s="1">
        <v>0.22700000000000001</v>
      </c>
      <c r="L267" s="1">
        <v>6.3</v>
      </c>
      <c r="M267" s="1">
        <v>18.8</v>
      </c>
      <c r="N267" s="1">
        <v>12.5</v>
      </c>
      <c r="O267" s="1">
        <v>6.7</v>
      </c>
      <c r="P267" s="1">
        <v>0.6</v>
      </c>
      <c r="Q267" s="1">
        <v>1.1000000000000001</v>
      </c>
      <c r="R267" s="1">
        <v>12.9</v>
      </c>
      <c r="S267" s="1">
        <v>14.3</v>
      </c>
      <c r="T267" s="1"/>
      <c r="U267" s="1">
        <v>-0.2</v>
      </c>
      <c r="V267" s="1">
        <v>0.4</v>
      </c>
      <c r="W267" s="1">
        <v>0.1</v>
      </c>
      <c r="X267" s="1">
        <v>1.4999999999999999E-2</v>
      </c>
      <c r="Y267" s="1"/>
      <c r="Z267" s="1">
        <v>-4</v>
      </c>
      <c r="AA267" s="1">
        <v>-1.1000000000000001</v>
      </c>
      <c r="AB267" s="1">
        <v>-5.0999999999999996</v>
      </c>
      <c r="AC267" s="1">
        <v>-0.3</v>
      </c>
      <c r="AD267">
        <f>Advanced_Table[[#This Row],[VORP]]*82/Advanced_Table[[#This Row],[G]]</f>
        <v>-0.72352941176470587</v>
      </c>
    </row>
    <row r="268" spans="1:30" x14ac:dyDescent="0.25">
      <c r="A268" s="1">
        <v>207</v>
      </c>
      <c r="B268" s="1" t="s">
        <v>507</v>
      </c>
      <c r="C268" s="1" t="s">
        <v>23</v>
      </c>
      <c r="D268" s="1">
        <v>24</v>
      </c>
      <c r="E268" s="1" t="s">
        <v>336</v>
      </c>
      <c r="F268" s="1">
        <v>14</v>
      </c>
      <c r="G268" s="1">
        <v>411</v>
      </c>
      <c r="H268" s="1">
        <v>14.2</v>
      </c>
      <c r="I268" s="1">
        <v>0.57599999999999996</v>
      </c>
      <c r="J268" s="1">
        <v>0.504</v>
      </c>
      <c r="K268" s="1">
        <v>0.33600000000000002</v>
      </c>
      <c r="L268" s="1">
        <v>4.7</v>
      </c>
      <c r="M268" s="1">
        <v>22.1</v>
      </c>
      <c r="N268" s="1">
        <v>13.1</v>
      </c>
      <c r="O268" s="1">
        <v>6.4</v>
      </c>
      <c r="P268" s="1">
        <v>1.6</v>
      </c>
      <c r="Q268" s="1">
        <v>0.8</v>
      </c>
      <c r="R268" s="1">
        <v>7.6</v>
      </c>
      <c r="S268" s="1">
        <v>17</v>
      </c>
      <c r="T268" s="1"/>
      <c r="U268" s="1">
        <v>0.5</v>
      </c>
      <c r="V268" s="1">
        <v>0.4</v>
      </c>
      <c r="W268" s="1">
        <v>0.9</v>
      </c>
      <c r="X268" s="1">
        <v>0.10100000000000001</v>
      </c>
      <c r="Y268" s="1"/>
      <c r="Z268" s="1">
        <v>-0.4</v>
      </c>
      <c r="AA268" s="1">
        <v>-1</v>
      </c>
      <c r="AB268" s="1">
        <v>-1.4</v>
      </c>
      <c r="AC268" s="1">
        <v>0.1</v>
      </c>
      <c r="AD268">
        <f>Advanced_Table[[#This Row],[VORP]]*82/Advanced_Table[[#This Row],[G]]</f>
        <v>0.58571428571428574</v>
      </c>
    </row>
    <row r="269" spans="1:30" x14ac:dyDescent="0.25">
      <c r="A269" s="1">
        <v>208</v>
      </c>
      <c r="B269" s="1" t="s">
        <v>508</v>
      </c>
      <c r="C269" s="1" t="s">
        <v>287</v>
      </c>
      <c r="D269" s="1">
        <v>25</v>
      </c>
      <c r="E269" s="1" t="s">
        <v>324</v>
      </c>
      <c r="F269" s="1">
        <v>31</v>
      </c>
      <c r="G269" s="1">
        <v>375</v>
      </c>
      <c r="H269" s="1">
        <v>19.2</v>
      </c>
      <c r="I269" s="1">
        <v>0.57599999999999996</v>
      </c>
      <c r="J269" s="1">
        <v>0.158</v>
      </c>
      <c r="K269" s="1">
        <v>0.42399999999999999</v>
      </c>
      <c r="L269" s="1">
        <v>12.1</v>
      </c>
      <c r="M269" s="1">
        <v>27.5</v>
      </c>
      <c r="N269" s="1">
        <v>19.5</v>
      </c>
      <c r="O269" s="1">
        <v>13.5</v>
      </c>
      <c r="P269" s="1">
        <v>1.3</v>
      </c>
      <c r="Q269" s="1">
        <v>1.7</v>
      </c>
      <c r="R269" s="1">
        <v>15.4</v>
      </c>
      <c r="S269" s="1">
        <v>22.9</v>
      </c>
      <c r="T269" s="1"/>
      <c r="U269" s="1">
        <v>0.4</v>
      </c>
      <c r="V269" s="1">
        <v>0.4</v>
      </c>
      <c r="W269" s="1">
        <v>0.8</v>
      </c>
      <c r="X269" s="1">
        <v>0.106</v>
      </c>
      <c r="Y269" s="1"/>
      <c r="Z269" s="1">
        <v>0.6</v>
      </c>
      <c r="AA269" s="1">
        <v>-0.6</v>
      </c>
      <c r="AB269" s="1">
        <v>0</v>
      </c>
      <c r="AC269" s="1">
        <v>0.2</v>
      </c>
      <c r="AD269">
        <f>Advanced_Table[[#This Row],[VORP]]*82/Advanced_Table[[#This Row],[G]]</f>
        <v>0.52903225806451615</v>
      </c>
    </row>
    <row r="270" spans="1:30" x14ac:dyDescent="0.25">
      <c r="A270" s="1">
        <v>209</v>
      </c>
      <c r="B270" s="1" t="s">
        <v>509</v>
      </c>
      <c r="C270" s="1" t="s">
        <v>294</v>
      </c>
      <c r="D270" s="1">
        <v>20</v>
      </c>
      <c r="E270" s="1" t="s">
        <v>290</v>
      </c>
      <c r="F270" s="1">
        <v>46</v>
      </c>
      <c r="G270" s="1">
        <v>1273</v>
      </c>
      <c r="H270" s="1">
        <v>11.4</v>
      </c>
      <c r="I270" s="1">
        <v>0.53500000000000003</v>
      </c>
      <c r="J270" s="1">
        <v>0.47599999999999998</v>
      </c>
      <c r="K270" s="1">
        <v>0.14899999999999999</v>
      </c>
      <c r="L270" s="1">
        <v>1.3</v>
      </c>
      <c r="M270" s="1">
        <v>14.5</v>
      </c>
      <c r="N270" s="1">
        <v>8.1999999999999993</v>
      </c>
      <c r="O270" s="1">
        <v>11.1</v>
      </c>
      <c r="P270" s="1">
        <v>1.1000000000000001</v>
      </c>
      <c r="Q270" s="1">
        <v>0.5</v>
      </c>
      <c r="R270" s="1">
        <v>11.3</v>
      </c>
      <c r="S270" s="1">
        <v>22</v>
      </c>
      <c r="T270" s="1"/>
      <c r="U270" s="1">
        <v>-0.2</v>
      </c>
      <c r="V270" s="1">
        <v>1.1000000000000001</v>
      </c>
      <c r="W270" s="1">
        <v>0.9</v>
      </c>
      <c r="X270" s="1">
        <v>3.5000000000000003E-2</v>
      </c>
      <c r="Y270" s="1"/>
      <c r="Z270" s="1">
        <v>-0.9</v>
      </c>
      <c r="AA270" s="1">
        <v>-1.4</v>
      </c>
      <c r="AB270" s="1">
        <v>-2.2999999999999998</v>
      </c>
      <c r="AC270" s="1">
        <v>-0.1</v>
      </c>
      <c r="AD270">
        <f>Advanced_Table[[#This Row],[VORP]]*82/Advanced_Table[[#This Row],[G]]</f>
        <v>-0.17826086956521742</v>
      </c>
    </row>
    <row r="271" spans="1:30" x14ac:dyDescent="0.25">
      <c r="A271" s="1">
        <v>210</v>
      </c>
      <c r="B271" s="1" t="s">
        <v>959</v>
      </c>
      <c r="C271" s="1" t="s">
        <v>23</v>
      </c>
      <c r="D271" s="1">
        <v>23</v>
      </c>
      <c r="E271" s="1" t="s">
        <v>288</v>
      </c>
      <c r="F271" s="1">
        <v>7</v>
      </c>
      <c r="G271" s="1">
        <v>19</v>
      </c>
      <c r="H271" s="1">
        <v>-14.9</v>
      </c>
      <c r="I271" s="1">
        <v>9.0999999999999998E-2</v>
      </c>
      <c r="J271" s="1">
        <v>0.72699999999999998</v>
      </c>
      <c r="K271" s="1">
        <v>0</v>
      </c>
      <c r="L271" s="1">
        <v>0</v>
      </c>
      <c r="M271" s="1">
        <v>11.3</v>
      </c>
      <c r="N271" s="1">
        <v>5.8</v>
      </c>
      <c r="O271" s="1">
        <v>6.7</v>
      </c>
      <c r="P271" s="1">
        <v>0</v>
      </c>
      <c r="Q271" s="1">
        <v>0</v>
      </c>
      <c r="R271" s="1">
        <v>0</v>
      </c>
      <c r="S271" s="1">
        <v>25.5</v>
      </c>
      <c r="T271" s="1"/>
      <c r="U271" s="1">
        <v>-0.2</v>
      </c>
      <c r="V271" s="1">
        <v>0</v>
      </c>
      <c r="W271" s="1">
        <v>-0.2</v>
      </c>
      <c r="X271" s="1">
        <v>-0.47099999999999997</v>
      </c>
      <c r="Y271" s="1"/>
      <c r="Z271" s="1">
        <v>-13.3</v>
      </c>
      <c r="AA271" s="1">
        <v>-6.4</v>
      </c>
      <c r="AB271" s="1">
        <v>-19.7</v>
      </c>
      <c r="AC271" s="1">
        <v>-0.1</v>
      </c>
      <c r="AD271">
        <f>Advanced_Table[[#This Row],[VORP]]*82/Advanced_Table[[#This Row],[G]]</f>
        <v>-1.1714285714285715</v>
      </c>
    </row>
    <row r="272" spans="1:30" x14ac:dyDescent="0.25">
      <c r="A272" s="1">
        <v>211</v>
      </c>
      <c r="B272" s="1" t="s">
        <v>510</v>
      </c>
      <c r="C272" s="1" t="s">
        <v>23</v>
      </c>
      <c r="D272" s="1">
        <v>24</v>
      </c>
      <c r="E272" s="1" t="s">
        <v>312</v>
      </c>
      <c r="F272" s="1">
        <v>47</v>
      </c>
      <c r="G272" s="1">
        <v>767</v>
      </c>
      <c r="H272" s="1">
        <v>9.5</v>
      </c>
      <c r="I272" s="1">
        <v>0.53200000000000003</v>
      </c>
      <c r="J272" s="1">
        <v>0.33900000000000002</v>
      </c>
      <c r="K272" s="1">
        <v>0.27</v>
      </c>
      <c r="L272" s="1">
        <v>3.6</v>
      </c>
      <c r="M272" s="1">
        <v>18.100000000000001</v>
      </c>
      <c r="N272" s="1">
        <v>10.9</v>
      </c>
      <c r="O272" s="1">
        <v>7.2</v>
      </c>
      <c r="P272" s="1">
        <v>1.7</v>
      </c>
      <c r="Q272" s="1">
        <v>1</v>
      </c>
      <c r="R272" s="1">
        <v>14.9</v>
      </c>
      <c r="S272" s="1">
        <v>13.7</v>
      </c>
      <c r="T272" s="1"/>
      <c r="U272" s="1">
        <v>0.1</v>
      </c>
      <c r="V272" s="1">
        <v>0.6</v>
      </c>
      <c r="W272" s="1">
        <v>0.7</v>
      </c>
      <c r="X272" s="1">
        <v>4.5999999999999999E-2</v>
      </c>
      <c r="Y272" s="1"/>
      <c r="Z272" s="1">
        <v>-3.1</v>
      </c>
      <c r="AA272" s="1">
        <v>0.3</v>
      </c>
      <c r="AB272" s="1">
        <v>-2.8</v>
      </c>
      <c r="AC272" s="1">
        <v>-0.1</v>
      </c>
      <c r="AD272">
        <f>Advanced_Table[[#This Row],[VORP]]*82/Advanced_Table[[#This Row],[G]]</f>
        <v>-0.17446808510638301</v>
      </c>
    </row>
    <row r="273" spans="1:30" x14ac:dyDescent="0.25">
      <c r="A273" s="1">
        <v>212</v>
      </c>
      <c r="B273" s="1" t="s">
        <v>511</v>
      </c>
      <c r="C273" s="1" t="s">
        <v>294</v>
      </c>
      <c r="D273" s="1">
        <v>27</v>
      </c>
      <c r="E273" s="1" t="s">
        <v>319</v>
      </c>
      <c r="F273" s="1">
        <v>64</v>
      </c>
      <c r="G273" s="1">
        <v>2045</v>
      </c>
      <c r="H273" s="1">
        <v>16.3</v>
      </c>
      <c r="I273" s="1">
        <v>0.56599999999999995</v>
      </c>
      <c r="J273" s="1">
        <v>0.58199999999999996</v>
      </c>
      <c r="K273" s="1">
        <v>0.123</v>
      </c>
      <c r="L273" s="1">
        <v>3.1</v>
      </c>
      <c r="M273" s="1">
        <v>14.1</v>
      </c>
      <c r="N273" s="1">
        <v>8.4</v>
      </c>
      <c r="O273" s="1">
        <v>15.8</v>
      </c>
      <c r="P273" s="1">
        <v>1.4</v>
      </c>
      <c r="Q273" s="1">
        <v>0.8</v>
      </c>
      <c r="R273" s="1">
        <v>11.8</v>
      </c>
      <c r="S273" s="1">
        <v>27.1</v>
      </c>
      <c r="T273" s="1"/>
      <c r="U273" s="1">
        <v>1.7</v>
      </c>
      <c r="V273" s="1">
        <v>1.5</v>
      </c>
      <c r="W273" s="1">
        <v>3.1</v>
      </c>
      <c r="X273" s="1">
        <v>7.3999999999999996E-2</v>
      </c>
      <c r="Y273" s="1"/>
      <c r="Z273" s="1">
        <v>2.7</v>
      </c>
      <c r="AA273" s="1">
        <v>-1.3</v>
      </c>
      <c r="AB273" s="1">
        <v>1.4</v>
      </c>
      <c r="AC273" s="1">
        <v>1.7</v>
      </c>
      <c r="AD273">
        <f>Advanced_Table[[#This Row],[VORP]]*82/Advanced_Table[[#This Row],[G]]</f>
        <v>2.1781250000000001</v>
      </c>
    </row>
    <row r="274" spans="1:30" x14ac:dyDescent="0.25">
      <c r="A274" s="1">
        <v>213</v>
      </c>
      <c r="B274" s="1" t="s">
        <v>512</v>
      </c>
      <c r="C274" s="1" t="s">
        <v>316</v>
      </c>
      <c r="D274" s="1">
        <v>33</v>
      </c>
      <c r="E274" s="1" t="s">
        <v>307</v>
      </c>
      <c r="F274" s="1">
        <v>52</v>
      </c>
      <c r="G274" s="1">
        <v>1103</v>
      </c>
      <c r="H274" s="1">
        <v>17.5</v>
      </c>
      <c r="I274" s="1">
        <v>0.66800000000000004</v>
      </c>
      <c r="J274" s="1">
        <v>0.45200000000000001</v>
      </c>
      <c r="K274" s="1">
        <v>0.247</v>
      </c>
      <c r="L274" s="1">
        <v>4.3</v>
      </c>
      <c r="M274" s="1">
        <v>9.1999999999999993</v>
      </c>
      <c r="N274" s="1">
        <v>6.9</v>
      </c>
      <c r="O274" s="1">
        <v>18.399999999999999</v>
      </c>
      <c r="P274" s="1">
        <v>1.7</v>
      </c>
      <c r="Q274" s="1">
        <v>0.3</v>
      </c>
      <c r="R274" s="1">
        <v>11.6</v>
      </c>
      <c r="S274" s="1">
        <v>15.8</v>
      </c>
      <c r="T274" s="1"/>
      <c r="U274" s="1">
        <v>3.2</v>
      </c>
      <c r="V274" s="1">
        <v>1.9</v>
      </c>
      <c r="W274" s="1">
        <v>5.0999999999999996</v>
      </c>
      <c r="X274" s="1">
        <v>0.22</v>
      </c>
      <c r="Y274" s="1"/>
      <c r="Z274" s="1">
        <v>2</v>
      </c>
      <c r="AA274" s="1">
        <v>1.3</v>
      </c>
      <c r="AB274" s="1">
        <v>3.2</v>
      </c>
      <c r="AC274" s="1">
        <v>1.5</v>
      </c>
      <c r="AD274">
        <f>Advanced_Table[[#This Row],[VORP]]*82/Advanced_Table[[#This Row],[G]]</f>
        <v>2.3653846153846154</v>
      </c>
    </row>
    <row r="275" spans="1:30" x14ac:dyDescent="0.25">
      <c r="A275" s="1">
        <v>214</v>
      </c>
      <c r="B275" s="1" t="s">
        <v>513</v>
      </c>
      <c r="C275" s="1" t="s">
        <v>303</v>
      </c>
      <c r="D275" s="1">
        <v>28</v>
      </c>
      <c r="E275" s="1" t="s">
        <v>957</v>
      </c>
      <c r="F275" s="1">
        <v>53</v>
      </c>
      <c r="G275" s="1">
        <v>969</v>
      </c>
      <c r="H275" s="1">
        <v>10.1</v>
      </c>
      <c r="I275" s="1">
        <v>0.54800000000000004</v>
      </c>
      <c r="J275" s="1">
        <v>0.63300000000000001</v>
      </c>
      <c r="K275" s="1">
        <v>0.17100000000000001</v>
      </c>
      <c r="L275" s="1">
        <v>2.9</v>
      </c>
      <c r="M275" s="1">
        <v>13.4</v>
      </c>
      <c r="N275" s="1">
        <v>8.3000000000000007</v>
      </c>
      <c r="O275" s="1">
        <v>12.8</v>
      </c>
      <c r="P275" s="1">
        <v>1.7</v>
      </c>
      <c r="Q275" s="1">
        <v>0.9</v>
      </c>
      <c r="R275" s="1">
        <v>14.9</v>
      </c>
      <c r="S275" s="1">
        <v>13.3</v>
      </c>
      <c r="T275" s="1"/>
      <c r="U275" s="1">
        <v>0.5</v>
      </c>
      <c r="V275" s="1">
        <v>0.9</v>
      </c>
      <c r="W275" s="1">
        <v>1.4</v>
      </c>
      <c r="X275" s="1">
        <v>6.8000000000000005E-2</v>
      </c>
      <c r="Y275" s="1"/>
      <c r="Z275" s="1">
        <v>-1.7</v>
      </c>
      <c r="AA275" s="1">
        <v>0.2</v>
      </c>
      <c r="AB275" s="1">
        <v>-1.5</v>
      </c>
      <c r="AC275" s="1">
        <v>0.1</v>
      </c>
      <c r="AD275">
        <f>Advanced_Table[[#This Row],[VORP]]*82/Advanced_Table[[#This Row],[G]]</f>
        <v>0.15471698113207549</v>
      </c>
    </row>
    <row r="276" spans="1:30" x14ac:dyDescent="0.25">
      <c r="A276" s="1">
        <v>214</v>
      </c>
      <c r="B276" s="1" t="s">
        <v>513</v>
      </c>
      <c r="C276" s="1" t="s">
        <v>303</v>
      </c>
      <c r="D276" s="1">
        <v>28</v>
      </c>
      <c r="E276" s="1" t="s">
        <v>297</v>
      </c>
      <c r="F276" s="1">
        <v>48</v>
      </c>
      <c r="G276" s="1">
        <v>901</v>
      </c>
      <c r="H276" s="1">
        <v>10.199999999999999</v>
      </c>
      <c r="I276" s="1">
        <v>0.54900000000000004</v>
      </c>
      <c r="J276" s="1">
        <v>0.63100000000000001</v>
      </c>
      <c r="K276" s="1">
        <v>0.16300000000000001</v>
      </c>
      <c r="L276" s="1">
        <v>2.8</v>
      </c>
      <c r="M276" s="1">
        <v>13.7</v>
      </c>
      <c r="N276" s="1">
        <v>8.4</v>
      </c>
      <c r="O276" s="1">
        <v>13.3</v>
      </c>
      <c r="P276" s="1">
        <v>1.6</v>
      </c>
      <c r="Q276" s="1">
        <v>0.7</v>
      </c>
      <c r="R276" s="1">
        <v>13.8</v>
      </c>
      <c r="S276" s="1">
        <v>13.4</v>
      </c>
      <c r="T276" s="1"/>
      <c r="U276" s="1">
        <v>0.5</v>
      </c>
      <c r="V276" s="1">
        <v>0.8</v>
      </c>
      <c r="W276" s="1">
        <v>1.3</v>
      </c>
      <c r="X276" s="1">
        <v>7.0999999999999994E-2</v>
      </c>
      <c r="Y276" s="1"/>
      <c r="Z276" s="1">
        <v>-1.6</v>
      </c>
      <c r="AA276" s="1">
        <v>0.1</v>
      </c>
      <c r="AB276" s="1">
        <v>-1.5</v>
      </c>
      <c r="AC276" s="1">
        <v>0.1</v>
      </c>
      <c r="AD276">
        <f>Advanced_Table[[#This Row],[VORP]]*82/Advanced_Table[[#This Row],[G]]</f>
        <v>0.17083333333333336</v>
      </c>
    </row>
    <row r="277" spans="1:30" x14ac:dyDescent="0.25">
      <c r="A277" s="1">
        <v>214</v>
      </c>
      <c r="B277" s="1" t="s">
        <v>513</v>
      </c>
      <c r="C277" s="1" t="s">
        <v>303</v>
      </c>
      <c r="D277" s="1">
        <v>28</v>
      </c>
      <c r="E277" s="1" t="s">
        <v>290</v>
      </c>
      <c r="F277" s="1">
        <v>5</v>
      </c>
      <c r="G277" s="1">
        <v>68</v>
      </c>
      <c r="H277" s="1">
        <v>8.1999999999999993</v>
      </c>
      <c r="I277" s="1">
        <v>0.54500000000000004</v>
      </c>
      <c r="J277" s="1">
        <v>0.66700000000000004</v>
      </c>
      <c r="K277" s="1">
        <v>0.33300000000000002</v>
      </c>
      <c r="L277" s="1">
        <v>3.5</v>
      </c>
      <c r="M277" s="1">
        <v>9.5</v>
      </c>
      <c r="N277" s="1">
        <v>6.6</v>
      </c>
      <c r="O277" s="1">
        <v>5.8</v>
      </c>
      <c r="P277" s="1">
        <v>3.6</v>
      </c>
      <c r="Q277" s="1">
        <v>4.4000000000000004</v>
      </c>
      <c r="R277" s="1">
        <v>30.4</v>
      </c>
      <c r="S277" s="1">
        <v>12.8</v>
      </c>
      <c r="T277" s="1"/>
      <c r="U277" s="1">
        <v>-0.1</v>
      </c>
      <c r="V277" s="1">
        <v>0.1</v>
      </c>
      <c r="W277" s="1">
        <v>0</v>
      </c>
      <c r="X277" s="1">
        <v>2.7E-2</v>
      </c>
      <c r="Y277" s="1"/>
      <c r="Z277" s="1">
        <v>-3.2</v>
      </c>
      <c r="AA277" s="1">
        <v>2.2000000000000002</v>
      </c>
      <c r="AB277" s="1">
        <v>-1</v>
      </c>
      <c r="AC277" s="1">
        <v>0</v>
      </c>
      <c r="AD277">
        <f>Advanced_Table[[#This Row],[VORP]]*82/Advanced_Table[[#This Row],[G]]</f>
        <v>0</v>
      </c>
    </row>
    <row r="278" spans="1:30" x14ac:dyDescent="0.25">
      <c r="A278" s="1">
        <v>215</v>
      </c>
      <c r="B278" s="1" t="s">
        <v>514</v>
      </c>
      <c r="C278" s="1" t="s">
        <v>303</v>
      </c>
      <c r="D278" s="1">
        <v>20</v>
      </c>
      <c r="E278" s="1" t="s">
        <v>312</v>
      </c>
      <c r="F278" s="1">
        <v>13</v>
      </c>
      <c r="G278" s="1">
        <v>103</v>
      </c>
      <c r="H278" s="1">
        <v>14.9</v>
      </c>
      <c r="I278" s="1">
        <v>0.504</v>
      </c>
      <c r="J278" s="1">
        <v>9.4E-2</v>
      </c>
      <c r="K278" s="1">
        <v>0.40600000000000003</v>
      </c>
      <c r="L278" s="1">
        <v>14.3</v>
      </c>
      <c r="M278" s="1">
        <v>17.8</v>
      </c>
      <c r="N278" s="1">
        <v>16.100000000000001</v>
      </c>
      <c r="O278" s="1">
        <v>5.4</v>
      </c>
      <c r="P278" s="1">
        <v>2.2999999999999998</v>
      </c>
      <c r="Q278" s="1">
        <v>0</v>
      </c>
      <c r="R278" s="1">
        <v>9.6</v>
      </c>
      <c r="S278" s="1">
        <v>17.2</v>
      </c>
      <c r="T278" s="1"/>
      <c r="U278" s="1">
        <v>0.1</v>
      </c>
      <c r="V278" s="1">
        <v>0.1</v>
      </c>
      <c r="W278" s="1">
        <v>0.2</v>
      </c>
      <c r="X278" s="1">
        <v>9.6000000000000002E-2</v>
      </c>
      <c r="Y278" s="1"/>
      <c r="Z278" s="1">
        <v>-0.8</v>
      </c>
      <c r="AA278" s="1">
        <v>-1.1000000000000001</v>
      </c>
      <c r="AB278" s="1">
        <v>-1.9</v>
      </c>
      <c r="AC278" s="1">
        <v>0</v>
      </c>
      <c r="AD278">
        <f>Advanced_Table[[#This Row],[VORP]]*82/Advanced_Table[[#This Row],[G]]</f>
        <v>0</v>
      </c>
    </row>
    <row r="279" spans="1:30" x14ac:dyDescent="0.25">
      <c r="A279" s="1">
        <v>216</v>
      </c>
      <c r="B279" s="1" t="s">
        <v>515</v>
      </c>
      <c r="C279" s="1" t="s">
        <v>316</v>
      </c>
      <c r="D279" s="1">
        <v>23</v>
      </c>
      <c r="E279" s="1" t="s">
        <v>353</v>
      </c>
      <c r="F279" s="1">
        <v>58</v>
      </c>
      <c r="G279" s="1">
        <v>1368</v>
      </c>
      <c r="H279" s="1">
        <v>11.7</v>
      </c>
      <c r="I279" s="1">
        <v>0.51700000000000002</v>
      </c>
      <c r="J279" s="1">
        <v>0.40899999999999997</v>
      </c>
      <c r="K279" s="1">
        <v>0.14499999999999999</v>
      </c>
      <c r="L279" s="1">
        <v>1.7</v>
      </c>
      <c r="M279" s="1">
        <v>8.9</v>
      </c>
      <c r="N279" s="1">
        <v>5.3</v>
      </c>
      <c r="O279" s="1">
        <v>19.5</v>
      </c>
      <c r="P279" s="1">
        <v>1.6</v>
      </c>
      <c r="Q279" s="1">
        <v>0.8</v>
      </c>
      <c r="R279" s="1">
        <v>12.4</v>
      </c>
      <c r="S279" s="1">
        <v>19.399999999999999</v>
      </c>
      <c r="T279" s="1"/>
      <c r="U279" s="1">
        <v>0.4</v>
      </c>
      <c r="V279" s="1">
        <v>1.4</v>
      </c>
      <c r="W279" s="1">
        <v>1.7</v>
      </c>
      <c r="X279" s="1">
        <v>0.06</v>
      </c>
      <c r="Y279" s="1"/>
      <c r="Z279" s="1">
        <v>-1.3</v>
      </c>
      <c r="AA279" s="1">
        <v>-0.6</v>
      </c>
      <c r="AB279" s="1">
        <v>-1.8</v>
      </c>
      <c r="AC279" s="1">
        <v>0.1</v>
      </c>
      <c r="AD279">
        <f>Advanced_Table[[#This Row],[VORP]]*82/Advanced_Table[[#This Row],[G]]</f>
        <v>0.14137931034482759</v>
      </c>
    </row>
    <row r="280" spans="1:30" x14ac:dyDescent="0.25">
      <c r="A280" s="1">
        <v>217</v>
      </c>
      <c r="B280" s="1" t="s">
        <v>516</v>
      </c>
      <c r="C280" s="1" t="s">
        <v>294</v>
      </c>
      <c r="D280" s="1">
        <v>29</v>
      </c>
      <c r="E280" s="1" t="s">
        <v>295</v>
      </c>
      <c r="F280" s="1">
        <v>55</v>
      </c>
      <c r="G280" s="1">
        <v>1922</v>
      </c>
      <c r="H280" s="1">
        <v>17.600000000000001</v>
      </c>
      <c r="I280" s="1">
        <v>0.53500000000000003</v>
      </c>
      <c r="J280" s="1">
        <v>0.34599999999999997</v>
      </c>
      <c r="K280" s="1">
        <v>0.183</v>
      </c>
      <c r="L280" s="1">
        <v>3.8</v>
      </c>
      <c r="M280" s="1">
        <v>10.9</v>
      </c>
      <c r="N280" s="1">
        <v>7.3</v>
      </c>
      <c r="O280" s="1">
        <v>29.8</v>
      </c>
      <c r="P280" s="1">
        <v>2.2000000000000002</v>
      </c>
      <c r="Q280" s="1">
        <v>1.9</v>
      </c>
      <c r="R280" s="1">
        <v>13.6</v>
      </c>
      <c r="S280" s="1">
        <v>24.7</v>
      </c>
      <c r="T280" s="1"/>
      <c r="U280" s="1">
        <v>2.1</v>
      </c>
      <c r="V280" s="1">
        <v>1.8</v>
      </c>
      <c r="W280" s="1">
        <v>4</v>
      </c>
      <c r="X280" s="1">
        <v>9.9000000000000005E-2</v>
      </c>
      <c r="Y280" s="1"/>
      <c r="Z280" s="1">
        <v>2</v>
      </c>
      <c r="AA280" s="1">
        <v>0.3</v>
      </c>
      <c r="AB280" s="1">
        <v>2.2999999999999998</v>
      </c>
      <c r="AC280" s="1">
        <v>2.1</v>
      </c>
      <c r="AD280">
        <f>Advanced_Table[[#This Row],[VORP]]*82/Advanced_Table[[#This Row],[G]]</f>
        <v>3.1309090909090913</v>
      </c>
    </row>
    <row r="281" spans="1:30" x14ac:dyDescent="0.25">
      <c r="A281" s="1">
        <v>218</v>
      </c>
      <c r="B281" s="1" t="s">
        <v>517</v>
      </c>
      <c r="C281" s="1" t="s">
        <v>294</v>
      </c>
      <c r="D281" s="1">
        <v>30</v>
      </c>
      <c r="E281" s="1" t="s">
        <v>353</v>
      </c>
      <c r="F281" s="1">
        <v>65</v>
      </c>
      <c r="G281" s="1">
        <v>1617</v>
      </c>
      <c r="H281" s="1">
        <v>12.7</v>
      </c>
      <c r="I281" s="1">
        <v>0.59799999999999998</v>
      </c>
      <c r="J281" s="1">
        <v>0.66700000000000004</v>
      </c>
      <c r="K281" s="1">
        <v>0.13700000000000001</v>
      </c>
      <c r="L281" s="1">
        <v>2.1</v>
      </c>
      <c r="M281" s="1">
        <v>11.9</v>
      </c>
      <c r="N281" s="1">
        <v>7</v>
      </c>
      <c r="O281" s="1">
        <v>7.1</v>
      </c>
      <c r="P281" s="1">
        <v>2.2999999999999998</v>
      </c>
      <c r="Q281" s="1">
        <v>2.2999999999999998</v>
      </c>
      <c r="R281" s="1">
        <v>8</v>
      </c>
      <c r="S281" s="1">
        <v>13.5</v>
      </c>
      <c r="T281" s="1"/>
      <c r="U281" s="1">
        <v>1.7</v>
      </c>
      <c r="V281" s="1">
        <v>2.2000000000000002</v>
      </c>
      <c r="W281" s="1">
        <v>4</v>
      </c>
      <c r="X281" s="1">
        <v>0.11700000000000001</v>
      </c>
      <c r="Y281" s="1"/>
      <c r="Z281" s="1">
        <v>0.1</v>
      </c>
      <c r="AA281" s="1">
        <v>1.5</v>
      </c>
      <c r="AB281" s="1">
        <v>1.6</v>
      </c>
      <c r="AC281" s="1">
        <v>1.5</v>
      </c>
      <c r="AD281">
        <f>Advanced_Table[[#This Row],[VORP]]*82/Advanced_Table[[#This Row],[G]]</f>
        <v>1.8923076923076922</v>
      </c>
    </row>
    <row r="282" spans="1:30" x14ac:dyDescent="0.25">
      <c r="A282" s="1">
        <v>219</v>
      </c>
      <c r="B282" s="1" t="s">
        <v>518</v>
      </c>
      <c r="C282" s="1" t="s">
        <v>303</v>
      </c>
      <c r="D282" s="1">
        <v>25</v>
      </c>
      <c r="E282" s="1" t="s">
        <v>314</v>
      </c>
      <c r="F282" s="1">
        <v>52</v>
      </c>
      <c r="G282" s="1">
        <v>998</v>
      </c>
      <c r="H282" s="1">
        <v>15.5</v>
      </c>
      <c r="I282" s="1">
        <v>0.53300000000000003</v>
      </c>
      <c r="J282" s="1">
        <v>5.8000000000000003E-2</v>
      </c>
      <c r="K282" s="1">
        <v>0.437</v>
      </c>
      <c r="L282" s="1">
        <v>11</v>
      </c>
      <c r="M282" s="1">
        <v>15.8</v>
      </c>
      <c r="N282" s="1">
        <v>13.4</v>
      </c>
      <c r="O282" s="1">
        <v>12.9</v>
      </c>
      <c r="P282" s="1">
        <v>2.1</v>
      </c>
      <c r="Q282" s="1">
        <v>2.1</v>
      </c>
      <c r="R282" s="1">
        <v>12.2</v>
      </c>
      <c r="S282" s="1">
        <v>17.2</v>
      </c>
      <c r="T282" s="1"/>
      <c r="U282" s="1">
        <v>1.4</v>
      </c>
      <c r="V282" s="1">
        <v>1.8</v>
      </c>
      <c r="W282" s="1">
        <v>3.2</v>
      </c>
      <c r="X282" s="1">
        <v>0.153</v>
      </c>
      <c r="Y282" s="1"/>
      <c r="Z282" s="1">
        <v>-0.9</v>
      </c>
      <c r="AA282" s="1">
        <v>1.5</v>
      </c>
      <c r="AB282" s="1">
        <v>0.5</v>
      </c>
      <c r="AC282" s="1">
        <v>0.6</v>
      </c>
      <c r="AD282">
        <f>Advanced_Table[[#This Row],[VORP]]*82/Advanced_Table[[#This Row],[G]]</f>
        <v>0.94615384615384612</v>
      </c>
    </row>
    <row r="283" spans="1:30" x14ac:dyDescent="0.25">
      <c r="A283" s="1">
        <v>220</v>
      </c>
      <c r="B283" s="1" t="s">
        <v>519</v>
      </c>
      <c r="C283" s="1" t="s">
        <v>287</v>
      </c>
      <c r="D283" s="1">
        <v>26</v>
      </c>
      <c r="E283" s="1" t="s">
        <v>319</v>
      </c>
      <c r="F283" s="1">
        <v>39</v>
      </c>
      <c r="G283" s="1">
        <v>1125</v>
      </c>
      <c r="H283" s="1">
        <v>20.5</v>
      </c>
      <c r="I283" s="1">
        <v>0.68500000000000005</v>
      </c>
      <c r="J283" s="1">
        <v>0</v>
      </c>
      <c r="K283" s="1">
        <v>0.312</v>
      </c>
      <c r="L283" s="1">
        <v>11.5</v>
      </c>
      <c r="M283" s="1">
        <v>21.3</v>
      </c>
      <c r="N283" s="1">
        <v>16.3</v>
      </c>
      <c r="O283" s="1">
        <v>5.4</v>
      </c>
      <c r="P283" s="1">
        <v>1.7</v>
      </c>
      <c r="Q283" s="1">
        <v>4.7</v>
      </c>
      <c r="R283" s="1">
        <v>11.8</v>
      </c>
      <c r="S283" s="1">
        <v>16</v>
      </c>
      <c r="T283" s="1"/>
      <c r="U283" s="1">
        <v>3.2</v>
      </c>
      <c r="V283" s="1">
        <v>1.5</v>
      </c>
      <c r="W283" s="1">
        <v>4.5999999999999996</v>
      </c>
      <c r="X283" s="1">
        <v>0.19800000000000001</v>
      </c>
      <c r="Y283" s="1"/>
      <c r="Z283" s="1">
        <v>0.6</v>
      </c>
      <c r="AA283" s="1">
        <v>0.9</v>
      </c>
      <c r="AB283" s="1">
        <v>1.5</v>
      </c>
      <c r="AC283" s="1">
        <v>1</v>
      </c>
      <c r="AD283">
        <f>Advanced_Table[[#This Row],[VORP]]*82/Advanced_Table[[#This Row],[G]]</f>
        <v>2.1025641025641026</v>
      </c>
    </row>
    <row r="284" spans="1:30" x14ac:dyDescent="0.25">
      <c r="A284" s="1">
        <v>221</v>
      </c>
      <c r="B284" s="1" t="s">
        <v>520</v>
      </c>
      <c r="C284" s="1" t="s">
        <v>303</v>
      </c>
      <c r="D284" s="1">
        <v>27</v>
      </c>
      <c r="E284" s="1" t="s">
        <v>312</v>
      </c>
      <c r="F284" s="1">
        <v>21</v>
      </c>
      <c r="G284" s="1">
        <v>619</v>
      </c>
      <c r="H284" s="1">
        <v>12.2</v>
      </c>
      <c r="I284" s="1">
        <v>0.625</v>
      </c>
      <c r="J284" s="1">
        <v>0.41299999999999998</v>
      </c>
      <c r="K284" s="1">
        <v>0.157</v>
      </c>
      <c r="L284" s="1">
        <v>1.7</v>
      </c>
      <c r="M284" s="1">
        <v>10.199999999999999</v>
      </c>
      <c r="N284" s="1">
        <v>6</v>
      </c>
      <c r="O284" s="1">
        <v>7.1</v>
      </c>
      <c r="P284" s="1">
        <v>1.3</v>
      </c>
      <c r="Q284" s="1">
        <v>0.5</v>
      </c>
      <c r="R284" s="1">
        <v>9.4</v>
      </c>
      <c r="S284" s="1">
        <v>13.9</v>
      </c>
      <c r="T284" s="1"/>
      <c r="U284" s="1">
        <v>0.9</v>
      </c>
      <c r="V284" s="1">
        <v>0.2</v>
      </c>
      <c r="W284" s="1">
        <v>1.1000000000000001</v>
      </c>
      <c r="X284" s="1">
        <v>8.6999999999999994E-2</v>
      </c>
      <c r="Y284" s="1"/>
      <c r="Z284" s="1">
        <v>-0.4</v>
      </c>
      <c r="AA284" s="1">
        <v>-0.5</v>
      </c>
      <c r="AB284" s="1">
        <v>-1</v>
      </c>
      <c r="AC284" s="1">
        <v>0.2</v>
      </c>
      <c r="AD284">
        <f>Advanced_Table[[#This Row],[VORP]]*82/Advanced_Table[[#This Row],[G]]</f>
        <v>0.78095238095238106</v>
      </c>
    </row>
    <row r="285" spans="1:30" x14ac:dyDescent="0.25">
      <c r="A285" s="1">
        <v>222</v>
      </c>
      <c r="B285" s="1" t="s">
        <v>521</v>
      </c>
      <c r="C285" s="1" t="s">
        <v>287</v>
      </c>
      <c r="D285" s="1">
        <v>33</v>
      </c>
      <c r="E285" s="1" t="s">
        <v>361</v>
      </c>
      <c r="F285" s="1">
        <v>59</v>
      </c>
      <c r="G285" s="1">
        <v>1819</v>
      </c>
      <c r="H285" s="1">
        <v>15.3</v>
      </c>
      <c r="I285" s="1">
        <v>0.52</v>
      </c>
      <c r="J285" s="1">
        <v>0.40100000000000002</v>
      </c>
      <c r="K285" s="1">
        <v>0.114</v>
      </c>
      <c r="L285" s="1">
        <v>5.5</v>
      </c>
      <c r="M285" s="1">
        <v>18.899999999999999</v>
      </c>
      <c r="N285" s="1">
        <v>12.2</v>
      </c>
      <c r="O285" s="1">
        <v>18.899999999999999</v>
      </c>
      <c r="P285" s="1">
        <v>1.4</v>
      </c>
      <c r="Q285" s="1">
        <v>2.5</v>
      </c>
      <c r="R285" s="1">
        <v>8.5</v>
      </c>
      <c r="S285" s="1">
        <v>17.5</v>
      </c>
      <c r="T285" s="1"/>
      <c r="U285" s="1">
        <v>2.2999999999999998</v>
      </c>
      <c r="V285" s="1">
        <v>2.5</v>
      </c>
      <c r="W285" s="1">
        <v>4.7</v>
      </c>
      <c r="X285" s="1">
        <v>0.125</v>
      </c>
      <c r="Y285" s="1"/>
      <c r="Z285" s="1">
        <v>0.8</v>
      </c>
      <c r="AA285" s="1">
        <v>1.2</v>
      </c>
      <c r="AB285" s="1">
        <v>2</v>
      </c>
      <c r="AC285" s="1">
        <v>1.8</v>
      </c>
      <c r="AD285">
        <f>Advanced_Table[[#This Row],[VORP]]*82/Advanced_Table[[#This Row],[G]]</f>
        <v>2.5016949152542374</v>
      </c>
    </row>
    <row r="286" spans="1:30" x14ac:dyDescent="0.25">
      <c r="A286" s="1">
        <v>223</v>
      </c>
      <c r="B286" s="1" t="s">
        <v>816</v>
      </c>
      <c r="C286" s="1" t="s">
        <v>294</v>
      </c>
      <c r="D286" s="1">
        <v>19</v>
      </c>
      <c r="E286" s="1" t="s">
        <v>309</v>
      </c>
      <c r="F286" s="1">
        <v>2</v>
      </c>
      <c r="G286" s="1">
        <v>5</v>
      </c>
      <c r="H286" s="1">
        <v>14.8</v>
      </c>
      <c r="I286" s="1">
        <v>0</v>
      </c>
      <c r="J286" s="1">
        <v>1</v>
      </c>
      <c r="K286" s="1">
        <v>0</v>
      </c>
      <c r="L286" s="1">
        <v>0</v>
      </c>
      <c r="M286" s="1">
        <v>0</v>
      </c>
      <c r="N286" s="1">
        <v>0</v>
      </c>
      <c r="O286" s="1">
        <v>44.9</v>
      </c>
      <c r="P286" s="1">
        <v>9.5</v>
      </c>
      <c r="Q286" s="1">
        <v>0</v>
      </c>
      <c r="R286" s="1">
        <v>0</v>
      </c>
      <c r="S286" s="1">
        <v>8.4</v>
      </c>
      <c r="T286" s="1"/>
      <c r="U286" s="1">
        <v>0</v>
      </c>
      <c r="V286" s="1">
        <v>0</v>
      </c>
      <c r="W286" s="1">
        <v>0</v>
      </c>
      <c r="X286" s="1">
        <v>0.11</v>
      </c>
      <c r="Y286" s="1"/>
      <c r="Z286" s="1">
        <v>0.7</v>
      </c>
      <c r="AA286" s="1">
        <v>7.2</v>
      </c>
      <c r="AB286" s="1">
        <v>7.9</v>
      </c>
      <c r="AC286" s="1">
        <v>0</v>
      </c>
      <c r="AD286">
        <f>Advanced_Table[[#This Row],[VORP]]*82/Advanced_Table[[#This Row],[G]]</f>
        <v>0</v>
      </c>
    </row>
    <row r="287" spans="1:30" x14ac:dyDescent="0.25">
      <c r="A287" s="1">
        <v>224</v>
      </c>
      <c r="B287" s="1" t="s">
        <v>522</v>
      </c>
      <c r="C287" s="1" t="s">
        <v>303</v>
      </c>
      <c r="D287" s="1">
        <v>26</v>
      </c>
      <c r="E287" s="1" t="s">
        <v>305</v>
      </c>
      <c r="F287" s="1">
        <v>58</v>
      </c>
      <c r="G287" s="1">
        <v>1739</v>
      </c>
      <c r="H287" s="1">
        <v>11.4</v>
      </c>
      <c r="I287" s="1">
        <v>0.57099999999999995</v>
      </c>
      <c r="J287" s="1">
        <v>0.64500000000000002</v>
      </c>
      <c r="K287" s="1">
        <v>0.17599999999999999</v>
      </c>
      <c r="L287" s="1">
        <v>3.4</v>
      </c>
      <c r="M287" s="1">
        <v>11.5</v>
      </c>
      <c r="N287" s="1">
        <v>7.4</v>
      </c>
      <c r="O287" s="1">
        <v>6.1</v>
      </c>
      <c r="P287" s="1">
        <v>1.7</v>
      </c>
      <c r="Q287" s="1">
        <v>1.6</v>
      </c>
      <c r="R287" s="1">
        <v>8.6</v>
      </c>
      <c r="S287" s="1">
        <v>13.5</v>
      </c>
      <c r="T287" s="1"/>
      <c r="U287" s="1">
        <v>1.9</v>
      </c>
      <c r="V287" s="1">
        <v>1.6</v>
      </c>
      <c r="W287" s="1">
        <v>3.5</v>
      </c>
      <c r="X287" s="1">
        <v>9.6000000000000002E-2</v>
      </c>
      <c r="Y287" s="1"/>
      <c r="Z287" s="1">
        <v>-0.5</v>
      </c>
      <c r="AA287" s="1">
        <v>0.1</v>
      </c>
      <c r="AB287" s="1">
        <v>-0.4</v>
      </c>
      <c r="AC287" s="1">
        <v>0.7</v>
      </c>
      <c r="AD287">
        <f>Advanced_Table[[#This Row],[VORP]]*82/Advanced_Table[[#This Row],[G]]</f>
        <v>0.98965517241379308</v>
      </c>
    </row>
    <row r="288" spans="1:30" x14ac:dyDescent="0.25">
      <c r="A288" s="1">
        <v>225</v>
      </c>
      <c r="B288" s="1" t="s">
        <v>523</v>
      </c>
      <c r="C288" s="1" t="s">
        <v>287</v>
      </c>
      <c r="D288" s="1">
        <v>34</v>
      </c>
      <c r="E288" s="1" t="s">
        <v>309</v>
      </c>
      <c r="F288" s="1">
        <v>62</v>
      </c>
      <c r="G288" s="1">
        <v>1193</v>
      </c>
      <c r="H288" s="1">
        <v>18.7</v>
      </c>
      <c r="I288" s="1">
        <v>0.69599999999999995</v>
      </c>
      <c r="J288" s="1">
        <v>1.9E-2</v>
      </c>
      <c r="K288" s="1">
        <v>0.7</v>
      </c>
      <c r="L288" s="1">
        <v>14.6</v>
      </c>
      <c r="M288" s="1">
        <v>26.8</v>
      </c>
      <c r="N288" s="1">
        <v>20.9</v>
      </c>
      <c r="O288" s="1">
        <v>4.8</v>
      </c>
      <c r="P288" s="1">
        <v>1.1000000000000001</v>
      </c>
      <c r="Q288" s="1">
        <v>5.6</v>
      </c>
      <c r="R288" s="1">
        <v>17.8</v>
      </c>
      <c r="S288" s="1">
        <v>14.5</v>
      </c>
      <c r="T288" s="1"/>
      <c r="U288" s="1">
        <v>2.6</v>
      </c>
      <c r="V288" s="1">
        <v>2.4</v>
      </c>
      <c r="W288" s="1">
        <v>5</v>
      </c>
      <c r="X288" s="1">
        <v>0.20200000000000001</v>
      </c>
      <c r="Y288" s="1"/>
      <c r="Z288" s="1">
        <v>-0.8</v>
      </c>
      <c r="AA288" s="1">
        <v>1.3</v>
      </c>
      <c r="AB288" s="1">
        <v>0.5</v>
      </c>
      <c r="AC288" s="1">
        <v>0.8</v>
      </c>
      <c r="AD288">
        <f>Advanced_Table[[#This Row],[VORP]]*82/Advanced_Table[[#This Row],[G]]</f>
        <v>1.0580645161290323</v>
      </c>
    </row>
    <row r="289" spans="1:30" x14ac:dyDescent="0.25">
      <c r="A289" s="1">
        <v>226</v>
      </c>
      <c r="B289" s="1" t="s">
        <v>1570</v>
      </c>
      <c r="C289" s="1" t="s">
        <v>294</v>
      </c>
      <c r="D289" s="1">
        <v>26</v>
      </c>
      <c r="E289" s="1" t="s">
        <v>305</v>
      </c>
      <c r="F289" s="1">
        <v>2</v>
      </c>
      <c r="G289" s="1">
        <v>13</v>
      </c>
      <c r="H289" s="1">
        <v>-12.7</v>
      </c>
      <c r="I289" s="1">
        <v>0</v>
      </c>
      <c r="J289" s="1">
        <v>1</v>
      </c>
      <c r="K289" s="1">
        <v>0</v>
      </c>
      <c r="L289" s="1">
        <v>0</v>
      </c>
      <c r="M289" s="1">
        <v>16.2</v>
      </c>
      <c r="N289" s="1">
        <v>8.1</v>
      </c>
      <c r="O289" s="1">
        <v>9</v>
      </c>
      <c r="P289" s="1">
        <v>0</v>
      </c>
      <c r="Q289" s="1">
        <v>0</v>
      </c>
      <c r="R289" s="1">
        <v>20</v>
      </c>
      <c r="S289" s="1">
        <v>15.9</v>
      </c>
      <c r="T289" s="1"/>
      <c r="U289" s="1">
        <v>-0.1</v>
      </c>
      <c r="V289" s="1">
        <v>0</v>
      </c>
      <c r="W289" s="1">
        <v>-0.1</v>
      </c>
      <c r="X289" s="1">
        <v>-0.35399999999999998</v>
      </c>
      <c r="Y289" s="1"/>
      <c r="Z289" s="1">
        <v>-14.8</v>
      </c>
      <c r="AA289" s="1">
        <v>-5.7</v>
      </c>
      <c r="AB289" s="1">
        <v>-20.5</v>
      </c>
      <c r="AC289" s="1">
        <v>-0.1</v>
      </c>
      <c r="AD289">
        <f>Advanced_Table[[#This Row],[VORP]]*82/Advanced_Table[[#This Row],[G]]</f>
        <v>-4.1000000000000005</v>
      </c>
    </row>
    <row r="290" spans="1:30" x14ac:dyDescent="0.25">
      <c r="A290" s="1">
        <v>227</v>
      </c>
      <c r="B290" s="1" t="s">
        <v>524</v>
      </c>
      <c r="C290" s="1" t="s">
        <v>294</v>
      </c>
      <c r="D290" s="1">
        <v>21</v>
      </c>
      <c r="E290" s="1" t="s">
        <v>347</v>
      </c>
      <c r="F290" s="1">
        <v>55</v>
      </c>
      <c r="G290" s="1">
        <v>1731</v>
      </c>
      <c r="H290" s="1">
        <v>11.5</v>
      </c>
      <c r="I290" s="1">
        <v>0.53700000000000003</v>
      </c>
      <c r="J290" s="1">
        <v>0.54900000000000004</v>
      </c>
      <c r="K290" s="1">
        <v>0.106</v>
      </c>
      <c r="L290" s="1">
        <v>2.2000000000000002</v>
      </c>
      <c r="M290" s="1">
        <v>12</v>
      </c>
      <c r="N290" s="1">
        <v>7</v>
      </c>
      <c r="O290" s="1">
        <v>17.2</v>
      </c>
      <c r="P290" s="1">
        <v>1.3</v>
      </c>
      <c r="Q290" s="1">
        <v>1.3</v>
      </c>
      <c r="R290" s="1">
        <v>12.1</v>
      </c>
      <c r="S290" s="1">
        <v>17.2</v>
      </c>
      <c r="T290" s="1"/>
      <c r="U290" s="1">
        <v>0.9</v>
      </c>
      <c r="V290" s="1">
        <v>0.6</v>
      </c>
      <c r="W290" s="1">
        <v>1.5</v>
      </c>
      <c r="X290" s="1">
        <v>4.1000000000000002E-2</v>
      </c>
      <c r="Y290" s="1"/>
      <c r="Z290" s="1">
        <v>-0.5</v>
      </c>
      <c r="AA290" s="1">
        <v>-0.9</v>
      </c>
      <c r="AB290" s="1">
        <v>-1.5</v>
      </c>
      <c r="AC290" s="1">
        <v>0.2</v>
      </c>
      <c r="AD290">
        <f>Advanced_Table[[#This Row],[VORP]]*82/Advanced_Table[[#This Row],[G]]</f>
        <v>0.29818181818181821</v>
      </c>
    </row>
    <row r="291" spans="1:30" x14ac:dyDescent="0.25">
      <c r="A291" s="1">
        <v>228</v>
      </c>
      <c r="B291" s="1" t="s">
        <v>525</v>
      </c>
      <c r="C291" s="1" t="s">
        <v>303</v>
      </c>
      <c r="D291" s="1">
        <v>22</v>
      </c>
      <c r="E291" s="1" t="s">
        <v>347</v>
      </c>
      <c r="F291" s="1">
        <v>62</v>
      </c>
      <c r="G291" s="1">
        <v>1982</v>
      </c>
      <c r="H291" s="1">
        <v>8.6</v>
      </c>
      <c r="I291" s="1">
        <v>0.52</v>
      </c>
      <c r="J291" s="1">
        <v>0.44600000000000001</v>
      </c>
      <c r="K291" s="1">
        <v>0.21199999999999999</v>
      </c>
      <c r="L291" s="1">
        <v>2.2999999999999998</v>
      </c>
      <c r="M291" s="1">
        <v>13.1</v>
      </c>
      <c r="N291" s="1">
        <v>7.6</v>
      </c>
      <c r="O291" s="1">
        <v>8</v>
      </c>
      <c r="P291" s="1">
        <v>1</v>
      </c>
      <c r="Q291" s="1">
        <v>0.8</v>
      </c>
      <c r="R291" s="1">
        <v>12.2</v>
      </c>
      <c r="S291" s="1">
        <v>17.5</v>
      </c>
      <c r="T291" s="1"/>
      <c r="U291" s="1">
        <v>-0.5</v>
      </c>
      <c r="V291" s="1">
        <v>0.5</v>
      </c>
      <c r="W291" s="1">
        <v>0</v>
      </c>
      <c r="X291" s="1">
        <v>0</v>
      </c>
      <c r="Y291" s="1"/>
      <c r="Z291" s="1">
        <v>-3</v>
      </c>
      <c r="AA291" s="1">
        <v>-1.8</v>
      </c>
      <c r="AB291" s="1">
        <v>-4.8</v>
      </c>
      <c r="AC291" s="1">
        <v>-1.4</v>
      </c>
      <c r="AD291">
        <f>Advanced_Table[[#This Row],[VORP]]*82/Advanced_Table[[#This Row],[G]]</f>
        <v>-1.8516129032258064</v>
      </c>
    </row>
    <row r="292" spans="1:30" x14ac:dyDescent="0.25">
      <c r="A292" s="1">
        <v>229</v>
      </c>
      <c r="B292" s="1" t="s">
        <v>526</v>
      </c>
      <c r="C292" s="1" t="s">
        <v>303</v>
      </c>
      <c r="D292" s="1">
        <v>23</v>
      </c>
      <c r="E292" s="1" t="s">
        <v>317</v>
      </c>
      <c r="F292" s="1">
        <v>28</v>
      </c>
      <c r="G292" s="1">
        <v>527</v>
      </c>
      <c r="H292" s="1">
        <v>12.4</v>
      </c>
      <c r="I292" s="1">
        <v>0.52100000000000002</v>
      </c>
      <c r="J292" s="1">
        <v>0.217</v>
      </c>
      <c r="K292" s="1">
        <v>0.44600000000000001</v>
      </c>
      <c r="L292" s="1">
        <v>3.6</v>
      </c>
      <c r="M292" s="1">
        <v>19.8</v>
      </c>
      <c r="N292" s="1">
        <v>11.3</v>
      </c>
      <c r="O292" s="1">
        <v>7.4</v>
      </c>
      <c r="P292" s="1">
        <v>2.5</v>
      </c>
      <c r="Q292" s="1">
        <v>1.3</v>
      </c>
      <c r="R292" s="1">
        <v>11.4</v>
      </c>
      <c r="S292" s="1">
        <v>19.100000000000001</v>
      </c>
      <c r="T292" s="1"/>
      <c r="U292" s="1">
        <v>0</v>
      </c>
      <c r="V292" s="1">
        <v>0.7</v>
      </c>
      <c r="W292" s="1">
        <v>0.7</v>
      </c>
      <c r="X292" s="1">
        <v>0.06</v>
      </c>
      <c r="Y292" s="1"/>
      <c r="Z292" s="1">
        <v>-2.7</v>
      </c>
      <c r="AA292" s="1">
        <v>0.1</v>
      </c>
      <c r="AB292" s="1">
        <v>-2.6</v>
      </c>
      <c r="AC292" s="1">
        <v>-0.1</v>
      </c>
      <c r="AD292">
        <f>Advanced_Table[[#This Row],[VORP]]*82/Advanced_Table[[#This Row],[G]]</f>
        <v>-0.29285714285714287</v>
      </c>
    </row>
    <row r="293" spans="1:30" x14ac:dyDescent="0.25">
      <c r="A293" s="1">
        <v>230</v>
      </c>
      <c r="B293" s="1" t="s">
        <v>527</v>
      </c>
      <c r="C293" s="1" t="s">
        <v>287</v>
      </c>
      <c r="D293" s="1">
        <v>30</v>
      </c>
      <c r="E293" s="1" t="s">
        <v>314</v>
      </c>
      <c r="F293" s="1">
        <v>50</v>
      </c>
      <c r="G293" s="1">
        <v>1377</v>
      </c>
      <c r="H293" s="1">
        <v>18</v>
      </c>
      <c r="I293" s="1">
        <v>0.59299999999999997</v>
      </c>
      <c r="J293" s="1">
        <v>0.26600000000000001</v>
      </c>
      <c r="K293" s="1">
        <v>0.191</v>
      </c>
      <c r="L293" s="1">
        <v>8.1999999999999993</v>
      </c>
      <c r="M293" s="1">
        <v>23.3</v>
      </c>
      <c r="N293" s="1">
        <v>15.9</v>
      </c>
      <c r="O293" s="1">
        <v>8.8000000000000007</v>
      </c>
      <c r="P293" s="1">
        <v>0.8</v>
      </c>
      <c r="Q293" s="1">
        <v>2.9</v>
      </c>
      <c r="R293" s="1">
        <v>12.9</v>
      </c>
      <c r="S293" s="1">
        <v>24.1</v>
      </c>
      <c r="T293" s="1"/>
      <c r="U293" s="1">
        <v>1.5</v>
      </c>
      <c r="V293" s="1">
        <v>2.4</v>
      </c>
      <c r="W293" s="1">
        <v>3.9</v>
      </c>
      <c r="X293" s="1">
        <v>0.13600000000000001</v>
      </c>
      <c r="Y293" s="1"/>
      <c r="Z293" s="1">
        <v>0.6</v>
      </c>
      <c r="AA293" s="1">
        <v>-0.1</v>
      </c>
      <c r="AB293" s="1">
        <v>0.5</v>
      </c>
      <c r="AC293" s="1">
        <v>0.9</v>
      </c>
      <c r="AD293">
        <f>Advanced_Table[[#This Row],[VORP]]*82/Advanced_Table[[#This Row],[G]]</f>
        <v>1.476</v>
      </c>
    </row>
    <row r="294" spans="1:30" x14ac:dyDescent="0.25">
      <c r="A294" s="1">
        <v>231</v>
      </c>
      <c r="B294" s="1" t="s">
        <v>1571</v>
      </c>
      <c r="C294" s="1" t="s">
        <v>294</v>
      </c>
      <c r="D294" s="1">
        <v>36</v>
      </c>
      <c r="E294" s="1" t="s">
        <v>290</v>
      </c>
      <c r="F294" s="1">
        <v>13</v>
      </c>
      <c r="G294" s="1">
        <v>242</v>
      </c>
      <c r="H294" s="1">
        <v>10.4</v>
      </c>
      <c r="I294" s="1">
        <v>0.54200000000000004</v>
      </c>
      <c r="J294" s="1">
        <v>0.46</v>
      </c>
      <c r="K294" s="1">
        <v>0.16</v>
      </c>
      <c r="L294" s="1">
        <v>4.9000000000000004</v>
      </c>
      <c r="M294" s="1">
        <v>17.8</v>
      </c>
      <c r="N294" s="1">
        <v>11.6</v>
      </c>
      <c r="O294" s="1">
        <v>13.3</v>
      </c>
      <c r="P294" s="1">
        <v>1.4</v>
      </c>
      <c r="Q294" s="1">
        <v>6.2</v>
      </c>
      <c r="R294" s="1">
        <v>23</v>
      </c>
      <c r="S294" s="1">
        <v>12.7</v>
      </c>
      <c r="T294" s="1"/>
      <c r="U294" s="1">
        <v>0</v>
      </c>
      <c r="V294" s="1">
        <v>0.4</v>
      </c>
      <c r="W294" s="1">
        <v>0.3</v>
      </c>
      <c r="X294" s="1">
        <v>6.6000000000000003E-2</v>
      </c>
      <c r="Y294" s="1"/>
      <c r="Z294" s="1">
        <v>-2.9</v>
      </c>
      <c r="AA294" s="1">
        <v>1.5</v>
      </c>
      <c r="AB294" s="1">
        <v>-1.4</v>
      </c>
      <c r="AC294" s="1">
        <v>0</v>
      </c>
      <c r="AD294">
        <f>Advanced_Table[[#This Row],[VORP]]*82/Advanced_Table[[#This Row],[G]]</f>
        <v>0</v>
      </c>
    </row>
    <row r="295" spans="1:30" x14ac:dyDescent="0.25">
      <c r="A295" s="1">
        <v>232</v>
      </c>
      <c r="B295" s="1" t="s">
        <v>528</v>
      </c>
      <c r="C295" s="1" t="s">
        <v>23</v>
      </c>
      <c r="D295" s="1">
        <v>32</v>
      </c>
      <c r="E295" s="1" t="s">
        <v>307</v>
      </c>
      <c r="F295" s="1">
        <v>56</v>
      </c>
      <c r="G295" s="1">
        <v>895</v>
      </c>
      <c r="H295" s="1">
        <v>15.2</v>
      </c>
      <c r="I295" s="1">
        <v>0.59099999999999997</v>
      </c>
      <c r="J295" s="1">
        <v>0.42799999999999999</v>
      </c>
      <c r="K295" s="1">
        <v>0.25900000000000001</v>
      </c>
      <c r="L295" s="1">
        <v>7.1</v>
      </c>
      <c r="M295" s="1">
        <v>22.5</v>
      </c>
      <c r="N295" s="1">
        <v>15.2</v>
      </c>
      <c r="O295" s="1">
        <v>7</v>
      </c>
      <c r="P295" s="1">
        <v>1.2</v>
      </c>
      <c r="Q295" s="1">
        <v>1.4</v>
      </c>
      <c r="R295" s="1">
        <v>9.3000000000000007</v>
      </c>
      <c r="S295" s="1">
        <v>16.399999999999999</v>
      </c>
      <c r="T295" s="1"/>
      <c r="U295" s="1">
        <v>1.5</v>
      </c>
      <c r="V295" s="1">
        <v>1.9</v>
      </c>
      <c r="W295" s="1">
        <v>3.4</v>
      </c>
      <c r="X295" s="1">
        <v>0.18</v>
      </c>
      <c r="Y295" s="1"/>
      <c r="Z295" s="1">
        <v>-0.1</v>
      </c>
      <c r="AA295" s="1">
        <v>0.7</v>
      </c>
      <c r="AB295" s="1">
        <v>0.6</v>
      </c>
      <c r="AC295" s="1">
        <v>0.6</v>
      </c>
      <c r="AD295">
        <f>Advanced_Table[[#This Row],[VORP]]*82/Advanced_Table[[#This Row],[G]]</f>
        <v>0.87857142857142845</v>
      </c>
    </row>
    <row r="296" spans="1:30" x14ac:dyDescent="0.25">
      <c r="A296" s="1">
        <v>233</v>
      </c>
      <c r="B296" s="1" t="s">
        <v>529</v>
      </c>
      <c r="C296" s="1" t="s">
        <v>303</v>
      </c>
      <c r="D296" s="1">
        <v>32</v>
      </c>
      <c r="E296" s="1" t="s">
        <v>359</v>
      </c>
      <c r="F296" s="1">
        <v>64</v>
      </c>
      <c r="G296" s="1">
        <v>1916</v>
      </c>
      <c r="H296" s="1">
        <v>12.5</v>
      </c>
      <c r="I296" s="1">
        <v>0.58799999999999997</v>
      </c>
      <c r="J296" s="1">
        <v>0.628</v>
      </c>
      <c r="K296" s="1">
        <v>0.17</v>
      </c>
      <c r="L296" s="1">
        <v>1.4</v>
      </c>
      <c r="M296" s="1">
        <v>12.7</v>
      </c>
      <c r="N296" s="1">
        <v>7.3</v>
      </c>
      <c r="O296" s="1">
        <v>24</v>
      </c>
      <c r="P296" s="1">
        <v>1.5</v>
      </c>
      <c r="Q296" s="1">
        <v>0.4</v>
      </c>
      <c r="R296" s="1">
        <v>18.899999999999999</v>
      </c>
      <c r="S296" s="1">
        <v>15</v>
      </c>
      <c r="T296" s="1"/>
      <c r="U296" s="1">
        <v>2.4</v>
      </c>
      <c r="V296" s="1">
        <v>2</v>
      </c>
      <c r="W296" s="1">
        <v>4.3</v>
      </c>
      <c r="X296" s="1">
        <v>0.108</v>
      </c>
      <c r="Y296" s="1"/>
      <c r="Z296" s="1">
        <v>0</v>
      </c>
      <c r="AA296" s="1">
        <v>0.7</v>
      </c>
      <c r="AB296" s="1">
        <v>0.7</v>
      </c>
      <c r="AC296" s="1">
        <v>1.3</v>
      </c>
      <c r="AD296">
        <f>Advanced_Table[[#This Row],[VORP]]*82/Advanced_Table[[#This Row],[G]]</f>
        <v>1.6656250000000001</v>
      </c>
    </row>
    <row r="297" spans="1:30" x14ac:dyDescent="0.25">
      <c r="A297" s="1">
        <v>234</v>
      </c>
      <c r="B297" s="1" t="s">
        <v>530</v>
      </c>
      <c r="C297" s="1" t="s">
        <v>23</v>
      </c>
      <c r="D297" s="1">
        <v>22</v>
      </c>
      <c r="E297" s="1" t="s">
        <v>295</v>
      </c>
      <c r="F297" s="1">
        <v>56</v>
      </c>
      <c r="G297" s="1">
        <v>1919</v>
      </c>
      <c r="H297" s="1">
        <v>19.2</v>
      </c>
      <c r="I297" s="1">
        <v>0.59</v>
      </c>
      <c r="J297" s="1">
        <v>0.35199999999999998</v>
      </c>
      <c r="K297" s="1">
        <v>0.32800000000000001</v>
      </c>
      <c r="L297" s="1">
        <v>2.7</v>
      </c>
      <c r="M297" s="1">
        <v>16.600000000000001</v>
      </c>
      <c r="N297" s="1">
        <v>9.6</v>
      </c>
      <c r="O297" s="1">
        <v>19.8</v>
      </c>
      <c r="P297" s="1">
        <v>1.3</v>
      </c>
      <c r="Q297" s="1">
        <v>1.6</v>
      </c>
      <c r="R297" s="1">
        <v>13.1</v>
      </c>
      <c r="S297" s="1">
        <v>28.2</v>
      </c>
      <c r="T297" s="1"/>
      <c r="U297" s="1">
        <v>3.2</v>
      </c>
      <c r="V297" s="1">
        <v>1.7</v>
      </c>
      <c r="W297" s="1">
        <v>4.9000000000000004</v>
      </c>
      <c r="X297" s="1">
        <v>0.122</v>
      </c>
      <c r="Y297" s="1"/>
      <c r="Z297" s="1">
        <v>3</v>
      </c>
      <c r="AA297" s="1">
        <v>-0.4</v>
      </c>
      <c r="AB297" s="1">
        <v>2.5</v>
      </c>
      <c r="AC297" s="1">
        <v>2.2000000000000002</v>
      </c>
      <c r="AD297">
        <f>Advanced_Table[[#This Row],[VORP]]*82/Advanced_Table[[#This Row],[G]]</f>
        <v>3.2214285714285715</v>
      </c>
    </row>
    <row r="298" spans="1:30" x14ac:dyDescent="0.25">
      <c r="A298" s="1">
        <v>235</v>
      </c>
      <c r="B298" s="1" t="s">
        <v>531</v>
      </c>
      <c r="C298" s="1" t="s">
        <v>316</v>
      </c>
      <c r="D298" s="1">
        <v>27</v>
      </c>
      <c r="E298" s="1" t="s">
        <v>299</v>
      </c>
      <c r="F298" s="1">
        <v>20</v>
      </c>
      <c r="G298" s="1">
        <v>658</v>
      </c>
      <c r="H298" s="1">
        <v>26.3</v>
      </c>
      <c r="I298" s="1">
        <v>0.59499999999999997</v>
      </c>
      <c r="J298" s="1">
        <v>0.34100000000000003</v>
      </c>
      <c r="K298" s="1">
        <v>0.245</v>
      </c>
      <c r="L298" s="1">
        <v>3.5</v>
      </c>
      <c r="M298" s="1">
        <v>12.4</v>
      </c>
      <c r="N298" s="1">
        <v>8.1</v>
      </c>
      <c r="O298" s="1">
        <v>37.4</v>
      </c>
      <c r="P298" s="1">
        <v>1.9</v>
      </c>
      <c r="Q298" s="1">
        <v>1.3</v>
      </c>
      <c r="R298" s="1">
        <v>10.1</v>
      </c>
      <c r="S298" s="1">
        <v>32.6</v>
      </c>
      <c r="T298" s="1"/>
      <c r="U298" s="1">
        <v>2.1</v>
      </c>
      <c r="V298" s="1">
        <v>0.8</v>
      </c>
      <c r="W298" s="1">
        <v>3</v>
      </c>
      <c r="X298" s="1">
        <v>0.216</v>
      </c>
      <c r="Y298" s="1"/>
      <c r="Z298" s="1">
        <v>6.7</v>
      </c>
      <c r="AA298" s="1">
        <v>1</v>
      </c>
      <c r="AB298" s="1">
        <v>7.7</v>
      </c>
      <c r="AC298" s="1">
        <v>1.6</v>
      </c>
      <c r="AD298">
        <f>Advanced_Table[[#This Row],[VORP]]*82/Advanced_Table[[#This Row],[G]]</f>
        <v>6.5600000000000005</v>
      </c>
    </row>
    <row r="299" spans="1:30" x14ac:dyDescent="0.25">
      <c r="A299" s="1">
        <v>236</v>
      </c>
      <c r="B299" s="1" t="s">
        <v>532</v>
      </c>
      <c r="C299" s="1" t="s">
        <v>303</v>
      </c>
      <c r="D299" s="1">
        <v>22</v>
      </c>
      <c r="E299" s="1" t="s">
        <v>301</v>
      </c>
      <c r="F299" s="1">
        <v>32</v>
      </c>
      <c r="G299" s="1">
        <v>949</v>
      </c>
      <c r="H299" s="1">
        <v>16.899999999999999</v>
      </c>
      <c r="I299" s="1">
        <v>0.54200000000000004</v>
      </c>
      <c r="J299" s="1">
        <v>0.28299999999999997</v>
      </c>
      <c r="K299" s="1">
        <v>0.22700000000000001</v>
      </c>
      <c r="L299" s="1">
        <v>6.2</v>
      </c>
      <c r="M299" s="1">
        <v>19.3</v>
      </c>
      <c r="N299" s="1">
        <v>12.6</v>
      </c>
      <c r="O299" s="1">
        <v>7</v>
      </c>
      <c r="P299" s="1">
        <v>2.6</v>
      </c>
      <c r="Q299" s="1">
        <v>7.4</v>
      </c>
      <c r="R299" s="1">
        <v>11.7</v>
      </c>
      <c r="S299" s="1">
        <v>18.3</v>
      </c>
      <c r="T299" s="1"/>
      <c r="U299" s="1">
        <v>0.4</v>
      </c>
      <c r="V299" s="1">
        <v>1.9</v>
      </c>
      <c r="W299" s="1">
        <v>2.2999999999999998</v>
      </c>
      <c r="X299" s="1">
        <v>0.114</v>
      </c>
      <c r="Y299" s="1"/>
      <c r="Z299" s="1">
        <v>-0.9</v>
      </c>
      <c r="AA299" s="1">
        <v>2.9</v>
      </c>
      <c r="AB299" s="1">
        <v>2</v>
      </c>
      <c r="AC299" s="1">
        <v>1</v>
      </c>
      <c r="AD299">
        <f>Advanced_Table[[#This Row],[VORP]]*82/Advanced_Table[[#This Row],[G]]</f>
        <v>2.5625</v>
      </c>
    </row>
    <row r="300" spans="1:30" x14ac:dyDescent="0.25">
      <c r="A300" s="1">
        <v>237</v>
      </c>
      <c r="B300" s="1" t="s">
        <v>533</v>
      </c>
      <c r="C300" s="1" t="s">
        <v>303</v>
      </c>
      <c r="D300" s="1">
        <v>25</v>
      </c>
      <c r="E300" s="1" t="s">
        <v>301</v>
      </c>
      <c r="F300" s="1">
        <v>45</v>
      </c>
      <c r="G300" s="1">
        <v>810</v>
      </c>
      <c r="H300" s="1">
        <v>10</v>
      </c>
      <c r="I300" s="1">
        <v>0.52100000000000002</v>
      </c>
      <c r="J300" s="1">
        <v>0.34499999999999997</v>
      </c>
      <c r="K300" s="1">
        <v>0.39200000000000002</v>
      </c>
      <c r="L300" s="1">
        <v>2.9</v>
      </c>
      <c r="M300" s="1">
        <v>12.4</v>
      </c>
      <c r="N300" s="1">
        <v>7.5</v>
      </c>
      <c r="O300" s="1">
        <v>7.9</v>
      </c>
      <c r="P300" s="1">
        <v>1.5</v>
      </c>
      <c r="Q300" s="1">
        <v>1.2</v>
      </c>
      <c r="R300" s="1">
        <v>7.3</v>
      </c>
      <c r="S300" s="1">
        <v>13.1</v>
      </c>
      <c r="T300" s="1"/>
      <c r="U300" s="1">
        <v>0.6</v>
      </c>
      <c r="V300" s="1">
        <v>0.8</v>
      </c>
      <c r="W300" s="1">
        <v>1.4</v>
      </c>
      <c r="X300" s="1">
        <v>0.08</v>
      </c>
      <c r="Y300" s="1"/>
      <c r="Z300" s="1">
        <v>-3.2</v>
      </c>
      <c r="AA300" s="1">
        <v>0.3</v>
      </c>
      <c r="AB300" s="1">
        <v>-2.9</v>
      </c>
      <c r="AC300" s="1">
        <v>-0.2</v>
      </c>
      <c r="AD300">
        <f>Advanced_Table[[#This Row],[VORP]]*82/Advanced_Table[[#This Row],[G]]</f>
        <v>-0.36444444444444452</v>
      </c>
    </row>
    <row r="301" spans="1:30" x14ac:dyDescent="0.25">
      <c r="A301" s="1">
        <v>238</v>
      </c>
      <c r="B301" s="1" t="s">
        <v>534</v>
      </c>
      <c r="C301" s="1" t="s">
        <v>316</v>
      </c>
      <c r="D301" s="1">
        <v>21</v>
      </c>
      <c r="E301" s="1" t="s">
        <v>295</v>
      </c>
      <c r="F301" s="1">
        <v>51</v>
      </c>
      <c r="G301" s="1">
        <v>656</v>
      </c>
      <c r="H301" s="1">
        <v>7.7</v>
      </c>
      <c r="I301" s="1">
        <v>0.5</v>
      </c>
      <c r="J301" s="1">
        <v>0.46700000000000003</v>
      </c>
      <c r="K301" s="1">
        <v>0.249</v>
      </c>
      <c r="L301" s="1">
        <v>3</v>
      </c>
      <c r="M301" s="1">
        <v>8.4</v>
      </c>
      <c r="N301" s="1">
        <v>5.7</v>
      </c>
      <c r="O301" s="1">
        <v>8.6</v>
      </c>
      <c r="P301" s="1">
        <v>1.1000000000000001</v>
      </c>
      <c r="Q301" s="1">
        <v>0.5</v>
      </c>
      <c r="R301" s="1">
        <v>13.1</v>
      </c>
      <c r="S301" s="1">
        <v>20.399999999999999</v>
      </c>
      <c r="T301" s="1"/>
      <c r="U301" s="1">
        <v>-0.4</v>
      </c>
      <c r="V301" s="1">
        <v>0.3</v>
      </c>
      <c r="W301" s="1">
        <v>-0.1</v>
      </c>
      <c r="X301" s="1">
        <v>-5.0000000000000001E-3</v>
      </c>
      <c r="Y301" s="1"/>
      <c r="Z301" s="1">
        <v>-4</v>
      </c>
      <c r="AA301" s="1">
        <v>-2.1</v>
      </c>
      <c r="AB301" s="1">
        <v>-6.1</v>
      </c>
      <c r="AC301" s="1">
        <v>-0.7</v>
      </c>
      <c r="AD301">
        <f>Advanced_Table[[#This Row],[VORP]]*82/Advanced_Table[[#This Row],[G]]</f>
        <v>-1.1254901960784314</v>
      </c>
    </row>
    <row r="302" spans="1:30" x14ac:dyDescent="0.25">
      <c r="A302" s="1">
        <v>239</v>
      </c>
      <c r="B302" s="1" t="s">
        <v>535</v>
      </c>
      <c r="C302" s="1" t="s">
        <v>287</v>
      </c>
      <c r="D302" s="1">
        <v>20</v>
      </c>
      <c r="E302" s="1" t="s">
        <v>297</v>
      </c>
      <c r="F302" s="1">
        <v>54</v>
      </c>
      <c r="G302" s="1">
        <v>1512</v>
      </c>
      <c r="H302" s="1">
        <v>16.100000000000001</v>
      </c>
      <c r="I302" s="1">
        <v>0.59</v>
      </c>
      <c r="J302" s="1">
        <v>0.48499999999999999</v>
      </c>
      <c r="K302" s="1">
        <v>0.23699999999999999</v>
      </c>
      <c r="L302" s="1">
        <v>3.8</v>
      </c>
      <c r="M302" s="1">
        <v>13.7</v>
      </c>
      <c r="N302" s="1">
        <v>8.8000000000000007</v>
      </c>
      <c r="O302" s="1">
        <v>7.5</v>
      </c>
      <c r="P302" s="1">
        <v>1.1000000000000001</v>
      </c>
      <c r="Q302" s="1">
        <v>5</v>
      </c>
      <c r="R302" s="1">
        <v>10.8</v>
      </c>
      <c r="S302" s="1">
        <v>23.9</v>
      </c>
      <c r="T302" s="1"/>
      <c r="U302" s="1">
        <v>1.5</v>
      </c>
      <c r="V302" s="1">
        <v>1.7</v>
      </c>
      <c r="W302" s="1">
        <v>3.1</v>
      </c>
      <c r="X302" s="1">
        <v>0.1</v>
      </c>
      <c r="Y302" s="1"/>
      <c r="Z302" s="1">
        <v>0.2</v>
      </c>
      <c r="AA302" s="1">
        <v>-0.1</v>
      </c>
      <c r="AB302" s="1">
        <v>0.1</v>
      </c>
      <c r="AC302" s="1">
        <v>0.8</v>
      </c>
      <c r="AD302">
        <f>Advanced_Table[[#This Row],[VORP]]*82/Advanced_Table[[#This Row],[G]]</f>
        <v>1.214814814814815</v>
      </c>
    </row>
    <row r="303" spans="1:30" x14ac:dyDescent="0.25">
      <c r="A303" s="1">
        <v>240</v>
      </c>
      <c r="B303" s="1" t="s">
        <v>1341</v>
      </c>
      <c r="C303" s="1" t="s">
        <v>294</v>
      </c>
      <c r="D303" s="1">
        <v>22</v>
      </c>
      <c r="E303" s="1" t="s">
        <v>297</v>
      </c>
      <c r="F303" s="1">
        <v>18</v>
      </c>
      <c r="G303" s="1">
        <v>357</v>
      </c>
      <c r="H303" s="1">
        <v>14</v>
      </c>
      <c r="I303" s="1">
        <v>0.53900000000000003</v>
      </c>
      <c r="J303" s="1">
        <v>0.46500000000000002</v>
      </c>
      <c r="K303" s="1">
        <v>0.28399999999999997</v>
      </c>
      <c r="L303" s="1">
        <v>3.3</v>
      </c>
      <c r="M303" s="1">
        <v>13.5</v>
      </c>
      <c r="N303" s="1">
        <v>8.5</v>
      </c>
      <c r="O303" s="1">
        <v>12.4</v>
      </c>
      <c r="P303" s="1">
        <v>2.4</v>
      </c>
      <c r="Q303" s="1">
        <v>2.2000000000000002</v>
      </c>
      <c r="R303" s="1">
        <v>12.5</v>
      </c>
      <c r="S303" s="1">
        <v>23.2</v>
      </c>
      <c r="T303" s="1"/>
      <c r="U303" s="1">
        <v>0</v>
      </c>
      <c r="V303" s="1">
        <v>0.4</v>
      </c>
      <c r="W303" s="1">
        <v>0.5</v>
      </c>
      <c r="X303" s="1">
        <v>6.2E-2</v>
      </c>
      <c r="Y303" s="1"/>
      <c r="Z303" s="1">
        <v>-1.2</v>
      </c>
      <c r="AA303" s="1">
        <v>1.2</v>
      </c>
      <c r="AB303" s="1">
        <v>0</v>
      </c>
      <c r="AC303" s="1">
        <v>0.2</v>
      </c>
      <c r="AD303">
        <f>Advanced_Table[[#This Row],[VORP]]*82/Advanced_Table[[#This Row],[G]]</f>
        <v>0.9111111111111112</v>
      </c>
    </row>
    <row r="304" spans="1:30" x14ac:dyDescent="0.25">
      <c r="A304" s="1">
        <v>241</v>
      </c>
      <c r="B304" s="1" t="s">
        <v>536</v>
      </c>
      <c r="C304" s="1" t="s">
        <v>23</v>
      </c>
      <c r="D304" s="1">
        <v>24</v>
      </c>
      <c r="E304" s="1" t="s">
        <v>329</v>
      </c>
      <c r="F304" s="1">
        <v>57</v>
      </c>
      <c r="G304" s="1">
        <v>914</v>
      </c>
      <c r="H304" s="1">
        <v>10.199999999999999</v>
      </c>
      <c r="I304" s="1">
        <v>0.503</v>
      </c>
      <c r="J304" s="1">
        <v>0.48399999999999999</v>
      </c>
      <c r="K304" s="1">
        <v>0.14299999999999999</v>
      </c>
      <c r="L304" s="1">
        <v>3.2</v>
      </c>
      <c r="M304" s="1">
        <v>12.7</v>
      </c>
      <c r="N304" s="1">
        <v>8</v>
      </c>
      <c r="O304" s="1">
        <v>7.1</v>
      </c>
      <c r="P304" s="1">
        <v>0.6</v>
      </c>
      <c r="Q304" s="1">
        <v>0.8</v>
      </c>
      <c r="R304" s="1">
        <v>3.5</v>
      </c>
      <c r="S304" s="1">
        <v>15.9</v>
      </c>
      <c r="T304" s="1"/>
      <c r="U304" s="1">
        <v>0.7</v>
      </c>
      <c r="V304" s="1">
        <v>0.6</v>
      </c>
      <c r="W304" s="1">
        <v>1.3</v>
      </c>
      <c r="X304" s="1">
        <v>6.7000000000000004E-2</v>
      </c>
      <c r="Y304" s="1"/>
      <c r="Z304" s="1">
        <v>-1.5</v>
      </c>
      <c r="AA304" s="1">
        <v>-1.4</v>
      </c>
      <c r="AB304" s="1">
        <v>-2.9</v>
      </c>
      <c r="AC304" s="1">
        <v>-0.2</v>
      </c>
      <c r="AD304">
        <f>Advanced_Table[[#This Row],[VORP]]*82/Advanced_Table[[#This Row],[G]]</f>
        <v>-0.2877192982456141</v>
      </c>
    </row>
    <row r="305" spans="1:30" x14ac:dyDescent="0.25">
      <c r="A305" s="1">
        <v>242</v>
      </c>
      <c r="B305" s="1" t="s">
        <v>537</v>
      </c>
      <c r="C305" s="1" t="s">
        <v>316</v>
      </c>
      <c r="D305" s="1">
        <v>29</v>
      </c>
      <c r="E305" s="1" t="s">
        <v>957</v>
      </c>
      <c r="F305" s="1">
        <v>23</v>
      </c>
      <c r="G305" s="1">
        <v>556</v>
      </c>
      <c r="H305" s="1">
        <v>15</v>
      </c>
      <c r="I305" s="1">
        <v>0.53300000000000003</v>
      </c>
      <c r="J305" s="1">
        <v>0.44</v>
      </c>
      <c r="K305" s="1">
        <v>0.16700000000000001</v>
      </c>
      <c r="L305" s="1">
        <v>3</v>
      </c>
      <c r="M305" s="1">
        <v>10.199999999999999</v>
      </c>
      <c r="N305" s="1">
        <v>6.6</v>
      </c>
      <c r="O305" s="1">
        <v>28.7</v>
      </c>
      <c r="P305" s="1">
        <v>0.9</v>
      </c>
      <c r="Q305" s="1">
        <v>0.8</v>
      </c>
      <c r="R305" s="1">
        <v>12.7</v>
      </c>
      <c r="S305" s="1">
        <v>24.5</v>
      </c>
      <c r="T305" s="1"/>
      <c r="U305" s="1">
        <v>0.6</v>
      </c>
      <c r="V305" s="1">
        <v>0.3</v>
      </c>
      <c r="W305" s="1">
        <v>0.9</v>
      </c>
      <c r="X305" s="1">
        <v>7.8E-2</v>
      </c>
      <c r="Y305" s="1"/>
      <c r="Z305" s="1">
        <v>1.7</v>
      </c>
      <c r="AA305" s="1">
        <v>-1.3</v>
      </c>
      <c r="AB305" s="1">
        <v>0.4</v>
      </c>
      <c r="AC305" s="1">
        <v>0.3</v>
      </c>
      <c r="AD305">
        <f>Advanced_Table[[#This Row],[VORP]]*82/Advanced_Table[[#This Row],[G]]</f>
        <v>1.0695652173913042</v>
      </c>
    </row>
    <row r="306" spans="1:30" x14ac:dyDescent="0.25">
      <c r="A306" s="1">
        <v>242</v>
      </c>
      <c r="B306" s="1" t="s">
        <v>537</v>
      </c>
      <c r="C306" s="1" t="s">
        <v>316</v>
      </c>
      <c r="D306" s="1">
        <v>29</v>
      </c>
      <c r="E306" s="1" t="s">
        <v>363</v>
      </c>
      <c r="F306" s="1">
        <v>14</v>
      </c>
      <c r="G306" s="1">
        <v>381</v>
      </c>
      <c r="H306" s="1">
        <v>14.8</v>
      </c>
      <c r="I306" s="1">
        <v>0.49199999999999999</v>
      </c>
      <c r="J306" s="1">
        <v>0.41399999999999998</v>
      </c>
      <c r="K306" s="1">
        <v>0.16700000000000001</v>
      </c>
      <c r="L306" s="1">
        <v>3.2</v>
      </c>
      <c r="M306" s="1">
        <v>9</v>
      </c>
      <c r="N306" s="1">
        <v>6.1</v>
      </c>
      <c r="O306" s="1">
        <v>30.8</v>
      </c>
      <c r="P306" s="1">
        <v>1</v>
      </c>
      <c r="Q306" s="1">
        <v>0.2</v>
      </c>
      <c r="R306" s="1">
        <v>9.8000000000000007</v>
      </c>
      <c r="S306" s="1">
        <v>27</v>
      </c>
      <c r="T306" s="1"/>
      <c r="U306" s="1">
        <v>0.3</v>
      </c>
      <c r="V306" s="1">
        <v>0.1</v>
      </c>
      <c r="W306" s="1">
        <v>0.4</v>
      </c>
      <c r="X306" s="1">
        <v>4.9000000000000002E-2</v>
      </c>
      <c r="Y306" s="1"/>
      <c r="Z306" s="1">
        <v>1.7</v>
      </c>
      <c r="AA306" s="1">
        <v>-2.2000000000000002</v>
      </c>
      <c r="AB306" s="1">
        <v>-0.5</v>
      </c>
      <c r="AC306" s="1">
        <v>0.1</v>
      </c>
      <c r="AD306">
        <f>Advanced_Table[[#This Row],[VORP]]*82/Advanced_Table[[#This Row],[G]]</f>
        <v>0.58571428571428574</v>
      </c>
    </row>
    <row r="307" spans="1:30" x14ac:dyDescent="0.25">
      <c r="A307" s="1">
        <v>242</v>
      </c>
      <c r="B307" s="1" t="s">
        <v>537</v>
      </c>
      <c r="C307" s="1" t="s">
        <v>316</v>
      </c>
      <c r="D307" s="1">
        <v>29</v>
      </c>
      <c r="E307" s="1" t="s">
        <v>350</v>
      </c>
      <c r="F307" s="1">
        <v>9</v>
      </c>
      <c r="G307" s="1">
        <v>175</v>
      </c>
      <c r="H307" s="1">
        <v>15.6</v>
      </c>
      <c r="I307" s="1">
        <v>0.67</v>
      </c>
      <c r="J307" s="1">
        <v>0.52500000000000002</v>
      </c>
      <c r="K307" s="1">
        <v>0.16900000000000001</v>
      </c>
      <c r="L307" s="1">
        <v>2.4</v>
      </c>
      <c r="M307" s="1">
        <v>12.7</v>
      </c>
      <c r="N307" s="1">
        <v>7.7</v>
      </c>
      <c r="O307" s="1">
        <v>24.2</v>
      </c>
      <c r="P307" s="1">
        <v>0.5</v>
      </c>
      <c r="Q307" s="1">
        <v>2</v>
      </c>
      <c r="R307" s="1">
        <v>21.1</v>
      </c>
      <c r="S307" s="1">
        <v>19.100000000000001</v>
      </c>
      <c r="T307" s="1"/>
      <c r="U307" s="1">
        <v>0.3</v>
      </c>
      <c r="V307" s="1">
        <v>0.2</v>
      </c>
      <c r="W307" s="1">
        <v>0.5</v>
      </c>
      <c r="X307" s="1">
        <v>0.14199999999999999</v>
      </c>
      <c r="Y307" s="1"/>
      <c r="Z307" s="1">
        <v>1.7</v>
      </c>
      <c r="AA307" s="1">
        <v>0.7</v>
      </c>
      <c r="AB307" s="1">
        <v>2.2999999999999998</v>
      </c>
      <c r="AC307" s="1">
        <v>0.2</v>
      </c>
      <c r="AD307">
        <f>Advanced_Table[[#This Row],[VORP]]*82/Advanced_Table[[#This Row],[G]]</f>
        <v>1.8222222222222224</v>
      </c>
    </row>
    <row r="308" spans="1:30" x14ac:dyDescent="0.25">
      <c r="A308" s="1">
        <v>243</v>
      </c>
      <c r="B308" s="1" t="s">
        <v>538</v>
      </c>
      <c r="C308" s="1" t="s">
        <v>294</v>
      </c>
      <c r="D308" s="1">
        <v>23</v>
      </c>
      <c r="E308" s="1" t="s">
        <v>319</v>
      </c>
      <c r="F308" s="1">
        <v>34</v>
      </c>
      <c r="G308" s="1">
        <v>218</v>
      </c>
      <c r="H308" s="1">
        <v>11.5</v>
      </c>
      <c r="I308" s="1">
        <v>0.48699999999999999</v>
      </c>
      <c r="J308" s="1">
        <v>0.33300000000000002</v>
      </c>
      <c r="K308" s="1">
        <v>0.26900000000000002</v>
      </c>
      <c r="L308" s="1">
        <v>3</v>
      </c>
      <c r="M308" s="1">
        <v>12.7</v>
      </c>
      <c r="N308" s="1">
        <v>7.8</v>
      </c>
      <c r="O308" s="1">
        <v>10.8</v>
      </c>
      <c r="P308" s="1">
        <v>1.3</v>
      </c>
      <c r="Q308" s="1">
        <v>3.9</v>
      </c>
      <c r="R308" s="1">
        <v>8.4</v>
      </c>
      <c r="S308" s="1">
        <v>19</v>
      </c>
      <c r="T308" s="1"/>
      <c r="U308" s="1">
        <v>0</v>
      </c>
      <c r="V308" s="1">
        <v>0.2</v>
      </c>
      <c r="W308" s="1">
        <v>0.2</v>
      </c>
      <c r="X308" s="1">
        <v>3.6999999999999998E-2</v>
      </c>
      <c r="Y308" s="1"/>
      <c r="Z308" s="1">
        <v>-0.9</v>
      </c>
      <c r="AA308" s="1">
        <v>0.2</v>
      </c>
      <c r="AB308" s="1">
        <v>-0.7</v>
      </c>
      <c r="AC308" s="1">
        <v>0.1</v>
      </c>
      <c r="AD308">
        <f>Advanced_Table[[#This Row],[VORP]]*82/Advanced_Table[[#This Row],[G]]</f>
        <v>0.24117647058823533</v>
      </c>
    </row>
    <row r="309" spans="1:30" x14ac:dyDescent="0.25">
      <c r="A309" s="1">
        <v>244</v>
      </c>
      <c r="B309" s="1" t="s">
        <v>539</v>
      </c>
      <c r="C309" s="1" t="s">
        <v>316</v>
      </c>
      <c r="D309" s="1">
        <v>35</v>
      </c>
      <c r="E309" s="1" t="s">
        <v>309</v>
      </c>
      <c r="F309" s="1">
        <v>60</v>
      </c>
      <c r="G309" s="1">
        <v>2094</v>
      </c>
      <c r="H309" s="1">
        <v>26</v>
      </c>
      <c r="I309" s="1">
        <v>0.58199999999999996</v>
      </c>
      <c r="J309" s="1">
        <v>0.32400000000000001</v>
      </c>
      <c r="K309" s="1">
        <v>0.29199999999999998</v>
      </c>
      <c r="L309" s="1">
        <v>3.1</v>
      </c>
      <c r="M309" s="1">
        <v>21</v>
      </c>
      <c r="N309" s="1">
        <v>12.3</v>
      </c>
      <c r="O309" s="1">
        <v>49.7</v>
      </c>
      <c r="P309" s="1">
        <v>1.7</v>
      </c>
      <c r="Q309" s="1">
        <v>1.3</v>
      </c>
      <c r="R309" s="1">
        <v>15.3</v>
      </c>
      <c r="S309" s="1">
        <v>31.6</v>
      </c>
      <c r="T309" s="1"/>
      <c r="U309" s="1">
        <v>6.1</v>
      </c>
      <c r="V309" s="1">
        <v>3.4</v>
      </c>
      <c r="W309" s="1">
        <v>9.5</v>
      </c>
      <c r="X309" s="1">
        <v>0.218</v>
      </c>
      <c r="Y309" s="1"/>
      <c r="Z309" s="1">
        <v>6.8</v>
      </c>
      <c r="AA309" s="1">
        <v>1.8</v>
      </c>
      <c r="AB309" s="1">
        <v>8.6</v>
      </c>
      <c r="AC309" s="1">
        <v>5.6</v>
      </c>
      <c r="AD309">
        <f>Advanced_Table[[#This Row],[VORP]]*82/Advanced_Table[[#This Row],[G]]</f>
        <v>7.6533333333333333</v>
      </c>
    </row>
    <row r="310" spans="1:30" x14ac:dyDescent="0.25">
      <c r="A310" s="1">
        <v>245</v>
      </c>
      <c r="B310" s="1" t="s">
        <v>540</v>
      </c>
      <c r="C310" s="1" t="s">
        <v>23</v>
      </c>
      <c r="D310" s="1">
        <v>26</v>
      </c>
      <c r="E310" s="1" t="s">
        <v>301</v>
      </c>
      <c r="F310" s="1">
        <v>18</v>
      </c>
      <c r="G310" s="1">
        <v>74</v>
      </c>
      <c r="H310" s="1">
        <v>8.9</v>
      </c>
      <c r="I310" s="1">
        <v>0.372</v>
      </c>
      <c r="J310" s="1">
        <v>0</v>
      </c>
      <c r="K310" s="1">
        <v>1</v>
      </c>
      <c r="L310" s="1">
        <v>14</v>
      </c>
      <c r="M310" s="1">
        <v>19.5</v>
      </c>
      <c r="N310" s="1">
        <v>16.7</v>
      </c>
      <c r="O310" s="1">
        <v>7.2</v>
      </c>
      <c r="P310" s="1">
        <v>0.7</v>
      </c>
      <c r="Q310" s="1">
        <v>3.7</v>
      </c>
      <c r="R310" s="1">
        <v>13</v>
      </c>
      <c r="S310" s="1">
        <v>13.5</v>
      </c>
      <c r="T310" s="1"/>
      <c r="U310" s="1">
        <v>0</v>
      </c>
      <c r="V310" s="1">
        <v>0.1</v>
      </c>
      <c r="W310" s="1">
        <v>0</v>
      </c>
      <c r="X310" s="1">
        <v>2.3E-2</v>
      </c>
      <c r="Y310" s="1"/>
      <c r="Z310" s="1">
        <v>-5</v>
      </c>
      <c r="AA310" s="1">
        <v>-1</v>
      </c>
      <c r="AB310" s="1">
        <v>-6</v>
      </c>
      <c r="AC310" s="1">
        <v>-0.1</v>
      </c>
      <c r="AD310">
        <f>Advanced_Table[[#This Row],[VORP]]*82/Advanced_Table[[#This Row],[G]]</f>
        <v>-0.4555555555555556</v>
      </c>
    </row>
    <row r="311" spans="1:30" x14ac:dyDescent="0.25">
      <c r="A311" s="1">
        <v>246</v>
      </c>
      <c r="B311" s="1" t="s">
        <v>541</v>
      </c>
      <c r="C311" s="1" t="s">
        <v>294</v>
      </c>
      <c r="D311" s="1">
        <v>22</v>
      </c>
      <c r="E311" s="1" t="s">
        <v>319</v>
      </c>
      <c r="F311" s="1">
        <v>6</v>
      </c>
      <c r="G311" s="1">
        <v>19</v>
      </c>
      <c r="H311" s="1">
        <v>10.7</v>
      </c>
      <c r="I311" s="1">
        <v>0.5</v>
      </c>
      <c r="J311" s="1">
        <v>0.57099999999999995</v>
      </c>
      <c r="K311" s="1">
        <v>0</v>
      </c>
      <c r="L311" s="1">
        <v>5.8</v>
      </c>
      <c r="M311" s="1">
        <v>0</v>
      </c>
      <c r="N311" s="1">
        <v>3</v>
      </c>
      <c r="O311" s="1">
        <v>7.8</v>
      </c>
      <c r="P311" s="1">
        <v>2.6</v>
      </c>
      <c r="Q311" s="1">
        <v>0</v>
      </c>
      <c r="R311" s="1">
        <v>0</v>
      </c>
      <c r="S311" s="1">
        <v>16.100000000000001</v>
      </c>
      <c r="T311" s="1"/>
      <c r="U311" s="1">
        <v>0</v>
      </c>
      <c r="V311" s="1">
        <v>0</v>
      </c>
      <c r="W311" s="1">
        <v>0</v>
      </c>
      <c r="X311" s="1">
        <v>8.1000000000000003E-2</v>
      </c>
      <c r="Y311" s="1"/>
      <c r="Z311" s="1">
        <v>-2.2999999999999998</v>
      </c>
      <c r="AA311" s="1">
        <v>-0.2</v>
      </c>
      <c r="AB311" s="1">
        <v>-2.5</v>
      </c>
      <c r="AC311" s="1">
        <v>0</v>
      </c>
      <c r="AD311">
        <f>Advanced_Table[[#This Row],[VORP]]*82/Advanced_Table[[#This Row],[G]]</f>
        <v>0</v>
      </c>
    </row>
    <row r="312" spans="1:30" x14ac:dyDescent="0.25">
      <c r="A312" s="1">
        <v>247</v>
      </c>
      <c r="B312" s="1" t="s">
        <v>802</v>
      </c>
      <c r="C312" s="1" t="s">
        <v>316</v>
      </c>
      <c r="D312" s="1">
        <v>22</v>
      </c>
      <c r="E312" s="1" t="s">
        <v>322</v>
      </c>
      <c r="F312" s="1">
        <v>28</v>
      </c>
      <c r="G312" s="1">
        <v>315</v>
      </c>
      <c r="H312" s="1">
        <v>8.1</v>
      </c>
      <c r="I312" s="1">
        <v>0.437</v>
      </c>
      <c r="J312" s="1">
        <v>0.443</v>
      </c>
      <c r="K312" s="1">
        <v>0.13200000000000001</v>
      </c>
      <c r="L312" s="1">
        <v>2.1</v>
      </c>
      <c r="M312" s="1">
        <v>12.6</v>
      </c>
      <c r="N312" s="1">
        <v>7.2</v>
      </c>
      <c r="O312" s="1">
        <v>18.8</v>
      </c>
      <c r="P312" s="1">
        <v>2.1</v>
      </c>
      <c r="Q312" s="1">
        <v>0.8</v>
      </c>
      <c r="R312" s="1">
        <v>13.8</v>
      </c>
      <c r="S312" s="1">
        <v>17.600000000000001</v>
      </c>
      <c r="T312" s="1"/>
      <c r="U312" s="1">
        <v>-0.3</v>
      </c>
      <c r="V312" s="1">
        <v>0.3</v>
      </c>
      <c r="W312" s="1">
        <v>0</v>
      </c>
      <c r="X312" s="1">
        <v>-2E-3</v>
      </c>
      <c r="Y312" s="1"/>
      <c r="Z312" s="1">
        <v>-3.8</v>
      </c>
      <c r="AA312" s="1">
        <v>0</v>
      </c>
      <c r="AB312" s="1">
        <v>-3.9</v>
      </c>
      <c r="AC312" s="1">
        <v>-0.1</v>
      </c>
      <c r="AD312">
        <f>Advanced_Table[[#This Row],[VORP]]*82/Advanced_Table[[#This Row],[G]]</f>
        <v>-0.29285714285714287</v>
      </c>
    </row>
    <row r="313" spans="1:30" x14ac:dyDescent="0.25">
      <c r="A313" s="1">
        <v>248</v>
      </c>
      <c r="B313" s="1" t="s">
        <v>542</v>
      </c>
      <c r="C313" s="1" t="s">
        <v>303</v>
      </c>
      <c r="D313" s="1">
        <v>23</v>
      </c>
      <c r="E313" s="1" t="s">
        <v>353</v>
      </c>
      <c r="F313" s="1">
        <v>13</v>
      </c>
      <c r="G313" s="1">
        <v>54</v>
      </c>
      <c r="H313" s="1">
        <v>10.8</v>
      </c>
      <c r="I313" s="1">
        <v>0.51</v>
      </c>
      <c r="J313" s="1">
        <v>0</v>
      </c>
      <c r="K313" s="1">
        <v>0.4</v>
      </c>
      <c r="L313" s="1">
        <v>14.4</v>
      </c>
      <c r="M313" s="1">
        <v>22.3</v>
      </c>
      <c r="N313" s="1">
        <v>18.399999999999999</v>
      </c>
      <c r="O313" s="1">
        <v>5</v>
      </c>
      <c r="P313" s="1">
        <v>0</v>
      </c>
      <c r="Q313" s="1">
        <v>0</v>
      </c>
      <c r="R313" s="1">
        <v>14.5</v>
      </c>
      <c r="S313" s="1">
        <v>16.8</v>
      </c>
      <c r="T313" s="1"/>
      <c r="U313" s="1">
        <v>0</v>
      </c>
      <c r="V313" s="1">
        <v>0.1</v>
      </c>
      <c r="W313" s="1">
        <v>0.1</v>
      </c>
      <c r="X313" s="1">
        <v>7.0000000000000007E-2</v>
      </c>
      <c r="Y313" s="1"/>
      <c r="Z313" s="1">
        <v>-3.1</v>
      </c>
      <c r="AA313" s="1">
        <v>-1.7</v>
      </c>
      <c r="AB313" s="1">
        <v>-4.8</v>
      </c>
      <c r="AC313" s="1">
        <v>0</v>
      </c>
      <c r="AD313">
        <f>Advanced_Table[[#This Row],[VORP]]*82/Advanced_Table[[#This Row],[G]]</f>
        <v>0</v>
      </c>
    </row>
    <row r="314" spans="1:30" x14ac:dyDescent="0.25">
      <c r="A314" s="1">
        <v>249</v>
      </c>
      <c r="B314" s="1" t="s">
        <v>803</v>
      </c>
      <c r="C314" s="1" t="s">
        <v>303</v>
      </c>
      <c r="D314" s="1">
        <v>24</v>
      </c>
      <c r="E314" s="1" t="s">
        <v>301</v>
      </c>
      <c r="F314" s="1">
        <v>8</v>
      </c>
      <c r="G314" s="1">
        <v>46</v>
      </c>
      <c r="H314" s="1">
        <v>2.5</v>
      </c>
      <c r="I314" s="1">
        <v>0.34399999999999997</v>
      </c>
      <c r="J314" s="1">
        <v>0.33300000000000002</v>
      </c>
      <c r="K314" s="1">
        <v>0.111</v>
      </c>
      <c r="L314" s="1">
        <v>2.2999999999999998</v>
      </c>
      <c r="M314" s="1">
        <v>12.1</v>
      </c>
      <c r="N314" s="1">
        <v>7</v>
      </c>
      <c r="O314" s="1">
        <v>6.1</v>
      </c>
      <c r="P314" s="1">
        <v>2.1</v>
      </c>
      <c r="Q314" s="1">
        <v>0</v>
      </c>
      <c r="R314" s="1">
        <v>13.7</v>
      </c>
      <c r="S314" s="1">
        <v>20.6</v>
      </c>
      <c r="T314" s="1"/>
      <c r="U314" s="1">
        <v>-0.2</v>
      </c>
      <c r="V314" s="1">
        <v>0</v>
      </c>
      <c r="W314" s="1">
        <v>-0.1</v>
      </c>
      <c r="X314" s="1">
        <v>-0.13200000000000001</v>
      </c>
      <c r="Y314" s="1"/>
      <c r="Z314" s="1">
        <v>-7.4</v>
      </c>
      <c r="AA314" s="1">
        <v>-2.5</v>
      </c>
      <c r="AB314" s="1">
        <v>-9.8000000000000007</v>
      </c>
      <c r="AC314" s="1">
        <v>-0.1</v>
      </c>
      <c r="AD314">
        <f>Advanced_Table[[#This Row],[VORP]]*82/Advanced_Table[[#This Row],[G]]</f>
        <v>-1.0250000000000001</v>
      </c>
    </row>
    <row r="315" spans="1:30" x14ac:dyDescent="0.25">
      <c r="A315" s="1">
        <v>250</v>
      </c>
      <c r="B315" s="1" t="s">
        <v>543</v>
      </c>
      <c r="C315" s="1" t="s">
        <v>23</v>
      </c>
      <c r="D315" s="1">
        <v>23</v>
      </c>
      <c r="E315" s="1" t="s">
        <v>322</v>
      </c>
      <c r="F315" s="1">
        <v>49</v>
      </c>
      <c r="G315" s="1">
        <v>996</v>
      </c>
      <c r="H315" s="1">
        <v>12.2</v>
      </c>
      <c r="I315" s="1">
        <v>0.57599999999999996</v>
      </c>
      <c r="J315" s="1">
        <v>0.70499999999999996</v>
      </c>
      <c r="K315" s="1">
        <v>0.14199999999999999</v>
      </c>
      <c r="L315" s="1">
        <v>4.3</v>
      </c>
      <c r="M315" s="1">
        <v>11.5</v>
      </c>
      <c r="N315" s="1">
        <v>7.8</v>
      </c>
      <c r="O315" s="1">
        <v>7.4</v>
      </c>
      <c r="P315" s="1">
        <v>1.4</v>
      </c>
      <c r="Q315" s="1">
        <v>1.4</v>
      </c>
      <c r="R315" s="1">
        <v>7.7</v>
      </c>
      <c r="S315" s="1">
        <v>16</v>
      </c>
      <c r="T315" s="1"/>
      <c r="U315" s="1">
        <v>1.1000000000000001</v>
      </c>
      <c r="V315" s="1">
        <v>0.7</v>
      </c>
      <c r="W315" s="1">
        <v>1.8</v>
      </c>
      <c r="X315" s="1">
        <v>8.5999999999999993E-2</v>
      </c>
      <c r="Y315" s="1"/>
      <c r="Z315" s="1">
        <v>0.5</v>
      </c>
      <c r="AA315" s="1">
        <v>-0.7</v>
      </c>
      <c r="AB315" s="1">
        <v>-0.2</v>
      </c>
      <c r="AC315" s="1">
        <v>0.5</v>
      </c>
      <c r="AD315">
        <f>Advanced_Table[[#This Row],[VORP]]*82/Advanced_Table[[#This Row],[G]]</f>
        <v>0.83673469387755106</v>
      </c>
    </row>
    <row r="316" spans="1:30" x14ac:dyDescent="0.25">
      <c r="A316" s="1">
        <v>251</v>
      </c>
      <c r="B316" s="1" t="s">
        <v>544</v>
      </c>
      <c r="C316" s="1" t="s">
        <v>23</v>
      </c>
      <c r="D316" s="1">
        <v>32</v>
      </c>
      <c r="E316" s="1" t="s">
        <v>957</v>
      </c>
      <c r="F316" s="1">
        <v>32</v>
      </c>
      <c r="G316" s="1">
        <v>619</v>
      </c>
      <c r="H316" s="1">
        <v>14.8</v>
      </c>
      <c r="I316" s="1">
        <v>0.57199999999999995</v>
      </c>
      <c r="J316" s="1">
        <v>0.42299999999999999</v>
      </c>
      <c r="K316" s="1">
        <v>0.223</v>
      </c>
      <c r="L316" s="1">
        <v>4.3</v>
      </c>
      <c r="M316" s="1">
        <v>16.3</v>
      </c>
      <c r="N316" s="1">
        <v>10.3</v>
      </c>
      <c r="O316" s="1">
        <v>18.399999999999999</v>
      </c>
      <c r="P316" s="1">
        <v>1.9</v>
      </c>
      <c r="Q316" s="1">
        <v>4.5999999999999996</v>
      </c>
      <c r="R316" s="1">
        <v>16.899999999999999</v>
      </c>
      <c r="S316" s="1">
        <v>19.399999999999999</v>
      </c>
      <c r="T316" s="1"/>
      <c r="U316" s="1">
        <v>0.4</v>
      </c>
      <c r="V316" s="1">
        <v>0.8</v>
      </c>
      <c r="W316" s="1">
        <v>1.2</v>
      </c>
      <c r="X316" s="1">
        <v>0.09</v>
      </c>
      <c r="Y316" s="1"/>
      <c r="Z316" s="1">
        <v>-1.2</v>
      </c>
      <c r="AA316" s="1">
        <v>1.3</v>
      </c>
      <c r="AB316" s="1">
        <v>0.2</v>
      </c>
      <c r="AC316" s="1">
        <v>0.3</v>
      </c>
      <c r="AD316">
        <f>Advanced_Table[[#This Row],[VORP]]*82/Advanced_Table[[#This Row],[G]]</f>
        <v>0.76874999999999993</v>
      </c>
    </row>
    <row r="317" spans="1:30" x14ac:dyDescent="0.25">
      <c r="A317" s="1">
        <v>251</v>
      </c>
      <c r="B317" s="1" t="s">
        <v>544</v>
      </c>
      <c r="C317" s="1" t="s">
        <v>23</v>
      </c>
      <c r="D317" s="1">
        <v>32</v>
      </c>
      <c r="E317" s="1" t="s">
        <v>290</v>
      </c>
      <c r="F317" s="1">
        <v>18</v>
      </c>
      <c r="G317" s="1">
        <v>281</v>
      </c>
      <c r="H317" s="1">
        <v>11.1</v>
      </c>
      <c r="I317" s="1">
        <v>0.54700000000000004</v>
      </c>
      <c r="J317" s="1">
        <v>0.51700000000000002</v>
      </c>
      <c r="K317" s="1">
        <v>0.161</v>
      </c>
      <c r="L317" s="1">
        <v>3.3</v>
      </c>
      <c r="M317" s="1">
        <v>16.899999999999999</v>
      </c>
      <c r="N317" s="1">
        <v>10.4</v>
      </c>
      <c r="O317" s="1">
        <v>11.1</v>
      </c>
      <c r="P317" s="1">
        <v>1</v>
      </c>
      <c r="Q317" s="1">
        <v>4.5999999999999996</v>
      </c>
      <c r="R317" s="1">
        <v>13.9</v>
      </c>
      <c r="S317" s="1">
        <v>17</v>
      </c>
      <c r="T317" s="1"/>
      <c r="U317" s="1">
        <v>0</v>
      </c>
      <c r="V317" s="1">
        <v>0.4</v>
      </c>
      <c r="W317" s="1">
        <v>0.4</v>
      </c>
      <c r="X317" s="1">
        <v>6.7000000000000004E-2</v>
      </c>
      <c r="Y317" s="1"/>
      <c r="Z317" s="1">
        <v>-2.5</v>
      </c>
      <c r="AA317" s="1">
        <v>0.6</v>
      </c>
      <c r="AB317" s="1">
        <v>-1.9</v>
      </c>
      <c r="AC317" s="1">
        <v>0</v>
      </c>
      <c r="AD317">
        <f>Advanced_Table[[#This Row],[VORP]]*82/Advanced_Table[[#This Row],[G]]</f>
        <v>0</v>
      </c>
    </row>
    <row r="318" spans="1:30" x14ac:dyDescent="0.25">
      <c r="A318" s="1">
        <v>251</v>
      </c>
      <c r="B318" s="1" t="s">
        <v>544</v>
      </c>
      <c r="C318" s="1" t="s">
        <v>23</v>
      </c>
      <c r="D318" s="1">
        <v>32</v>
      </c>
      <c r="E318" s="1" t="s">
        <v>336</v>
      </c>
      <c r="F318" s="1">
        <v>14</v>
      </c>
      <c r="G318" s="1">
        <v>338</v>
      </c>
      <c r="H318" s="1">
        <v>17.899999999999999</v>
      </c>
      <c r="I318" s="1">
        <v>0.58799999999999997</v>
      </c>
      <c r="J318" s="1">
        <v>0.35899999999999999</v>
      </c>
      <c r="K318" s="1">
        <v>0.26600000000000001</v>
      </c>
      <c r="L318" s="1">
        <v>5.0999999999999996</v>
      </c>
      <c r="M318" s="1">
        <v>15.9</v>
      </c>
      <c r="N318" s="1">
        <v>10.3</v>
      </c>
      <c r="O318" s="1">
        <v>24.4</v>
      </c>
      <c r="P318" s="1">
        <v>2.6</v>
      </c>
      <c r="Q318" s="1">
        <v>4.7</v>
      </c>
      <c r="R318" s="1">
        <v>18.8</v>
      </c>
      <c r="S318" s="1">
        <v>21.4</v>
      </c>
      <c r="T318" s="1"/>
      <c r="U318" s="1">
        <v>0.3</v>
      </c>
      <c r="V318" s="1">
        <v>0.4</v>
      </c>
      <c r="W318" s="1">
        <v>0.8</v>
      </c>
      <c r="X318" s="1">
        <v>0.109</v>
      </c>
      <c r="Y318" s="1"/>
      <c r="Z318" s="1">
        <v>-0.1</v>
      </c>
      <c r="AA318" s="1">
        <v>1.9</v>
      </c>
      <c r="AB318" s="1">
        <v>1.9</v>
      </c>
      <c r="AC318" s="1">
        <v>0.3</v>
      </c>
      <c r="AD318">
        <f>Advanced_Table[[#This Row],[VORP]]*82/Advanced_Table[[#This Row],[G]]</f>
        <v>1.7571428571428569</v>
      </c>
    </row>
    <row r="319" spans="1:30" x14ac:dyDescent="0.25">
      <c r="A319" s="1">
        <v>252</v>
      </c>
      <c r="B319" s="1" t="s">
        <v>772</v>
      </c>
      <c r="C319" s="1" t="s">
        <v>303</v>
      </c>
      <c r="D319" s="1">
        <v>20</v>
      </c>
      <c r="E319" s="1" t="s">
        <v>292</v>
      </c>
      <c r="F319" s="1">
        <v>9</v>
      </c>
      <c r="G319" s="1">
        <v>92</v>
      </c>
      <c r="H319" s="1">
        <v>16.600000000000001</v>
      </c>
      <c r="I319" s="1">
        <v>0.57899999999999996</v>
      </c>
      <c r="J319" s="1">
        <v>0.161</v>
      </c>
      <c r="K319" s="1">
        <v>0.32300000000000001</v>
      </c>
      <c r="L319" s="1">
        <v>5.8</v>
      </c>
      <c r="M319" s="1">
        <v>14.1</v>
      </c>
      <c r="N319" s="1">
        <v>10</v>
      </c>
      <c r="O319" s="1">
        <v>9.4</v>
      </c>
      <c r="P319" s="1">
        <v>2.6</v>
      </c>
      <c r="Q319" s="1">
        <v>1</v>
      </c>
      <c r="R319" s="1">
        <v>7.8</v>
      </c>
      <c r="S319" s="1">
        <v>18.100000000000001</v>
      </c>
      <c r="T319" s="1"/>
      <c r="U319" s="1">
        <v>0.2</v>
      </c>
      <c r="V319" s="1">
        <v>0.1</v>
      </c>
      <c r="W319" s="1">
        <v>0.2</v>
      </c>
      <c r="X319" s="1">
        <v>0.11899999999999999</v>
      </c>
      <c r="Y319" s="1"/>
      <c r="Z319" s="1">
        <v>-0.2</v>
      </c>
      <c r="AA319" s="1">
        <v>-0.7</v>
      </c>
      <c r="AB319" s="1">
        <v>-0.9</v>
      </c>
      <c r="AC319" s="1">
        <v>0</v>
      </c>
      <c r="AD319">
        <f>Advanced_Table[[#This Row],[VORP]]*82/Advanced_Table[[#This Row],[G]]</f>
        <v>0</v>
      </c>
    </row>
    <row r="320" spans="1:30" x14ac:dyDescent="0.25">
      <c r="A320" s="1">
        <v>253</v>
      </c>
      <c r="B320" s="1" t="s">
        <v>545</v>
      </c>
      <c r="C320" s="1" t="s">
        <v>23</v>
      </c>
      <c r="D320" s="1">
        <v>23</v>
      </c>
      <c r="E320" s="1" t="s">
        <v>314</v>
      </c>
      <c r="F320" s="1">
        <v>20</v>
      </c>
      <c r="G320" s="1">
        <v>96</v>
      </c>
      <c r="H320" s="1">
        <v>3.1</v>
      </c>
      <c r="I320" s="1">
        <v>0.34200000000000003</v>
      </c>
      <c r="J320" s="1">
        <v>0.41899999999999998</v>
      </c>
      <c r="K320" s="1">
        <v>0.19400000000000001</v>
      </c>
      <c r="L320" s="1">
        <v>3.4</v>
      </c>
      <c r="M320" s="1">
        <v>20.5</v>
      </c>
      <c r="N320" s="1">
        <v>12.1</v>
      </c>
      <c r="O320" s="1">
        <v>11</v>
      </c>
      <c r="P320" s="1">
        <v>2</v>
      </c>
      <c r="Q320" s="1">
        <v>2</v>
      </c>
      <c r="R320" s="1">
        <v>19.2</v>
      </c>
      <c r="S320" s="1">
        <v>18.600000000000001</v>
      </c>
      <c r="T320" s="1"/>
      <c r="U320" s="1">
        <v>-0.3</v>
      </c>
      <c r="V320" s="1">
        <v>0.2</v>
      </c>
      <c r="W320" s="1">
        <v>-0.1</v>
      </c>
      <c r="X320" s="1">
        <v>-6.8000000000000005E-2</v>
      </c>
      <c r="Y320" s="1"/>
      <c r="Z320" s="1">
        <v>-7.7</v>
      </c>
      <c r="AA320" s="1">
        <v>1.4</v>
      </c>
      <c r="AB320" s="1">
        <v>-6.4</v>
      </c>
      <c r="AC320" s="1">
        <v>-0.1</v>
      </c>
      <c r="AD320">
        <f>Advanced_Table[[#This Row],[VORP]]*82/Advanced_Table[[#This Row],[G]]</f>
        <v>-0.41000000000000003</v>
      </c>
    </row>
    <row r="321" spans="1:30" x14ac:dyDescent="0.25">
      <c r="A321" s="1">
        <v>254</v>
      </c>
      <c r="B321" s="1" t="s">
        <v>546</v>
      </c>
      <c r="C321" s="1" t="s">
        <v>294</v>
      </c>
      <c r="D321" s="1">
        <v>27</v>
      </c>
      <c r="E321" s="1" t="s">
        <v>322</v>
      </c>
      <c r="F321" s="1">
        <v>31</v>
      </c>
      <c r="G321" s="1">
        <v>515</v>
      </c>
      <c r="H321" s="1">
        <v>8.1</v>
      </c>
      <c r="I321" s="1">
        <v>0.48099999999999998</v>
      </c>
      <c r="J321" s="1">
        <v>0.48499999999999999</v>
      </c>
      <c r="K321" s="1">
        <v>0.187</v>
      </c>
      <c r="L321" s="1">
        <v>2.1</v>
      </c>
      <c r="M321" s="1">
        <v>9.3000000000000007</v>
      </c>
      <c r="N321" s="1">
        <v>5.6</v>
      </c>
      <c r="O321" s="1">
        <v>13.5</v>
      </c>
      <c r="P321" s="1">
        <v>1.1000000000000001</v>
      </c>
      <c r="Q321" s="1">
        <v>1.4</v>
      </c>
      <c r="R321" s="1">
        <v>11.5</v>
      </c>
      <c r="S321" s="1">
        <v>17.3</v>
      </c>
      <c r="T321" s="1"/>
      <c r="U321" s="1">
        <v>-0.2</v>
      </c>
      <c r="V321" s="1">
        <v>0.3</v>
      </c>
      <c r="W321" s="1">
        <v>0.1</v>
      </c>
      <c r="X321" s="1">
        <v>1.0999999999999999E-2</v>
      </c>
      <c r="Y321" s="1"/>
      <c r="Z321" s="1">
        <v>-3</v>
      </c>
      <c r="AA321" s="1">
        <v>-0.7</v>
      </c>
      <c r="AB321" s="1">
        <v>-3.6</v>
      </c>
      <c r="AC321" s="1">
        <v>-0.2</v>
      </c>
      <c r="AD321">
        <f>Advanced_Table[[#This Row],[VORP]]*82/Advanced_Table[[#This Row],[G]]</f>
        <v>-0.52903225806451615</v>
      </c>
    </row>
    <row r="322" spans="1:30" x14ac:dyDescent="0.25">
      <c r="A322" s="1">
        <v>255</v>
      </c>
      <c r="B322" s="1" t="s">
        <v>547</v>
      </c>
      <c r="C322" s="1" t="s">
        <v>287</v>
      </c>
      <c r="D322" s="1">
        <v>24</v>
      </c>
      <c r="E322" s="1" t="s">
        <v>334</v>
      </c>
      <c r="F322" s="1">
        <v>64</v>
      </c>
      <c r="G322" s="1">
        <v>2067</v>
      </c>
      <c r="H322" s="1">
        <v>25.1</v>
      </c>
      <c r="I322" s="1">
        <v>0.60299999999999998</v>
      </c>
      <c r="J322" s="1">
        <v>0.23400000000000001</v>
      </c>
      <c r="K322" s="1">
        <v>0.27900000000000003</v>
      </c>
      <c r="L322" s="1">
        <v>8.1999999999999993</v>
      </c>
      <c r="M322" s="1">
        <v>26.8</v>
      </c>
      <c r="N322" s="1">
        <v>17.5</v>
      </c>
      <c r="O322" s="1">
        <v>34.200000000000003</v>
      </c>
      <c r="P322" s="1">
        <v>1.8</v>
      </c>
      <c r="Q322" s="1">
        <v>1.9</v>
      </c>
      <c r="R322" s="1">
        <v>15.5</v>
      </c>
      <c r="S322" s="1">
        <v>26.7</v>
      </c>
      <c r="T322" s="1"/>
      <c r="U322" s="1">
        <v>6</v>
      </c>
      <c r="V322" s="1">
        <v>3.2</v>
      </c>
      <c r="W322" s="1">
        <v>9.1</v>
      </c>
      <c r="X322" s="1">
        <v>0.21199999999999999</v>
      </c>
      <c r="Y322" s="1"/>
      <c r="Z322" s="1">
        <v>5.5</v>
      </c>
      <c r="AA322" s="1">
        <v>2.2999999999999998</v>
      </c>
      <c r="AB322" s="1">
        <v>7.8</v>
      </c>
      <c r="AC322" s="1">
        <v>5.0999999999999996</v>
      </c>
      <c r="AD322">
        <f>Advanced_Table[[#This Row],[VORP]]*82/Advanced_Table[[#This Row],[G]]</f>
        <v>6.5343749999999998</v>
      </c>
    </row>
    <row r="323" spans="1:30" x14ac:dyDescent="0.25">
      <c r="A323" s="1">
        <v>256</v>
      </c>
      <c r="B323" s="1" t="s">
        <v>548</v>
      </c>
      <c r="C323" s="1" t="s">
        <v>287</v>
      </c>
      <c r="D323" s="1">
        <v>24</v>
      </c>
      <c r="E323" s="1" t="s">
        <v>347</v>
      </c>
      <c r="F323" s="1">
        <v>55</v>
      </c>
      <c r="G323" s="1">
        <v>887</v>
      </c>
      <c r="H323" s="1">
        <v>15.5</v>
      </c>
      <c r="I323" s="1">
        <v>0.71199999999999997</v>
      </c>
      <c r="J323" s="1">
        <v>5.0999999999999997E-2</v>
      </c>
      <c r="K323" s="1">
        <v>0.47199999999999998</v>
      </c>
      <c r="L323" s="1">
        <v>8.9</v>
      </c>
      <c r="M323" s="1">
        <v>16.2</v>
      </c>
      <c r="N323" s="1">
        <v>12.5</v>
      </c>
      <c r="O323" s="1">
        <v>5.6</v>
      </c>
      <c r="P323" s="1">
        <v>1.4</v>
      </c>
      <c r="Q323" s="1">
        <v>3.8</v>
      </c>
      <c r="R323" s="1">
        <v>11.5</v>
      </c>
      <c r="S323" s="1">
        <v>11.4</v>
      </c>
      <c r="T323" s="1"/>
      <c r="U323" s="1">
        <v>2.2000000000000002</v>
      </c>
      <c r="V323" s="1">
        <v>0.6</v>
      </c>
      <c r="W323" s="1">
        <v>2.8</v>
      </c>
      <c r="X323" s="1">
        <v>0.152</v>
      </c>
      <c r="Y323" s="1"/>
      <c r="Z323" s="1">
        <v>-1.5</v>
      </c>
      <c r="AA323" s="1">
        <v>0.1</v>
      </c>
      <c r="AB323" s="1">
        <v>-1.5</v>
      </c>
      <c r="AC323" s="1">
        <v>0.1</v>
      </c>
      <c r="AD323">
        <f>Advanced_Table[[#This Row],[VORP]]*82/Advanced_Table[[#This Row],[G]]</f>
        <v>0.14909090909090911</v>
      </c>
    </row>
    <row r="324" spans="1:30" x14ac:dyDescent="0.25">
      <c r="A324" s="1">
        <v>257</v>
      </c>
      <c r="B324" s="1" t="s">
        <v>549</v>
      </c>
      <c r="C324" s="1" t="s">
        <v>303</v>
      </c>
      <c r="D324" s="1">
        <v>22</v>
      </c>
      <c r="E324" s="1" t="s">
        <v>290</v>
      </c>
      <c r="F324" s="1">
        <v>50</v>
      </c>
      <c r="G324" s="1">
        <v>1219</v>
      </c>
      <c r="H324" s="1">
        <v>14.4</v>
      </c>
      <c r="I324" s="1">
        <v>0.59899999999999998</v>
      </c>
      <c r="J324" s="1">
        <v>0.39</v>
      </c>
      <c r="K324" s="1">
        <v>0.36499999999999999</v>
      </c>
      <c r="L324" s="1">
        <v>5.4</v>
      </c>
      <c r="M324" s="1">
        <v>13.7</v>
      </c>
      <c r="N324" s="1">
        <v>9.6999999999999993</v>
      </c>
      <c r="O324" s="1">
        <v>6.7</v>
      </c>
      <c r="P324" s="1">
        <v>2.1</v>
      </c>
      <c r="Q324" s="1">
        <v>2.8</v>
      </c>
      <c r="R324" s="1">
        <v>7</v>
      </c>
      <c r="S324" s="1">
        <v>14</v>
      </c>
      <c r="T324" s="1"/>
      <c r="U324" s="1">
        <v>2.1</v>
      </c>
      <c r="V324" s="1">
        <v>1.6</v>
      </c>
      <c r="W324" s="1">
        <v>3.7</v>
      </c>
      <c r="X324" s="1">
        <v>0.14599999999999999</v>
      </c>
      <c r="Y324" s="1"/>
      <c r="Z324" s="1">
        <v>-0.6</v>
      </c>
      <c r="AA324" s="1">
        <v>1.1000000000000001</v>
      </c>
      <c r="AB324" s="1">
        <v>0.5</v>
      </c>
      <c r="AC324" s="1">
        <v>0.8</v>
      </c>
      <c r="AD324">
        <f>Advanced_Table[[#This Row],[VORP]]*82/Advanced_Table[[#This Row],[G]]</f>
        <v>1.3120000000000003</v>
      </c>
    </row>
    <row r="325" spans="1:30" x14ac:dyDescent="0.25">
      <c r="A325" s="1">
        <v>258</v>
      </c>
      <c r="B325" s="1" t="s">
        <v>550</v>
      </c>
      <c r="C325" s="1" t="s">
        <v>316</v>
      </c>
      <c r="D325" s="1">
        <v>23</v>
      </c>
      <c r="E325" s="1" t="s">
        <v>297</v>
      </c>
      <c r="F325" s="1">
        <v>65</v>
      </c>
      <c r="G325" s="1">
        <v>1232</v>
      </c>
      <c r="H325" s="1">
        <v>15.7</v>
      </c>
      <c r="I325" s="1">
        <v>0.53200000000000003</v>
      </c>
      <c r="J325" s="1">
        <v>0.28899999999999998</v>
      </c>
      <c r="K325" s="1">
        <v>0.13500000000000001</v>
      </c>
      <c r="L325" s="1">
        <v>0.8</v>
      </c>
      <c r="M325" s="1">
        <v>7.9</v>
      </c>
      <c r="N325" s="1">
        <v>4.4000000000000004</v>
      </c>
      <c r="O325" s="1">
        <v>31.7</v>
      </c>
      <c r="P325" s="1">
        <v>2.2000000000000002</v>
      </c>
      <c r="Q325" s="1">
        <v>0.4</v>
      </c>
      <c r="R325" s="1">
        <v>10.8</v>
      </c>
      <c r="S325" s="1">
        <v>17.2</v>
      </c>
      <c r="T325" s="1"/>
      <c r="U325" s="1">
        <v>2</v>
      </c>
      <c r="V325" s="1">
        <v>1</v>
      </c>
      <c r="W325" s="1">
        <v>3</v>
      </c>
      <c r="X325" s="1">
        <v>0.115</v>
      </c>
      <c r="Y325" s="1"/>
      <c r="Z325" s="1">
        <v>0.5</v>
      </c>
      <c r="AA325" s="1">
        <v>0</v>
      </c>
      <c r="AB325" s="1">
        <v>0.5</v>
      </c>
      <c r="AC325" s="1">
        <v>0.8</v>
      </c>
      <c r="AD325">
        <f>Advanced_Table[[#This Row],[VORP]]*82/Advanced_Table[[#This Row],[G]]</f>
        <v>1.0092307692307694</v>
      </c>
    </row>
    <row r="326" spans="1:30" x14ac:dyDescent="0.25">
      <c r="A326" s="1">
        <v>259</v>
      </c>
      <c r="B326" s="1" t="s">
        <v>551</v>
      </c>
      <c r="C326" s="1" t="s">
        <v>287</v>
      </c>
      <c r="D326" s="1">
        <v>31</v>
      </c>
      <c r="E326" s="1" t="s">
        <v>299</v>
      </c>
      <c r="F326" s="1">
        <v>56</v>
      </c>
      <c r="G326" s="1">
        <v>1234</v>
      </c>
      <c r="H326" s="1">
        <v>20</v>
      </c>
      <c r="I326" s="1">
        <v>0.68200000000000005</v>
      </c>
      <c r="J326" s="1">
        <v>0</v>
      </c>
      <c r="K326" s="1">
        <v>0.42499999999999999</v>
      </c>
      <c r="L326" s="1">
        <v>12.1</v>
      </c>
      <c r="M326" s="1">
        <v>34.200000000000003</v>
      </c>
      <c r="N326" s="1">
        <v>23.4</v>
      </c>
      <c r="O326" s="1">
        <v>12.8</v>
      </c>
      <c r="P326" s="1">
        <v>0.7</v>
      </c>
      <c r="Q326" s="1">
        <v>3.5</v>
      </c>
      <c r="R326" s="1">
        <v>17.8</v>
      </c>
      <c r="S326" s="1">
        <v>14.1</v>
      </c>
      <c r="T326" s="1"/>
      <c r="U326" s="1">
        <v>3</v>
      </c>
      <c r="V326" s="1">
        <v>2.2999999999999998</v>
      </c>
      <c r="W326" s="1">
        <v>5.3</v>
      </c>
      <c r="X326" s="1">
        <v>0.20399999999999999</v>
      </c>
      <c r="Y326" s="1"/>
      <c r="Z326" s="1">
        <v>1.1000000000000001</v>
      </c>
      <c r="AA326" s="1">
        <v>1.7</v>
      </c>
      <c r="AB326" s="1">
        <v>2.8</v>
      </c>
      <c r="AC326" s="1">
        <v>1.5</v>
      </c>
      <c r="AD326">
        <f>Advanced_Table[[#This Row],[VORP]]*82/Advanced_Table[[#This Row],[G]]</f>
        <v>2.1964285714285716</v>
      </c>
    </row>
    <row r="327" spans="1:30" x14ac:dyDescent="0.25">
      <c r="A327" s="1">
        <v>260</v>
      </c>
      <c r="B327" s="1" t="s">
        <v>552</v>
      </c>
      <c r="C327" s="1" t="s">
        <v>316</v>
      </c>
      <c r="D327" s="1">
        <v>28</v>
      </c>
      <c r="E327" s="1" t="s">
        <v>319</v>
      </c>
      <c r="F327" s="1">
        <v>64</v>
      </c>
      <c r="G327" s="1">
        <v>1538</v>
      </c>
      <c r="H327" s="1">
        <v>10.3</v>
      </c>
      <c r="I327" s="1">
        <v>0.51300000000000001</v>
      </c>
      <c r="J327" s="1">
        <v>0.36299999999999999</v>
      </c>
      <c r="K327" s="1">
        <v>0.157</v>
      </c>
      <c r="L327" s="1">
        <v>2.6</v>
      </c>
      <c r="M327" s="1">
        <v>9.5</v>
      </c>
      <c r="N327" s="1">
        <v>6</v>
      </c>
      <c r="O327" s="1">
        <v>19.399999999999999</v>
      </c>
      <c r="P327" s="1">
        <v>1.5</v>
      </c>
      <c r="Q327" s="1">
        <v>1.3</v>
      </c>
      <c r="R327" s="1">
        <v>14</v>
      </c>
      <c r="S327" s="1">
        <v>13</v>
      </c>
      <c r="T327" s="1"/>
      <c r="U327" s="1">
        <v>1.1000000000000001</v>
      </c>
      <c r="V327" s="1">
        <v>1</v>
      </c>
      <c r="W327" s="1">
        <v>2.2000000000000002</v>
      </c>
      <c r="X327" s="1">
        <v>6.7000000000000004E-2</v>
      </c>
      <c r="Y327" s="1"/>
      <c r="Z327" s="1">
        <v>-2.1</v>
      </c>
      <c r="AA327" s="1">
        <v>0.4</v>
      </c>
      <c r="AB327" s="1">
        <v>-1.7</v>
      </c>
      <c r="AC327" s="1">
        <v>0.1</v>
      </c>
      <c r="AD327">
        <f>Advanced_Table[[#This Row],[VORP]]*82/Advanced_Table[[#This Row],[G]]</f>
        <v>0.12812500000000002</v>
      </c>
    </row>
    <row r="328" spans="1:30" x14ac:dyDescent="0.25">
      <c r="A328" s="1">
        <v>261</v>
      </c>
      <c r="B328" s="1" t="s">
        <v>553</v>
      </c>
      <c r="C328" s="1" t="s">
        <v>287</v>
      </c>
      <c r="D328" s="1">
        <v>22</v>
      </c>
      <c r="E328" s="1" t="s">
        <v>350</v>
      </c>
      <c r="F328" s="1">
        <v>12</v>
      </c>
      <c r="G328" s="1">
        <v>64</v>
      </c>
      <c r="H328" s="1">
        <v>18.2</v>
      </c>
      <c r="I328" s="1">
        <v>0.61399999999999999</v>
      </c>
      <c r="J328" s="1">
        <v>0.625</v>
      </c>
      <c r="K328" s="1">
        <v>0.156</v>
      </c>
      <c r="L328" s="1">
        <v>1.7</v>
      </c>
      <c r="M328" s="1">
        <v>15.7</v>
      </c>
      <c r="N328" s="1">
        <v>8.9</v>
      </c>
      <c r="O328" s="1">
        <v>4.9000000000000004</v>
      </c>
      <c r="P328" s="1">
        <v>1.5</v>
      </c>
      <c r="Q328" s="1">
        <v>2.7</v>
      </c>
      <c r="R328" s="1">
        <v>5.5</v>
      </c>
      <c r="S328" s="1">
        <v>23.5</v>
      </c>
      <c r="T328" s="1"/>
      <c r="U328" s="1">
        <v>0.1</v>
      </c>
      <c r="V328" s="1">
        <v>0.1</v>
      </c>
      <c r="W328" s="1">
        <v>0.2</v>
      </c>
      <c r="X328" s="1">
        <v>0.17499999999999999</v>
      </c>
      <c r="Y328" s="1"/>
      <c r="Z328" s="1">
        <v>2.2000000000000002</v>
      </c>
      <c r="AA328" s="1">
        <v>-0.2</v>
      </c>
      <c r="AB328" s="1">
        <v>1.9</v>
      </c>
      <c r="AC328" s="1">
        <v>0.1</v>
      </c>
      <c r="AD328">
        <f>Advanced_Table[[#This Row],[VORP]]*82/Advanced_Table[[#This Row],[G]]</f>
        <v>0.68333333333333346</v>
      </c>
    </row>
    <row r="329" spans="1:30" x14ac:dyDescent="0.25">
      <c r="A329" s="1">
        <v>262</v>
      </c>
      <c r="B329" s="1" t="s">
        <v>554</v>
      </c>
      <c r="C329" s="1" t="s">
        <v>287</v>
      </c>
      <c r="D329" s="1">
        <v>26</v>
      </c>
      <c r="E329" s="1" t="s">
        <v>322</v>
      </c>
      <c r="F329" s="1">
        <v>32</v>
      </c>
      <c r="G329" s="1">
        <v>718</v>
      </c>
      <c r="H329" s="1">
        <v>14.6</v>
      </c>
      <c r="I329" s="1">
        <v>0.55400000000000005</v>
      </c>
      <c r="J329" s="1">
        <v>0.40100000000000002</v>
      </c>
      <c r="K329" s="1">
        <v>0.315</v>
      </c>
      <c r="L329" s="1">
        <v>4.5999999999999996</v>
      </c>
      <c r="M329" s="1">
        <v>20.2</v>
      </c>
      <c r="N329" s="1">
        <v>12.2</v>
      </c>
      <c r="O329" s="1">
        <v>14.8</v>
      </c>
      <c r="P329" s="1">
        <v>0.9</v>
      </c>
      <c r="Q329" s="1">
        <v>1.2</v>
      </c>
      <c r="R329" s="1">
        <v>9.4</v>
      </c>
      <c r="S329" s="1">
        <v>20.8</v>
      </c>
      <c r="T329" s="1"/>
      <c r="U329" s="1">
        <v>0.8</v>
      </c>
      <c r="V329" s="1">
        <v>0.6</v>
      </c>
      <c r="W329" s="1">
        <v>1.4</v>
      </c>
      <c r="X329" s="1">
        <v>9.1999999999999998E-2</v>
      </c>
      <c r="Y329" s="1"/>
      <c r="Z329" s="1">
        <v>0.2</v>
      </c>
      <c r="AA329" s="1">
        <v>-0.3</v>
      </c>
      <c r="AB329" s="1">
        <v>-0.1</v>
      </c>
      <c r="AC329" s="1">
        <v>0.3</v>
      </c>
      <c r="AD329">
        <f>Advanced_Table[[#This Row],[VORP]]*82/Advanced_Table[[#This Row],[G]]</f>
        <v>0.76874999999999993</v>
      </c>
    </row>
    <row r="330" spans="1:30" x14ac:dyDescent="0.25">
      <c r="A330" s="1">
        <v>263</v>
      </c>
      <c r="B330" s="1" t="s">
        <v>555</v>
      </c>
      <c r="C330" s="1" t="s">
        <v>287</v>
      </c>
      <c r="D330" s="1">
        <v>27</v>
      </c>
      <c r="E330" s="1" t="s">
        <v>383</v>
      </c>
      <c r="F330" s="1">
        <v>51</v>
      </c>
      <c r="G330" s="1">
        <v>891</v>
      </c>
      <c r="H330" s="1">
        <v>22</v>
      </c>
      <c r="I330" s="1">
        <v>0.59399999999999997</v>
      </c>
      <c r="J330" s="1">
        <v>2.3E-2</v>
      </c>
      <c r="K330" s="1">
        <v>0.28599999999999998</v>
      </c>
      <c r="L330" s="1">
        <v>17.100000000000001</v>
      </c>
      <c r="M330" s="1">
        <v>30.2</v>
      </c>
      <c r="N330" s="1">
        <v>23.7</v>
      </c>
      <c r="O330" s="1">
        <v>8.4</v>
      </c>
      <c r="P330" s="1">
        <v>1.1000000000000001</v>
      </c>
      <c r="Q330" s="1">
        <v>3.9</v>
      </c>
      <c r="R330" s="1">
        <v>12.9</v>
      </c>
      <c r="S330" s="1">
        <v>19.3</v>
      </c>
      <c r="T330" s="1"/>
      <c r="U330" s="1">
        <v>2.1</v>
      </c>
      <c r="V330" s="1">
        <v>1.7</v>
      </c>
      <c r="W330" s="1">
        <v>3.8</v>
      </c>
      <c r="X330" s="1">
        <v>0.20699999999999999</v>
      </c>
      <c r="Y330" s="1"/>
      <c r="Z330" s="1">
        <v>1.7</v>
      </c>
      <c r="AA330" s="1">
        <v>-0.2</v>
      </c>
      <c r="AB330" s="1">
        <v>1.5</v>
      </c>
      <c r="AC330" s="1">
        <v>0.8</v>
      </c>
      <c r="AD330">
        <f>Advanced_Table[[#This Row],[VORP]]*82/Advanced_Table[[#This Row],[G]]</f>
        <v>1.2862745098039217</v>
      </c>
    </row>
    <row r="331" spans="1:30" x14ac:dyDescent="0.25">
      <c r="A331" s="1">
        <v>264</v>
      </c>
      <c r="B331" s="1" t="s">
        <v>556</v>
      </c>
      <c r="C331" s="1" t="s">
        <v>294</v>
      </c>
      <c r="D331" s="1">
        <v>23</v>
      </c>
      <c r="E331" s="1" t="s">
        <v>363</v>
      </c>
      <c r="F331" s="1">
        <v>28</v>
      </c>
      <c r="G331" s="1">
        <v>922</v>
      </c>
      <c r="H331" s="1">
        <v>14.4</v>
      </c>
      <c r="I331" s="1">
        <v>0.58899999999999997</v>
      </c>
      <c r="J331" s="1">
        <v>0.53500000000000003</v>
      </c>
      <c r="K331" s="1">
        <v>0.219</v>
      </c>
      <c r="L331" s="1">
        <v>1.1000000000000001</v>
      </c>
      <c r="M331" s="1">
        <v>11.1</v>
      </c>
      <c r="N331" s="1">
        <v>6</v>
      </c>
      <c r="O331" s="1">
        <v>19.2</v>
      </c>
      <c r="P331" s="1">
        <v>0.6</v>
      </c>
      <c r="Q331" s="1">
        <v>0.5</v>
      </c>
      <c r="R331" s="1">
        <v>10.3</v>
      </c>
      <c r="S331" s="1">
        <v>19.8</v>
      </c>
      <c r="T331" s="1"/>
      <c r="U331" s="1">
        <v>1.6</v>
      </c>
      <c r="V331" s="1">
        <v>0.3</v>
      </c>
      <c r="W331" s="1">
        <v>1.9</v>
      </c>
      <c r="X331" s="1">
        <v>0.10100000000000001</v>
      </c>
      <c r="Y331" s="1"/>
      <c r="Z331" s="1">
        <v>1.1000000000000001</v>
      </c>
      <c r="AA331" s="1">
        <v>-1.4</v>
      </c>
      <c r="AB331" s="1">
        <v>-0.3</v>
      </c>
      <c r="AC331" s="1">
        <v>0.4</v>
      </c>
      <c r="AD331">
        <f>Advanced_Table[[#This Row],[VORP]]*82/Advanced_Table[[#This Row],[G]]</f>
        <v>1.1714285714285715</v>
      </c>
    </row>
    <row r="332" spans="1:30" x14ac:dyDescent="0.25">
      <c r="A332" s="1">
        <v>265</v>
      </c>
      <c r="B332" s="1" t="s">
        <v>557</v>
      </c>
      <c r="C332" s="1" t="s">
        <v>303</v>
      </c>
      <c r="D332" s="1">
        <v>27</v>
      </c>
      <c r="E332" s="1" t="s">
        <v>359</v>
      </c>
      <c r="F332" s="1">
        <v>4</v>
      </c>
      <c r="G332" s="1">
        <v>15</v>
      </c>
      <c r="H332" s="1">
        <v>-13.7</v>
      </c>
      <c r="I332" s="1">
        <v>0</v>
      </c>
      <c r="J332" s="1">
        <v>0.33300000000000002</v>
      </c>
      <c r="K332" s="1">
        <v>0</v>
      </c>
      <c r="L332" s="1">
        <v>0</v>
      </c>
      <c r="M332" s="1">
        <v>21</v>
      </c>
      <c r="N332" s="1">
        <v>11</v>
      </c>
      <c r="O332" s="1">
        <v>8</v>
      </c>
      <c r="P332" s="1">
        <v>0</v>
      </c>
      <c r="Q332" s="1">
        <v>0</v>
      </c>
      <c r="R332" s="1">
        <v>40</v>
      </c>
      <c r="S332" s="1">
        <v>14.6</v>
      </c>
      <c r="T332" s="1"/>
      <c r="U332" s="1">
        <v>-0.1</v>
      </c>
      <c r="V332" s="1">
        <v>0</v>
      </c>
      <c r="W332" s="1">
        <v>-0.1</v>
      </c>
      <c r="X332" s="1">
        <v>-0.32700000000000001</v>
      </c>
      <c r="Y332" s="1"/>
      <c r="Z332" s="1">
        <v>-15.7</v>
      </c>
      <c r="AA332" s="1">
        <v>-1.3</v>
      </c>
      <c r="AB332" s="1">
        <v>-17</v>
      </c>
      <c r="AC332" s="1">
        <v>-0.1</v>
      </c>
      <c r="AD332">
        <f>Advanced_Table[[#This Row],[VORP]]*82/Advanced_Table[[#This Row],[G]]</f>
        <v>-2.0500000000000003</v>
      </c>
    </row>
    <row r="333" spans="1:30" x14ac:dyDescent="0.25">
      <c r="A333" s="1">
        <v>266</v>
      </c>
      <c r="B333" s="1" t="s">
        <v>558</v>
      </c>
      <c r="C333" s="1" t="s">
        <v>1647</v>
      </c>
      <c r="D333" s="1">
        <v>26</v>
      </c>
      <c r="E333" s="1" t="s">
        <v>957</v>
      </c>
      <c r="F333" s="1">
        <v>21</v>
      </c>
      <c r="G333" s="1">
        <v>231</v>
      </c>
      <c r="H333" s="1">
        <v>4.2</v>
      </c>
      <c r="I333" s="1">
        <v>0.40100000000000002</v>
      </c>
      <c r="J333" s="1">
        <v>0.33300000000000002</v>
      </c>
      <c r="K333" s="1">
        <v>0.183</v>
      </c>
      <c r="L333" s="1">
        <v>5.5</v>
      </c>
      <c r="M333" s="1">
        <v>20.3</v>
      </c>
      <c r="N333" s="1">
        <v>12.8</v>
      </c>
      <c r="O333" s="1">
        <v>8.1</v>
      </c>
      <c r="P333" s="1">
        <v>0.4</v>
      </c>
      <c r="Q333" s="1">
        <v>1.9</v>
      </c>
      <c r="R333" s="1">
        <v>16.7</v>
      </c>
      <c r="S333" s="1">
        <v>14.8</v>
      </c>
      <c r="T333" s="1"/>
      <c r="U333" s="1">
        <v>-0.4</v>
      </c>
      <c r="V333" s="1">
        <v>0.2</v>
      </c>
      <c r="W333" s="1">
        <v>-0.2</v>
      </c>
      <c r="X333" s="1">
        <v>-3.7999999999999999E-2</v>
      </c>
      <c r="Y333" s="1"/>
      <c r="Z333" s="1">
        <v>-6.6</v>
      </c>
      <c r="AA333" s="1">
        <v>-1</v>
      </c>
      <c r="AB333" s="1">
        <v>-7.7</v>
      </c>
      <c r="AC333" s="1">
        <v>-0.3</v>
      </c>
      <c r="AD333">
        <f>Advanced_Table[[#This Row],[VORP]]*82/Advanced_Table[[#This Row],[G]]</f>
        <v>-1.1714285714285713</v>
      </c>
    </row>
    <row r="334" spans="1:30" x14ac:dyDescent="0.25">
      <c r="A334" s="1">
        <v>266</v>
      </c>
      <c r="B334" s="1" t="s">
        <v>558</v>
      </c>
      <c r="C334" s="1" t="s">
        <v>23</v>
      </c>
      <c r="D334" s="1">
        <v>26</v>
      </c>
      <c r="E334" s="1" t="s">
        <v>324</v>
      </c>
      <c r="F334" s="1">
        <v>12</v>
      </c>
      <c r="G334" s="1">
        <v>160</v>
      </c>
      <c r="H334" s="1">
        <v>6.1</v>
      </c>
      <c r="I334" s="1">
        <v>0.42099999999999999</v>
      </c>
      <c r="J334" s="1">
        <v>0.32100000000000001</v>
      </c>
      <c r="K334" s="1">
        <v>0.17</v>
      </c>
      <c r="L334" s="1">
        <v>5.9</v>
      </c>
      <c r="M334" s="1">
        <v>18.399999999999999</v>
      </c>
      <c r="N334" s="1">
        <v>11.9</v>
      </c>
      <c r="O334" s="1">
        <v>9.5</v>
      </c>
      <c r="P334" s="1">
        <v>0</v>
      </c>
      <c r="Q334" s="1">
        <v>1.7</v>
      </c>
      <c r="R334" s="1">
        <v>10.9</v>
      </c>
      <c r="S334" s="1">
        <v>17.600000000000001</v>
      </c>
      <c r="T334" s="1"/>
      <c r="U334" s="1">
        <v>-0.2</v>
      </c>
      <c r="V334" s="1">
        <v>0.1</v>
      </c>
      <c r="W334" s="1">
        <v>-0.1</v>
      </c>
      <c r="X334" s="1">
        <v>-0.03</v>
      </c>
      <c r="Y334" s="1"/>
      <c r="Z334" s="1">
        <v>-5.3</v>
      </c>
      <c r="AA334" s="1">
        <v>-1.7</v>
      </c>
      <c r="AB334" s="1">
        <v>-7</v>
      </c>
      <c r="AC334" s="1">
        <v>-0.2</v>
      </c>
      <c r="AD334">
        <f>Advanced_Table[[#This Row],[VORP]]*82/Advanced_Table[[#This Row],[G]]</f>
        <v>-1.3666666666666669</v>
      </c>
    </row>
    <row r="335" spans="1:30" x14ac:dyDescent="0.25">
      <c r="A335" s="1">
        <v>266</v>
      </c>
      <c r="B335" s="1" t="s">
        <v>558</v>
      </c>
      <c r="C335" s="1" t="s">
        <v>303</v>
      </c>
      <c r="D335" s="1">
        <v>26</v>
      </c>
      <c r="E335" s="1" t="s">
        <v>329</v>
      </c>
      <c r="F335" s="1">
        <v>9</v>
      </c>
      <c r="G335" s="1">
        <v>71</v>
      </c>
      <c r="H335" s="1">
        <v>-0.1</v>
      </c>
      <c r="I335" s="1">
        <v>0.254</v>
      </c>
      <c r="J335" s="1">
        <v>0.42899999999999999</v>
      </c>
      <c r="K335" s="1">
        <v>0.28599999999999998</v>
      </c>
      <c r="L335" s="1">
        <v>4.5</v>
      </c>
      <c r="M335" s="1">
        <v>24.6</v>
      </c>
      <c r="N335" s="1">
        <v>14.7</v>
      </c>
      <c r="O335" s="1">
        <v>5</v>
      </c>
      <c r="P335" s="1">
        <v>1.4</v>
      </c>
      <c r="Q335" s="1">
        <v>2.4</v>
      </c>
      <c r="R335" s="1">
        <v>43.2</v>
      </c>
      <c r="S335" s="1">
        <v>8.4</v>
      </c>
      <c r="T335" s="1"/>
      <c r="U335" s="1">
        <v>-0.2</v>
      </c>
      <c r="V335" s="1">
        <v>0.1</v>
      </c>
      <c r="W335" s="1">
        <v>-0.1</v>
      </c>
      <c r="X335" s="1">
        <v>-5.5E-2</v>
      </c>
      <c r="Y335" s="1"/>
      <c r="Z335" s="1">
        <v>-9.6</v>
      </c>
      <c r="AA335" s="1">
        <v>0.5</v>
      </c>
      <c r="AB335" s="1">
        <v>-9.1</v>
      </c>
      <c r="AC335" s="1">
        <v>-0.1</v>
      </c>
      <c r="AD335">
        <f>Advanced_Table[[#This Row],[VORP]]*82/Advanced_Table[[#This Row],[G]]</f>
        <v>-0.9111111111111112</v>
      </c>
    </row>
    <row r="336" spans="1:30" x14ac:dyDescent="0.25">
      <c r="A336" s="1">
        <v>267</v>
      </c>
      <c r="B336" s="1" t="s">
        <v>960</v>
      </c>
      <c r="C336" s="1" t="s">
        <v>303</v>
      </c>
      <c r="D336" s="1">
        <v>20</v>
      </c>
      <c r="E336" s="1" t="s">
        <v>363</v>
      </c>
      <c r="F336" s="1">
        <v>10</v>
      </c>
      <c r="G336" s="1">
        <v>62</v>
      </c>
      <c r="H336" s="1">
        <v>6.3</v>
      </c>
      <c r="I336" s="1">
        <v>0.44800000000000001</v>
      </c>
      <c r="J336" s="1">
        <v>0.52400000000000002</v>
      </c>
      <c r="K336" s="1">
        <v>0.14299999999999999</v>
      </c>
      <c r="L336" s="1">
        <v>1.8</v>
      </c>
      <c r="M336" s="1">
        <v>16.7</v>
      </c>
      <c r="N336" s="1">
        <v>9.1999999999999993</v>
      </c>
      <c r="O336" s="1">
        <v>11.8</v>
      </c>
      <c r="P336" s="1">
        <v>1.6</v>
      </c>
      <c r="Q336" s="1">
        <v>0</v>
      </c>
      <c r="R336" s="1">
        <v>8.1999999999999993</v>
      </c>
      <c r="S336" s="1">
        <v>17.100000000000001</v>
      </c>
      <c r="T336" s="1"/>
      <c r="U336" s="1">
        <v>-0.1</v>
      </c>
      <c r="V336" s="1">
        <v>0</v>
      </c>
      <c r="W336" s="1">
        <v>0</v>
      </c>
      <c r="X336" s="1">
        <v>-5.0000000000000001E-3</v>
      </c>
      <c r="Y336" s="1"/>
      <c r="Z336" s="1">
        <v>-5.0999999999999996</v>
      </c>
      <c r="AA336" s="1">
        <v>-1.1000000000000001</v>
      </c>
      <c r="AB336" s="1">
        <v>-6.2</v>
      </c>
      <c r="AC336" s="1">
        <v>-0.1</v>
      </c>
      <c r="AD336">
        <f>Advanced_Table[[#This Row],[VORP]]*82/Advanced_Table[[#This Row],[G]]</f>
        <v>-0.82000000000000006</v>
      </c>
    </row>
    <row r="337" spans="1:30" x14ac:dyDescent="0.25">
      <c r="A337" s="1">
        <v>268</v>
      </c>
      <c r="B337" s="1" t="s">
        <v>559</v>
      </c>
      <c r="C337" s="1" t="s">
        <v>287</v>
      </c>
      <c r="D337" s="1">
        <v>28</v>
      </c>
      <c r="E337" s="1" t="s">
        <v>329</v>
      </c>
      <c r="F337" s="1">
        <v>65</v>
      </c>
      <c r="G337" s="1">
        <v>1656</v>
      </c>
      <c r="H337" s="1">
        <v>13.9</v>
      </c>
      <c r="I337" s="1">
        <v>0.60299999999999998</v>
      </c>
      <c r="J337" s="1">
        <v>0.61099999999999999</v>
      </c>
      <c r="K337" s="1">
        <v>0.17699999999999999</v>
      </c>
      <c r="L337" s="1">
        <v>6.4</v>
      </c>
      <c r="M337" s="1">
        <v>15.6</v>
      </c>
      <c r="N337" s="1">
        <v>11.1</v>
      </c>
      <c r="O337" s="1">
        <v>6.2</v>
      </c>
      <c r="P337" s="1">
        <v>0.6</v>
      </c>
      <c r="Q337" s="1">
        <v>4</v>
      </c>
      <c r="R337" s="1">
        <v>8.8000000000000007</v>
      </c>
      <c r="S337" s="1">
        <v>13.8</v>
      </c>
      <c r="T337" s="1"/>
      <c r="U337" s="1">
        <v>2.9</v>
      </c>
      <c r="V337" s="1">
        <v>1.6</v>
      </c>
      <c r="W337" s="1">
        <v>4.5999999999999996</v>
      </c>
      <c r="X337" s="1">
        <v>0.13200000000000001</v>
      </c>
      <c r="Y337" s="1"/>
      <c r="Z337" s="1">
        <v>0.6</v>
      </c>
      <c r="AA337" s="1">
        <v>0</v>
      </c>
      <c r="AB337" s="1">
        <v>0.6</v>
      </c>
      <c r="AC337" s="1">
        <v>1.1000000000000001</v>
      </c>
      <c r="AD337">
        <f>Advanced_Table[[#This Row],[VORP]]*82/Advanced_Table[[#This Row],[G]]</f>
        <v>1.3876923076923078</v>
      </c>
    </row>
    <row r="338" spans="1:30" x14ac:dyDescent="0.25">
      <c r="A338" s="1">
        <v>269</v>
      </c>
      <c r="B338" s="1" t="s">
        <v>560</v>
      </c>
      <c r="C338" s="1" t="s">
        <v>316</v>
      </c>
      <c r="D338" s="1">
        <v>28</v>
      </c>
      <c r="E338" s="1" t="s">
        <v>957</v>
      </c>
      <c r="F338" s="1">
        <v>24</v>
      </c>
      <c r="G338" s="1">
        <v>429</v>
      </c>
      <c r="H338" s="1">
        <v>9.1</v>
      </c>
      <c r="I338" s="1">
        <v>0.51200000000000001</v>
      </c>
      <c r="J338" s="1">
        <v>0.78100000000000003</v>
      </c>
      <c r="K338" s="1">
        <v>0.18099999999999999</v>
      </c>
      <c r="L338" s="1">
        <v>0.8</v>
      </c>
      <c r="M338" s="1">
        <v>8.6999999999999993</v>
      </c>
      <c r="N338" s="1">
        <v>4.7</v>
      </c>
      <c r="O338" s="1">
        <v>21.5</v>
      </c>
      <c r="P338" s="1">
        <v>1.1000000000000001</v>
      </c>
      <c r="Q338" s="1">
        <v>0.6</v>
      </c>
      <c r="R338" s="1">
        <v>16.8</v>
      </c>
      <c r="S338" s="1">
        <v>20.9</v>
      </c>
      <c r="T338" s="1"/>
      <c r="U338" s="1">
        <v>-0.1</v>
      </c>
      <c r="V338" s="1">
        <v>0.1</v>
      </c>
      <c r="W338" s="1">
        <v>0</v>
      </c>
      <c r="X338" s="1">
        <v>-4.0000000000000001E-3</v>
      </c>
      <c r="Y338" s="1"/>
      <c r="Z338" s="1">
        <v>-1.4</v>
      </c>
      <c r="AA338" s="1">
        <v>-2.2999999999999998</v>
      </c>
      <c r="AB338" s="1">
        <v>-3.7</v>
      </c>
      <c r="AC338" s="1">
        <v>-0.2</v>
      </c>
      <c r="AD338">
        <f>Advanced_Table[[#This Row],[VORP]]*82/Advanced_Table[[#This Row],[G]]</f>
        <v>-0.68333333333333346</v>
      </c>
    </row>
    <row r="339" spans="1:30" x14ac:dyDescent="0.25">
      <c r="A339" s="1">
        <v>269</v>
      </c>
      <c r="B339" s="1" t="s">
        <v>560</v>
      </c>
      <c r="C339" s="1" t="s">
        <v>316</v>
      </c>
      <c r="D339" s="1">
        <v>28</v>
      </c>
      <c r="E339" s="1" t="s">
        <v>411</v>
      </c>
      <c r="F339" s="1">
        <v>16</v>
      </c>
      <c r="G339" s="1">
        <v>241</v>
      </c>
      <c r="H339" s="1">
        <v>5.5</v>
      </c>
      <c r="I339" s="1">
        <v>0.43099999999999999</v>
      </c>
      <c r="J339" s="1">
        <v>0.74399999999999999</v>
      </c>
      <c r="K339" s="1">
        <v>0.151</v>
      </c>
      <c r="L339" s="1">
        <v>1.4</v>
      </c>
      <c r="M339" s="1">
        <v>7.9</v>
      </c>
      <c r="N339" s="1">
        <v>4.5999999999999996</v>
      </c>
      <c r="O339" s="1">
        <v>18</v>
      </c>
      <c r="P339" s="1">
        <v>1</v>
      </c>
      <c r="Q339" s="1">
        <v>0.7</v>
      </c>
      <c r="R339" s="1">
        <v>14.9</v>
      </c>
      <c r="S339" s="1">
        <v>19.100000000000001</v>
      </c>
      <c r="T339" s="1"/>
      <c r="U339" s="1">
        <v>-0.3</v>
      </c>
      <c r="V339" s="1">
        <v>0</v>
      </c>
      <c r="W339" s="1">
        <v>-0.3</v>
      </c>
      <c r="X339" s="1">
        <v>-6.2E-2</v>
      </c>
      <c r="Y339" s="1"/>
      <c r="Z339" s="1">
        <v>-3.9</v>
      </c>
      <c r="AA339" s="1">
        <v>-2.9</v>
      </c>
      <c r="AB339" s="1">
        <v>-6.7</v>
      </c>
      <c r="AC339" s="1">
        <v>-0.3</v>
      </c>
      <c r="AD339">
        <f>Advanced_Table[[#This Row],[VORP]]*82/Advanced_Table[[#This Row],[G]]</f>
        <v>-1.5374999999999999</v>
      </c>
    </row>
    <row r="340" spans="1:30" x14ac:dyDescent="0.25">
      <c r="A340" s="1">
        <v>269</v>
      </c>
      <c r="B340" s="1" t="s">
        <v>560</v>
      </c>
      <c r="C340" s="1" t="s">
        <v>316</v>
      </c>
      <c r="D340" s="1">
        <v>28</v>
      </c>
      <c r="E340" s="1" t="s">
        <v>363</v>
      </c>
      <c r="F340" s="1">
        <v>8</v>
      </c>
      <c r="G340" s="1">
        <v>188</v>
      </c>
      <c r="H340" s="1">
        <v>13.8</v>
      </c>
      <c r="I340" s="1">
        <v>0.60499999999999998</v>
      </c>
      <c r="J340" s="1">
        <v>0.82399999999999995</v>
      </c>
      <c r="K340" s="1">
        <v>0.216</v>
      </c>
      <c r="L340" s="1">
        <v>0</v>
      </c>
      <c r="M340" s="1">
        <v>9.8000000000000007</v>
      </c>
      <c r="N340" s="1">
        <v>4.8</v>
      </c>
      <c r="O340" s="1">
        <v>26.1</v>
      </c>
      <c r="P340" s="1">
        <v>1.3</v>
      </c>
      <c r="Q340" s="1">
        <v>0.4</v>
      </c>
      <c r="R340" s="1">
        <v>19</v>
      </c>
      <c r="S340" s="1">
        <v>23.2</v>
      </c>
      <c r="T340" s="1"/>
      <c r="U340" s="1">
        <v>0.2</v>
      </c>
      <c r="V340" s="1">
        <v>0.1</v>
      </c>
      <c r="W340" s="1">
        <v>0.3</v>
      </c>
      <c r="X340" s="1">
        <v>7.0999999999999994E-2</v>
      </c>
      <c r="Y340" s="1"/>
      <c r="Z340" s="1">
        <v>1.8</v>
      </c>
      <c r="AA340" s="1">
        <v>-1.7</v>
      </c>
      <c r="AB340" s="1">
        <v>0.1</v>
      </c>
      <c r="AC340" s="1">
        <v>0.1</v>
      </c>
      <c r="AD340">
        <f>Advanced_Table[[#This Row],[VORP]]*82/Advanced_Table[[#This Row],[G]]</f>
        <v>1.0250000000000001</v>
      </c>
    </row>
    <row r="341" spans="1:30" x14ac:dyDescent="0.25">
      <c r="A341" s="1">
        <v>270</v>
      </c>
      <c r="B341" s="1" t="s">
        <v>561</v>
      </c>
      <c r="C341" s="1" t="s">
        <v>303</v>
      </c>
      <c r="D341" s="1">
        <v>20</v>
      </c>
      <c r="E341" s="1" t="s">
        <v>332</v>
      </c>
      <c r="F341" s="1">
        <v>64</v>
      </c>
      <c r="G341" s="1">
        <v>1150</v>
      </c>
      <c r="H341" s="1">
        <v>8.1</v>
      </c>
      <c r="I341" s="1">
        <v>0.46600000000000003</v>
      </c>
      <c r="J341" s="1">
        <v>0.497</v>
      </c>
      <c r="K341" s="1">
        <v>0.246</v>
      </c>
      <c r="L341" s="1">
        <v>2.5</v>
      </c>
      <c r="M341" s="1">
        <v>14.7</v>
      </c>
      <c r="N341" s="1">
        <v>8.4</v>
      </c>
      <c r="O341" s="1">
        <v>7.6</v>
      </c>
      <c r="P341" s="1">
        <v>0.9</v>
      </c>
      <c r="Q341" s="1">
        <v>2.2999999999999998</v>
      </c>
      <c r="R341" s="1">
        <v>9.3000000000000007</v>
      </c>
      <c r="S341" s="1">
        <v>17.8</v>
      </c>
      <c r="T341" s="1"/>
      <c r="U341" s="1">
        <v>-0.6</v>
      </c>
      <c r="V341" s="1">
        <v>0.6</v>
      </c>
      <c r="W341" s="1">
        <v>0.1</v>
      </c>
      <c r="X341" s="1">
        <v>3.0000000000000001E-3</v>
      </c>
      <c r="Y341" s="1"/>
      <c r="Z341" s="1">
        <v>-3.2</v>
      </c>
      <c r="AA341" s="1">
        <v>-1.2</v>
      </c>
      <c r="AB341" s="1">
        <v>-4.4000000000000004</v>
      </c>
      <c r="AC341" s="1">
        <v>-0.7</v>
      </c>
      <c r="AD341">
        <f>Advanced_Table[[#This Row],[VORP]]*82/Advanced_Table[[#This Row],[G]]</f>
        <v>-0.89687499999999998</v>
      </c>
    </row>
    <row r="342" spans="1:30" x14ac:dyDescent="0.25">
      <c r="A342" s="1">
        <v>271</v>
      </c>
      <c r="B342" s="1" t="s">
        <v>562</v>
      </c>
      <c r="C342" s="1" t="s">
        <v>294</v>
      </c>
      <c r="D342" s="1">
        <v>23</v>
      </c>
      <c r="E342" s="1" t="s">
        <v>297</v>
      </c>
      <c r="F342" s="1">
        <v>15</v>
      </c>
      <c r="G342" s="1">
        <v>167</v>
      </c>
      <c r="H342" s="1">
        <v>19</v>
      </c>
      <c r="I342" s="1">
        <v>0.71099999999999997</v>
      </c>
      <c r="J342" s="1">
        <v>0.25700000000000001</v>
      </c>
      <c r="K342" s="1">
        <v>5.7000000000000002E-2</v>
      </c>
      <c r="L342" s="1">
        <v>11.5</v>
      </c>
      <c r="M342" s="1">
        <v>17.3</v>
      </c>
      <c r="N342" s="1">
        <v>14.4</v>
      </c>
      <c r="O342" s="1">
        <v>16.7</v>
      </c>
      <c r="P342" s="1">
        <v>2</v>
      </c>
      <c r="Q342" s="1">
        <v>1.6</v>
      </c>
      <c r="R342" s="1">
        <v>14.3</v>
      </c>
      <c r="S342" s="1">
        <v>10.4</v>
      </c>
      <c r="T342" s="1"/>
      <c r="U342" s="1">
        <v>0.5</v>
      </c>
      <c r="V342" s="1">
        <v>0.2</v>
      </c>
      <c r="W342" s="1">
        <v>0.7</v>
      </c>
      <c r="X342" s="1">
        <v>0.19500000000000001</v>
      </c>
      <c r="Y342" s="1"/>
      <c r="Z342" s="1">
        <v>2.5</v>
      </c>
      <c r="AA342" s="1">
        <v>2.4</v>
      </c>
      <c r="AB342" s="1">
        <v>4.8</v>
      </c>
      <c r="AC342" s="1">
        <v>0.3</v>
      </c>
      <c r="AD342">
        <f>Advanced_Table[[#This Row],[VORP]]*82/Advanced_Table[[#This Row],[G]]</f>
        <v>1.64</v>
      </c>
    </row>
    <row r="343" spans="1:30" x14ac:dyDescent="0.25">
      <c r="A343" s="1">
        <v>272</v>
      </c>
      <c r="B343" s="1" t="s">
        <v>563</v>
      </c>
      <c r="C343" s="1" t="s">
        <v>294</v>
      </c>
      <c r="D343" s="1">
        <v>22</v>
      </c>
      <c r="E343" s="1" t="s">
        <v>361</v>
      </c>
      <c r="F343" s="1">
        <v>63</v>
      </c>
      <c r="G343" s="1">
        <v>1377</v>
      </c>
      <c r="H343" s="1">
        <v>11.4</v>
      </c>
      <c r="I343" s="1">
        <v>0.56499999999999995</v>
      </c>
      <c r="J343" s="1">
        <v>0.61699999999999999</v>
      </c>
      <c r="K343" s="1">
        <v>0.13200000000000001</v>
      </c>
      <c r="L343" s="1">
        <v>1.3</v>
      </c>
      <c r="M343" s="1">
        <v>10.3</v>
      </c>
      <c r="N343" s="1">
        <v>5.8</v>
      </c>
      <c r="O343" s="1">
        <v>7.2</v>
      </c>
      <c r="P343" s="1">
        <v>1.3</v>
      </c>
      <c r="Q343" s="1">
        <v>0.9</v>
      </c>
      <c r="R343" s="1">
        <v>8.6999999999999993</v>
      </c>
      <c r="S343" s="1">
        <v>18.399999999999999</v>
      </c>
      <c r="T343" s="1"/>
      <c r="U343" s="1">
        <v>0.8</v>
      </c>
      <c r="V343" s="1">
        <v>1.3</v>
      </c>
      <c r="W343" s="1">
        <v>2.1</v>
      </c>
      <c r="X343" s="1">
        <v>7.4999999999999997E-2</v>
      </c>
      <c r="Y343" s="1"/>
      <c r="Z343" s="1">
        <v>-0.8</v>
      </c>
      <c r="AA343" s="1">
        <v>-0.9</v>
      </c>
      <c r="AB343" s="1">
        <v>-1.7</v>
      </c>
      <c r="AC343" s="1">
        <v>0.1</v>
      </c>
      <c r="AD343">
        <f>Advanced_Table[[#This Row],[VORP]]*82/Advanced_Table[[#This Row],[G]]</f>
        <v>0.13015873015873017</v>
      </c>
    </row>
    <row r="344" spans="1:30" x14ac:dyDescent="0.25">
      <c r="A344" s="1">
        <v>273</v>
      </c>
      <c r="B344" s="1" t="s">
        <v>564</v>
      </c>
      <c r="C344" s="1" t="s">
        <v>287</v>
      </c>
      <c r="D344" s="1">
        <v>24</v>
      </c>
      <c r="E344" s="1" t="s">
        <v>317</v>
      </c>
      <c r="F344" s="1">
        <v>36</v>
      </c>
      <c r="G344" s="1">
        <v>559</v>
      </c>
      <c r="H344" s="1">
        <v>12.7</v>
      </c>
      <c r="I344" s="1">
        <v>0.53900000000000003</v>
      </c>
      <c r="J344" s="1">
        <v>0.57799999999999996</v>
      </c>
      <c r="K344" s="1">
        <v>0.15</v>
      </c>
      <c r="L344" s="1">
        <v>4.0999999999999996</v>
      </c>
      <c r="M344" s="1">
        <v>12.9</v>
      </c>
      <c r="N344" s="1">
        <v>8.3000000000000007</v>
      </c>
      <c r="O344" s="1">
        <v>8.5</v>
      </c>
      <c r="P344" s="1">
        <v>0.9</v>
      </c>
      <c r="Q344" s="1">
        <v>4.4000000000000004</v>
      </c>
      <c r="R344" s="1">
        <v>6.6</v>
      </c>
      <c r="S344" s="1">
        <v>16.3</v>
      </c>
      <c r="T344" s="1"/>
      <c r="U344" s="1">
        <v>0.5</v>
      </c>
      <c r="V344" s="1">
        <v>0.5</v>
      </c>
      <c r="W344" s="1">
        <v>1.1000000000000001</v>
      </c>
      <c r="X344" s="1">
        <v>9.0999999999999998E-2</v>
      </c>
      <c r="Y344" s="1"/>
      <c r="Z344" s="1">
        <v>-1</v>
      </c>
      <c r="AA344" s="1">
        <v>-0.2</v>
      </c>
      <c r="AB344" s="1">
        <v>-1.2</v>
      </c>
      <c r="AC344" s="1">
        <v>0.1</v>
      </c>
      <c r="AD344">
        <f>Advanced_Table[[#This Row],[VORP]]*82/Advanced_Table[[#This Row],[G]]</f>
        <v>0.2277777777777778</v>
      </c>
    </row>
    <row r="345" spans="1:30" x14ac:dyDescent="0.25">
      <c r="A345" s="1">
        <v>274</v>
      </c>
      <c r="B345" s="1" t="s">
        <v>565</v>
      </c>
      <c r="C345" s="1" t="s">
        <v>303</v>
      </c>
      <c r="D345" s="1">
        <v>38</v>
      </c>
      <c r="E345" s="1" t="s">
        <v>307</v>
      </c>
      <c r="F345" s="1">
        <v>50</v>
      </c>
      <c r="G345" s="1">
        <v>833</v>
      </c>
      <c r="H345" s="1">
        <v>11.2</v>
      </c>
      <c r="I345" s="1">
        <v>0.61299999999999999</v>
      </c>
      <c r="J345" s="1">
        <v>0.79900000000000004</v>
      </c>
      <c r="K345" s="1">
        <v>0.13100000000000001</v>
      </c>
      <c r="L345" s="1">
        <v>1.8</v>
      </c>
      <c r="M345" s="1">
        <v>10.1</v>
      </c>
      <c r="N345" s="1">
        <v>6.2</v>
      </c>
      <c r="O345" s="1">
        <v>9.5</v>
      </c>
      <c r="P345" s="1">
        <v>1.2</v>
      </c>
      <c r="Q345" s="1">
        <v>1.3</v>
      </c>
      <c r="R345" s="1">
        <v>13.3</v>
      </c>
      <c r="S345" s="1">
        <v>15.7</v>
      </c>
      <c r="T345" s="1"/>
      <c r="U345" s="1">
        <v>0.8</v>
      </c>
      <c r="V345" s="1">
        <v>1.4</v>
      </c>
      <c r="W345" s="1">
        <v>2.2000000000000002</v>
      </c>
      <c r="X345" s="1">
        <v>0.125</v>
      </c>
      <c r="Y345" s="1"/>
      <c r="Z345" s="1">
        <v>-0.4</v>
      </c>
      <c r="AA345" s="1">
        <v>0.7</v>
      </c>
      <c r="AB345" s="1">
        <v>0.3</v>
      </c>
      <c r="AC345" s="1">
        <v>0.5</v>
      </c>
      <c r="AD345">
        <f>Advanced_Table[[#This Row],[VORP]]*82/Advanced_Table[[#This Row],[G]]</f>
        <v>0.82</v>
      </c>
    </row>
    <row r="346" spans="1:30" x14ac:dyDescent="0.25">
      <c r="A346" s="1">
        <v>275</v>
      </c>
      <c r="B346" s="1" t="s">
        <v>566</v>
      </c>
      <c r="C346" s="1" t="s">
        <v>23</v>
      </c>
      <c r="D346" s="1">
        <v>21</v>
      </c>
      <c r="E346" s="1" t="s">
        <v>299</v>
      </c>
      <c r="F346" s="1">
        <v>39</v>
      </c>
      <c r="G346" s="1">
        <v>501</v>
      </c>
      <c r="H346" s="1">
        <v>8.4</v>
      </c>
      <c r="I346" s="1">
        <v>0.55400000000000005</v>
      </c>
      <c r="J346" s="1">
        <v>0.48499999999999999</v>
      </c>
      <c r="K346" s="1">
        <v>0.20899999999999999</v>
      </c>
      <c r="L346" s="1">
        <v>3.8</v>
      </c>
      <c r="M346" s="1">
        <v>15.8</v>
      </c>
      <c r="N346" s="1">
        <v>10</v>
      </c>
      <c r="O346" s="1">
        <v>9.4</v>
      </c>
      <c r="P346" s="1">
        <v>1.6</v>
      </c>
      <c r="Q346" s="1">
        <v>0.5</v>
      </c>
      <c r="R346" s="1">
        <v>19.3</v>
      </c>
      <c r="S346" s="1">
        <v>15.1</v>
      </c>
      <c r="T346" s="1"/>
      <c r="U346" s="1">
        <v>-0.1</v>
      </c>
      <c r="V346" s="1">
        <v>0.6</v>
      </c>
      <c r="W346" s="1">
        <v>0.5</v>
      </c>
      <c r="X346" s="1">
        <v>4.8000000000000001E-2</v>
      </c>
      <c r="Y346" s="1"/>
      <c r="Z346" s="1">
        <v>-3.8</v>
      </c>
      <c r="AA346" s="1">
        <v>0.7</v>
      </c>
      <c r="AB346" s="1">
        <v>-3.1</v>
      </c>
      <c r="AC346" s="1">
        <v>-0.1</v>
      </c>
      <c r="AD346">
        <f>Advanced_Table[[#This Row],[VORP]]*82/Advanced_Table[[#This Row],[G]]</f>
        <v>-0.21025641025641029</v>
      </c>
    </row>
    <row r="347" spans="1:30" x14ac:dyDescent="0.25">
      <c r="A347" s="1">
        <v>276</v>
      </c>
      <c r="B347" s="1" t="s">
        <v>567</v>
      </c>
      <c r="C347" s="1" t="s">
        <v>23</v>
      </c>
      <c r="D347" s="1">
        <v>24</v>
      </c>
      <c r="E347" s="1" t="s">
        <v>309</v>
      </c>
      <c r="F347" s="1">
        <v>54</v>
      </c>
      <c r="G347" s="1">
        <v>1327</v>
      </c>
      <c r="H347" s="1">
        <v>11.6</v>
      </c>
      <c r="I347" s="1">
        <v>0.52200000000000002</v>
      </c>
      <c r="J347" s="1">
        <v>0.40100000000000002</v>
      </c>
      <c r="K347" s="1">
        <v>0.221</v>
      </c>
      <c r="L347" s="1">
        <v>4</v>
      </c>
      <c r="M347" s="1">
        <v>15.5</v>
      </c>
      <c r="N347" s="1">
        <v>9.9</v>
      </c>
      <c r="O347" s="1">
        <v>7.4</v>
      </c>
      <c r="P347" s="1">
        <v>0.8</v>
      </c>
      <c r="Q347" s="1">
        <v>1.4</v>
      </c>
      <c r="R347" s="1">
        <v>11.6</v>
      </c>
      <c r="S347" s="1">
        <v>23.2</v>
      </c>
      <c r="T347" s="1"/>
      <c r="U347" s="1">
        <v>-0.2</v>
      </c>
      <c r="V347" s="1">
        <v>1.6</v>
      </c>
      <c r="W347" s="1">
        <v>1.4</v>
      </c>
      <c r="X347" s="1">
        <v>5.1999999999999998E-2</v>
      </c>
      <c r="Y347" s="1"/>
      <c r="Z347" s="1">
        <v>-2.1</v>
      </c>
      <c r="AA347" s="1">
        <v>-1.4</v>
      </c>
      <c r="AB347" s="1">
        <v>-3.5</v>
      </c>
      <c r="AC347" s="1">
        <v>-0.5</v>
      </c>
      <c r="AD347">
        <f>Advanced_Table[[#This Row],[VORP]]*82/Advanced_Table[[#This Row],[G]]</f>
        <v>-0.7592592592592593</v>
      </c>
    </row>
    <row r="348" spans="1:30" x14ac:dyDescent="0.25">
      <c r="A348" s="1">
        <v>277</v>
      </c>
      <c r="B348" s="1" t="s">
        <v>568</v>
      </c>
      <c r="C348" s="1" t="s">
        <v>287</v>
      </c>
      <c r="D348" s="1">
        <v>23</v>
      </c>
      <c r="E348" s="1" t="s">
        <v>312</v>
      </c>
      <c r="F348" s="1">
        <v>33</v>
      </c>
      <c r="G348" s="1">
        <v>567</v>
      </c>
      <c r="H348" s="1">
        <v>15.4</v>
      </c>
      <c r="I348" s="1">
        <v>0.58799999999999997</v>
      </c>
      <c r="J348" s="1">
        <v>8.7999999999999995E-2</v>
      </c>
      <c r="K348" s="1">
        <v>0.224</v>
      </c>
      <c r="L348" s="1">
        <v>12.1</v>
      </c>
      <c r="M348" s="1">
        <v>18.7</v>
      </c>
      <c r="N348" s="1">
        <v>15.4</v>
      </c>
      <c r="O348" s="1">
        <v>10.199999999999999</v>
      </c>
      <c r="P348" s="1">
        <v>0.6</v>
      </c>
      <c r="Q348" s="1">
        <v>4.5999999999999996</v>
      </c>
      <c r="R348" s="1">
        <v>15.7</v>
      </c>
      <c r="S348" s="1">
        <v>14.3</v>
      </c>
      <c r="T348" s="1"/>
      <c r="U348" s="1">
        <v>1</v>
      </c>
      <c r="V348" s="1">
        <v>0.4</v>
      </c>
      <c r="W348" s="1">
        <v>1.4</v>
      </c>
      <c r="X348" s="1">
        <v>0.122</v>
      </c>
      <c r="Y348" s="1"/>
      <c r="Z348" s="1">
        <v>-1.5</v>
      </c>
      <c r="AA348" s="1">
        <v>0.2</v>
      </c>
      <c r="AB348" s="1">
        <v>-1.3</v>
      </c>
      <c r="AC348" s="1">
        <v>0.1</v>
      </c>
      <c r="AD348">
        <f>Advanced_Table[[#This Row],[VORP]]*82/Advanced_Table[[#This Row],[G]]</f>
        <v>0.24848484848484853</v>
      </c>
    </row>
    <row r="349" spans="1:30" x14ac:dyDescent="0.25">
      <c r="A349" s="1">
        <v>278</v>
      </c>
      <c r="B349" s="1" t="s">
        <v>569</v>
      </c>
      <c r="C349" s="1" t="s">
        <v>294</v>
      </c>
      <c r="D349" s="1">
        <v>27</v>
      </c>
      <c r="E349" s="1" t="s">
        <v>353</v>
      </c>
      <c r="F349" s="1">
        <v>46</v>
      </c>
      <c r="G349" s="1">
        <v>1291</v>
      </c>
      <c r="H349" s="1">
        <v>14.1</v>
      </c>
      <c r="I349" s="1">
        <v>0.54700000000000004</v>
      </c>
      <c r="J349" s="1">
        <v>0.33</v>
      </c>
      <c r="K349" s="1">
        <v>0.23</v>
      </c>
      <c r="L349" s="1">
        <v>2.1</v>
      </c>
      <c r="M349" s="1">
        <v>14.9</v>
      </c>
      <c r="N349" s="1">
        <v>8.5</v>
      </c>
      <c r="O349" s="1">
        <v>10.5</v>
      </c>
      <c r="P349" s="1">
        <v>2.1</v>
      </c>
      <c r="Q349" s="1">
        <v>1.5</v>
      </c>
      <c r="R349" s="1">
        <v>8.6999999999999993</v>
      </c>
      <c r="S349" s="1">
        <v>19.7</v>
      </c>
      <c r="T349" s="1"/>
      <c r="U349" s="1">
        <v>0.9</v>
      </c>
      <c r="V349" s="1">
        <v>1.8</v>
      </c>
      <c r="W349" s="1">
        <v>2.7</v>
      </c>
      <c r="X349" s="1">
        <v>9.9000000000000005E-2</v>
      </c>
      <c r="Y349" s="1"/>
      <c r="Z349" s="1">
        <v>-1</v>
      </c>
      <c r="AA349" s="1">
        <v>0.5</v>
      </c>
      <c r="AB349" s="1">
        <v>-0.5</v>
      </c>
      <c r="AC349" s="1">
        <v>0.5</v>
      </c>
      <c r="AD349">
        <f>Advanced_Table[[#This Row],[VORP]]*82/Advanced_Table[[#This Row],[G]]</f>
        <v>0.89130434782608692</v>
      </c>
    </row>
    <row r="350" spans="1:30" x14ac:dyDescent="0.25">
      <c r="A350" s="1">
        <v>279</v>
      </c>
      <c r="B350" s="1" t="s">
        <v>570</v>
      </c>
      <c r="C350" s="1" t="s">
        <v>294</v>
      </c>
      <c r="D350" s="1">
        <v>20</v>
      </c>
      <c r="E350" s="1" t="s">
        <v>383</v>
      </c>
      <c r="F350" s="1">
        <v>27</v>
      </c>
      <c r="G350" s="1">
        <v>298</v>
      </c>
      <c r="H350" s="1">
        <v>6</v>
      </c>
      <c r="I350" s="1">
        <v>0.46500000000000002</v>
      </c>
      <c r="J350" s="1">
        <v>0.35899999999999999</v>
      </c>
      <c r="K350" s="1">
        <v>0.35899999999999999</v>
      </c>
      <c r="L350" s="1">
        <v>5.0999999999999996</v>
      </c>
      <c r="M350" s="1">
        <v>6.4</v>
      </c>
      <c r="N350" s="1">
        <v>5.8</v>
      </c>
      <c r="O350" s="1">
        <v>2.6</v>
      </c>
      <c r="P350" s="1">
        <v>1.3</v>
      </c>
      <c r="Q350" s="1">
        <v>1.9</v>
      </c>
      <c r="R350" s="1">
        <v>10.8</v>
      </c>
      <c r="S350" s="1">
        <v>11.9</v>
      </c>
      <c r="T350" s="1"/>
      <c r="U350" s="1">
        <v>-0.1</v>
      </c>
      <c r="V350" s="1">
        <v>0.3</v>
      </c>
      <c r="W350" s="1">
        <v>0.2</v>
      </c>
      <c r="X350" s="1">
        <v>3.9E-2</v>
      </c>
      <c r="Y350" s="1"/>
      <c r="Z350" s="1">
        <v>-4.4000000000000004</v>
      </c>
      <c r="AA350" s="1">
        <v>-0.3</v>
      </c>
      <c r="AB350" s="1">
        <v>-4.7</v>
      </c>
      <c r="AC350" s="1">
        <v>-0.2</v>
      </c>
      <c r="AD350">
        <f>Advanced_Table[[#This Row],[VORP]]*82/Advanced_Table[[#This Row],[G]]</f>
        <v>-0.60740740740740751</v>
      </c>
    </row>
    <row r="351" spans="1:30" x14ac:dyDescent="0.25">
      <c r="A351" s="1">
        <v>280</v>
      </c>
      <c r="B351" s="1" t="s">
        <v>571</v>
      </c>
      <c r="C351" s="1" t="s">
        <v>294</v>
      </c>
      <c r="D351" s="1">
        <v>24</v>
      </c>
      <c r="E351" s="1" t="s">
        <v>317</v>
      </c>
      <c r="F351" s="1">
        <v>60</v>
      </c>
      <c r="G351" s="1">
        <v>2085</v>
      </c>
      <c r="H351" s="1">
        <v>19.5</v>
      </c>
      <c r="I351" s="1">
        <v>0.56799999999999995</v>
      </c>
      <c r="J351" s="1">
        <v>0.40400000000000003</v>
      </c>
      <c r="K351" s="1">
        <v>0.27900000000000003</v>
      </c>
      <c r="L351" s="1">
        <v>2.1</v>
      </c>
      <c r="M351" s="1">
        <v>13.8</v>
      </c>
      <c r="N351" s="1">
        <v>7.7</v>
      </c>
      <c r="O351" s="1">
        <v>21.7</v>
      </c>
      <c r="P351" s="1">
        <v>2</v>
      </c>
      <c r="Q351" s="1">
        <v>1.3</v>
      </c>
      <c r="R351" s="1">
        <v>13.3</v>
      </c>
      <c r="S351" s="1">
        <v>31.7</v>
      </c>
      <c r="T351" s="1"/>
      <c r="U351" s="1">
        <v>1.8</v>
      </c>
      <c r="V351" s="1">
        <v>2.2000000000000002</v>
      </c>
      <c r="W351" s="1">
        <v>4</v>
      </c>
      <c r="X351" s="1">
        <v>9.1999999999999998E-2</v>
      </c>
      <c r="Y351" s="1"/>
      <c r="Z351" s="1">
        <v>3.3</v>
      </c>
      <c r="AA351" s="1">
        <v>-0.8</v>
      </c>
      <c r="AB351" s="1">
        <v>2.5</v>
      </c>
      <c r="AC351" s="1">
        <v>2.4</v>
      </c>
      <c r="AD351">
        <f>Advanced_Table[[#This Row],[VORP]]*82/Advanced_Table[[#This Row],[G]]</f>
        <v>3.28</v>
      </c>
    </row>
    <row r="352" spans="1:30" x14ac:dyDescent="0.25">
      <c r="A352" s="1">
        <v>281</v>
      </c>
      <c r="B352" s="1" t="s">
        <v>1215</v>
      </c>
      <c r="C352" s="1" t="s">
        <v>303</v>
      </c>
      <c r="D352" s="1">
        <v>24</v>
      </c>
      <c r="E352" s="1" t="s">
        <v>301</v>
      </c>
      <c r="F352" s="1">
        <v>5</v>
      </c>
      <c r="G352" s="1">
        <v>9</v>
      </c>
      <c r="H352" s="1">
        <v>-16.600000000000001</v>
      </c>
      <c r="I352" s="1">
        <v>0</v>
      </c>
      <c r="J352" s="1">
        <v>0.33300000000000002</v>
      </c>
      <c r="K352" s="1">
        <v>0.66700000000000004</v>
      </c>
      <c r="L352" s="1">
        <v>0</v>
      </c>
      <c r="M352" s="1">
        <v>12.4</v>
      </c>
      <c r="N352" s="1">
        <v>6</v>
      </c>
      <c r="O352" s="1">
        <v>0</v>
      </c>
      <c r="P352" s="1">
        <v>0</v>
      </c>
      <c r="Q352" s="1">
        <v>0</v>
      </c>
      <c r="R352" s="1">
        <v>0</v>
      </c>
      <c r="S352" s="1">
        <v>18.600000000000001</v>
      </c>
      <c r="T352" s="1"/>
      <c r="U352" s="1">
        <v>-0.1</v>
      </c>
      <c r="V352" s="1">
        <v>0</v>
      </c>
      <c r="W352" s="1">
        <v>-0.1</v>
      </c>
      <c r="X352" s="1">
        <v>-0.45600000000000002</v>
      </c>
      <c r="Y352" s="1"/>
      <c r="Z352" s="1">
        <v>-17</v>
      </c>
      <c r="AA352" s="1">
        <v>-8.3000000000000007</v>
      </c>
      <c r="AB352" s="1">
        <v>-25.3</v>
      </c>
      <c r="AC352" s="1">
        <v>-0.1</v>
      </c>
      <c r="AD352">
        <f>Advanced_Table[[#This Row],[VORP]]*82/Advanced_Table[[#This Row],[G]]</f>
        <v>-1.6400000000000001</v>
      </c>
    </row>
    <row r="353" spans="1:30" x14ac:dyDescent="0.25">
      <c r="A353" s="1">
        <v>282</v>
      </c>
      <c r="B353" s="1" t="s">
        <v>572</v>
      </c>
      <c r="C353" s="1" t="s">
        <v>23</v>
      </c>
      <c r="D353" s="1">
        <v>25</v>
      </c>
      <c r="E353" s="1" t="s">
        <v>336</v>
      </c>
      <c r="F353" s="1">
        <v>23</v>
      </c>
      <c r="G353" s="1">
        <v>505</v>
      </c>
      <c r="H353" s="1">
        <v>10.3</v>
      </c>
      <c r="I353" s="1">
        <v>0.54400000000000004</v>
      </c>
      <c r="J353" s="1">
        <v>0.40200000000000002</v>
      </c>
      <c r="K353" s="1">
        <v>0.17899999999999999</v>
      </c>
      <c r="L353" s="1">
        <v>3.4</v>
      </c>
      <c r="M353" s="1">
        <v>8.6999999999999993</v>
      </c>
      <c r="N353" s="1">
        <v>6</v>
      </c>
      <c r="O353" s="1">
        <v>4.4000000000000004</v>
      </c>
      <c r="P353" s="1">
        <v>1.6</v>
      </c>
      <c r="Q353" s="1">
        <v>1.6</v>
      </c>
      <c r="R353" s="1">
        <v>11.1</v>
      </c>
      <c r="S353" s="1">
        <v>17.7</v>
      </c>
      <c r="T353" s="1"/>
      <c r="U353" s="1">
        <v>0</v>
      </c>
      <c r="V353" s="1">
        <v>0.3</v>
      </c>
      <c r="W353" s="1">
        <v>0.3</v>
      </c>
      <c r="X353" s="1">
        <v>2.9000000000000001E-2</v>
      </c>
      <c r="Y353" s="1"/>
      <c r="Z353" s="1">
        <v>-2.6</v>
      </c>
      <c r="AA353" s="1">
        <v>-0.9</v>
      </c>
      <c r="AB353" s="1">
        <v>-3.6</v>
      </c>
      <c r="AC353" s="1">
        <v>-0.2</v>
      </c>
      <c r="AD353">
        <f>Advanced_Table[[#This Row],[VORP]]*82/Advanced_Table[[#This Row],[G]]</f>
        <v>-0.71304347826086967</v>
      </c>
    </row>
    <row r="354" spans="1:30" x14ac:dyDescent="0.25">
      <c r="A354" s="1">
        <v>283</v>
      </c>
      <c r="B354" s="1" t="s">
        <v>573</v>
      </c>
      <c r="C354" s="1" t="s">
        <v>23</v>
      </c>
      <c r="D354" s="1">
        <v>22</v>
      </c>
      <c r="E354" s="1" t="s">
        <v>353</v>
      </c>
      <c r="F354" s="1">
        <v>25</v>
      </c>
      <c r="G354" s="1">
        <v>193</v>
      </c>
      <c r="H354" s="1">
        <v>13.8</v>
      </c>
      <c r="I354" s="1">
        <v>0.48499999999999999</v>
      </c>
      <c r="J354" s="1">
        <v>0.20300000000000001</v>
      </c>
      <c r="K354" s="1">
        <v>0.17399999999999999</v>
      </c>
      <c r="L354" s="1">
        <v>12.1</v>
      </c>
      <c r="M354" s="1">
        <v>24.4</v>
      </c>
      <c r="N354" s="1">
        <v>18.3</v>
      </c>
      <c r="O354" s="1">
        <v>4.3</v>
      </c>
      <c r="P354" s="1">
        <v>2</v>
      </c>
      <c r="Q354" s="1">
        <v>1.4</v>
      </c>
      <c r="R354" s="1">
        <v>8.6</v>
      </c>
      <c r="S354" s="1">
        <v>18.5</v>
      </c>
      <c r="T354" s="1"/>
      <c r="U354" s="1">
        <v>0</v>
      </c>
      <c r="V354" s="1">
        <v>0.3</v>
      </c>
      <c r="W354" s="1">
        <v>0.4</v>
      </c>
      <c r="X354" s="1">
        <v>8.7999999999999995E-2</v>
      </c>
      <c r="Y354" s="1"/>
      <c r="Z354" s="1">
        <v>-1.4</v>
      </c>
      <c r="AA354" s="1">
        <v>-0.1</v>
      </c>
      <c r="AB354" s="1">
        <v>-1.6</v>
      </c>
      <c r="AC354" s="1">
        <v>0</v>
      </c>
      <c r="AD354">
        <f>Advanced_Table[[#This Row],[VORP]]*82/Advanced_Table[[#This Row],[G]]</f>
        <v>0</v>
      </c>
    </row>
    <row r="355" spans="1:30" x14ac:dyDescent="0.25">
      <c r="A355" s="1">
        <v>284</v>
      </c>
      <c r="B355" s="1" t="s">
        <v>1097</v>
      </c>
      <c r="C355" s="1" t="s">
        <v>316</v>
      </c>
      <c r="D355" s="1">
        <v>19</v>
      </c>
      <c r="E355" s="1" t="s">
        <v>322</v>
      </c>
      <c r="F355" s="1">
        <v>4</v>
      </c>
      <c r="G355" s="1">
        <v>26</v>
      </c>
      <c r="H355" s="1">
        <v>5</v>
      </c>
      <c r="I355" s="1">
        <v>0.46</v>
      </c>
      <c r="J355" s="1">
        <v>0.4</v>
      </c>
      <c r="K355" s="1">
        <v>0.2</v>
      </c>
      <c r="L355" s="1">
        <v>0</v>
      </c>
      <c r="M355" s="1">
        <v>0</v>
      </c>
      <c r="N355" s="1">
        <v>0</v>
      </c>
      <c r="O355" s="1">
        <v>11.1</v>
      </c>
      <c r="P355" s="1">
        <v>0</v>
      </c>
      <c r="Q355" s="1">
        <v>0</v>
      </c>
      <c r="R355" s="1">
        <v>8.4</v>
      </c>
      <c r="S355" s="1">
        <v>19.399999999999999</v>
      </c>
      <c r="T355" s="1"/>
      <c r="U355" s="1">
        <v>0</v>
      </c>
      <c r="V355" s="1">
        <v>0</v>
      </c>
      <c r="W355" s="1">
        <v>0</v>
      </c>
      <c r="X355" s="1">
        <v>-4.2000000000000003E-2</v>
      </c>
      <c r="Y355" s="1"/>
      <c r="Z355" s="1">
        <v>-5.6</v>
      </c>
      <c r="AA355" s="1">
        <v>-3.6</v>
      </c>
      <c r="AB355" s="1">
        <v>-9.1999999999999993</v>
      </c>
      <c r="AC355" s="1">
        <v>0</v>
      </c>
      <c r="AD355">
        <f>Advanced_Table[[#This Row],[VORP]]*82/Advanced_Table[[#This Row],[G]]</f>
        <v>0</v>
      </c>
    </row>
    <row r="356" spans="1:30" x14ac:dyDescent="0.25">
      <c r="A356" s="1">
        <v>285</v>
      </c>
      <c r="B356" s="1" t="s">
        <v>574</v>
      </c>
      <c r="C356" s="1" t="s">
        <v>294</v>
      </c>
      <c r="D356" s="1">
        <v>34</v>
      </c>
      <c r="E356" s="1" t="s">
        <v>329</v>
      </c>
      <c r="F356" s="1">
        <v>23</v>
      </c>
      <c r="G356" s="1">
        <v>325</v>
      </c>
      <c r="H356" s="1">
        <v>11</v>
      </c>
      <c r="I356" s="1">
        <v>0.63200000000000001</v>
      </c>
      <c r="J356" s="1">
        <v>0.60499999999999998</v>
      </c>
      <c r="K356" s="1">
        <v>9.1999999999999998E-2</v>
      </c>
      <c r="L356" s="1">
        <v>2.2999999999999998</v>
      </c>
      <c r="M356" s="1">
        <v>7.6</v>
      </c>
      <c r="N356" s="1">
        <v>5</v>
      </c>
      <c r="O356" s="1">
        <v>4.5</v>
      </c>
      <c r="P356" s="1">
        <v>2.7</v>
      </c>
      <c r="Q356" s="1">
        <v>1.6</v>
      </c>
      <c r="R356" s="1">
        <v>12.2</v>
      </c>
      <c r="S356" s="1">
        <v>11.9</v>
      </c>
      <c r="T356" s="1"/>
      <c r="U356" s="1">
        <v>0.3</v>
      </c>
      <c r="V356" s="1">
        <v>0.4</v>
      </c>
      <c r="W356" s="1">
        <v>0.7</v>
      </c>
      <c r="X356" s="1">
        <v>9.8000000000000004E-2</v>
      </c>
      <c r="Y356" s="1"/>
      <c r="Z356" s="1">
        <v>-1.9</v>
      </c>
      <c r="AA356" s="1">
        <v>1.3</v>
      </c>
      <c r="AB356" s="1">
        <v>-0.6</v>
      </c>
      <c r="AC356" s="1">
        <v>0.1</v>
      </c>
      <c r="AD356">
        <f>Advanced_Table[[#This Row],[VORP]]*82/Advanced_Table[[#This Row],[G]]</f>
        <v>0.35652173913043483</v>
      </c>
    </row>
    <row r="357" spans="1:30" x14ac:dyDescent="0.25">
      <c r="A357" s="1">
        <v>286</v>
      </c>
      <c r="B357" s="1" t="s">
        <v>575</v>
      </c>
      <c r="C357" s="1" t="s">
        <v>294</v>
      </c>
      <c r="D357" s="1">
        <v>27</v>
      </c>
      <c r="E357" s="1" t="s">
        <v>369</v>
      </c>
      <c r="F357" s="1">
        <v>49</v>
      </c>
      <c r="G357" s="1">
        <v>1423</v>
      </c>
      <c r="H357" s="1">
        <v>12.7</v>
      </c>
      <c r="I357" s="1">
        <v>0.54800000000000004</v>
      </c>
      <c r="J357" s="1">
        <v>0.46800000000000003</v>
      </c>
      <c r="K357" s="1">
        <v>0.247</v>
      </c>
      <c r="L357" s="1">
        <v>2.4</v>
      </c>
      <c r="M357" s="1">
        <v>16.3</v>
      </c>
      <c r="N357" s="1">
        <v>9.1</v>
      </c>
      <c r="O357" s="1">
        <v>14.4</v>
      </c>
      <c r="P357" s="1">
        <v>1.7</v>
      </c>
      <c r="Q357" s="1">
        <v>0.4</v>
      </c>
      <c r="R357" s="1">
        <v>10.6</v>
      </c>
      <c r="S357" s="1">
        <v>19</v>
      </c>
      <c r="T357" s="1"/>
      <c r="U357" s="1">
        <v>0.9</v>
      </c>
      <c r="V357" s="1">
        <v>0.8</v>
      </c>
      <c r="W357" s="1">
        <v>1.7</v>
      </c>
      <c r="X357" s="1">
        <v>5.8000000000000003E-2</v>
      </c>
      <c r="Y357" s="1"/>
      <c r="Z357" s="1">
        <v>-1.5</v>
      </c>
      <c r="AA357" s="1">
        <v>-0.9</v>
      </c>
      <c r="AB357" s="1">
        <v>-2.4</v>
      </c>
      <c r="AC357" s="1">
        <v>-0.1</v>
      </c>
      <c r="AD357">
        <f>Advanced_Table[[#This Row],[VORP]]*82/Advanced_Table[[#This Row],[G]]</f>
        <v>-0.16734693877551021</v>
      </c>
    </row>
    <row r="358" spans="1:30" x14ac:dyDescent="0.25">
      <c r="A358" s="1">
        <v>287</v>
      </c>
      <c r="B358" s="1" t="s">
        <v>576</v>
      </c>
      <c r="C358" s="1" t="s">
        <v>287</v>
      </c>
      <c r="D358" s="1">
        <v>26</v>
      </c>
      <c r="E358" s="1" t="s">
        <v>957</v>
      </c>
      <c r="F358" s="1">
        <v>49</v>
      </c>
      <c r="G358" s="1">
        <v>895</v>
      </c>
      <c r="H358" s="1">
        <v>18</v>
      </c>
      <c r="I358" s="1">
        <v>0.59599999999999997</v>
      </c>
      <c r="J358" s="1">
        <v>0.185</v>
      </c>
      <c r="K358" s="1">
        <v>0.30099999999999999</v>
      </c>
      <c r="L358" s="1">
        <v>11.4</v>
      </c>
      <c r="M358" s="1">
        <v>24.5</v>
      </c>
      <c r="N358" s="1">
        <v>17.899999999999999</v>
      </c>
      <c r="O358" s="1">
        <v>8.1</v>
      </c>
      <c r="P358" s="1">
        <v>1.2</v>
      </c>
      <c r="Q358" s="1">
        <v>4.5</v>
      </c>
      <c r="R358" s="1">
        <v>12.8</v>
      </c>
      <c r="S358" s="1">
        <v>18.3</v>
      </c>
      <c r="T358" s="1"/>
      <c r="U358" s="1">
        <v>1.4</v>
      </c>
      <c r="V358" s="1">
        <v>0.9</v>
      </c>
      <c r="W358" s="1">
        <v>2.2999999999999998</v>
      </c>
      <c r="X358" s="1">
        <v>0.122</v>
      </c>
      <c r="Y358" s="1"/>
      <c r="Z358" s="1">
        <v>-0.2</v>
      </c>
      <c r="AA358" s="1">
        <v>-0.2</v>
      </c>
      <c r="AB358" s="1">
        <v>-0.4</v>
      </c>
      <c r="AC358" s="1">
        <v>0.4</v>
      </c>
      <c r="AD358">
        <f>Advanced_Table[[#This Row],[VORP]]*82/Advanced_Table[[#This Row],[G]]</f>
        <v>0.66938775510204085</v>
      </c>
    </row>
    <row r="359" spans="1:30" x14ac:dyDescent="0.25">
      <c r="A359" s="1">
        <v>287</v>
      </c>
      <c r="B359" s="1" t="s">
        <v>576</v>
      </c>
      <c r="C359" s="1" t="s">
        <v>287</v>
      </c>
      <c r="D359" s="1">
        <v>26</v>
      </c>
      <c r="E359" s="1" t="s">
        <v>347</v>
      </c>
      <c r="F359" s="1">
        <v>40</v>
      </c>
      <c r="G359" s="1">
        <v>745</v>
      </c>
      <c r="H359" s="1">
        <v>17.5</v>
      </c>
      <c r="I359" s="1">
        <v>0.59</v>
      </c>
      <c r="J359" s="1">
        <v>0.215</v>
      </c>
      <c r="K359" s="1">
        <v>0.312</v>
      </c>
      <c r="L359" s="1">
        <v>9.9</v>
      </c>
      <c r="M359" s="1">
        <v>23.5</v>
      </c>
      <c r="N359" s="1">
        <v>16.600000000000001</v>
      </c>
      <c r="O359" s="1">
        <v>8.6999999999999993</v>
      </c>
      <c r="P359" s="1">
        <v>1.3</v>
      </c>
      <c r="Q359" s="1">
        <v>3.7</v>
      </c>
      <c r="R359" s="1">
        <v>11.7</v>
      </c>
      <c r="S359" s="1">
        <v>18.7</v>
      </c>
      <c r="T359" s="1"/>
      <c r="U359" s="1">
        <v>1.1000000000000001</v>
      </c>
      <c r="V359" s="1">
        <v>0.6</v>
      </c>
      <c r="W359" s="1">
        <v>1.8</v>
      </c>
      <c r="X359" s="1">
        <v>0.113</v>
      </c>
      <c r="Y359" s="1"/>
      <c r="Z359" s="1">
        <v>-0.1</v>
      </c>
      <c r="AA359" s="1">
        <v>-0.3</v>
      </c>
      <c r="AB359" s="1">
        <v>-0.4</v>
      </c>
      <c r="AC359" s="1">
        <v>0.3</v>
      </c>
      <c r="AD359">
        <f>Advanced_Table[[#This Row],[VORP]]*82/Advanced_Table[[#This Row],[G]]</f>
        <v>0.61499999999999999</v>
      </c>
    </row>
    <row r="360" spans="1:30" x14ac:dyDescent="0.25">
      <c r="A360" s="1">
        <v>287</v>
      </c>
      <c r="B360" s="1" t="s">
        <v>576</v>
      </c>
      <c r="C360" s="1" t="s">
        <v>287</v>
      </c>
      <c r="D360" s="1">
        <v>26</v>
      </c>
      <c r="E360" s="1" t="s">
        <v>319</v>
      </c>
      <c r="F360" s="1">
        <v>9</v>
      </c>
      <c r="G360" s="1">
        <v>150</v>
      </c>
      <c r="H360" s="1">
        <v>20.3</v>
      </c>
      <c r="I360" s="1">
        <v>0.63600000000000001</v>
      </c>
      <c r="J360" s="1">
        <v>0</v>
      </c>
      <c r="K360" s="1">
        <v>0.23799999999999999</v>
      </c>
      <c r="L360" s="1">
        <v>19</v>
      </c>
      <c r="M360" s="1">
        <v>29.3</v>
      </c>
      <c r="N360" s="1">
        <v>24.1</v>
      </c>
      <c r="O360" s="1">
        <v>5.0999999999999996</v>
      </c>
      <c r="P360" s="1">
        <v>0.7</v>
      </c>
      <c r="Q360" s="1">
        <v>8.3000000000000007</v>
      </c>
      <c r="R360" s="1">
        <v>19.2</v>
      </c>
      <c r="S360" s="1">
        <v>16.7</v>
      </c>
      <c r="T360" s="1"/>
      <c r="U360" s="1">
        <v>0.3</v>
      </c>
      <c r="V360" s="1">
        <v>0.2</v>
      </c>
      <c r="W360" s="1">
        <v>0.5</v>
      </c>
      <c r="X360" s="1">
        <v>0.16500000000000001</v>
      </c>
      <c r="Y360" s="1"/>
      <c r="Z360" s="1">
        <v>-0.7</v>
      </c>
      <c r="AA360" s="1">
        <v>0.3</v>
      </c>
      <c r="AB360" s="1">
        <v>-0.5</v>
      </c>
      <c r="AC360" s="1">
        <v>0.1</v>
      </c>
      <c r="AD360">
        <f>Advanced_Table[[#This Row],[VORP]]*82/Advanced_Table[[#This Row],[G]]</f>
        <v>0.9111111111111112</v>
      </c>
    </row>
    <row r="361" spans="1:30" x14ac:dyDescent="0.25">
      <c r="A361" s="1">
        <v>288</v>
      </c>
      <c r="B361" s="1" t="s">
        <v>577</v>
      </c>
      <c r="C361" s="1" t="s">
        <v>303</v>
      </c>
      <c r="D361" s="1">
        <v>28</v>
      </c>
      <c r="E361" s="1" t="s">
        <v>350</v>
      </c>
      <c r="F361" s="1">
        <v>51</v>
      </c>
      <c r="G361" s="1">
        <v>1643</v>
      </c>
      <c r="H361" s="1">
        <v>26.7</v>
      </c>
      <c r="I361" s="1">
        <v>0.58499999999999996</v>
      </c>
      <c r="J361" s="1">
        <v>0.28699999999999998</v>
      </c>
      <c r="K361" s="1">
        <v>0.34399999999999997</v>
      </c>
      <c r="L361" s="1">
        <v>3.3</v>
      </c>
      <c r="M361" s="1">
        <v>19.7</v>
      </c>
      <c r="N361" s="1">
        <v>11.7</v>
      </c>
      <c r="O361" s="1">
        <v>27</v>
      </c>
      <c r="P361" s="1">
        <v>2.6</v>
      </c>
      <c r="Q361" s="1">
        <v>1.7</v>
      </c>
      <c r="R361" s="1">
        <v>10.7</v>
      </c>
      <c r="S361" s="1">
        <v>33.200000000000003</v>
      </c>
      <c r="T361" s="1"/>
      <c r="U361" s="1">
        <v>4.5999999999999996</v>
      </c>
      <c r="V361" s="1">
        <v>3</v>
      </c>
      <c r="W361" s="1">
        <v>7.6</v>
      </c>
      <c r="X361" s="1">
        <v>0.222</v>
      </c>
      <c r="Y361" s="1"/>
      <c r="Z361" s="1">
        <v>6.4</v>
      </c>
      <c r="AA361" s="1">
        <v>2.5</v>
      </c>
      <c r="AB361" s="1">
        <v>9</v>
      </c>
      <c r="AC361" s="1">
        <v>4.5999999999999996</v>
      </c>
      <c r="AD361">
        <f>Advanced_Table[[#This Row],[VORP]]*82/Advanced_Table[[#This Row],[G]]</f>
        <v>7.3960784313725485</v>
      </c>
    </row>
    <row r="362" spans="1:30" x14ac:dyDescent="0.25">
      <c r="A362" s="1">
        <v>289</v>
      </c>
      <c r="B362" s="1" t="s">
        <v>578</v>
      </c>
      <c r="C362" s="1" t="s">
        <v>287</v>
      </c>
      <c r="D362" s="1">
        <v>27</v>
      </c>
      <c r="E362" s="1" t="s">
        <v>290</v>
      </c>
      <c r="F362" s="1">
        <v>49</v>
      </c>
      <c r="G362" s="1">
        <v>987</v>
      </c>
      <c r="H362" s="1">
        <v>11.1</v>
      </c>
      <c r="I362" s="1">
        <v>0.64</v>
      </c>
      <c r="J362" s="1">
        <v>0.53400000000000003</v>
      </c>
      <c r="K362" s="1">
        <v>0.11700000000000001</v>
      </c>
      <c r="L362" s="1">
        <v>3.2</v>
      </c>
      <c r="M362" s="1">
        <v>24.1</v>
      </c>
      <c r="N362" s="1">
        <v>14.1</v>
      </c>
      <c r="O362" s="1">
        <v>7.7</v>
      </c>
      <c r="P362" s="1">
        <v>0.6</v>
      </c>
      <c r="Q362" s="1">
        <v>1.5</v>
      </c>
      <c r="R362" s="1">
        <v>13</v>
      </c>
      <c r="S362" s="1">
        <v>12</v>
      </c>
      <c r="T362" s="1"/>
      <c r="U362" s="1">
        <v>1</v>
      </c>
      <c r="V362" s="1">
        <v>1.1000000000000001</v>
      </c>
      <c r="W362" s="1">
        <v>2.2000000000000002</v>
      </c>
      <c r="X362" s="1">
        <v>0.105</v>
      </c>
      <c r="Y362" s="1"/>
      <c r="Z362" s="1">
        <v>-1</v>
      </c>
      <c r="AA362" s="1">
        <v>0.4</v>
      </c>
      <c r="AB362" s="1">
        <v>-0.6</v>
      </c>
      <c r="AC362" s="1">
        <v>0.3</v>
      </c>
      <c r="AD362">
        <f>Advanced_Table[[#This Row],[VORP]]*82/Advanced_Table[[#This Row],[G]]</f>
        <v>0.50204081632653053</v>
      </c>
    </row>
    <row r="363" spans="1:30" x14ac:dyDescent="0.25">
      <c r="A363" s="1">
        <v>290</v>
      </c>
      <c r="B363" s="1" t="s">
        <v>579</v>
      </c>
      <c r="C363" s="1" t="s">
        <v>294</v>
      </c>
      <c r="D363" s="1">
        <v>25</v>
      </c>
      <c r="E363" s="1" t="s">
        <v>299</v>
      </c>
      <c r="F363" s="1">
        <v>39</v>
      </c>
      <c r="G363" s="1">
        <v>1131</v>
      </c>
      <c r="H363" s="1">
        <v>15.1</v>
      </c>
      <c r="I363" s="1">
        <v>0.50900000000000001</v>
      </c>
      <c r="J363" s="1">
        <v>0.31</v>
      </c>
      <c r="K363" s="1">
        <v>0.26400000000000001</v>
      </c>
      <c r="L363" s="1">
        <v>3.7</v>
      </c>
      <c r="M363" s="1">
        <v>10.6</v>
      </c>
      <c r="N363" s="1">
        <v>7.2</v>
      </c>
      <c r="O363" s="1">
        <v>23.5</v>
      </c>
      <c r="P363" s="1">
        <v>1.8</v>
      </c>
      <c r="Q363" s="1">
        <v>0.5</v>
      </c>
      <c r="R363" s="1">
        <v>12.6</v>
      </c>
      <c r="S363" s="1">
        <v>28.8</v>
      </c>
      <c r="T363" s="1"/>
      <c r="U363" s="1">
        <v>-0.1</v>
      </c>
      <c r="V363" s="1">
        <v>1.2</v>
      </c>
      <c r="W363" s="1">
        <v>1.2</v>
      </c>
      <c r="X363" s="1">
        <v>0.05</v>
      </c>
      <c r="Y363" s="1"/>
      <c r="Z363" s="1">
        <v>-0.1</v>
      </c>
      <c r="AA363" s="1">
        <v>-0.5</v>
      </c>
      <c r="AB363" s="1">
        <v>-0.6</v>
      </c>
      <c r="AC363" s="1">
        <v>0.4</v>
      </c>
      <c r="AD363">
        <f>Advanced_Table[[#This Row],[VORP]]*82/Advanced_Table[[#This Row],[G]]</f>
        <v>0.84102564102564115</v>
      </c>
    </row>
    <row r="364" spans="1:30" x14ac:dyDescent="0.25">
      <c r="A364" s="1">
        <v>291</v>
      </c>
      <c r="B364" s="1" t="s">
        <v>580</v>
      </c>
      <c r="C364" s="1" t="s">
        <v>316</v>
      </c>
      <c r="D364" s="1">
        <v>29</v>
      </c>
      <c r="E364" s="1" t="s">
        <v>312</v>
      </c>
      <c r="F364" s="1">
        <v>58</v>
      </c>
      <c r="G364" s="1">
        <v>2140</v>
      </c>
      <c r="H364" s="1">
        <v>26.2</v>
      </c>
      <c r="I364" s="1">
        <v>0.61899999999999999</v>
      </c>
      <c r="J364" s="1">
        <v>0.49299999999999999</v>
      </c>
      <c r="K364" s="1">
        <v>0.377</v>
      </c>
      <c r="L364" s="1">
        <v>1.5</v>
      </c>
      <c r="M364" s="1">
        <v>10.5</v>
      </c>
      <c r="N364" s="1">
        <v>6.1</v>
      </c>
      <c r="O364" s="1">
        <v>34.1</v>
      </c>
      <c r="P364" s="1">
        <v>1.3</v>
      </c>
      <c r="Q364" s="1">
        <v>0.8</v>
      </c>
      <c r="R364" s="1">
        <v>11</v>
      </c>
      <c r="S364" s="1">
        <v>30.2</v>
      </c>
      <c r="T364" s="1"/>
      <c r="U364" s="1">
        <v>8.9</v>
      </c>
      <c r="V364" s="1">
        <v>0.7</v>
      </c>
      <c r="W364" s="1">
        <v>9.6</v>
      </c>
      <c r="X364" s="1">
        <v>0.215</v>
      </c>
      <c r="Y364" s="1"/>
      <c r="Z364" s="1">
        <v>7.9</v>
      </c>
      <c r="AA364" s="1">
        <v>-0.8</v>
      </c>
      <c r="AB364" s="1">
        <v>7.2</v>
      </c>
      <c r="AC364" s="1">
        <v>4.9000000000000004</v>
      </c>
      <c r="AD364">
        <f>Advanced_Table[[#This Row],[VORP]]*82/Advanced_Table[[#This Row],[G]]</f>
        <v>6.9275862068965521</v>
      </c>
    </row>
    <row r="365" spans="1:30" x14ac:dyDescent="0.25">
      <c r="A365" s="1">
        <v>292</v>
      </c>
      <c r="B365" s="1" t="s">
        <v>581</v>
      </c>
      <c r="C365" s="1" t="s">
        <v>23</v>
      </c>
      <c r="D365" s="1">
        <v>19</v>
      </c>
      <c r="E365" s="1" t="s">
        <v>312</v>
      </c>
      <c r="F365" s="1">
        <v>48</v>
      </c>
      <c r="G365" s="1">
        <v>573</v>
      </c>
      <c r="H365" s="1">
        <v>9.6999999999999993</v>
      </c>
      <c r="I365" s="1">
        <v>0.505</v>
      </c>
      <c r="J365" s="1">
        <v>0.39100000000000001</v>
      </c>
      <c r="K365" s="1">
        <v>0.29099999999999998</v>
      </c>
      <c r="L365" s="1">
        <v>5.7</v>
      </c>
      <c r="M365" s="1">
        <v>13.7</v>
      </c>
      <c r="N365" s="1">
        <v>9.8000000000000007</v>
      </c>
      <c r="O365" s="1">
        <v>5.0999999999999996</v>
      </c>
      <c r="P365" s="1">
        <v>1.1000000000000001</v>
      </c>
      <c r="Q365" s="1">
        <v>2.1</v>
      </c>
      <c r="R365" s="1">
        <v>8.1</v>
      </c>
      <c r="S365" s="1">
        <v>13.7</v>
      </c>
      <c r="T365" s="1"/>
      <c r="U365" s="1">
        <v>0.3</v>
      </c>
      <c r="V365" s="1">
        <v>0.3</v>
      </c>
      <c r="W365" s="1">
        <v>0.6</v>
      </c>
      <c r="X365" s="1">
        <v>0.05</v>
      </c>
      <c r="Y365" s="1"/>
      <c r="Z365" s="1">
        <v>-2.9</v>
      </c>
      <c r="AA365" s="1">
        <v>-0.7</v>
      </c>
      <c r="AB365" s="1">
        <v>-3.6</v>
      </c>
      <c r="AC365" s="1">
        <v>-0.2</v>
      </c>
      <c r="AD365">
        <f>Advanced_Table[[#This Row],[VORP]]*82/Advanced_Table[[#This Row],[G]]</f>
        <v>-0.34166666666666673</v>
      </c>
    </row>
    <row r="366" spans="1:30" x14ac:dyDescent="0.25">
      <c r="A366" s="1">
        <v>293</v>
      </c>
      <c r="B366" s="1" t="s">
        <v>582</v>
      </c>
      <c r="C366" s="1" t="s">
        <v>287</v>
      </c>
      <c r="D366" s="1">
        <v>23</v>
      </c>
      <c r="E366" s="1" t="s">
        <v>369</v>
      </c>
      <c r="F366" s="1">
        <v>20</v>
      </c>
      <c r="G366" s="1">
        <v>262</v>
      </c>
      <c r="H366" s="1">
        <v>9.4</v>
      </c>
      <c r="I366" s="1">
        <v>0.40300000000000002</v>
      </c>
      <c r="J366" s="1">
        <v>0.17699999999999999</v>
      </c>
      <c r="K366" s="1">
        <v>0.152</v>
      </c>
      <c r="L366" s="1">
        <v>11.2</v>
      </c>
      <c r="M366" s="1">
        <v>16.3</v>
      </c>
      <c r="N366" s="1">
        <v>13.6</v>
      </c>
      <c r="O366" s="1">
        <v>11.1</v>
      </c>
      <c r="P366" s="1">
        <v>2.2000000000000002</v>
      </c>
      <c r="Q366" s="1">
        <v>2.1</v>
      </c>
      <c r="R366" s="1">
        <v>12.5</v>
      </c>
      <c r="S366" s="1">
        <v>15.7</v>
      </c>
      <c r="T366" s="1"/>
      <c r="U366" s="1">
        <v>-0.2</v>
      </c>
      <c r="V366" s="1">
        <v>0.2</v>
      </c>
      <c r="W366" s="1">
        <v>0</v>
      </c>
      <c r="X366" s="1">
        <v>5.0000000000000001E-3</v>
      </c>
      <c r="Y366" s="1"/>
      <c r="Z366" s="1">
        <v>-4.9000000000000004</v>
      </c>
      <c r="AA366" s="1">
        <v>-0.6</v>
      </c>
      <c r="AB366" s="1">
        <v>-5.5</v>
      </c>
      <c r="AC366" s="1">
        <v>-0.2</v>
      </c>
      <c r="AD366">
        <f>Advanced_Table[[#This Row],[VORP]]*82/Advanced_Table[[#This Row],[G]]</f>
        <v>-0.82000000000000006</v>
      </c>
    </row>
    <row r="367" spans="1:30" x14ac:dyDescent="0.25">
      <c r="A367" s="1">
        <v>294</v>
      </c>
      <c r="B367" s="1" t="s">
        <v>583</v>
      </c>
      <c r="C367" s="1" t="s">
        <v>287</v>
      </c>
      <c r="D367" s="1">
        <v>31</v>
      </c>
      <c r="E367" s="1" t="s">
        <v>307</v>
      </c>
      <c r="F367" s="1">
        <v>61</v>
      </c>
      <c r="G367" s="1">
        <v>1622</v>
      </c>
      <c r="H367" s="1">
        <v>14</v>
      </c>
      <c r="I367" s="1">
        <v>0.53700000000000003</v>
      </c>
      <c r="J367" s="1">
        <v>0.497</v>
      </c>
      <c r="K367" s="1">
        <v>0.21199999999999999</v>
      </c>
      <c r="L367" s="1">
        <v>2.7</v>
      </c>
      <c r="M367" s="1">
        <v>13.2</v>
      </c>
      <c r="N367" s="1">
        <v>8.3000000000000007</v>
      </c>
      <c r="O367" s="1">
        <v>7.8</v>
      </c>
      <c r="P367" s="1">
        <v>1.2</v>
      </c>
      <c r="Q367" s="1">
        <v>8</v>
      </c>
      <c r="R367" s="1">
        <v>9.1999999999999993</v>
      </c>
      <c r="S367" s="1">
        <v>17.5</v>
      </c>
      <c r="T367" s="1"/>
      <c r="U367" s="1">
        <v>0.8</v>
      </c>
      <c r="V367" s="1">
        <v>3.8</v>
      </c>
      <c r="W367" s="1">
        <v>4.5999999999999996</v>
      </c>
      <c r="X367" s="1">
        <v>0.13700000000000001</v>
      </c>
      <c r="Y367" s="1"/>
      <c r="Z367" s="1">
        <v>-0.9</v>
      </c>
      <c r="AA367" s="1">
        <v>2.7</v>
      </c>
      <c r="AB367" s="1">
        <v>1.8</v>
      </c>
      <c r="AC367" s="1">
        <v>1.6</v>
      </c>
      <c r="AD367">
        <f>Advanced_Table[[#This Row],[VORP]]*82/Advanced_Table[[#This Row],[G]]</f>
        <v>2.1508196721311479</v>
      </c>
    </row>
    <row r="368" spans="1:30" x14ac:dyDescent="0.25">
      <c r="A368" s="1">
        <v>295</v>
      </c>
      <c r="B368" s="1" t="s">
        <v>584</v>
      </c>
      <c r="C368" s="1" t="s">
        <v>287</v>
      </c>
      <c r="D368" s="1">
        <v>31</v>
      </c>
      <c r="E368" s="1" t="s">
        <v>307</v>
      </c>
      <c r="F368" s="1">
        <v>60</v>
      </c>
      <c r="G368" s="1">
        <v>862</v>
      </c>
      <c r="H368" s="1">
        <v>11.1</v>
      </c>
      <c r="I368" s="1">
        <v>0.56499999999999995</v>
      </c>
      <c r="J368" s="1">
        <v>0.35199999999999998</v>
      </c>
      <c r="K368" s="1">
        <v>0.158</v>
      </c>
      <c r="L368" s="1">
        <v>6.3</v>
      </c>
      <c r="M368" s="1">
        <v>10.199999999999999</v>
      </c>
      <c r="N368" s="1">
        <v>8.4</v>
      </c>
      <c r="O368" s="1">
        <v>6.4</v>
      </c>
      <c r="P368" s="1">
        <v>0.5</v>
      </c>
      <c r="Q368" s="1">
        <v>4.0999999999999996</v>
      </c>
      <c r="R368" s="1">
        <v>15.6</v>
      </c>
      <c r="S368" s="1">
        <v>16.600000000000001</v>
      </c>
      <c r="T368" s="1"/>
      <c r="U368" s="1">
        <v>0.2</v>
      </c>
      <c r="V368" s="1">
        <v>1.5</v>
      </c>
      <c r="W368" s="1">
        <v>1.7</v>
      </c>
      <c r="X368" s="1">
        <v>9.5000000000000001E-2</v>
      </c>
      <c r="Y368" s="1"/>
      <c r="Z368" s="1">
        <v>-2.2999999999999998</v>
      </c>
      <c r="AA368" s="1">
        <v>0.4</v>
      </c>
      <c r="AB368" s="1">
        <v>-1.9</v>
      </c>
      <c r="AC368" s="1">
        <v>0</v>
      </c>
      <c r="AD368">
        <f>Advanced_Table[[#This Row],[VORP]]*82/Advanced_Table[[#This Row],[G]]</f>
        <v>0</v>
      </c>
    </row>
    <row r="369" spans="1:30" x14ac:dyDescent="0.25">
      <c r="A369" s="1">
        <v>296</v>
      </c>
      <c r="B369" s="1" t="s">
        <v>585</v>
      </c>
      <c r="C369" s="1" t="s">
        <v>23</v>
      </c>
      <c r="D369" s="1">
        <v>31</v>
      </c>
      <c r="E369" s="1" t="s">
        <v>411</v>
      </c>
      <c r="F369" s="1">
        <v>56</v>
      </c>
      <c r="G369" s="1">
        <v>1780</v>
      </c>
      <c r="H369" s="1">
        <v>18</v>
      </c>
      <c r="I369" s="1">
        <v>0.59899999999999998</v>
      </c>
      <c r="J369" s="1">
        <v>0.53600000000000003</v>
      </c>
      <c r="K369" s="1">
        <v>0.30099999999999999</v>
      </c>
      <c r="L369" s="1">
        <v>3.3</v>
      </c>
      <c r="M369" s="1">
        <v>31.1</v>
      </c>
      <c r="N369" s="1">
        <v>17.100000000000001</v>
      </c>
      <c r="O369" s="1">
        <v>15.4</v>
      </c>
      <c r="P369" s="1">
        <v>0.9</v>
      </c>
      <c r="Q369" s="1">
        <v>0.9</v>
      </c>
      <c r="R369" s="1">
        <v>14.5</v>
      </c>
      <c r="S369" s="1">
        <v>23.1</v>
      </c>
      <c r="T369" s="1"/>
      <c r="U369" s="1">
        <v>2.6</v>
      </c>
      <c r="V369" s="1">
        <v>1.2</v>
      </c>
      <c r="W369" s="1">
        <v>3.8</v>
      </c>
      <c r="X369" s="1">
        <v>0.10199999999999999</v>
      </c>
      <c r="Y369" s="1"/>
      <c r="Z369" s="1">
        <v>2.6</v>
      </c>
      <c r="AA369" s="1">
        <v>-0.6</v>
      </c>
      <c r="AB369" s="1">
        <v>2</v>
      </c>
      <c r="AC369" s="1">
        <v>1.8</v>
      </c>
      <c r="AD369">
        <f>Advanced_Table[[#This Row],[VORP]]*82/Advanced_Table[[#This Row],[G]]</f>
        <v>2.6357142857142857</v>
      </c>
    </row>
    <row r="370" spans="1:30" x14ac:dyDescent="0.25">
      <c r="A370" s="1">
        <v>297</v>
      </c>
      <c r="B370" s="1" t="s">
        <v>586</v>
      </c>
      <c r="C370" s="1" t="s">
        <v>316</v>
      </c>
      <c r="D370" s="1">
        <v>33</v>
      </c>
      <c r="E370" s="1" t="s">
        <v>314</v>
      </c>
      <c r="F370" s="1">
        <v>52</v>
      </c>
      <c r="G370" s="1">
        <v>1901</v>
      </c>
      <c r="H370" s="1">
        <v>17.899999999999999</v>
      </c>
      <c r="I370" s="1">
        <v>0.58899999999999997</v>
      </c>
      <c r="J370" s="1">
        <v>0.58299999999999996</v>
      </c>
      <c r="K370" s="1">
        <v>0.39900000000000002</v>
      </c>
      <c r="L370" s="1">
        <v>1.7</v>
      </c>
      <c r="M370" s="1">
        <v>12</v>
      </c>
      <c r="N370" s="1">
        <v>7</v>
      </c>
      <c r="O370" s="1">
        <v>31</v>
      </c>
      <c r="P370" s="1">
        <v>1.8</v>
      </c>
      <c r="Q370" s="1">
        <v>1.1000000000000001</v>
      </c>
      <c r="R370" s="1">
        <v>15</v>
      </c>
      <c r="S370" s="1">
        <v>23.1</v>
      </c>
      <c r="T370" s="1"/>
      <c r="U370" s="1">
        <v>4.0999999999999996</v>
      </c>
      <c r="V370" s="1">
        <v>2.8</v>
      </c>
      <c r="W370" s="1">
        <v>6.9</v>
      </c>
      <c r="X370" s="1">
        <v>0.17299999999999999</v>
      </c>
      <c r="Y370" s="1"/>
      <c r="Z370" s="1">
        <v>2.5</v>
      </c>
      <c r="AA370" s="1">
        <v>0.7</v>
      </c>
      <c r="AB370" s="1">
        <v>3.3</v>
      </c>
      <c r="AC370" s="1">
        <v>2.5</v>
      </c>
      <c r="AD370">
        <f>Advanced_Table[[#This Row],[VORP]]*82/Advanced_Table[[#This Row],[G]]</f>
        <v>3.9423076923076925</v>
      </c>
    </row>
    <row r="371" spans="1:30" x14ac:dyDescent="0.25">
      <c r="A371" s="1">
        <v>298</v>
      </c>
      <c r="B371" s="1" t="s">
        <v>587</v>
      </c>
      <c r="C371" s="1" t="s">
        <v>294</v>
      </c>
      <c r="D371" s="1">
        <v>24</v>
      </c>
      <c r="E371" s="1" t="s">
        <v>299</v>
      </c>
      <c r="F371" s="1">
        <v>39</v>
      </c>
      <c r="G371" s="1">
        <v>671</v>
      </c>
      <c r="H371" s="1">
        <v>8.9</v>
      </c>
      <c r="I371" s="1">
        <v>0.56299999999999994</v>
      </c>
      <c r="J371" s="1">
        <v>0.56799999999999995</v>
      </c>
      <c r="K371" s="1">
        <v>0.32300000000000001</v>
      </c>
      <c r="L371" s="1">
        <v>3.8</v>
      </c>
      <c r="M371" s="1">
        <v>10</v>
      </c>
      <c r="N371" s="1">
        <v>7</v>
      </c>
      <c r="O371" s="1">
        <v>5.3</v>
      </c>
      <c r="P371" s="1">
        <v>1.1000000000000001</v>
      </c>
      <c r="Q371" s="1">
        <v>0.7</v>
      </c>
      <c r="R371" s="1">
        <v>12.7</v>
      </c>
      <c r="S371" s="1">
        <v>15.7</v>
      </c>
      <c r="T371" s="1"/>
      <c r="U371" s="1">
        <v>0.4</v>
      </c>
      <c r="V371" s="1">
        <v>0.6</v>
      </c>
      <c r="W371" s="1">
        <v>1</v>
      </c>
      <c r="X371" s="1">
        <v>6.9000000000000006E-2</v>
      </c>
      <c r="Y371" s="1"/>
      <c r="Z371" s="1">
        <v>-3</v>
      </c>
      <c r="AA371" s="1">
        <v>-0.1</v>
      </c>
      <c r="AB371" s="1">
        <v>-3.1</v>
      </c>
      <c r="AC371" s="1">
        <v>-0.2</v>
      </c>
      <c r="AD371">
        <f>Advanced_Table[[#This Row],[VORP]]*82/Advanced_Table[[#This Row],[G]]</f>
        <v>-0.42051282051282057</v>
      </c>
    </row>
    <row r="372" spans="1:30" x14ac:dyDescent="0.25">
      <c r="A372" s="1">
        <v>299</v>
      </c>
      <c r="B372" s="1" t="s">
        <v>588</v>
      </c>
      <c r="C372" s="1" t="s">
        <v>23</v>
      </c>
      <c r="D372" s="1">
        <v>24</v>
      </c>
      <c r="E372" s="1" t="s">
        <v>292</v>
      </c>
      <c r="F372" s="1">
        <v>63</v>
      </c>
      <c r="G372" s="1">
        <v>1271</v>
      </c>
      <c r="H372" s="1">
        <v>12.7</v>
      </c>
      <c r="I372" s="1">
        <v>0.55700000000000005</v>
      </c>
      <c r="J372" s="1">
        <v>0.49</v>
      </c>
      <c r="K372" s="1">
        <v>0.13100000000000001</v>
      </c>
      <c r="L372" s="1">
        <v>6</v>
      </c>
      <c r="M372" s="1">
        <v>24.6</v>
      </c>
      <c r="N372" s="1">
        <v>15.3</v>
      </c>
      <c r="O372" s="1">
        <v>7.3</v>
      </c>
      <c r="P372" s="1">
        <v>1.1000000000000001</v>
      </c>
      <c r="Q372" s="1">
        <v>1.9</v>
      </c>
      <c r="R372" s="1">
        <v>9.6999999999999993</v>
      </c>
      <c r="S372" s="1">
        <v>13.7</v>
      </c>
      <c r="T372" s="1"/>
      <c r="U372" s="1">
        <v>1.2</v>
      </c>
      <c r="V372" s="1">
        <v>1</v>
      </c>
      <c r="W372" s="1">
        <v>2.2000000000000002</v>
      </c>
      <c r="X372" s="1">
        <v>8.1000000000000003E-2</v>
      </c>
      <c r="Y372" s="1"/>
      <c r="Z372" s="1">
        <v>-0.4</v>
      </c>
      <c r="AA372" s="1">
        <v>-0.7</v>
      </c>
      <c r="AB372" s="1">
        <v>-1.2</v>
      </c>
      <c r="AC372" s="1">
        <v>0.3</v>
      </c>
      <c r="AD372">
        <f>Advanced_Table[[#This Row],[VORP]]*82/Advanced_Table[[#This Row],[G]]</f>
        <v>0.39047619047619042</v>
      </c>
    </row>
    <row r="373" spans="1:30" x14ac:dyDescent="0.25">
      <c r="A373" s="1">
        <v>300</v>
      </c>
      <c r="B373" s="1" t="s">
        <v>589</v>
      </c>
      <c r="C373" s="1" t="s">
        <v>294</v>
      </c>
      <c r="D373" s="1">
        <v>24</v>
      </c>
      <c r="E373" s="1" t="s">
        <v>290</v>
      </c>
      <c r="F373" s="1">
        <v>4</v>
      </c>
      <c r="G373" s="1">
        <v>14</v>
      </c>
      <c r="H373" s="1">
        <v>-3.1</v>
      </c>
      <c r="I373" s="1">
        <v>0.5</v>
      </c>
      <c r="J373" s="1">
        <v>0.66700000000000004</v>
      </c>
      <c r="K373" s="1">
        <v>0</v>
      </c>
      <c r="L373" s="1">
        <v>0</v>
      </c>
      <c r="M373" s="1">
        <v>0</v>
      </c>
      <c r="N373" s="1">
        <v>0</v>
      </c>
      <c r="O373" s="1">
        <v>9.6</v>
      </c>
      <c r="P373" s="1">
        <v>0</v>
      </c>
      <c r="Q373" s="1">
        <v>0</v>
      </c>
      <c r="R373" s="1">
        <v>40</v>
      </c>
      <c r="S373" s="1">
        <v>15.7</v>
      </c>
      <c r="T373" s="1"/>
      <c r="U373" s="1">
        <v>0</v>
      </c>
      <c r="V373" s="1">
        <v>0</v>
      </c>
      <c r="W373" s="1">
        <v>0</v>
      </c>
      <c r="X373" s="1">
        <v>-0.16</v>
      </c>
      <c r="Y373" s="1"/>
      <c r="Z373" s="1">
        <v>-7</v>
      </c>
      <c r="AA373" s="1">
        <v>-4.4000000000000004</v>
      </c>
      <c r="AB373" s="1">
        <v>-11.4</v>
      </c>
      <c r="AC373" s="1">
        <v>0</v>
      </c>
      <c r="AD373">
        <f>Advanced_Table[[#This Row],[VORP]]*82/Advanced_Table[[#This Row],[G]]</f>
        <v>0</v>
      </c>
    </row>
    <row r="374" spans="1:30" x14ac:dyDescent="0.25">
      <c r="A374" s="1">
        <v>301</v>
      </c>
      <c r="B374" s="1" t="s">
        <v>1623</v>
      </c>
      <c r="C374" s="1" t="s">
        <v>294</v>
      </c>
      <c r="D374" s="1">
        <v>24</v>
      </c>
      <c r="E374" s="1" t="s">
        <v>411</v>
      </c>
      <c r="F374" s="1">
        <v>1</v>
      </c>
      <c r="G374" s="1">
        <v>1</v>
      </c>
      <c r="H374" s="1">
        <v>0</v>
      </c>
      <c r="I374" s="1"/>
      <c r="J374" s="1"/>
      <c r="K374" s="1"/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/>
      <c r="S374" s="1">
        <v>0</v>
      </c>
      <c r="T374" s="1"/>
      <c r="U374" s="1">
        <v>0</v>
      </c>
      <c r="V374" s="1">
        <v>0</v>
      </c>
      <c r="W374" s="1">
        <v>0</v>
      </c>
      <c r="X374" s="1">
        <v>-2.3E-2</v>
      </c>
      <c r="Y374" s="1"/>
      <c r="Z374" s="1">
        <v>-5.0999999999999996</v>
      </c>
      <c r="AA374" s="1">
        <v>-1.4</v>
      </c>
      <c r="AB374" s="1">
        <v>-6.5</v>
      </c>
      <c r="AC374" s="1">
        <v>0</v>
      </c>
      <c r="AD374">
        <f>Advanced_Table[[#This Row],[VORP]]*82/Advanced_Table[[#This Row],[G]]</f>
        <v>0</v>
      </c>
    </row>
    <row r="375" spans="1:30" x14ac:dyDescent="0.25">
      <c r="A375" s="1">
        <v>302</v>
      </c>
      <c r="B375" s="1" t="s">
        <v>590</v>
      </c>
      <c r="C375" s="1" t="s">
        <v>316</v>
      </c>
      <c r="D375" s="1">
        <v>30</v>
      </c>
      <c r="E375" s="1" t="s">
        <v>301</v>
      </c>
      <c r="F375" s="1">
        <v>8</v>
      </c>
      <c r="G375" s="1">
        <v>38</v>
      </c>
      <c r="H375" s="1">
        <v>5.0999999999999996</v>
      </c>
      <c r="I375" s="1">
        <v>0.378</v>
      </c>
      <c r="J375" s="1">
        <v>0.26700000000000002</v>
      </c>
      <c r="K375" s="1">
        <v>0.13300000000000001</v>
      </c>
      <c r="L375" s="1">
        <v>2.7</v>
      </c>
      <c r="M375" s="1">
        <v>14.6</v>
      </c>
      <c r="N375" s="1">
        <v>8.5</v>
      </c>
      <c r="O375" s="1">
        <v>19.2</v>
      </c>
      <c r="P375" s="1">
        <v>3.9</v>
      </c>
      <c r="Q375" s="1">
        <v>2.4</v>
      </c>
      <c r="R375" s="1">
        <v>23.9</v>
      </c>
      <c r="S375" s="1">
        <v>23.8</v>
      </c>
      <c r="T375" s="1"/>
      <c r="U375" s="1">
        <v>-0.2</v>
      </c>
      <c r="V375" s="1">
        <v>0.1</v>
      </c>
      <c r="W375" s="1">
        <v>-0.1</v>
      </c>
      <c r="X375" s="1">
        <v>-0.126</v>
      </c>
      <c r="Y375" s="1"/>
      <c r="Z375" s="1">
        <v>-8.1</v>
      </c>
      <c r="AA375" s="1">
        <v>1.7</v>
      </c>
      <c r="AB375" s="1">
        <v>-6.4</v>
      </c>
      <c r="AC375" s="1">
        <v>0</v>
      </c>
      <c r="AD375">
        <f>Advanced_Table[[#This Row],[VORP]]*82/Advanced_Table[[#This Row],[G]]</f>
        <v>0</v>
      </c>
    </row>
    <row r="376" spans="1:30" x14ac:dyDescent="0.25">
      <c r="A376" s="1">
        <v>303</v>
      </c>
      <c r="B376" s="1" t="s">
        <v>817</v>
      </c>
      <c r="C376" s="1" t="s">
        <v>287</v>
      </c>
      <c r="D376" s="1">
        <v>33</v>
      </c>
      <c r="E376" s="1" t="s">
        <v>342</v>
      </c>
      <c r="F376" s="1">
        <v>38</v>
      </c>
      <c r="G376" s="1">
        <v>808</v>
      </c>
      <c r="H376" s="1">
        <v>14.1</v>
      </c>
      <c r="I376" s="1">
        <v>0.54500000000000004</v>
      </c>
      <c r="J376" s="1">
        <v>0.124</v>
      </c>
      <c r="K376" s="1">
        <v>0.53800000000000003</v>
      </c>
      <c r="L376" s="1">
        <v>10.199999999999999</v>
      </c>
      <c r="M376" s="1">
        <v>19.8</v>
      </c>
      <c r="N376" s="1">
        <v>14.8</v>
      </c>
      <c r="O376" s="1">
        <v>8.1999999999999993</v>
      </c>
      <c r="P376" s="1">
        <v>1.8</v>
      </c>
      <c r="Q376" s="1">
        <v>4.7</v>
      </c>
      <c r="R376" s="1">
        <v>14.8</v>
      </c>
      <c r="S376" s="1">
        <v>15.7</v>
      </c>
      <c r="T376" s="1"/>
      <c r="U376" s="1">
        <v>0.7</v>
      </c>
      <c r="V376" s="1">
        <v>0.7</v>
      </c>
      <c r="W376" s="1">
        <v>1.4</v>
      </c>
      <c r="X376" s="1">
        <v>8.2000000000000003E-2</v>
      </c>
      <c r="Y376" s="1"/>
      <c r="Z376" s="1">
        <v>-2.6</v>
      </c>
      <c r="AA376" s="1">
        <v>-0.2</v>
      </c>
      <c r="AB376" s="1">
        <v>-2.8</v>
      </c>
      <c r="AC376" s="1">
        <v>-0.2</v>
      </c>
      <c r="AD376">
        <f>Advanced_Table[[#This Row],[VORP]]*82/Advanced_Table[[#This Row],[G]]</f>
        <v>-0.43157894736842112</v>
      </c>
    </row>
    <row r="377" spans="1:30" x14ac:dyDescent="0.25">
      <c r="A377" s="1">
        <v>304</v>
      </c>
      <c r="B377" s="1" t="s">
        <v>591</v>
      </c>
      <c r="C377" s="1" t="s">
        <v>287</v>
      </c>
      <c r="D377" s="1">
        <v>22</v>
      </c>
      <c r="E377" s="1" t="s">
        <v>363</v>
      </c>
      <c r="F377" s="1">
        <v>59</v>
      </c>
      <c r="G377" s="1">
        <v>759</v>
      </c>
      <c r="H377" s="1">
        <v>13.4</v>
      </c>
      <c r="I377" s="1">
        <v>0.57899999999999996</v>
      </c>
      <c r="J377" s="1">
        <v>0.32600000000000001</v>
      </c>
      <c r="K377" s="1">
        <v>0.58699999999999997</v>
      </c>
      <c r="L377" s="1">
        <v>7.7</v>
      </c>
      <c r="M377" s="1">
        <v>16.899999999999999</v>
      </c>
      <c r="N377" s="1">
        <v>12.3</v>
      </c>
      <c r="O377" s="1">
        <v>7.9</v>
      </c>
      <c r="P377" s="1">
        <v>1.6</v>
      </c>
      <c r="Q377" s="1">
        <v>4.2</v>
      </c>
      <c r="R377" s="1">
        <v>16.3</v>
      </c>
      <c r="S377" s="1">
        <v>15.9</v>
      </c>
      <c r="T377" s="1"/>
      <c r="U377" s="1">
        <v>0.6</v>
      </c>
      <c r="V377" s="1">
        <v>0.8</v>
      </c>
      <c r="W377" s="1">
        <v>1.5</v>
      </c>
      <c r="X377" s="1">
        <v>9.2999999999999999E-2</v>
      </c>
      <c r="Y377" s="1"/>
      <c r="Z377" s="1">
        <v>-2.2000000000000002</v>
      </c>
      <c r="AA377" s="1">
        <v>0.7</v>
      </c>
      <c r="AB377" s="1">
        <v>-1.5</v>
      </c>
      <c r="AC377" s="1">
        <v>0.1</v>
      </c>
      <c r="AD377">
        <f>Advanced_Table[[#This Row],[VORP]]*82/Advanced_Table[[#This Row],[G]]</f>
        <v>0.13898305084745766</v>
      </c>
    </row>
    <row r="378" spans="1:30" x14ac:dyDescent="0.25">
      <c r="A378" s="1">
        <v>305</v>
      </c>
      <c r="B378" s="1" t="s">
        <v>592</v>
      </c>
      <c r="C378" s="1" t="s">
        <v>294</v>
      </c>
      <c r="D378" s="1">
        <v>23</v>
      </c>
      <c r="E378" s="1" t="s">
        <v>350</v>
      </c>
      <c r="F378" s="1">
        <v>35</v>
      </c>
      <c r="G378" s="1">
        <v>271</v>
      </c>
      <c r="H378" s="1">
        <v>7.1</v>
      </c>
      <c r="I378" s="1">
        <v>0.47199999999999998</v>
      </c>
      <c r="J378" s="1">
        <v>0.222</v>
      </c>
      <c r="K378" s="1">
        <v>0.222</v>
      </c>
      <c r="L378" s="1">
        <v>1.6</v>
      </c>
      <c r="M378" s="1">
        <v>10.8</v>
      </c>
      <c r="N378" s="1">
        <v>6.3</v>
      </c>
      <c r="O378" s="1">
        <v>17.899999999999999</v>
      </c>
      <c r="P378" s="1">
        <v>1.4</v>
      </c>
      <c r="Q378" s="1">
        <v>1.6</v>
      </c>
      <c r="R378" s="1">
        <v>19.100000000000001</v>
      </c>
      <c r="S378" s="1">
        <v>11.2</v>
      </c>
      <c r="T378" s="1"/>
      <c r="U378" s="1">
        <v>0</v>
      </c>
      <c r="V378" s="1">
        <v>0.3</v>
      </c>
      <c r="W378" s="1">
        <v>0.3</v>
      </c>
      <c r="X378" s="1">
        <v>5.7000000000000002E-2</v>
      </c>
      <c r="Y378" s="1"/>
      <c r="Z378" s="1">
        <v>-4.8</v>
      </c>
      <c r="AA378" s="1">
        <v>1.2</v>
      </c>
      <c r="AB378" s="1">
        <v>-3.6</v>
      </c>
      <c r="AC378" s="1">
        <v>-0.1</v>
      </c>
      <c r="AD378">
        <f>Advanced_Table[[#This Row],[VORP]]*82/Advanced_Table[[#This Row],[G]]</f>
        <v>-0.23428571428571432</v>
      </c>
    </row>
    <row r="379" spans="1:30" x14ac:dyDescent="0.25">
      <c r="A379" s="1">
        <v>306</v>
      </c>
      <c r="B379" s="1" t="s">
        <v>593</v>
      </c>
      <c r="C379" s="1" t="s">
        <v>287</v>
      </c>
      <c r="D379" s="1">
        <v>31</v>
      </c>
      <c r="E379" s="1" t="s">
        <v>329</v>
      </c>
      <c r="F379" s="1">
        <v>36</v>
      </c>
      <c r="G379" s="1">
        <v>306</v>
      </c>
      <c r="H379" s="1">
        <v>22.7</v>
      </c>
      <c r="I379" s="1">
        <v>0.59099999999999997</v>
      </c>
      <c r="J379" s="1">
        <v>9.8000000000000004E-2</v>
      </c>
      <c r="K379" s="1">
        <v>0.255</v>
      </c>
      <c r="L379" s="1">
        <v>15.4</v>
      </c>
      <c r="M379" s="1">
        <v>30.8</v>
      </c>
      <c r="N379" s="1">
        <v>23.2</v>
      </c>
      <c r="O379" s="1">
        <v>6.7</v>
      </c>
      <c r="P379" s="1">
        <v>0.8</v>
      </c>
      <c r="Q379" s="1">
        <v>1.9</v>
      </c>
      <c r="R379" s="1">
        <v>11.9</v>
      </c>
      <c r="S379" s="1">
        <v>27</v>
      </c>
      <c r="T379" s="1"/>
      <c r="U379" s="1">
        <v>0.6</v>
      </c>
      <c r="V379" s="1">
        <v>0.4</v>
      </c>
      <c r="W379" s="1">
        <v>1</v>
      </c>
      <c r="X379" s="1">
        <v>0.16400000000000001</v>
      </c>
      <c r="Y379" s="1"/>
      <c r="Z379" s="1">
        <v>0.7</v>
      </c>
      <c r="AA379" s="1">
        <v>-2</v>
      </c>
      <c r="AB379" s="1">
        <v>-1.3</v>
      </c>
      <c r="AC379" s="1">
        <v>0.1</v>
      </c>
      <c r="AD379">
        <f>Advanced_Table[[#This Row],[VORP]]*82/Advanced_Table[[#This Row],[G]]</f>
        <v>0.2277777777777778</v>
      </c>
    </row>
    <row r="380" spans="1:30" x14ac:dyDescent="0.25">
      <c r="A380" s="1">
        <v>307</v>
      </c>
      <c r="B380" s="1" t="s">
        <v>594</v>
      </c>
      <c r="C380" s="1" t="s">
        <v>23</v>
      </c>
      <c r="D380" s="1">
        <v>22</v>
      </c>
      <c r="E380" s="1" t="s">
        <v>317</v>
      </c>
      <c r="F380" s="1">
        <v>50</v>
      </c>
      <c r="G380" s="1">
        <v>1492</v>
      </c>
      <c r="H380" s="1">
        <v>14.3</v>
      </c>
      <c r="I380" s="1">
        <v>0.56000000000000005</v>
      </c>
      <c r="J380" s="1">
        <v>0.53600000000000003</v>
      </c>
      <c r="K380" s="1">
        <v>0.25900000000000001</v>
      </c>
      <c r="L380" s="1">
        <v>4.2</v>
      </c>
      <c r="M380" s="1">
        <v>19.7</v>
      </c>
      <c r="N380" s="1">
        <v>11.6</v>
      </c>
      <c r="O380" s="1">
        <v>7.6</v>
      </c>
      <c r="P380" s="1">
        <v>1.4</v>
      </c>
      <c r="Q380" s="1">
        <v>1.5</v>
      </c>
      <c r="R380" s="1">
        <v>11</v>
      </c>
      <c r="S380" s="1">
        <v>21.1</v>
      </c>
      <c r="T380" s="1"/>
      <c r="U380" s="1">
        <v>1.1000000000000001</v>
      </c>
      <c r="V380" s="1">
        <v>1.5</v>
      </c>
      <c r="W380" s="1">
        <v>2.6</v>
      </c>
      <c r="X380" s="1">
        <v>8.4000000000000005E-2</v>
      </c>
      <c r="Y380" s="1"/>
      <c r="Z380" s="1">
        <v>0.2</v>
      </c>
      <c r="AA380" s="1">
        <v>-0.8</v>
      </c>
      <c r="AB380" s="1">
        <v>-0.5</v>
      </c>
      <c r="AC380" s="1">
        <v>0.5</v>
      </c>
      <c r="AD380">
        <f>Advanced_Table[[#This Row],[VORP]]*82/Advanced_Table[[#This Row],[G]]</f>
        <v>0.82</v>
      </c>
    </row>
    <row r="381" spans="1:30" x14ac:dyDescent="0.25">
      <c r="A381" s="1">
        <v>308</v>
      </c>
      <c r="B381" s="1" t="s">
        <v>595</v>
      </c>
      <c r="C381" s="1" t="s">
        <v>303</v>
      </c>
      <c r="D381" s="1">
        <v>24</v>
      </c>
      <c r="E381" s="1" t="s">
        <v>324</v>
      </c>
      <c r="F381" s="1">
        <v>17</v>
      </c>
      <c r="G381" s="1">
        <v>282</v>
      </c>
      <c r="H381" s="1">
        <v>10.4</v>
      </c>
      <c r="I381" s="1">
        <v>0.59199999999999997</v>
      </c>
      <c r="J381" s="1">
        <v>0.43099999999999999</v>
      </c>
      <c r="K381" s="1">
        <v>0.18099999999999999</v>
      </c>
      <c r="L381" s="1">
        <v>3.4</v>
      </c>
      <c r="M381" s="1">
        <v>8.9</v>
      </c>
      <c r="N381" s="1">
        <v>6</v>
      </c>
      <c r="O381" s="1">
        <v>10.9</v>
      </c>
      <c r="P381" s="1">
        <v>1.4</v>
      </c>
      <c r="Q381" s="1">
        <v>2.2999999999999998</v>
      </c>
      <c r="R381" s="1">
        <v>15.3</v>
      </c>
      <c r="S381" s="1">
        <v>14.3</v>
      </c>
      <c r="T381" s="1"/>
      <c r="U381" s="1">
        <v>0.2</v>
      </c>
      <c r="V381" s="1">
        <v>0.2</v>
      </c>
      <c r="W381" s="1">
        <v>0.3</v>
      </c>
      <c r="X381" s="1">
        <v>5.8000000000000003E-2</v>
      </c>
      <c r="Y381" s="1"/>
      <c r="Z381" s="1">
        <v>-2.2999999999999998</v>
      </c>
      <c r="AA381" s="1">
        <v>0.4</v>
      </c>
      <c r="AB381" s="1">
        <v>-1.9</v>
      </c>
      <c r="AC381" s="1">
        <v>0</v>
      </c>
      <c r="AD381">
        <f>Advanced_Table[[#This Row],[VORP]]*82/Advanced_Table[[#This Row],[G]]</f>
        <v>0</v>
      </c>
    </row>
    <row r="382" spans="1:30" x14ac:dyDescent="0.25">
      <c r="A382" s="1">
        <v>309</v>
      </c>
      <c r="B382" s="1" t="s">
        <v>596</v>
      </c>
      <c r="C382" s="1" t="s">
        <v>303</v>
      </c>
      <c r="D382" s="1">
        <v>24</v>
      </c>
      <c r="E382" s="1" t="s">
        <v>324</v>
      </c>
      <c r="F382" s="1">
        <v>47</v>
      </c>
      <c r="G382" s="1">
        <v>870</v>
      </c>
      <c r="H382" s="1">
        <v>10.5</v>
      </c>
      <c r="I382" s="1">
        <v>0.503</v>
      </c>
      <c r="J382" s="1">
        <v>0.376</v>
      </c>
      <c r="K382" s="1">
        <v>0.32200000000000001</v>
      </c>
      <c r="L382" s="1">
        <v>4.4000000000000004</v>
      </c>
      <c r="M382" s="1">
        <v>14.9</v>
      </c>
      <c r="N382" s="1">
        <v>9.4</v>
      </c>
      <c r="O382" s="1">
        <v>15.9</v>
      </c>
      <c r="P382" s="1">
        <v>2.2000000000000002</v>
      </c>
      <c r="Q382" s="1">
        <v>0.8</v>
      </c>
      <c r="R382" s="1">
        <v>15.4</v>
      </c>
      <c r="S382" s="1">
        <v>13.8</v>
      </c>
      <c r="T382" s="1"/>
      <c r="U382" s="1">
        <v>0.2</v>
      </c>
      <c r="V382" s="1">
        <v>0.7</v>
      </c>
      <c r="W382" s="1">
        <v>0.9</v>
      </c>
      <c r="X382" s="1">
        <v>5.0999999999999997E-2</v>
      </c>
      <c r="Y382" s="1"/>
      <c r="Z382" s="1">
        <v>-3</v>
      </c>
      <c r="AA382" s="1">
        <v>0.9</v>
      </c>
      <c r="AB382" s="1">
        <v>-2.1</v>
      </c>
      <c r="AC382" s="1">
        <v>0</v>
      </c>
      <c r="AD382">
        <f>Advanced_Table[[#This Row],[VORP]]*82/Advanced_Table[[#This Row],[G]]</f>
        <v>0</v>
      </c>
    </row>
    <row r="383" spans="1:30" x14ac:dyDescent="0.25">
      <c r="A383" s="1">
        <v>310</v>
      </c>
      <c r="B383" s="1" t="s">
        <v>1365</v>
      </c>
      <c r="C383" s="1" t="s">
        <v>316</v>
      </c>
      <c r="D383" s="1">
        <v>23</v>
      </c>
      <c r="E383" s="1" t="s">
        <v>299</v>
      </c>
      <c r="F383" s="1">
        <v>3</v>
      </c>
      <c r="G383" s="1">
        <v>16</v>
      </c>
      <c r="H383" s="1">
        <v>5.9</v>
      </c>
      <c r="I383" s="1">
        <v>0.2</v>
      </c>
      <c r="J383" s="1">
        <v>0.2</v>
      </c>
      <c r="K383" s="1">
        <v>0</v>
      </c>
      <c r="L383" s="1">
        <v>0</v>
      </c>
      <c r="M383" s="1">
        <v>12.6</v>
      </c>
      <c r="N383" s="1">
        <v>6.4</v>
      </c>
      <c r="O383" s="1">
        <v>16.5</v>
      </c>
      <c r="P383" s="1">
        <v>3</v>
      </c>
      <c r="Q383" s="1">
        <v>5.2</v>
      </c>
      <c r="R383" s="1">
        <v>0</v>
      </c>
      <c r="S383" s="1">
        <v>13.1</v>
      </c>
      <c r="T383" s="1"/>
      <c r="U383" s="1">
        <v>0</v>
      </c>
      <c r="V383" s="1">
        <v>0</v>
      </c>
      <c r="W383" s="1">
        <v>0</v>
      </c>
      <c r="X383" s="1">
        <v>-0.04</v>
      </c>
      <c r="Y383" s="1"/>
      <c r="Z383" s="1">
        <v>-6.9</v>
      </c>
      <c r="AA383" s="1">
        <v>3.6</v>
      </c>
      <c r="AB383" s="1">
        <v>-3.3</v>
      </c>
      <c r="AC383" s="1">
        <v>0</v>
      </c>
      <c r="AD383">
        <f>Advanced_Table[[#This Row],[VORP]]*82/Advanced_Table[[#This Row],[G]]</f>
        <v>0</v>
      </c>
    </row>
    <row r="384" spans="1:30" x14ac:dyDescent="0.25">
      <c r="A384" s="1">
        <v>311</v>
      </c>
      <c r="B384" s="1" t="s">
        <v>597</v>
      </c>
      <c r="C384" s="1" t="s">
        <v>303</v>
      </c>
      <c r="D384" s="1">
        <v>24</v>
      </c>
      <c r="E384" s="1" t="s">
        <v>336</v>
      </c>
      <c r="F384" s="1">
        <v>31</v>
      </c>
      <c r="G384" s="1">
        <v>495</v>
      </c>
      <c r="H384" s="1">
        <v>9.1999999999999993</v>
      </c>
      <c r="I384" s="1">
        <v>0.50600000000000001</v>
      </c>
      <c r="J384" s="1">
        <v>0.53</v>
      </c>
      <c r="K384" s="1">
        <v>0.17100000000000001</v>
      </c>
      <c r="L384" s="1">
        <v>2.5</v>
      </c>
      <c r="M384" s="1">
        <v>18.600000000000001</v>
      </c>
      <c r="N384" s="1">
        <v>10.199999999999999</v>
      </c>
      <c r="O384" s="1">
        <v>6.8</v>
      </c>
      <c r="P384" s="1">
        <v>0.7</v>
      </c>
      <c r="Q384" s="1">
        <v>1.5</v>
      </c>
      <c r="R384" s="1">
        <v>9.3000000000000007</v>
      </c>
      <c r="S384" s="1">
        <v>17.8</v>
      </c>
      <c r="T384" s="1"/>
      <c r="U384" s="1">
        <v>-0.1</v>
      </c>
      <c r="V384" s="1">
        <v>0.3</v>
      </c>
      <c r="W384" s="1">
        <v>0.2</v>
      </c>
      <c r="X384" s="1">
        <v>2.3E-2</v>
      </c>
      <c r="Y384" s="1"/>
      <c r="Z384" s="1">
        <v>-3.3</v>
      </c>
      <c r="AA384" s="1">
        <v>-0.9</v>
      </c>
      <c r="AB384" s="1">
        <v>-4.2</v>
      </c>
      <c r="AC384" s="1">
        <v>-0.3</v>
      </c>
      <c r="AD384">
        <f>Advanced_Table[[#This Row],[VORP]]*82/Advanced_Table[[#This Row],[G]]</f>
        <v>-0.79354838709677411</v>
      </c>
    </row>
    <row r="385" spans="1:30" x14ac:dyDescent="0.25">
      <c r="A385" s="1">
        <v>312</v>
      </c>
      <c r="B385" s="1" t="s">
        <v>804</v>
      </c>
      <c r="C385" s="1" t="s">
        <v>316</v>
      </c>
      <c r="D385" s="1">
        <v>25</v>
      </c>
      <c r="E385" s="1" t="s">
        <v>307</v>
      </c>
      <c r="F385" s="1">
        <v>6</v>
      </c>
      <c r="G385" s="1">
        <v>53</v>
      </c>
      <c r="H385" s="1">
        <v>4.2</v>
      </c>
      <c r="I385" s="1">
        <v>0.33700000000000002</v>
      </c>
      <c r="J385" s="1">
        <v>0.52600000000000002</v>
      </c>
      <c r="K385" s="1">
        <v>0.21099999999999999</v>
      </c>
      <c r="L385" s="1">
        <v>6</v>
      </c>
      <c r="M385" s="1">
        <v>8.8000000000000007</v>
      </c>
      <c r="N385" s="1">
        <v>7.5</v>
      </c>
      <c r="O385" s="1">
        <v>25.6</v>
      </c>
      <c r="P385" s="1">
        <v>1.7</v>
      </c>
      <c r="Q385" s="1">
        <v>0</v>
      </c>
      <c r="R385" s="1">
        <v>22.4</v>
      </c>
      <c r="S385" s="1">
        <v>20.8</v>
      </c>
      <c r="T385" s="1"/>
      <c r="U385" s="1">
        <v>-0.2</v>
      </c>
      <c r="V385" s="1">
        <v>0.1</v>
      </c>
      <c r="W385" s="1">
        <v>-0.1</v>
      </c>
      <c r="X385" s="1">
        <v>-0.06</v>
      </c>
      <c r="Y385" s="1"/>
      <c r="Z385" s="1">
        <v>-7.5</v>
      </c>
      <c r="AA385" s="1">
        <v>-1</v>
      </c>
      <c r="AB385" s="1">
        <v>-8.5</v>
      </c>
      <c r="AC385" s="1">
        <v>-0.1</v>
      </c>
      <c r="AD385">
        <f>Advanced_Table[[#This Row],[VORP]]*82/Advanced_Table[[#This Row],[G]]</f>
        <v>-1.3666666666666669</v>
      </c>
    </row>
    <row r="386" spans="1:30" x14ac:dyDescent="0.25">
      <c r="A386" s="1">
        <v>313</v>
      </c>
      <c r="B386" s="1" t="s">
        <v>598</v>
      </c>
      <c r="C386" s="1" t="s">
        <v>294</v>
      </c>
      <c r="D386" s="1">
        <v>23</v>
      </c>
      <c r="E386" s="1" t="s">
        <v>342</v>
      </c>
      <c r="F386" s="1">
        <v>18</v>
      </c>
      <c r="G386" s="1">
        <v>227</v>
      </c>
      <c r="H386" s="1">
        <v>13.1</v>
      </c>
      <c r="I386" s="1">
        <v>0.69099999999999995</v>
      </c>
      <c r="J386" s="1">
        <v>0.82099999999999995</v>
      </c>
      <c r="K386" s="1">
        <v>0.60699999999999998</v>
      </c>
      <c r="L386" s="1">
        <v>2.8</v>
      </c>
      <c r="M386" s="1">
        <v>9.1</v>
      </c>
      <c r="N386" s="1">
        <v>5.8</v>
      </c>
      <c r="O386" s="1">
        <v>5.8</v>
      </c>
      <c r="P386" s="1">
        <v>1.6</v>
      </c>
      <c r="Q386" s="1">
        <v>0.4</v>
      </c>
      <c r="R386" s="1">
        <v>10.1</v>
      </c>
      <c r="S386" s="1">
        <v>14.5</v>
      </c>
      <c r="T386" s="1"/>
      <c r="U386" s="1">
        <v>0.6</v>
      </c>
      <c r="V386" s="1">
        <v>0</v>
      </c>
      <c r="W386" s="1">
        <v>0.6</v>
      </c>
      <c r="X386" s="1">
        <v>0.129</v>
      </c>
      <c r="Y386" s="1"/>
      <c r="Z386" s="1">
        <v>-0.2</v>
      </c>
      <c r="AA386" s="1">
        <v>-0.9</v>
      </c>
      <c r="AB386" s="1">
        <v>-1</v>
      </c>
      <c r="AC386" s="1">
        <v>0.1</v>
      </c>
      <c r="AD386">
        <f>Advanced_Table[[#This Row],[VORP]]*82/Advanced_Table[[#This Row],[G]]</f>
        <v>0.4555555555555556</v>
      </c>
    </row>
    <row r="387" spans="1:30" x14ac:dyDescent="0.25">
      <c r="A387" s="1">
        <v>314</v>
      </c>
      <c r="B387" s="1" t="s">
        <v>599</v>
      </c>
      <c r="C387" s="1" t="s">
        <v>294</v>
      </c>
      <c r="D387" s="1">
        <v>33</v>
      </c>
      <c r="E387" s="1" t="s">
        <v>307</v>
      </c>
      <c r="F387" s="1">
        <v>62</v>
      </c>
      <c r="G387" s="1">
        <v>1529</v>
      </c>
      <c r="H387" s="1">
        <v>8.4</v>
      </c>
      <c r="I387" s="1">
        <v>0.54500000000000004</v>
      </c>
      <c r="J387" s="1">
        <v>0.69099999999999995</v>
      </c>
      <c r="K387" s="1">
        <v>0.157</v>
      </c>
      <c r="L387" s="1">
        <v>1.4</v>
      </c>
      <c r="M387" s="1">
        <v>8.5</v>
      </c>
      <c r="N387" s="1">
        <v>5.2</v>
      </c>
      <c r="O387" s="1">
        <v>7.4</v>
      </c>
      <c r="P387" s="1">
        <v>1.1000000000000001</v>
      </c>
      <c r="Q387" s="1">
        <v>0.5</v>
      </c>
      <c r="R387" s="1">
        <v>8.6999999999999993</v>
      </c>
      <c r="S387" s="1">
        <v>12.7</v>
      </c>
      <c r="T387" s="1"/>
      <c r="U387" s="1">
        <v>0.8</v>
      </c>
      <c r="V387" s="1">
        <v>2.4</v>
      </c>
      <c r="W387" s="1">
        <v>3.1</v>
      </c>
      <c r="X387" s="1">
        <v>9.9000000000000005E-2</v>
      </c>
      <c r="Y387" s="1"/>
      <c r="Z387" s="1">
        <v>-2.4</v>
      </c>
      <c r="AA387" s="1">
        <v>0.7</v>
      </c>
      <c r="AB387" s="1">
        <v>-1.7</v>
      </c>
      <c r="AC387" s="1">
        <v>0.1</v>
      </c>
      <c r="AD387">
        <f>Advanced_Table[[#This Row],[VORP]]*82/Advanced_Table[[#This Row],[G]]</f>
        <v>0.13225806451612904</v>
      </c>
    </row>
    <row r="388" spans="1:30" x14ac:dyDescent="0.25">
      <c r="A388" s="1">
        <v>315</v>
      </c>
      <c r="B388" s="1" t="s">
        <v>600</v>
      </c>
      <c r="C388" s="1" t="s">
        <v>303</v>
      </c>
      <c r="D388" s="1">
        <v>24</v>
      </c>
      <c r="E388" s="1" t="s">
        <v>314</v>
      </c>
      <c r="F388" s="1">
        <v>37</v>
      </c>
      <c r="G388" s="1">
        <v>908</v>
      </c>
      <c r="H388" s="1">
        <v>7.3</v>
      </c>
      <c r="I388" s="1">
        <v>0.5</v>
      </c>
      <c r="J388" s="1">
        <v>0.438</v>
      </c>
      <c r="K388" s="1">
        <v>0.111</v>
      </c>
      <c r="L388" s="1">
        <v>2.2999999999999998</v>
      </c>
      <c r="M388" s="1">
        <v>7.6</v>
      </c>
      <c r="N388" s="1">
        <v>5</v>
      </c>
      <c r="O388" s="1">
        <v>11.4</v>
      </c>
      <c r="P388" s="1">
        <v>2</v>
      </c>
      <c r="Q388" s="1">
        <v>0.4</v>
      </c>
      <c r="R388" s="1">
        <v>14.6</v>
      </c>
      <c r="S388" s="1">
        <v>9.4</v>
      </c>
      <c r="T388" s="1"/>
      <c r="U388" s="1">
        <v>0.2</v>
      </c>
      <c r="V388" s="1">
        <v>1.2</v>
      </c>
      <c r="W388" s="1">
        <v>1.4</v>
      </c>
      <c r="X388" s="1">
        <v>7.2999999999999995E-2</v>
      </c>
      <c r="Y388" s="1"/>
      <c r="Z388" s="1">
        <v>-3.5</v>
      </c>
      <c r="AA388" s="1">
        <v>1.6</v>
      </c>
      <c r="AB388" s="1">
        <v>-1.9</v>
      </c>
      <c r="AC388" s="1">
        <v>0</v>
      </c>
      <c r="AD388">
        <f>Advanced_Table[[#This Row],[VORP]]*82/Advanced_Table[[#This Row],[G]]</f>
        <v>0</v>
      </c>
    </row>
    <row r="389" spans="1:30" x14ac:dyDescent="0.25">
      <c r="A389" s="1">
        <v>316</v>
      </c>
      <c r="B389" s="1" t="s">
        <v>601</v>
      </c>
      <c r="C389" s="1" t="s">
        <v>294</v>
      </c>
      <c r="D389" s="1">
        <v>28</v>
      </c>
      <c r="E389" s="1" t="s">
        <v>312</v>
      </c>
      <c r="F389" s="1">
        <v>62</v>
      </c>
      <c r="G389" s="1">
        <v>2229</v>
      </c>
      <c r="H389" s="1">
        <v>17.399999999999999</v>
      </c>
      <c r="I389" s="1">
        <v>0.54300000000000004</v>
      </c>
      <c r="J389" s="1">
        <v>0.378</v>
      </c>
      <c r="K389" s="1">
        <v>0.13500000000000001</v>
      </c>
      <c r="L389" s="1">
        <v>1.9</v>
      </c>
      <c r="M389" s="1">
        <v>9.6999999999999993</v>
      </c>
      <c r="N389" s="1">
        <v>5.9</v>
      </c>
      <c r="O389" s="1">
        <v>19.3</v>
      </c>
      <c r="P389" s="1">
        <v>1</v>
      </c>
      <c r="Q389" s="1">
        <v>1.5</v>
      </c>
      <c r="R389" s="1">
        <v>8.3000000000000007</v>
      </c>
      <c r="S389" s="1">
        <v>26.7</v>
      </c>
      <c r="T389" s="1"/>
      <c r="U389" s="1">
        <v>3.1</v>
      </c>
      <c r="V389" s="1">
        <v>0.6</v>
      </c>
      <c r="W389" s="1">
        <v>3.7</v>
      </c>
      <c r="X389" s="1">
        <v>7.9000000000000001E-2</v>
      </c>
      <c r="Y389" s="1"/>
      <c r="Z389" s="1">
        <v>2.5</v>
      </c>
      <c r="AA389" s="1">
        <v>-1.6</v>
      </c>
      <c r="AB389" s="1">
        <v>0.9</v>
      </c>
      <c r="AC389" s="1">
        <v>1.6</v>
      </c>
      <c r="AD389">
        <f>Advanced_Table[[#This Row],[VORP]]*82/Advanced_Table[[#This Row],[G]]</f>
        <v>2.1161290322580646</v>
      </c>
    </row>
    <row r="390" spans="1:30" x14ac:dyDescent="0.25">
      <c r="A390" s="1">
        <v>317</v>
      </c>
      <c r="B390" s="1" t="s">
        <v>602</v>
      </c>
      <c r="C390" s="1" t="s">
        <v>316</v>
      </c>
      <c r="D390" s="1">
        <v>27</v>
      </c>
      <c r="E390" s="1" t="s">
        <v>353</v>
      </c>
      <c r="F390" s="1">
        <v>63</v>
      </c>
      <c r="G390" s="1">
        <v>1188</v>
      </c>
      <c r="H390" s="1">
        <v>16.2</v>
      </c>
      <c r="I390" s="1">
        <v>0.54100000000000004</v>
      </c>
      <c r="J390" s="1">
        <v>4.1000000000000002E-2</v>
      </c>
      <c r="K390" s="1">
        <v>9.9000000000000005E-2</v>
      </c>
      <c r="L390" s="1">
        <v>3</v>
      </c>
      <c r="M390" s="1">
        <v>12.1</v>
      </c>
      <c r="N390" s="1">
        <v>7.6</v>
      </c>
      <c r="O390" s="1">
        <v>37.200000000000003</v>
      </c>
      <c r="P390" s="1">
        <v>1.8</v>
      </c>
      <c r="Q390" s="1">
        <v>0.8</v>
      </c>
      <c r="R390" s="1">
        <v>18.5</v>
      </c>
      <c r="S390" s="1">
        <v>17.2</v>
      </c>
      <c r="T390" s="1"/>
      <c r="U390" s="1">
        <v>1.6</v>
      </c>
      <c r="V390" s="1">
        <v>1.4</v>
      </c>
      <c r="W390" s="1">
        <v>2.9</v>
      </c>
      <c r="X390" s="1">
        <v>0.11899999999999999</v>
      </c>
      <c r="Y390" s="1"/>
      <c r="Z390" s="1">
        <v>0.2</v>
      </c>
      <c r="AA390" s="1">
        <v>0</v>
      </c>
      <c r="AB390" s="1">
        <v>0.2</v>
      </c>
      <c r="AC390" s="1">
        <v>0.7</v>
      </c>
      <c r="AD390">
        <f>Advanced_Table[[#This Row],[VORP]]*82/Advanced_Table[[#This Row],[G]]</f>
        <v>0.91111111111111109</v>
      </c>
    </row>
    <row r="391" spans="1:30" x14ac:dyDescent="0.25">
      <c r="A391" s="1">
        <v>318</v>
      </c>
      <c r="B391" s="1" t="s">
        <v>603</v>
      </c>
      <c r="C391" s="1" t="s">
        <v>23</v>
      </c>
      <c r="D391" s="1">
        <v>22</v>
      </c>
      <c r="E391" s="1" t="s">
        <v>324</v>
      </c>
      <c r="F391" s="1">
        <v>15</v>
      </c>
      <c r="G391" s="1">
        <v>264</v>
      </c>
      <c r="H391" s="1">
        <v>11.6</v>
      </c>
      <c r="I391" s="1">
        <v>0.57099999999999995</v>
      </c>
      <c r="J391" s="1">
        <v>0.34300000000000003</v>
      </c>
      <c r="K391" s="1">
        <v>0.224</v>
      </c>
      <c r="L391" s="1">
        <v>6</v>
      </c>
      <c r="M391" s="1">
        <v>18.899999999999999</v>
      </c>
      <c r="N391" s="1">
        <v>12.2</v>
      </c>
      <c r="O391" s="1">
        <v>6.4</v>
      </c>
      <c r="P391" s="1">
        <v>1.5</v>
      </c>
      <c r="Q391" s="1">
        <v>1</v>
      </c>
      <c r="R391" s="1">
        <v>9.8000000000000007</v>
      </c>
      <c r="S391" s="1">
        <v>13.6</v>
      </c>
      <c r="T391" s="1"/>
      <c r="U391" s="1">
        <v>0.3</v>
      </c>
      <c r="V391" s="1">
        <v>0.2</v>
      </c>
      <c r="W391" s="1">
        <v>0.5</v>
      </c>
      <c r="X391" s="1">
        <v>8.8999999999999996E-2</v>
      </c>
      <c r="Y391" s="1"/>
      <c r="Z391" s="1">
        <v>-3.1</v>
      </c>
      <c r="AA391" s="1">
        <v>-0.1</v>
      </c>
      <c r="AB391" s="1">
        <v>-3.2</v>
      </c>
      <c r="AC391" s="1">
        <v>-0.1</v>
      </c>
      <c r="AD391">
        <f>Advanced_Table[[#This Row],[VORP]]*82/Advanced_Table[[#This Row],[G]]</f>
        <v>-0.54666666666666675</v>
      </c>
    </row>
    <row r="392" spans="1:30" x14ac:dyDescent="0.25">
      <c r="A392" s="1">
        <v>319</v>
      </c>
      <c r="B392" s="1" t="s">
        <v>604</v>
      </c>
      <c r="C392" s="1" t="s">
        <v>23</v>
      </c>
      <c r="D392" s="1">
        <v>28</v>
      </c>
      <c r="E392" s="1" t="s">
        <v>353</v>
      </c>
      <c r="F392" s="1">
        <v>62</v>
      </c>
      <c r="G392" s="1">
        <v>1242</v>
      </c>
      <c r="H392" s="1">
        <v>14.4</v>
      </c>
      <c r="I392" s="1">
        <v>0.626</v>
      </c>
      <c r="J392" s="1">
        <v>0.54</v>
      </c>
      <c r="K392" s="1">
        <v>0.106</v>
      </c>
      <c r="L392" s="1">
        <v>2.1</v>
      </c>
      <c r="M392" s="1">
        <v>11.7</v>
      </c>
      <c r="N392" s="1">
        <v>6.9</v>
      </c>
      <c r="O392" s="1">
        <v>8.3000000000000007</v>
      </c>
      <c r="P392" s="1">
        <v>0.4</v>
      </c>
      <c r="Q392" s="1">
        <v>0.3</v>
      </c>
      <c r="R392" s="1">
        <v>7.2</v>
      </c>
      <c r="S392" s="1">
        <v>19.600000000000001</v>
      </c>
      <c r="T392" s="1"/>
      <c r="U392" s="1">
        <v>2.1</v>
      </c>
      <c r="V392" s="1">
        <v>0.9</v>
      </c>
      <c r="W392" s="1">
        <v>3</v>
      </c>
      <c r="X392" s="1">
        <v>0.115</v>
      </c>
      <c r="Y392" s="1"/>
      <c r="Z392" s="1">
        <v>1.6</v>
      </c>
      <c r="AA392" s="1">
        <v>-1.6</v>
      </c>
      <c r="AB392" s="1">
        <v>0</v>
      </c>
      <c r="AC392" s="1">
        <v>0.6</v>
      </c>
      <c r="AD392">
        <f>Advanced_Table[[#This Row],[VORP]]*82/Advanced_Table[[#This Row],[G]]</f>
        <v>0.79354838709677411</v>
      </c>
    </row>
    <row r="393" spans="1:30" x14ac:dyDescent="0.25">
      <c r="A393" s="1">
        <v>320</v>
      </c>
      <c r="B393" s="1" t="s">
        <v>605</v>
      </c>
      <c r="C393" s="1" t="s">
        <v>287</v>
      </c>
      <c r="D393" s="1">
        <v>32</v>
      </c>
      <c r="E393" s="1" t="s">
        <v>309</v>
      </c>
      <c r="F393" s="1">
        <v>61</v>
      </c>
      <c r="G393" s="1">
        <v>1023</v>
      </c>
      <c r="H393" s="1">
        <v>20</v>
      </c>
      <c r="I393" s="1">
        <v>0.65500000000000003</v>
      </c>
      <c r="J393" s="1">
        <v>2.1000000000000001E-2</v>
      </c>
      <c r="K393" s="1">
        <v>0.26500000000000001</v>
      </c>
      <c r="L393" s="1">
        <v>12.1</v>
      </c>
      <c r="M393" s="1">
        <v>25.2</v>
      </c>
      <c r="N393" s="1">
        <v>18.8</v>
      </c>
      <c r="O393" s="1">
        <v>4.7</v>
      </c>
      <c r="P393" s="1">
        <v>1.4</v>
      </c>
      <c r="Q393" s="1">
        <v>7.9</v>
      </c>
      <c r="R393" s="1">
        <v>12.9</v>
      </c>
      <c r="S393" s="1">
        <v>15</v>
      </c>
      <c r="T393" s="1"/>
      <c r="U393" s="1">
        <v>2.2000000000000002</v>
      </c>
      <c r="V393" s="1">
        <v>2.2999999999999998</v>
      </c>
      <c r="W393" s="1">
        <v>4.5</v>
      </c>
      <c r="X393" s="1">
        <v>0.21099999999999999</v>
      </c>
      <c r="Y393" s="1"/>
      <c r="Z393" s="1">
        <v>-0.2</v>
      </c>
      <c r="AA393" s="1">
        <v>2.2000000000000002</v>
      </c>
      <c r="AB393" s="1">
        <v>2</v>
      </c>
      <c r="AC393" s="1">
        <v>1</v>
      </c>
      <c r="AD393">
        <f>Advanced_Table[[#This Row],[VORP]]*82/Advanced_Table[[#This Row],[G]]</f>
        <v>1.3442622950819672</v>
      </c>
    </row>
    <row r="394" spans="1:30" x14ac:dyDescent="0.25">
      <c r="A394" s="1">
        <v>321</v>
      </c>
      <c r="B394" s="1" t="s">
        <v>606</v>
      </c>
      <c r="C394" s="1" t="s">
        <v>294</v>
      </c>
      <c r="D394" s="1">
        <v>28</v>
      </c>
      <c r="E394" s="1" t="s">
        <v>350</v>
      </c>
      <c r="F394" s="1">
        <v>50</v>
      </c>
      <c r="G394" s="1">
        <v>749</v>
      </c>
      <c r="H394" s="1">
        <v>6.5</v>
      </c>
      <c r="I394" s="1">
        <v>0.47199999999999998</v>
      </c>
      <c r="J394" s="1">
        <v>0.50600000000000001</v>
      </c>
      <c r="K394" s="1">
        <v>0.17899999999999999</v>
      </c>
      <c r="L394" s="1">
        <v>3.7</v>
      </c>
      <c r="M394" s="1">
        <v>13.7</v>
      </c>
      <c r="N394" s="1">
        <v>8.8000000000000007</v>
      </c>
      <c r="O394" s="1">
        <v>5.0999999999999996</v>
      </c>
      <c r="P394" s="1">
        <v>1.4</v>
      </c>
      <c r="Q394" s="1">
        <v>0.9</v>
      </c>
      <c r="R394" s="1">
        <v>11.1</v>
      </c>
      <c r="S394" s="1">
        <v>10.5</v>
      </c>
      <c r="T394" s="1"/>
      <c r="U394" s="1">
        <v>-0.1</v>
      </c>
      <c r="V394" s="1">
        <v>0.9</v>
      </c>
      <c r="W394" s="1">
        <v>0.8</v>
      </c>
      <c r="X394" s="1">
        <v>5.3999999999999999E-2</v>
      </c>
      <c r="Y394" s="1"/>
      <c r="Z394" s="1">
        <v>-3.9</v>
      </c>
      <c r="AA394" s="1">
        <v>0.8</v>
      </c>
      <c r="AB394" s="1">
        <v>-3.1</v>
      </c>
      <c r="AC394" s="1">
        <v>-0.2</v>
      </c>
      <c r="AD394">
        <f>Advanced_Table[[#This Row],[VORP]]*82/Advanced_Table[[#This Row],[G]]</f>
        <v>-0.32800000000000007</v>
      </c>
    </row>
    <row r="395" spans="1:30" x14ac:dyDescent="0.25">
      <c r="A395" s="1">
        <v>322</v>
      </c>
      <c r="B395" s="1" t="s">
        <v>607</v>
      </c>
      <c r="C395" s="1" t="s">
        <v>303</v>
      </c>
      <c r="D395" s="1">
        <v>27</v>
      </c>
      <c r="E395" s="1" t="s">
        <v>411</v>
      </c>
      <c r="F395" s="1">
        <v>40</v>
      </c>
      <c r="G395" s="1">
        <v>593</v>
      </c>
      <c r="H395" s="1">
        <v>8.6999999999999993</v>
      </c>
      <c r="I395" s="1">
        <v>0.49299999999999999</v>
      </c>
      <c r="J395" s="1">
        <v>0.38</v>
      </c>
      <c r="K395" s="1">
        <v>0.18099999999999999</v>
      </c>
      <c r="L395" s="1">
        <v>6.9</v>
      </c>
      <c r="M395" s="1">
        <v>14.4</v>
      </c>
      <c r="N395" s="1">
        <v>10.6</v>
      </c>
      <c r="O395" s="1">
        <v>3.3</v>
      </c>
      <c r="P395" s="1">
        <v>1.9</v>
      </c>
      <c r="Q395" s="1">
        <v>1.2</v>
      </c>
      <c r="R395" s="1">
        <v>12.3</v>
      </c>
      <c r="S395" s="1">
        <v>15.2</v>
      </c>
      <c r="T395" s="1"/>
      <c r="U395" s="1">
        <v>-0.2</v>
      </c>
      <c r="V395" s="1">
        <v>0.3</v>
      </c>
      <c r="W395" s="1">
        <v>0.2</v>
      </c>
      <c r="X395" s="1">
        <v>1.4E-2</v>
      </c>
      <c r="Y395" s="1"/>
      <c r="Z395" s="1">
        <v>-4.4000000000000004</v>
      </c>
      <c r="AA395" s="1">
        <v>-0.9</v>
      </c>
      <c r="AB395" s="1">
        <v>-5.3</v>
      </c>
      <c r="AC395" s="1">
        <v>-0.5</v>
      </c>
      <c r="AD395">
        <f>Advanced_Table[[#This Row],[VORP]]*82/Advanced_Table[[#This Row],[G]]</f>
        <v>-1.0249999999999999</v>
      </c>
    </row>
    <row r="396" spans="1:30" x14ac:dyDescent="0.25">
      <c r="A396" s="1">
        <v>323</v>
      </c>
      <c r="B396" s="1" t="s">
        <v>608</v>
      </c>
      <c r="C396" s="1" t="s">
        <v>316</v>
      </c>
      <c r="D396" s="1">
        <v>23</v>
      </c>
      <c r="E396" s="1" t="s">
        <v>336</v>
      </c>
      <c r="F396" s="1">
        <v>30</v>
      </c>
      <c r="G396" s="1">
        <v>590</v>
      </c>
      <c r="H396" s="1">
        <v>16.3</v>
      </c>
      <c r="I396" s="1">
        <v>0.58699999999999997</v>
      </c>
      <c r="J396" s="1">
        <v>0.42699999999999999</v>
      </c>
      <c r="K396" s="1">
        <v>0.219</v>
      </c>
      <c r="L396" s="1">
        <v>1.2</v>
      </c>
      <c r="M396" s="1">
        <v>7.8</v>
      </c>
      <c r="N396" s="1">
        <v>4.4000000000000004</v>
      </c>
      <c r="O396" s="1">
        <v>31</v>
      </c>
      <c r="P396" s="1">
        <v>2.7</v>
      </c>
      <c r="Q396" s="1">
        <v>0.6</v>
      </c>
      <c r="R396" s="1">
        <v>13.7</v>
      </c>
      <c r="S396" s="1">
        <v>15.8</v>
      </c>
      <c r="T396" s="1"/>
      <c r="U396" s="1">
        <v>1.2</v>
      </c>
      <c r="V396" s="1">
        <v>0.4</v>
      </c>
      <c r="W396" s="1">
        <v>1.6</v>
      </c>
      <c r="X396" s="1">
        <v>0.13</v>
      </c>
      <c r="Y396" s="1"/>
      <c r="Z396" s="1">
        <v>0.3</v>
      </c>
      <c r="AA396" s="1">
        <v>0</v>
      </c>
      <c r="AB396" s="1">
        <v>0.4</v>
      </c>
      <c r="AC396" s="1">
        <v>0.4</v>
      </c>
      <c r="AD396">
        <f>Advanced_Table[[#This Row],[VORP]]*82/Advanced_Table[[#This Row],[G]]</f>
        <v>1.0933333333333335</v>
      </c>
    </row>
    <row r="397" spans="1:30" x14ac:dyDescent="0.25">
      <c r="A397" s="1">
        <v>324</v>
      </c>
      <c r="B397" s="1" t="s">
        <v>609</v>
      </c>
      <c r="C397" s="1" t="s">
        <v>294</v>
      </c>
      <c r="D397" s="1">
        <v>26</v>
      </c>
      <c r="E397" s="1" t="s">
        <v>305</v>
      </c>
      <c r="F397" s="1">
        <v>63</v>
      </c>
      <c r="G397" s="1">
        <v>1437</v>
      </c>
      <c r="H397" s="1">
        <v>11.7</v>
      </c>
      <c r="I397" s="1">
        <v>0.622</v>
      </c>
      <c r="J397" s="1">
        <v>0.83</v>
      </c>
      <c r="K397" s="1">
        <v>0.13200000000000001</v>
      </c>
      <c r="L397" s="1">
        <v>1.5</v>
      </c>
      <c r="M397" s="1">
        <v>8.6999999999999993</v>
      </c>
      <c r="N397" s="1">
        <v>5.0999999999999996</v>
      </c>
      <c r="O397" s="1">
        <v>5.3</v>
      </c>
      <c r="P397" s="1">
        <v>1.2</v>
      </c>
      <c r="Q397" s="1">
        <v>0.7</v>
      </c>
      <c r="R397" s="1">
        <v>8.5</v>
      </c>
      <c r="S397" s="1">
        <v>15.6</v>
      </c>
      <c r="T397" s="1"/>
      <c r="U397" s="1">
        <v>2.1</v>
      </c>
      <c r="V397" s="1">
        <v>0.9</v>
      </c>
      <c r="W397" s="1">
        <v>3</v>
      </c>
      <c r="X397" s="1">
        <v>0.1</v>
      </c>
      <c r="Y397" s="1"/>
      <c r="Z397" s="1">
        <v>0.1</v>
      </c>
      <c r="AA397" s="1">
        <v>-0.7</v>
      </c>
      <c r="AB397" s="1">
        <v>-0.6</v>
      </c>
      <c r="AC397" s="1">
        <v>0.5</v>
      </c>
      <c r="AD397">
        <f>Advanced_Table[[#This Row],[VORP]]*82/Advanced_Table[[#This Row],[G]]</f>
        <v>0.65079365079365081</v>
      </c>
    </row>
    <row r="398" spans="1:30" x14ac:dyDescent="0.25">
      <c r="A398" s="1">
        <v>325</v>
      </c>
      <c r="B398" s="1" t="s">
        <v>610</v>
      </c>
      <c r="C398" s="1" t="s">
        <v>294</v>
      </c>
      <c r="D398" s="1">
        <v>28</v>
      </c>
      <c r="E398" s="1" t="s">
        <v>957</v>
      </c>
      <c r="F398" s="1">
        <v>36</v>
      </c>
      <c r="G398" s="1">
        <v>757</v>
      </c>
      <c r="H398" s="1">
        <v>14.4</v>
      </c>
      <c r="I398" s="1">
        <v>0.52</v>
      </c>
      <c r="J398" s="1">
        <v>0.34799999999999998</v>
      </c>
      <c r="K398" s="1">
        <v>0.30299999999999999</v>
      </c>
      <c r="L398" s="1">
        <v>2.5</v>
      </c>
      <c r="M398" s="1">
        <v>14.9</v>
      </c>
      <c r="N398" s="1">
        <v>8.5</v>
      </c>
      <c r="O398" s="1">
        <v>17.7</v>
      </c>
      <c r="P398" s="1">
        <v>1.3</v>
      </c>
      <c r="Q398" s="1">
        <v>1.8</v>
      </c>
      <c r="R398" s="1">
        <v>9.6999999999999993</v>
      </c>
      <c r="S398" s="1">
        <v>24.5</v>
      </c>
      <c r="T398" s="1"/>
      <c r="U398" s="1">
        <v>0.4</v>
      </c>
      <c r="V398" s="1">
        <v>0.3</v>
      </c>
      <c r="W398" s="1">
        <v>0.7</v>
      </c>
      <c r="X398" s="1">
        <v>4.7E-2</v>
      </c>
      <c r="Y398" s="1"/>
      <c r="Z398" s="1">
        <v>0.3</v>
      </c>
      <c r="AA398" s="1">
        <v>-1.5</v>
      </c>
      <c r="AB398" s="1">
        <v>-1.2</v>
      </c>
      <c r="AC398" s="1">
        <v>0.1</v>
      </c>
      <c r="AD398">
        <f>Advanced_Table[[#This Row],[VORP]]*82/Advanced_Table[[#This Row],[G]]</f>
        <v>0.2277777777777778</v>
      </c>
    </row>
    <row r="399" spans="1:30" x14ac:dyDescent="0.25">
      <c r="A399" s="1">
        <v>325</v>
      </c>
      <c r="B399" s="1" t="s">
        <v>610</v>
      </c>
      <c r="C399" s="1" t="s">
        <v>294</v>
      </c>
      <c r="D399" s="1">
        <v>28</v>
      </c>
      <c r="E399" s="1" t="s">
        <v>342</v>
      </c>
      <c r="F399" s="1">
        <v>29</v>
      </c>
      <c r="G399" s="1">
        <v>654</v>
      </c>
      <c r="H399" s="1">
        <v>15.2</v>
      </c>
      <c r="I399" s="1">
        <v>0.52300000000000002</v>
      </c>
      <c r="J399" s="1">
        <v>0.33400000000000002</v>
      </c>
      <c r="K399" s="1">
        <v>0.26200000000000001</v>
      </c>
      <c r="L399" s="1">
        <v>2.7</v>
      </c>
      <c r="M399" s="1">
        <v>15.2</v>
      </c>
      <c r="N399" s="1">
        <v>8.6999999999999993</v>
      </c>
      <c r="O399" s="1">
        <v>18.8</v>
      </c>
      <c r="P399" s="1">
        <v>1.4</v>
      </c>
      <c r="Q399" s="1">
        <v>2</v>
      </c>
      <c r="R399" s="1">
        <v>9.6999999999999993</v>
      </c>
      <c r="S399" s="1">
        <v>24.9</v>
      </c>
      <c r="T399" s="1"/>
      <c r="U399" s="1">
        <v>0.4</v>
      </c>
      <c r="V399" s="1">
        <v>0.2</v>
      </c>
      <c r="W399" s="1">
        <v>0.7</v>
      </c>
      <c r="X399" s="1">
        <v>0.05</v>
      </c>
      <c r="Y399" s="1"/>
      <c r="Z399" s="1">
        <v>0.9</v>
      </c>
      <c r="AA399" s="1">
        <v>-1.4</v>
      </c>
      <c r="AB399" s="1">
        <v>-0.4</v>
      </c>
      <c r="AC399" s="1">
        <v>0.3</v>
      </c>
      <c r="AD399">
        <f>Advanced_Table[[#This Row],[VORP]]*82/Advanced_Table[[#This Row],[G]]</f>
        <v>0.84827586206896544</v>
      </c>
    </row>
    <row r="400" spans="1:30" x14ac:dyDescent="0.25">
      <c r="A400" s="1">
        <v>325</v>
      </c>
      <c r="B400" s="1" t="s">
        <v>610</v>
      </c>
      <c r="C400" s="1" t="s">
        <v>294</v>
      </c>
      <c r="D400" s="1">
        <v>28</v>
      </c>
      <c r="E400" s="1" t="s">
        <v>334</v>
      </c>
      <c r="F400" s="1">
        <v>4</v>
      </c>
      <c r="G400" s="1">
        <v>32</v>
      </c>
      <c r="H400" s="1">
        <v>16.7</v>
      </c>
      <c r="I400" s="1">
        <v>0.57999999999999996</v>
      </c>
      <c r="J400" s="1">
        <v>0.66700000000000004</v>
      </c>
      <c r="K400" s="1">
        <v>0.66700000000000004</v>
      </c>
      <c r="L400" s="1">
        <v>3.5</v>
      </c>
      <c r="M400" s="1">
        <v>13.9</v>
      </c>
      <c r="N400" s="1">
        <v>8.6999999999999993</v>
      </c>
      <c r="O400" s="1">
        <v>15.6</v>
      </c>
      <c r="P400" s="1">
        <v>3.1</v>
      </c>
      <c r="Q400" s="1">
        <v>2.9</v>
      </c>
      <c r="R400" s="1">
        <v>0</v>
      </c>
      <c r="S400" s="1">
        <v>10.5</v>
      </c>
      <c r="T400" s="1"/>
      <c r="U400" s="1">
        <v>0.1</v>
      </c>
      <c r="V400" s="1">
        <v>0</v>
      </c>
      <c r="W400" s="1">
        <v>0.1</v>
      </c>
      <c r="X400" s="1">
        <v>0.20799999999999999</v>
      </c>
      <c r="Y400" s="1"/>
      <c r="Z400" s="1">
        <v>1.2</v>
      </c>
      <c r="AA400" s="1">
        <v>1.2</v>
      </c>
      <c r="AB400" s="1">
        <v>2.4</v>
      </c>
      <c r="AC400" s="1">
        <v>0</v>
      </c>
      <c r="AD400">
        <f>Advanced_Table[[#This Row],[VORP]]*82/Advanced_Table[[#This Row],[G]]</f>
        <v>0</v>
      </c>
    </row>
    <row r="401" spans="1:30" x14ac:dyDescent="0.25">
      <c r="A401" s="1">
        <v>325</v>
      </c>
      <c r="B401" s="1" t="s">
        <v>610</v>
      </c>
      <c r="C401" s="1" t="s">
        <v>294</v>
      </c>
      <c r="D401" s="1">
        <v>28</v>
      </c>
      <c r="E401" s="1" t="s">
        <v>363</v>
      </c>
      <c r="F401" s="1">
        <v>3</v>
      </c>
      <c r="G401" s="1">
        <v>71</v>
      </c>
      <c r="H401" s="1">
        <v>6.1</v>
      </c>
      <c r="I401" s="1">
        <v>0.47699999999999998</v>
      </c>
      <c r="J401" s="1">
        <v>0.433</v>
      </c>
      <c r="K401" s="1">
        <v>0.66700000000000004</v>
      </c>
      <c r="L401" s="1">
        <v>0</v>
      </c>
      <c r="M401" s="1">
        <v>12.9</v>
      </c>
      <c r="N401" s="1">
        <v>6.4</v>
      </c>
      <c r="O401" s="1">
        <v>8.4</v>
      </c>
      <c r="P401" s="1">
        <v>0</v>
      </c>
      <c r="Q401" s="1">
        <v>0</v>
      </c>
      <c r="R401" s="1">
        <v>11.4</v>
      </c>
      <c r="S401" s="1">
        <v>26.9</v>
      </c>
      <c r="T401" s="1"/>
      <c r="U401" s="1">
        <v>-0.1</v>
      </c>
      <c r="V401" s="1">
        <v>0</v>
      </c>
      <c r="W401" s="1">
        <v>-0.1</v>
      </c>
      <c r="X401" s="1">
        <v>-5.3999999999999999E-2</v>
      </c>
      <c r="Y401" s="1"/>
      <c r="Z401" s="1">
        <v>-6</v>
      </c>
      <c r="AA401" s="1">
        <v>-4.2</v>
      </c>
      <c r="AB401" s="1">
        <v>-10.199999999999999</v>
      </c>
      <c r="AC401" s="1">
        <v>-0.1</v>
      </c>
      <c r="AD401">
        <f>Advanced_Table[[#This Row],[VORP]]*82/Advanced_Table[[#This Row],[G]]</f>
        <v>-2.7333333333333338</v>
      </c>
    </row>
    <row r="402" spans="1:30" x14ac:dyDescent="0.25">
      <c r="A402" s="1">
        <v>326</v>
      </c>
      <c r="B402" s="1" t="s">
        <v>611</v>
      </c>
      <c r="C402" s="1" t="s">
        <v>287</v>
      </c>
      <c r="D402" s="1">
        <v>29</v>
      </c>
      <c r="E402" s="1" t="s">
        <v>295</v>
      </c>
      <c r="F402" s="1">
        <v>52</v>
      </c>
      <c r="G402" s="1">
        <v>889</v>
      </c>
      <c r="H402" s="1">
        <v>12.4</v>
      </c>
      <c r="I402" s="1">
        <v>0.58299999999999996</v>
      </c>
      <c r="J402" s="1">
        <v>0.64700000000000002</v>
      </c>
      <c r="K402" s="1">
        <v>0.216</v>
      </c>
      <c r="L402" s="1">
        <v>4.4000000000000004</v>
      </c>
      <c r="M402" s="1">
        <v>14.3</v>
      </c>
      <c r="N402" s="1">
        <v>9.3000000000000007</v>
      </c>
      <c r="O402" s="1">
        <v>10.199999999999999</v>
      </c>
      <c r="P402" s="1">
        <v>1.6</v>
      </c>
      <c r="Q402" s="1">
        <v>1.8</v>
      </c>
      <c r="R402" s="1">
        <v>12.1</v>
      </c>
      <c r="S402" s="1">
        <v>15.9</v>
      </c>
      <c r="T402" s="1"/>
      <c r="U402" s="1">
        <v>1</v>
      </c>
      <c r="V402" s="1">
        <v>0.8</v>
      </c>
      <c r="W402" s="1">
        <v>1.8</v>
      </c>
      <c r="X402" s="1">
        <v>9.5000000000000001E-2</v>
      </c>
      <c r="Y402" s="1"/>
      <c r="Z402" s="1">
        <v>-0.8</v>
      </c>
      <c r="AA402" s="1">
        <v>0.2</v>
      </c>
      <c r="AB402" s="1">
        <v>-0.6</v>
      </c>
      <c r="AC402" s="1">
        <v>0.3</v>
      </c>
      <c r="AD402">
        <f>Advanced_Table[[#This Row],[VORP]]*82/Advanced_Table[[#This Row],[G]]</f>
        <v>0.47307692307692306</v>
      </c>
    </row>
    <row r="403" spans="1:30" x14ac:dyDescent="0.25">
      <c r="A403" s="1">
        <v>327</v>
      </c>
      <c r="B403" s="1" t="s">
        <v>612</v>
      </c>
      <c r="C403" s="1" t="s">
        <v>316</v>
      </c>
      <c r="D403" s="1">
        <v>21</v>
      </c>
      <c r="E403" s="1" t="s">
        <v>297</v>
      </c>
      <c r="F403" s="1">
        <v>52</v>
      </c>
      <c r="G403" s="1">
        <v>1011</v>
      </c>
      <c r="H403" s="1">
        <v>14.6</v>
      </c>
      <c r="I403" s="1">
        <v>0.52500000000000002</v>
      </c>
      <c r="J403" s="1">
        <v>0.33100000000000002</v>
      </c>
      <c r="K403" s="1">
        <v>0.3</v>
      </c>
      <c r="L403" s="1">
        <v>3.9</v>
      </c>
      <c r="M403" s="1">
        <v>15.9</v>
      </c>
      <c r="N403" s="1">
        <v>10</v>
      </c>
      <c r="O403" s="1">
        <v>20.9</v>
      </c>
      <c r="P403" s="1">
        <v>3</v>
      </c>
      <c r="Q403" s="1">
        <v>1.5</v>
      </c>
      <c r="R403" s="1">
        <v>16.3</v>
      </c>
      <c r="S403" s="1">
        <v>19.600000000000001</v>
      </c>
      <c r="T403" s="1"/>
      <c r="U403" s="1">
        <v>0.4</v>
      </c>
      <c r="V403" s="1">
        <v>1.4</v>
      </c>
      <c r="W403" s="1">
        <v>1.8</v>
      </c>
      <c r="X403" s="1">
        <v>8.5999999999999993E-2</v>
      </c>
      <c r="Y403" s="1"/>
      <c r="Z403" s="1">
        <v>-1.6</v>
      </c>
      <c r="AA403" s="1">
        <v>1.7</v>
      </c>
      <c r="AB403" s="1">
        <v>0</v>
      </c>
      <c r="AC403" s="1">
        <v>0.5</v>
      </c>
      <c r="AD403">
        <f>Advanced_Table[[#This Row],[VORP]]*82/Advanced_Table[[#This Row],[G]]</f>
        <v>0.78846153846153844</v>
      </c>
    </row>
    <row r="404" spans="1:30" x14ac:dyDescent="0.25">
      <c r="A404" s="1">
        <v>328</v>
      </c>
      <c r="B404" s="1" t="s">
        <v>613</v>
      </c>
      <c r="C404" s="1" t="s">
        <v>23</v>
      </c>
      <c r="D404" s="1">
        <v>22</v>
      </c>
      <c r="E404" s="1" t="s">
        <v>292</v>
      </c>
      <c r="F404" s="1">
        <v>16</v>
      </c>
      <c r="G404" s="1">
        <v>73</v>
      </c>
      <c r="H404" s="1">
        <v>25.4</v>
      </c>
      <c r="I404" s="1">
        <v>0.59699999999999998</v>
      </c>
      <c r="J404" s="1">
        <v>2.9000000000000001E-2</v>
      </c>
      <c r="K404" s="1">
        <v>0.22900000000000001</v>
      </c>
      <c r="L404" s="1">
        <v>14.7</v>
      </c>
      <c r="M404" s="1">
        <v>23.7</v>
      </c>
      <c r="N404" s="1">
        <v>19.2</v>
      </c>
      <c r="O404" s="1">
        <v>13.9</v>
      </c>
      <c r="P404" s="1">
        <v>0.7</v>
      </c>
      <c r="Q404" s="1">
        <v>4.8</v>
      </c>
      <c r="R404" s="1">
        <v>11.5</v>
      </c>
      <c r="S404" s="1">
        <v>25.9</v>
      </c>
      <c r="T404" s="1"/>
      <c r="U404" s="1">
        <v>0.2</v>
      </c>
      <c r="V404" s="1">
        <v>0.1</v>
      </c>
      <c r="W404" s="1">
        <v>0.2</v>
      </c>
      <c r="X404" s="1">
        <v>0.159</v>
      </c>
      <c r="Y404" s="1"/>
      <c r="Z404" s="1">
        <v>3.8</v>
      </c>
      <c r="AA404" s="1">
        <v>-0.8</v>
      </c>
      <c r="AB404" s="1">
        <v>3</v>
      </c>
      <c r="AC404" s="1">
        <v>0.1</v>
      </c>
      <c r="AD404">
        <f>Advanced_Table[[#This Row],[VORP]]*82/Advanced_Table[[#This Row],[G]]</f>
        <v>0.51250000000000007</v>
      </c>
    </row>
    <row r="405" spans="1:30" x14ac:dyDescent="0.25">
      <c r="A405" s="1">
        <v>329</v>
      </c>
      <c r="B405" s="1" t="s">
        <v>614</v>
      </c>
      <c r="C405" s="1" t="s">
        <v>303</v>
      </c>
      <c r="D405" s="1">
        <v>28</v>
      </c>
      <c r="E405" s="1" t="s">
        <v>307</v>
      </c>
      <c r="F405" s="1">
        <v>55</v>
      </c>
      <c r="G405" s="1">
        <v>1653</v>
      </c>
      <c r="H405" s="1">
        <v>21.4</v>
      </c>
      <c r="I405" s="1">
        <v>0.61899999999999999</v>
      </c>
      <c r="J405" s="1">
        <v>0.374</v>
      </c>
      <c r="K405" s="1">
        <v>0.23100000000000001</v>
      </c>
      <c r="L405" s="1">
        <v>2.5</v>
      </c>
      <c r="M405" s="1">
        <v>17</v>
      </c>
      <c r="N405" s="1">
        <v>10.199999999999999</v>
      </c>
      <c r="O405" s="1">
        <v>21</v>
      </c>
      <c r="P405" s="1">
        <v>1.4</v>
      </c>
      <c r="Q405" s="1">
        <v>0.4</v>
      </c>
      <c r="R405" s="1">
        <v>10.8</v>
      </c>
      <c r="S405" s="1">
        <v>26.2</v>
      </c>
      <c r="T405" s="1"/>
      <c r="U405" s="1">
        <v>4.3</v>
      </c>
      <c r="V405" s="1">
        <v>3.1</v>
      </c>
      <c r="W405" s="1">
        <v>7.4</v>
      </c>
      <c r="X405" s="1">
        <v>0.214</v>
      </c>
      <c r="Y405" s="1"/>
      <c r="Z405" s="1">
        <v>3.6</v>
      </c>
      <c r="AA405" s="1">
        <v>0.7</v>
      </c>
      <c r="AB405" s="1">
        <v>4.3</v>
      </c>
      <c r="AC405" s="1">
        <v>2.6</v>
      </c>
      <c r="AD405">
        <f>Advanced_Table[[#This Row],[VORP]]*82/Advanced_Table[[#This Row],[G]]</f>
        <v>3.8763636363636365</v>
      </c>
    </row>
    <row r="406" spans="1:30" x14ac:dyDescent="0.25">
      <c r="A406" s="1">
        <v>330</v>
      </c>
      <c r="B406" s="1" t="s">
        <v>1366</v>
      </c>
      <c r="C406" s="1" t="s">
        <v>23</v>
      </c>
      <c r="D406" s="1">
        <v>25</v>
      </c>
      <c r="E406" s="1" t="s">
        <v>319</v>
      </c>
      <c r="F406" s="1">
        <v>1</v>
      </c>
      <c r="G406" s="1">
        <v>19</v>
      </c>
      <c r="H406" s="1">
        <v>14</v>
      </c>
      <c r="I406" s="1">
        <v>0.77300000000000002</v>
      </c>
      <c r="J406" s="1">
        <v>0</v>
      </c>
      <c r="K406" s="1">
        <v>0.66700000000000004</v>
      </c>
      <c r="L406" s="1">
        <v>11.6</v>
      </c>
      <c r="M406" s="1">
        <v>30.5</v>
      </c>
      <c r="N406" s="1">
        <v>20.8</v>
      </c>
      <c r="O406" s="1">
        <v>0</v>
      </c>
      <c r="P406" s="1">
        <v>0</v>
      </c>
      <c r="Q406" s="1">
        <v>0</v>
      </c>
      <c r="R406" s="1">
        <v>0</v>
      </c>
      <c r="S406" s="1">
        <v>8.9</v>
      </c>
      <c r="T406" s="1"/>
      <c r="U406" s="1">
        <v>0.1</v>
      </c>
      <c r="V406" s="1">
        <v>0</v>
      </c>
      <c r="W406" s="1">
        <v>0.1</v>
      </c>
      <c r="X406" s="1">
        <v>0.222</v>
      </c>
      <c r="Y406" s="1"/>
      <c r="Z406" s="1">
        <v>-2.2999999999999998</v>
      </c>
      <c r="AA406" s="1">
        <v>-0.9</v>
      </c>
      <c r="AB406" s="1">
        <v>-3.1</v>
      </c>
      <c r="AC406" s="1">
        <v>0</v>
      </c>
      <c r="AD406">
        <f>Advanced_Table[[#This Row],[VORP]]*82/Advanced_Table[[#This Row],[G]]</f>
        <v>0</v>
      </c>
    </row>
    <row r="407" spans="1:30" x14ac:dyDescent="0.25">
      <c r="A407" s="1">
        <v>331</v>
      </c>
      <c r="B407" s="1" t="s">
        <v>615</v>
      </c>
      <c r="C407" s="1" t="s">
        <v>294</v>
      </c>
      <c r="D407" s="1">
        <v>32</v>
      </c>
      <c r="E407" s="1" t="s">
        <v>342</v>
      </c>
      <c r="F407" s="1">
        <v>10</v>
      </c>
      <c r="G407" s="1">
        <v>161</v>
      </c>
      <c r="H407" s="1">
        <v>11.1</v>
      </c>
      <c r="I407" s="1">
        <v>0.47199999999999998</v>
      </c>
      <c r="J407" s="1">
        <v>0.59299999999999997</v>
      </c>
      <c r="K407" s="1">
        <v>0.33900000000000002</v>
      </c>
      <c r="L407" s="1">
        <v>2.6</v>
      </c>
      <c r="M407" s="1">
        <v>5.7</v>
      </c>
      <c r="N407" s="1">
        <v>4.0999999999999996</v>
      </c>
      <c r="O407" s="1">
        <v>9.9</v>
      </c>
      <c r="P407" s="1">
        <v>2.9</v>
      </c>
      <c r="Q407" s="1">
        <v>2.2000000000000002</v>
      </c>
      <c r="R407" s="1">
        <v>5.6</v>
      </c>
      <c r="S407" s="1">
        <v>18.600000000000001</v>
      </c>
      <c r="T407" s="1"/>
      <c r="U407" s="1">
        <v>0</v>
      </c>
      <c r="V407" s="1">
        <v>0.1</v>
      </c>
      <c r="W407" s="1">
        <v>0.1</v>
      </c>
      <c r="X407" s="1">
        <v>3.3000000000000002E-2</v>
      </c>
      <c r="Y407" s="1"/>
      <c r="Z407" s="1">
        <v>-1.8</v>
      </c>
      <c r="AA407" s="1">
        <v>-0.1</v>
      </c>
      <c r="AB407" s="1">
        <v>-1.9</v>
      </c>
      <c r="AC407" s="1">
        <v>0</v>
      </c>
      <c r="AD407">
        <f>Advanced_Table[[#This Row],[VORP]]*82/Advanced_Table[[#This Row],[G]]</f>
        <v>0</v>
      </c>
    </row>
    <row r="408" spans="1:30" x14ac:dyDescent="0.25">
      <c r="A408" s="1">
        <v>332</v>
      </c>
      <c r="B408" s="1" t="s">
        <v>616</v>
      </c>
      <c r="C408" s="1" t="s">
        <v>303</v>
      </c>
      <c r="D408" s="1">
        <v>26</v>
      </c>
      <c r="E408" s="1" t="s">
        <v>314</v>
      </c>
      <c r="F408" s="1">
        <v>25</v>
      </c>
      <c r="G408" s="1">
        <v>125</v>
      </c>
      <c r="H408" s="1">
        <v>4.7</v>
      </c>
      <c r="I408" s="1">
        <v>0.432</v>
      </c>
      <c r="J408" s="1">
        <v>0.79200000000000004</v>
      </c>
      <c r="K408" s="1">
        <v>0.25</v>
      </c>
      <c r="L408" s="1">
        <v>0.9</v>
      </c>
      <c r="M408" s="1">
        <v>10.8</v>
      </c>
      <c r="N408" s="1">
        <v>5.9</v>
      </c>
      <c r="O408" s="1">
        <v>8.3000000000000007</v>
      </c>
      <c r="P408" s="1">
        <v>1.5</v>
      </c>
      <c r="Q408" s="1">
        <v>1.5</v>
      </c>
      <c r="R408" s="1">
        <v>10.1</v>
      </c>
      <c r="S408" s="1">
        <v>10.1</v>
      </c>
      <c r="T408" s="1"/>
      <c r="U408" s="1">
        <v>-0.1</v>
      </c>
      <c r="V408" s="1">
        <v>0.2</v>
      </c>
      <c r="W408" s="1">
        <v>0.1</v>
      </c>
      <c r="X408" s="1">
        <v>3.6999999999999998E-2</v>
      </c>
      <c r="Y408" s="1"/>
      <c r="Z408" s="1">
        <v>-4.2</v>
      </c>
      <c r="AA408" s="1">
        <v>1.3</v>
      </c>
      <c r="AB408" s="1">
        <v>-2.9</v>
      </c>
      <c r="AC408" s="1">
        <v>0</v>
      </c>
      <c r="AD408">
        <f>Advanced_Table[[#This Row],[VORP]]*82/Advanced_Table[[#This Row],[G]]</f>
        <v>0</v>
      </c>
    </row>
    <row r="409" spans="1:30" x14ac:dyDescent="0.25">
      <c r="A409" s="1">
        <v>333</v>
      </c>
      <c r="B409" s="1" t="s">
        <v>617</v>
      </c>
      <c r="C409" s="1" t="s">
        <v>316</v>
      </c>
      <c r="D409" s="1">
        <v>31</v>
      </c>
      <c r="E409" s="1" t="s">
        <v>292</v>
      </c>
      <c r="F409" s="1">
        <v>63</v>
      </c>
      <c r="G409" s="1">
        <v>1430</v>
      </c>
      <c r="H409" s="1">
        <v>14.7</v>
      </c>
      <c r="I409" s="1">
        <v>0.58899999999999997</v>
      </c>
      <c r="J409" s="1">
        <v>0.67500000000000004</v>
      </c>
      <c r="K409" s="1">
        <v>0.188</v>
      </c>
      <c r="L409" s="1">
        <v>1.4</v>
      </c>
      <c r="M409" s="1">
        <v>6</v>
      </c>
      <c r="N409" s="1">
        <v>3.7</v>
      </c>
      <c r="O409" s="1">
        <v>11.3</v>
      </c>
      <c r="P409" s="1">
        <v>1.7</v>
      </c>
      <c r="Q409" s="1">
        <v>0.4</v>
      </c>
      <c r="R409" s="1">
        <v>7.6</v>
      </c>
      <c r="S409" s="1">
        <v>20.5</v>
      </c>
      <c r="T409" s="1"/>
      <c r="U409" s="1">
        <v>2.1</v>
      </c>
      <c r="V409" s="1">
        <v>0.5</v>
      </c>
      <c r="W409" s="1">
        <v>2.6</v>
      </c>
      <c r="X409" s="1">
        <v>8.5999999999999993E-2</v>
      </c>
      <c r="Y409" s="1"/>
      <c r="Z409" s="1">
        <v>1.1000000000000001</v>
      </c>
      <c r="AA409" s="1">
        <v>-1.2</v>
      </c>
      <c r="AB409" s="1">
        <v>-0.1</v>
      </c>
      <c r="AC409" s="1">
        <v>0.7</v>
      </c>
      <c r="AD409">
        <f>Advanced_Table[[#This Row],[VORP]]*82/Advanced_Table[[#This Row],[G]]</f>
        <v>0.91111111111111109</v>
      </c>
    </row>
    <row r="410" spans="1:30" x14ac:dyDescent="0.25">
      <c r="A410" s="1">
        <v>334</v>
      </c>
      <c r="B410" s="1" t="s">
        <v>618</v>
      </c>
      <c r="C410" s="1" t="s">
        <v>23</v>
      </c>
      <c r="D410" s="1">
        <v>34</v>
      </c>
      <c r="E410" s="1" t="s">
        <v>334</v>
      </c>
      <c r="F410" s="1">
        <v>43</v>
      </c>
      <c r="G410" s="1">
        <v>1041</v>
      </c>
      <c r="H410" s="1">
        <v>17.899999999999999</v>
      </c>
      <c r="I410" s="1">
        <v>0.6</v>
      </c>
      <c r="J410" s="1">
        <v>0.27700000000000002</v>
      </c>
      <c r="K410" s="1">
        <v>0.33200000000000002</v>
      </c>
      <c r="L410" s="1">
        <v>9.1999999999999993</v>
      </c>
      <c r="M410" s="1">
        <v>17.8</v>
      </c>
      <c r="N410" s="1">
        <v>13.5</v>
      </c>
      <c r="O410" s="1">
        <v>9.4</v>
      </c>
      <c r="P410" s="1">
        <v>1.8</v>
      </c>
      <c r="Q410" s="1">
        <v>2.4</v>
      </c>
      <c r="R410" s="1">
        <v>12</v>
      </c>
      <c r="S410" s="1">
        <v>20.399999999999999</v>
      </c>
      <c r="T410" s="1"/>
      <c r="U410" s="1">
        <v>2</v>
      </c>
      <c r="V410" s="1">
        <v>1.3</v>
      </c>
      <c r="W410" s="1">
        <v>3.4</v>
      </c>
      <c r="X410" s="1">
        <v>0.155</v>
      </c>
      <c r="Y410" s="1"/>
      <c r="Z410" s="1">
        <v>0.8</v>
      </c>
      <c r="AA410" s="1">
        <v>0</v>
      </c>
      <c r="AB410" s="1">
        <v>0.8</v>
      </c>
      <c r="AC410" s="1">
        <v>0.7</v>
      </c>
      <c r="AD410">
        <f>Advanced_Table[[#This Row],[VORP]]*82/Advanced_Table[[#This Row],[G]]</f>
        <v>1.3348837209302324</v>
      </c>
    </row>
    <row r="411" spans="1:30" x14ac:dyDescent="0.25">
      <c r="A411" s="1">
        <v>335</v>
      </c>
      <c r="B411" s="1" t="s">
        <v>619</v>
      </c>
      <c r="C411" s="1" t="s">
        <v>294</v>
      </c>
      <c r="D411" s="1">
        <v>23</v>
      </c>
      <c r="E411" s="1" t="s">
        <v>361</v>
      </c>
      <c r="F411" s="1">
        <v>31</v>
      </c>
      <c r="G411" s="1">
        <v>584</v>
      </c>
      <c r="H411" s="1">
        <v>15.5</v>
      </c>
      <c r="I411" s="1">
        <v>0.63900000000000001</v>
      </c>
      <c r="J411" s="1">
        <v>0.495</v>
      </c>
      <c r="K411" s="1">
        <v>0.23799999999999999</v>
      </c>
      <c r="L411" s="1">
        <v>2.1</v>
      </c>
      <c r="M411" s="1">
        <v>10.8</v>
      </c>
      <c r="N411" s="1">
        <v>6.4</v>
      </c>
      <c r="O411" s="1">
        <v>17.2</v>
      </c>
      <c r="P411" s="1">
        <v>1.5</v>
      </c>
      <c r="Q411" s="1">
        <v>0.9</v>
      </c>
      <c r="R411" s="1">
        <v>13.7</v>
      </c>
      <c r="S411" s="1">
        <v>19.5</v>
      </c>
      <c r="T411" s="1"/>
      <c r="U411" s="1">
        <v>1.1000000000000001</v>
      </c>
      <c r="V411" s="1">
        <v>0.6</v>
      </c>
      <c r="W411" s="1">
        <v>1.7</v>
      </c>
      <c r="X411" s="1">
        <v>0.13900000000000001</v>
      </c>
      <c r="Y411" s="1"/>
      <c r="Z411" s="1">
        <v>0.4</v>
      </c>
      <c r="AA411" s="1">
        <v>-0.3</v>
      </c>
      <c r="AB411" s="1">
        <v>0.1</v>
      </c>
      <c r="AC411" s="1">
        <v>0.3</v>
      </c>
      <c r="AD411">
        <f>Advanced_Table[[#This Row],[VORP]]*82/Advanced_Table[[#This Row],[G]]</f>
        <v>0.79354838709677411</v>
      </c>
    </row>
    <row r="412" spans="1:30" x14ac:dyDescent="0.25">
      <c r="A412" s="1">
        <v>336</v>
      </c>
      <c r="B412" s="1" t="s">
        <v>620</v>
      </c>
      <c r="C412" s="1" t="s">
        <v>294</v>
      </c>
      <c r="D412" s="1">
        <v>23</v>
      </c>
      <c r="E412" s="1" t="s">
        <v>359</v>
      </c>
      <c r="F412" s="1">
        <v>63</v>
      </c>
      <c r="G412" s="1">
        <v>2165</v>
      </c>
      <c r="H412" s="1">
        <v>19.100000000000001</v>
      </c>
      <c r="I412" s="1">
        <v>0.56000000000000005</v>
      </c>
      <c r="J412" s="1">
        <v>0.34699999999999998</v>
      </c>
      <c r="K412" s="1">
        <v>0.23499999999999999</v>
      </c>
      <c r="L412" s="1">
        <v>2.2999999999999998</v>
      </c>
      <c r="M412" s="1">
        <v>11.2</v>
      </c>
      <c r="N412" s="1">
        <v>7</v>
      </c>
      <c r="O412" s="1">
        <v>21.2</v>
      </c>
      <c r="P412" s="1">
        <v>1.5</v>
      </c>
      <c r="Q412" s="1">
        <v>0.5</v>
      </c>
      <c r="R412" s="1">
        <v>10.9</v>
      </c>
      <c r="S412" s="1">
        <v>31</v>
      </c>
      <c r="T412" s="1"/>
      <c r="U412" s="1">
        <v>3</v>
      </c>
      <c r="V412" s="1">
        <v>2.1</v>
      </c>
      <c r="W412" s="1">
        <v>5.2</v>
      </c>
      <c r="X412" s="1">
        <v>0.115</v>
      </c>
      <c r="Y412" s="1"/>
      <c r="Z412" s="1">
        <v>2.5</v>
      </c>
      <c r="AA412" s="1">
        <v>-0.6</v>
      </c>
      <c r="AB412" s="1">
        <v>1.9</v>
      </c>
      <c r="AC412" s="1">
        <v>2.1</v>
      </c>
      <c r="AD412">
        <f>Advanced_Table[[#This Row],[VORP]]*82/Advanced_Table[[#This Row],[G]]</f>
        <v>2.7333333333333334</v>
      </c>
    </row>
    <row r="413" spans="1:30" x14ac:dyDescent="0.25">
      <c r="A413" s="1">
        <v>337</v>
      </c>
      <c r="B413" s="1" t="s">
        <v>621</v>
      </c>
      <c r="C413" s="1" t="s">
        <v>294</v>
      </c>
      <c r="D413" s="1">
        <v>26</v>
      </c>
      <c r="E413" s="1" t="s">
        <v>353</v>
      </c>
      <c r="F413" s="1">
        <v>3</v>
      </c>
      <c r="G413" s="1">
        <v>43</v>
      </c>
      <c r="H413" s="1">
        <v>10.1</v>
      </c>
      <c r="I413" s="1">
        <v>0.438</v>
      </c>
      <c r="J413" s="1">
        <v>0.68799999999999994</v>
      </c>
      <c r="K413" s="1">
        <v>0</v>
      </c>
      <c r="L413" s="1">
        <v>0</v>
      </c>
      <c r="M413" s="1">
        <v>15.3</v>
      </c>
      <c r="N413" s="1">
        <v>7.7</v>
      </c>
      <c r="O413" s="1">
        <v>22.2</v>
      </c>
      <c r="P413" s="1">
        <v>1.1000000000000001</v>
      </c>
      <c r="Q413" s="1">
        <v>2</v>
      </c>
      <c r="R413" s="1">
        <v>11.1</v>
      </c>
      <c r="S413" s="1">
        <v>18.399999999999999</v>
      </c>
      <c r="T413" s="1"/>
      <c r="U413" s="1">
        <v>0</v>
      </c>
      <c r="V413" s="1">
        <v>0</v>
      </c>
      <c r="W413" s="1">
        <v>0</v>
      </c>
      <c r="X413" s="1">
        <v>1.4999999999999999E-2</v>
      </c>
      <c r="Y413" s="1"/>
      <c r="Z413" s="1">
        <v>-1.9</v>
      </c>
      <c r="AA413" s="1">
        <v>2.4</v>
      </c>
      <c r="AB413" s="1">
        <v>0.5</v>
      </c>
      <c r="AC413" s="1">
        <v>0</v>
      </c>
      <c r="AD413">
        <f>Advanced_Table[[#This Row],[VORP]]*82/Advanced_Table[[#This Row],[G]]</f>
        <v>0</v>
      </c>
    </row>
    <row r="414" spans="1:30" x14ac:dyDescent="0.25">
      <c r="A414" s="1">
        <v>338</v>
      </c>
      <c r="B414" s="1" t="s">
        <v>961</v>
      </c>
      <c r="C414" s="1" t="s">
        <v>294</v>
      </c>
      <c r="D414" s="1">
        <v>21</v>
      </c>
      <c r="E414" s="1" t="s">
        <v>317</v>
      </c>
      <c r="F414" s="1">
        <v>11</v>
      </c>
      <c r="G414" s="1">
        <v>112</v>
      </c>
      <c r="H414" s="1">
        <v>8.1999999999999993</v>
      </c>
      <c r="I414" s="1">
        <v>0.53800000000000003</v>
      </c>
      <c r="J414" s="1">
        <v>0.53600000000000003</v>
      </c>
      <c r="K414" s="1">
        <v>0.14299999999999999</v>
      </c>
      <c r="L414" s="1">
        <v>6.6</v>
      </c>
      <c r="M414" s="1">
        <v>3.1</v>
      </c>
      <c r="N414" s="1">
        <v>4.9000000000000004</v>
      </c>
      <c r="O414" s="1">
        <v>5</v>
      </c>
      <c r="P414" s="1">
        <v>1.7</v>
      </c>
      <c r="Q414" s="1">
        <v>0</v>
      </c>
      <c r="R414" s="1">
        <v>6.3</v>
      </c>
      <c r="S414" s="1">
        <v>12.1</v>
      </c>
      <c r="T414" s="1"/>
      <c r="U414" s="1">
        <v>0.1</v>
      </c>
      <c r="V414" s="1">
        <v>0.1</v>
      </c>
      <c r="W414" s="1">
        <v>0.2</v>
      </c>
      <c r="X414" s="1">
        <v>7.2999999999999995E-2</v>
      </c>
      <c r="Y414" s="1"/>
      <c r="Z414" s="1">
        <v>-3.1</v>
      </c>
      <c r="AA414" s="1">
        <v>-1</v>
      </c>
      <c r="AB414" s="1">
        <v>-4.0999999999999996</v>
      </c>
      <c r="AC414" s="1">
        <v>-0.1</v>
      </c>
      <c r="AD414">
        <f>Advanced_Table[[#This Row],[VORP]]*82/Advanced_Table[[#This Row],[G]]</f>
        <v>-0.74545454545454559</v>
      </c>
    </row>
    <row r="415" spans="1:30" x14ac:dyDescent="0.25">
      <c r="A415" s="1">
        <v>339</v>
      </c>
      <c r="B415" s="1" t="s">
        <v>622</v>
      </c>
      <c r="C415" s="1" t="s">
        <v>294</v>
      </c>
      <c r="D415" s="1">
        <v>21</v>
      </c>
      <c r="E415" s="1" t="s">
        <v>324</v>
      </c>
      <c r="F415" s="1">
        <v>55</v>
      </c>
      <c r="G415" s="1">
        <v>1169</v>
      </c>
      <c r="H415" s="1">
        <v>12.6</v>
      </c>
      <c r="I415" s="1">
        <v>0.53</v>
      </c>
      <c r="J415" s="1">
        <v>0.41799999999999998</v>
      </c>
      <c r="K415" s="1">
        <v>0.20499999999999999</v>
      </c>
      <c r="L415" s="1">
        <v>2.4</v>
      </c>
      <c r="M415" s="1">
        <v>12.6</v>
      </c>
      <c r="N415" s="1">
        <v>7.3</v>
      </c>
      <c r="O415" s="1">
        <v>16.600000000000001</v>
      </c>
      <c r="P415" s="1">
        <v>1.1000000000000001</v>
      </c>
      <c r="Q415" s="1">
        <v>1.3</v>
      </c>
      <c r="R415" s="1">
        <v>12.6</v>
      </c>
      <c r="S415" s="1">
        <v>22.9</v>
      </c>
      <c r="T415" s="1"/>
      <c r="U415" s="1">
        <v>0.1</v>
      </c>
      <c r="V415" s="1">
        <v>0.6</v>
      </c>
      <c r="W415" s="1">
        <v>0.6</v>
      </c>
      <c r="X415" s="1">
        <v>2.7E-2</v>
      </c>
      <c r="Y415" s="1"/>
      <c r="Z415" s="1">
        <v>-1.1000000000000001</v>
      </c>
      <c r="AA415" s="1">
        <v>-1.4</v>
      </c>
      <c r="AB415" s="1">
        <v>-2.4</v>
      </c>
      <c r="AC415" s="1">
        <v>-0.1</v>
      </c>
      <c r="AD415">
        <f>Advanced_Table[[#This Row],[VORP]]*82/Advanced_Table[[#This Row],[G]]</f>
        <v>-0.14909090909090911</v>
      </c>
    </row>
    <row r="416" spans="1:30" x14ac:dyDescent="0.25">
      <c r="A416" s="1">
        <v>340</v>
      </c>
      <c r="B416" s="1" t="s">
        <v>1157</v>
      </c>
      <c r="C416" s="1" t="s">
        <v>294</v>
      </c>
      <c r="D416" s="1">
        <v>22</v>
      </c>
      <c r="E416" s="1" t="s">
        <v>411</v>
      </c>
      <c r="F416" s="1">
        <v>4</v>
      </c>
      <c r="G416" s="1">
        <v>19</v>
      </c>
      <c r="H416" s="1">
        <v>8.1</v>
      </c>
      <c r="I416" s="1">
        <v>0.25</v>
      </c>
      <c r="J416" s="1">
        <v>0.5</v>
      </c>
      <c r="K416" s="1">
        <v>0</v>
      </c>
      <c r="L416" s="1">
        <v>0</v>
      </c>
      <c r="M416" s="1">
        <v>17.7</v>
      </c>
      <c r="N416" s="1">
        <v>8.8000000000000007</v>
      </c>
      <c r="O416" s="1">
        <v>6.7</v>
      </c>
      <c r="P416" s="1">
        <v>5.0999999999999996</v>
      </c>
      <c r="Q416" s="1">
        <v>4.5</v>
      </c>
      <c r="R416" s="1">
        <v>0</v>
      </c>
      <c r="S416" s="1">
        <v>9</v>
      </c>
      <c r="T416" s="1"/>
      <c r="U416" s="1">
        <v>0</v>
      </c>
      <c r="V416" s="1">
        <v>0</v>
      </c>
      <c r="W416" s="1">
        <v>0</v>
      </c>
      <c r="X416" s="1">
        <v>6.0000000000000001E-3</v>
      </c>
      <c r="Y416" s="1"/>
      <c r="Z416" s="1">
        <v>-5.3</v>
      </c>
      <c r="AA416" s="1">
        <v>4.8</v>
      </c>
      <c r="AB416" s="1">
        <v>-0.4</v>
      </c>
      <c r="AC416" s="1">
        <v>0</v>
      </c>
      <c r="AD416">
        <f>Advanced_Table[[#This Row],[VORP]]*82/Advanced_Table[[#This Row],[G]]</f>
        <v>0</v>
      </c>
    </row>
    <row r="417" spans="1:30" x14ac:dyDescent="0.25">
      <c r="A417" s="1">
        <v>341</v>
      </c>
      <c r="B417" s="1" t="s">
        <v>623</v>
      </c>
      <c r="C417" s="1" t="s">
        <v>294</v>
      </c>
      <c r="D417" s="1">
        <v>30</v>
      </c>
      <c r="E417" s="1" t="s">
        <v>295</v>
      </c>
      <c r="F417" s="1">
        <v>51</v>
      </c>
      <c r="G417" s="1">
        <v>958</v>
      </c>
      <c r="H417" s="1">
        <v>11.1</v>
      </c>
      <c r="I417" s="1">
        <v>0.50900000000000001</v>
      </c>
      <c r="J417" s="1">
        <v>0.39</v>
      </c>
      <c r="K417" s="1">
        <v>0.105</v>
      </c>
      <c r="L417" s="1">
        <v>3.2</v>
      </c>
      <c r="M417" s="1">
        <v>10.4</v>
      </c>
      <c r="N417" s="1">
        <v>6.8</v>
      </c>
      <c r="O417" s="1">
        <v>10.9</v>
      </c>
      <c r="P417" s="1">
        <v>1.4</v>
      </c>
      <c r="Q417" s="1">
        <v>0.9</v>
      </c>
      <c r="R417" s="1">
        <v>8.1</v>
      </c>
      <c r="S417" s="1">
        <v>19.899999999999999</v>
      </c>
      <c r="T417" s="1"/>
      <c r="U417" s="1">
        <v>0.2</v>
      </c>
      <c r="V417" s="1">
        <v>0.6</v>
      </c>
      <c r="W417" s="1">
        <v>0.8</v>
      </c>
      <c r="X417" s="1">
        <v>4.2000000000000003E-2</v>
      </c>
      <c r="Y417" s="1"/>
      <c r="Z417" s="1">
        <v>-1.8</v>
      </c>
      <c r="AA417" s="1">
        <v>-1.1000000000000001</v>
      </c>
      <c r="AB417" s="1">
        <v>-2.9</v>
      </c>
      <c r="AC417" s="1">
        <v>-0.2</v>
      </c>
      <c r="AD417">
        <f>Advanced_Table[[#This Row],[VORP]]*82/Advanced_Table[[#This Row],[G]]</f>
        <v>-0.32156862745098042</v>
      </c>
    </row>
    <row r="418" spans="1:30" x14ac:dyDescent="0.25">
      <c r="A418" s="1">
        <v>342</v>
      </c>
      <c r="B418" s="1" t="s">
        <v>624</v>
      </c>
      <c r="C418" s="1" t="s">
        <v>316</v>
      </c>
      <c r="D418" s="1">
        <v>20</v>
      </c>
      <c r="E418" s="1" t="s">
        <v>297</v>
      </c>
      <c r="F418" s="1">
        <v>59</v>
      </c>
      <c r="G418" s="1">
        <v>1771</v>
      </c>
      <c r="H418" s="1">
        <v>18</v>
      </c>
      <c r="I418" s="1">
        <v>0.56799999999999995</v>
      </c>
      <c r="J418" s="1">
        <v>0.17399999999999999</v>
      </c>
      <c r="K418" s="1">
        <v>0.33100000000000002</v>
      </c>
      <c r="L418" s="1">
        <v>2.7</v>
      </c>
      <c r="M418" s="1">
        <v>9.5</v>
      </c>
      <c r="N418" s="1">
        <v>6.2</v>
      </c>
      <c r="O418" s="1">
        <v>34.6</v>
      </c>
      <c r="P418" s="1">
        <v>1.4</v>
      </c>
      <c r="Q418" s="1">
        <v>0.7</v>
      </c>
      <c r="R418" s="1">
        <v>17.2</v>
      </c>
      <c r="S418" s="1">
        <v>26</v>
      </c>
      <c r="T418" s="1"/>
      <c r="U418" s="1">
        <v>2.2000000000000002</v>
      </c>
      <c r="V418" s="1">
        <v>1.2</v>
      </c>
      <c r="W418" s="1">
        <v>3.5</v>
      </c>
      <c r="X418" s="1">
        <v>9.4E-2</v>
      </c>
      <c r="Y418" s="1"/>
      <c r="Z418" s="1">
        <v>1.6</v>
      </c>
      <c r="AA418" s="1">
        <v>-1.4</v>
      </c>
      <c r="AB418" s="1">
        <v>0.2</v>
      </c>
      <c r="AC418" s="1">
        <v>1</v>
      </c>
      <c r="AD418">
        <f>Advanced_Table[[#This Row],[VORP]]*82/Advanced_Table[[#This Row],[G]]</f>
        <v>1.3898305084745763</v>
      </c>
    </row>
    <row r="419" spans="1:30" x14ac:dyDescent="0.25">
      <c r="A419" s="1">
        <v>343</v>
      </c>
      <c r="B419" s="1" t="s">
        <v>805</v>
      </c>
      <c r="C419" s="1" t="s">
        <v>23</v>
      </c>
      <c r="D419" s="1">
        <v>22</v>
      </c>
      <c r="E419" s="1" t="s">
        <v>359</v>
      </c>
      <c r="F419" s="1">
        <v>16</v>
      </c>
      <c r="G419" s="1">
        <v>74</v>
      </c>
      <c r="H419" s="1">
        <v>8.8000000000000007</v>
      </c>
      <c r="I419" s="1">
        <v>0.55900000000000005</v>
      </c>
      <c r="J419" s="1">
        <v>0.29399999999999998</v>
      </c>
      <c r="K419" s="1">
        <v>0</v>
      </c>
      <c r="L419" s="1">
        <v>7.8</v>
      </c>
      <c r="M419" s="1">
        <v>19.8</v>
      </c>
      <c r="N419" s="1">
        <v>14.1</v>
      </c>
      <c r="O419" s="1">
        <v>3.8</v>
      </c>
      <c r="P419" s="1">
        <v>0</v>
      </c>
      <c r="Q419" s="1">
        <v>1.1000000000000001</v>
      </c>
      <c r="R419" s="1">
        <v>15</v>
      </c>
      <c r="S419" s="1">
        <v>11.9</v>
      </c>
      <c r="T419" s="1"/>
      <c r="U419" s="1">
        <v>0</v>
      </c>
      <c r="V419" s="1">
        <v>0.1</v>
      </c>
      <c r="W419" s="1">
        <v>0.1</v>
      </c>
      <c r="X419" s="1">
        <v>6.6000000000000003E-2</v>
      </c>
      <c r="Y419" s="1"/>
      <c r="Z419" s="1">
        <v>-2.9</v>
      </c>
      <c r="AA419" s="1">
        <v>-0.4</v>
      </c>
      <c r="AB419" s="1">
        <v>-3.3</v>
      </c>
      <c r="AC419" s="1">
        <v>0</v>
      </c>
      <c r="AD419">
        <f>Advanced_Table[[#This Row],[VORP]]*82/Advanced_Table[[#This Row],[G]]</f>
        <v>0</v>
      </c>
    </row>
    <row r="420" spans="1:30" x14ac:dyDescent="0.25">
      <c r="A420" s="1">
        <v>344</v>
      </c>
      <c r="B420" s="1" t="s">
        <v>625</v>
      </c>
      <c r="C420" s="1" t="s">
        <v>1572</v>
      </c>
      <c r="D420" s="1">
        <v>30</v>
      </c>
      <c r="E420" s="1" t="s">
        <v>957</v>
      </c>
      <c r="F420" s="1">
        <v>55</v>
      </c>
      <c r="G420" s="1">
        <v>1727</v>
      </c>
      <c r="H420" s="1">
        <v>14.8</v>
      </c>
      <c r="I420" s="1">
        <v>0.56699999999999995</v>
      </c>
      <c r="J420" s="1">
        <v>0.432</v>
      </c>
      <c r="K420" s="1">
        <v>0.27900000000000003</v>
      </c>
      <c r="L420" s="1">
        <v>3.3</v>
      </c>
      <c r="M420" s="1">
        <v>14.2</v>
      </c>
      <c r="N420" s="1">
        <v>8.6</v>
      </c>
      <c r="O420" s="1">
        <v>6.9</v>
      </c>
      <c r="P420" s="1">
        <v>1.2</v>
      </c>
      <c r="Q420" s="1">
        <v>1.4</v>
      </c>
      <c r="R420" s="1">
        <v>9.5</v>
      </c>
      <c r="S420" s="1">
        <v>22.8</v>
      </c>
      <c r="T420" s="1"/>
      <c r="U420" s="1">
        <v>2</v>
      </c>
      <c r="V420" s="1">
        <v>1.2</v>
      </c>
      <c r="W420" s="1">
        <v>3.2</v>
      </c>
      <c r="X420" s="1">
        <v>8.8999999999999996E-2</v>
      </c>
      <c r="Y420" s="1"/>
      <c r="Z420" s="1">
        <v>0.9</v>
      </c>
      <c r="AA420" s="1">
        <v>-0.8</v>
      </c>
      <c r="AB420" s="1">
        <v>0</v>
      </c>
      <c r="AC420" s="1">
        <v>0.9</v>
      </c>
      <c r="AD420">
        <f>Advanced_Table[[#This Row],[VORP]]*82/Advanced_Table[[#This Row],[G]]</f>
        <v>1.3418181818181818</v>
      </c>
    </row>
    <row r="421" spans="1:30" x14ac:dyDescent="0.25">
      <c r="A421" s="1">
        <v>344</v>
      </c>
      <c r="B421" s="1" t="s">
        <v>625</v>
      </c>
      <c r="C421" s="1" t="s">
        <v>303</v>
      </c>
      <c r="D421" s="1">
        <v>30</v>
      </c>
      <c r="E421" s="1" t="s">
        <v>332</v>
      </c>
      <c r="F421" s="1">
        <v>43</v>
      </c>
      <c r="G421" s="1">
        <v>1387</v>
      </c>
      <c r="H421" s="1">
        <v>16.5</v>
      </c>
      <c r="I421" s="1">
        <v>0.58199999999999996</v>
      </c>
      <c r="J421" s="1">
        <v>0.41499999999999998</v>
      </c>
      <c r="K421" s="1">
        <v>0.311</v>
      </c>
      <c r="L421" s="1">
        <v>3.6</v>
      </c>
      <c r="M421" s="1">
        <v>14.7</v>
      </c>
      <c r="N421" s="1">
        <v>9</v>
      </c>
      <c r="O421" s="1">
        <v>6.8</v>
      </c>
      <c r="P421" s="1">
        <v>1.2</v>
      </c>
      <c r="Q421" s="1">
        <v>1.2</v>
      </c>
      <c r="R421" s="1">
        <v>9.1999999999999993</v>
      </c>
      <c r="S421" s="1">
        <v>24.3</v>
      </c>
      <c r="T421" s="1"/>
      <c r="U421" s="1">
        <v>2.2000000000000002</v>
      </c>
      <c r="V421" s="1">
        <v>0.8</v>
      </c>
      <c r="W421" s="1">
        <v>3</v>
      </c>
      <c r="X421" s="1">
        <v>0.10199999999999999</v>
      </c>
      <c r="Y421" s="1"/>
      <c r="Z421" s="1">
        <v>1.8</v>
      </c>
      <c r="AA421" s="1">
        <v>-1.1000000000000001</v>
      </c>
      <c r="AB421" s="1">
        <v>0.7</v>
      </c>
      <c r="AC421" s="1">
        <v>0.9</v>
      </c>
      <c r="AD421">
        <f>Advanced_Table[[#This Row],[VORP]]*82/Advanced_Table[[#This Row],[G]]</f>
        <v>1.7162790697674417</v>
      </c>
    </row>
    <row r="422" spans="1:30" x14ac:dyDescent="0.25">
      <c r="A422" s="1">
        <v>344</v>
      </c>
      <c r="B422" s="1" t="s">
        <v>625</v>
      </c>
      <c r="C422" s="1" t="s">
        <v>23</v>
      </c>
      <c r="D422" s="1">
        <v>30</v>
      </c>
      <c r="E422" s="1" t="s">
        <v>350</v>
      </c>
      <c r="F422" s="1">
        <v>12</v>
      </c>
      <c r="G422" s="1">
        <v>340</v>
      </c>
      <c r="H422" s="1">
        <v>7.7</v>
      </c>
      <c r="I422" s="1">
        <v>0.48</v>
      </c>
      <c r="J422" s="1">
        <v>0.52600000000000002</v>
      </c>
      <c r="K422" s="1">
        <v>9.6000000000000002E-2</v>
      </c>
      <c r="L422" s="1">
        <v>2.2000000000000002</v>
      </c>
      <c r="M422" s="1">
        <v>12.2</v>
      </c>
      <c r="N422" s="1">
        <v>7.3</v>
      </c>
      <c r="O422" s="1">
        <v>7.2</v>
      </c>
      <c r="P422" s="1">
        <v>1.1000000000000001</v>
      </c>
      <c r="Q422" s="1">
        <v>2.6</v>
      </c>
      <c r="R422" s="1">
        <v>11.2</v>
      </c>
      <c r="S422" s="1">
        <v>16.399999999999999</v>
      </c>
      <c r="T422" s="1"/>
      <c r="U422" s="1">
        <v>-0.2</v>
      </c>
      <c r="V422" s="1">
        <v>0.4</v>
      </c>
      <c r="W422" s="1">
        <v>0.2</v>
      </c>
      <c r="X422" s="1">
        <v>3.3000000000000002E-2</v>
      </c>
      <c r="Y422" s="1"/>
      <c r="Z422" s="1">
        <v>-3.1</v>
      </c>
      <c r="AA422" s="1">
        <v>0.4</v>
      </c>
      <c r="AB422" s="1">
        <v>-2.7</v>
      </c>
      <c r="AC422" s="1">
        <v>-0.1</v>
      </c>
      <c r="AD422">
        <f>Advanced_Table[[#This Row],[VORP]]*82/Advanced_Table[[#This Row],[G]]</f>
        <v>-0.68333333333333346</v>
      </c>
    </row>
    <row r="423" spans="1:30" x14ac:dyDescent="0.25">
      <c r="A423" s="1">
        <v>345</v>
      </c>
      <c r="B423" s="1" t="s">
        <v>626</v>
      </c>
      <c r="C423" s="1" t="s">
        <v>23</v>
      </c>
      <c r="D423" s="1">
        <v>30</v>
      </c>
      <c r="E423" s="1" t="s">
        <v>957</v>
      </c>
      <c r="F423" s="1">
        <v>52</v>
      </c>
      <c r="G423" s="1">
        <v>1106</v>
      </c>
      <c r="H423" s="1">
        <v>12.4</v>
      </c>
      <c r="I423" s="1">
        <v>0.56799999999999995</v>
      </c>
      <c r="J423" s="1">
        <v>0.49399999999999999</v>
      </c>
      <c r="K423" s="1">
        <v>0.19500000000000001</v>
      </c>
      <c r="L423" s="1">
        <v>3.4</v>
      </c>
      <c r="M423" s="1">
        <v>17</v>
      </c>
      <c r="N423" s="1">
        <v>10.199999999999999</v>
      </c>
      <c r="O423" s="1">
        <v>10.4</v>
      </c>
      <c r="P423" s="1">
        <v>1.2</v>
      </c>
      <c r="Q423" s="1">
        <v>1.1000000000000001</v>
      </c>
      <c r="R423" s="1">
        <v>14</v>
      </c>
      <c r="S423" s="1">
        <v>21.1</v>
      </c>
      <c r="T423" s="1"/>
      <c r="U423" s="1">
        <v>0.4</v>
      </c>
      <c r="V423" s="1">
        <v>0.9</v>
      </c>
      <c r="W423" s="1">
        <v>1.3</v>
      </c>
      <c r="X423" s="1">
        <v>5.3999999999999999E-2</v>
      </c>
      <c r="Y423" s="1"/>
      <c r="Z423" s="1">
        <v>-1.2</v>
      </c>
      <c r="AA423" s="1">
        <v>-1</v>
      </c>
      <c r="AB423" s="1">
        <v>-2.1</v>
      </c>
      <c r="AC423" s="1">
        <v>0</v>
      </c>
      <c r="AD423">
        <f>Advanced_Table[[#This Row],[VORP]]*82/Advanced_Table[[#This Row],[G]]</f>
        <v>0</v>
      </c>
    </row>
    <row r="424" spans="1:30" x14ac:dyDescent="0.25">
      <c r="A424" s="1">
        <v>345</v>
      </c>
      <c r="B424" s="1" t="s">
        <v>626</v>
      </c>
      <c r="C424" s="1" t="s">
        <v>23</v>
      </c>
      <c r="D424" s="1">
        <v>30</v>
      </c>
      <c r="E424" s="1" t="s">
        <v>363</v>
      </c>
      <c r="F424" s="1">
        <v>44</v>
      </c>
      <c r="G424" s="1">
        <v>988</v>
      </c>
      <c r="H424" s="1">
        <v>12.7</v>
      </c>
      <c r="I424" s="1">
        <v>0.57299999999999995</v>
      </c>
      <c r="J424" s="1">
        <v>0.48599999999999999</v>
      </c>
      <c r="K424" s="1">
        <v>0.20300000000000001</v>
      </c>
      <c r="L424" s="1">
        <v>2.7</v>
      </c>
      <c r="M424" s="1">
        <v>17.3</v>
      </c>
      <c r="N424" s="1">
        <v>9.9</v>
      </c>
      <c r="O424" s="1">
        <v>11</v>
      </c>
      <c r="P424" s="1">
        <v>1.3</v>
      </c>
      <c r="Q424" s="1">
        <v>0.9</v>
      </c>
      <c r="R424" s="1">
        <v>14.2</v>
      </c>
      <c r="S424" s="1">
        <v>21.8</v>
      </c>
      <c r="T424" s="1"/>
      <c r="U424" s="1">
        <v>0.3</v>
      </c>
      <c r="V424" s="1">
        <v>0.7</v>
      </c>
      <c r="W424" s="1">
        <v>1</v>
      </c>
      <c r="X424" s="1">
        <v>5.0999999999999997E-2</v>
      </c>
      <c r="Y424" s="1"/>
      <c r="Z424" s="1">
        <v>-1</v>
      </c>
      <c r="AA424" s="1">
        <v>-1.1000000000000001</v>
      </c>
      <c r="AB424" s="1">
        <v>-2.1</v>
      </c>
      <c r="AC424" s="1">
        <v>0</v>
      </c>
      <c r="AD424">
        <f>Advanced_Table[[#This Row],[VORP]]*82/Advanced_Table[[#This Row],[G]]</f>
        <v>0</v>
      </c>
    </row>
    <row r="425" spans="1:30" x14ac:dyDescent="0.25">
      <c r="A425" s="1">
        <v>345</v>
      </c>
      <c r="B425" s="1" t="s">
        <v>626</v>
      </c>
      <c r="C425" s="1" t="s">
        <v>23</v>
      </c>
      <c r="D425" s="1">
        <v>30</v>
      </c>
      <c r="E425" s="1" t="s">
        <v>309</v>
      </c>
      <c r="F425" s="1">
        <v>8</v>
      </c>
      <c r="G425" s="1">
        <v>118</v>
      </c>
      <c r="H425" s="1">
        <v>9.8000000000000007</v>
      </c>
      <c r="I425" s="1">
        <v>0.503</v>
      </c>
      <c r="J425" s="1">
        <v>0.58299999999999996</v>
      </c>
      <c r="K425" s="1">
        <v>0.111</v>
      </c>
      <c r="L425" s="1">
        <v>9.5</v>
      </c>
      <c r="M425" s="1">
        <v>14.4</v>
      </c>
      <c r="N425" s="1">
        <v>12</v>
      </c>
      <c r="O425" s="1">
        <v>5.5</v>
      </c>
      <c r="P425" s="1">
        <v>0.8</v>
      </c>
      <c r="Q425" s="1">
        <v>3</v>
      </c>
      <c r="R425" s="1">
        <v>11.7</v>
      </c>
      <c r="S425" s="1">
        <v>15.3</v>
      </c>
      <c r="T425" s="1"/>
      <c r="U425" s="1">
        <v>0.1</v>
      </c>
      <c r="V425" s="1">
        <v>0.2</v>
      </c>
      <c r="W425" s="1">
        <v>0.2</v>
      </c>
      <c r="X425" s="1">
        <v>8.5999999999999993E-2</v>
      </c>
      <c r="Y425" s="1"/>
      <c r="Z425" s="1">
        <v>-2.6</v>
      </c>
      <c r="AA425" s="1">
        <v>-0.1</v>
      </c>
      <c r="AB425" s="1">
        <v>-2.8</v>
      </c>
      <c r="AC425" s="1">
        <v>0</v>
      </c>
      <c r="AD425">
        <f>Advanced_Table[[#This Row],[VORP]]*82/Advanced_Table[[#This Row],[G]]</f>
        <v>0</v>
      </c>
    </row>
    <row r="426" spans="1:30" x14ac:dyDescent="0.25">
      <c r="A426" s="1">
        <v>346</v>
      </c>
      <c r="B426" s="1" t="s">
        <v>627</v>
      </c>
      <c r="C426" s="1" t="s">
        <v>316</v>
      </c>
      <c r="D426" s="1">
        <v>24</v>
      </c>
      <c r="E426" s="1" t="s">
        <v>334</v>
      </c>
      <c r="F426" s="1">
        <v>64</v>
      </c>
      <c r="G426" s="1">
        <v>1385</v>
      </c>
      <c r="H426" s="1">
        <v>15.1</v>
      </c>
      <c r="I426" s="1">
        <v>0.54</v>
      </c>
      <c r="J426" s="1">
        <v>0.29499999999999998</v>
      </c>
      <c r="K426" s="1">
        <v>0.13</v>
      </c>
      <c r="L426" s="1">
        <v>1.6</v>
      </c>
      <c r="M426" s="1">
        <v>7.4</v>
      </c>
      <c r="N426" s="1">
        <v>4.5</v>
      </c>
      <c r="O426" s="1">
        <v>23.5</v>
      </c>
      <c r="P426" s="1">
        <v>1.9</v>
      </c>
      <c r="Q426" s="1">
        <v>1.1000000000000001</v>
      </c>
      <c r="R426" s="1">
        <v>8.1999999999999993</v>
      </c>
      <c r="S426" s="1">
        <v>17.2</v>
      </c>
      <c r="T426" s="1"/>
      <c r="U426" s="1">
        <v>2.2999999999999998</v>
      </c>
      <c r="V426" s="1">
        <v>1.2</v>
      </c>
      <c r="W426" s="1">
        <v>3.5</v>
      </c>
      <c r="X426" s="1">
        <v>0.12</v>
      </c>
      <c r="Y426" s="1"/>
      <c r="Z426" s="1">
        <v>0.3</v>
      </c>
      <c r="AA426" s="1">
        <v>-0.1</v>
      </c>
      <c r="AB426" s="1">
        <v>0.3</v>
      </c>
      <c r="AC426" s="1">
        <v>0.8</v>
      </c>
      <c r="AD426">
        <f>Advanced_Table[[#This Row],[VORP]]*82/Advanced_Table[[#This Row],[G]]</f>
        <v>1.0250000000000001</v>
      </c>
    </row>
    <row r="427" spans="1:30" x14ac:dyDescent="0.25">
      <c r="A427" s="1">
        <v>347</v>
      </c>
      <c r="B427" s="1" t="s">
        <v>628</v>
      </c>
      <c r="C427" s="1" t="s">
        <v>23</v>
      </c>
      <c r="D427" s="1">
        <v>24</v>
      </c>
      <c r="E427" s="1" t="s">
        <v>350</v>
      </c>
      <c r="F427" s="1">
        <v>13</v>
      </c>
      <c r="G427" s="1">
        <v>41</v>
      </c>
      <c r="H427" s="1">
        <v>28.4</v>
      </c>
      <c r="I427" s="1">
        <v>0.77400000000000002</v>
      </c>
      <c r="J427" s="1">
        <v>6.7000000000000004E-2</v>
      </c>
      <c r="K427" s="1">
        <v>0.46700000000000003</v>
      </c>
      <c r="L427" s="1">
        <v>7.7</v>
      </c>
      <c r="M427" s="1">
        <v>17.2</v>
      </c>
      <c r="N427" s="1">
        <v>12.6</v>
      </c>
      <c r="O427" s="1">
        <v>32.799999999999997</v>
      </c>
      <c r="P427" s="1">
        <v>3.4</v>
      </c>
      <c r="Q427" s="1">
        <v>0</v>
      </c>
      <c r="R427" s="1">
        <v>21.7</v>
      </c>
      <c r="S427" s="1">
        <v>23.4</v>
      </c>
      <c r="T427" s="1"/>
      <c r="U427" s="1">
        <v>0.2</v>
      </c>
      <c r="V427" s="1">
        <v>0.1</v>
      </c>
      <c r="W427" s="1">
        <v>0.3</v>
      </c>
      <c r="X427" s="1">
        <v>0.29899999999999999</v>
      </c>
      <c r="Y427" s="1"/>
      <c r="Z427" s="1">
        <v>4.7</v>
      </c>
      <c r="AA427" s="1">
        <v>3.2</v>
      </c>
      <c r="AB427" s="1">
        <v>7.8</v>
      </c>
      <c r="AC427" s="1">
        <v>0.1</v>
      </c>
      <c r="AD427">
        <f>Advanced_Table[[#This Row],[VORP]]*82/Advanced_Table[[#This Row],[G]]</f>
        <v>0.63076923076923086</v>
      </c>
    </row>
    <row r="428" spans="1:30" x14ac:dyDescent="0.25">
      <c r="A428" s="1">
        <v>348</v>
      </c>
      <c r="B428" s="1" t="s">
        <v>629</v>
      </c>
      <c r="C428" s="1" t="s">
        <v>316</v>
      </c>
      <c r="D428" s="1">
        <v>23</v>
      </c>
      <c r="E428" s="1" t="s">
        <v>359</v>
      </c>
      <c r="F428" s="1">
        <v>48</v>
      </c>
      <c r="G428" s="1">
        <v>752</v>
      </c>
      <c r="H428" s="1">
        <v>13.7</v>
      </c>
      <c r="I428" s="1">
        <v>0.55000000000000004</v>
      </c>
      <c r="J428" s="1">
        <v>0.26300000000000001</v>
      </c>
      <c r="K428" s="1">
        <v>0.23899999999999999</v>
      </c>
      <c r="L428" s="1">
        <v>2.6</v>
      </c>
      <c r="M428" s="1">
        <v>13.7</v>
      </c>
      <c r="N428" s="1">
        <v>8.4</v>
      </c>
      <c r="O428" s="1">
        <v>21.8</v>
      </c>
      <c r="P428" s="1">
        <v>1.2</v>
      </c>
      <c r="Q428" s="1">
        <v>1.1000000000000001</v>
      </c>
      <c r="R428" s="1">
        <v>16.899999999999999</v>
      </c>
      <c r="S428" s="1">
        <v>22.4</v>
      </c>
      <c r="T428" s="1"/>
      <c r="U428" s="1">
        <v>0.3</v>
      </c>
      <c r="V428" s="1">
        <v>0.8</v>
      </c>
      <c r="W428" s="1">
        <v>1.1000000000000001</v>
      </c>
      <c r="X428" s="1">
        <v>7.0999999999999994E-2</v>
      </c>
      <c r="Y428" s="1"/>
      <c r="Z428" s="1">
        <v>-1.2</v>
      </c>
      <c r="AA428" s="1">
        <v>0</v>
      </c>
      <c r="AB428" s="1">
        <v>-1.2</v>
      </c>
      <c r="AC428" s="1">
        <v>0.2</v>
      </c>
      <c r="AD428">
        <f>Advanced_Table[[#This Row],[VORP]]*82/Advanced_Table[[#This Row],[G]]</f>
        <v>0.34166666666666673</v>
      </c>
    </row>
    <row r="429" spans="1:30" x14ac:dyDescent="0.25">
      <c r="A429" s="1">
        <v>349</v>
      </c>
      <c r="B429" s="1" t="s">
        <v>1735</v>
      </c>
      <c r="C429" s="1" t="s">
        <v>294</v>
      </c>
      <c r="D429" s="1">
        <v>25</v>
      </c>
      <c r="E429" s="1" t="s">
        <v>369</v>
      </c>
      <c r="F429" s="1">
        <v>7</v>
      </c>
      <c r="G429" s="1">
        <v>204</v>
      </c>
      <c r="H429" s="1">
        <v>7.9</v>
      </c>
      <c r="I429" s="1">
        <v>0.53300000000000003</v>
      </c>
      <c r="J429" s="1">
        <v>0.77600000000000002</v>
      </c>
      <c r="K429" s="1">
        <v>0.17899999999999999</v>
      </c>
      <c r="L429" s="1">
        <v>1.5</v>
      </c>
      <c r="M429" s="1">
        <v>11</v>
      </c>
      <c r="N429" s="1">
        <v>6.1</v>
      </c>
      <c r="O429" s="1">
        <v>5.8</v>
      </c>
      <c r="P429" s="1">
        <v>0.5</v>
      </c>
      <c r="Q429" s="1">
        <v>0.4</v>
      </c>
      <c r="R429" s="1">
        <v>6.5</v>
      </c>
      <c r="S429" s="1">
        <v>16.2</v>
      </c>
      <c r="T429" s="1"/>
      <c r="U429" s="1">
        <v>0.1</v>
      </c>
      <c r="V429" s="1">
        <v>0</v>
      </c>
      <c r="W429" s="1">
        <v>0.1</v>
      </c>
      <c r="X429" s="1">
        <v>1.7000000000000001E-2</v>
      </c>
      <c r="Y429" s="1"/>
      <c r="Z429" s="1">
        <v>-3.3</v>
      </c>
      <c r="AA429" s="1">
        <v>-2.8</v>
      </c>
      <c r="AB429" s="1">
        <v>-6.1</v>
      </c>
      <c r="AC429" s="1">
        <v>-0.2</v>
      </c>
      <c r="AD429">
        <f>Advanced_Table[[#This Row],[VORP]]*82/Advanced_Table[[#This Row],[G]]</f>
        <v>-2.342857142857143</v>
      </c>
    </row>
    <row r="430" spans="1:30" x14ac:dyDescent="0.25">
      <c r="A430" s="1">
        <v>350</v>
      </c>
      <c r="B430" s="1" t="s">
        <v>630</v>
      </c>
      <c r="C430" s="1" t="s">
        <v>316</v>
      </c>
      <c r="D430" s="1">
        <v>23</v>
      </c>
      <c r="E430" s="1" t="s">
        <v>292</v>
      </c>
      <c r="F430" s="1">
        <v>58</v>
      </c>
      <c r="G430" s="1">
        <v>1447</v>
      </c>
      <c r="H430" s="1">
        <v>17.100000000000001</v>
      </c>
      <c r="I430" s="1">
        <v>0.53500000000000003</v>
      </c>
      <c r="J430" s="1">
        <v>0.16800000000000001</v>
      </c>
      <c r="K430" s="1">
        <v>0.17499999999999999</v>
      </c>
      <c r="L430" s="1">
        <v>5</v>
      </c>
      <c r="M430" s="1">
        <v>20</v>
      </c>
      <c r="N430" s="1">
        <v>12.5</v>
      </c>
      <c r="O430" s="1">
        <v>23.7</v>
      </c>
      <c r="P430" s="1">
        <v>3.3</v>
      </c>
      <c r="Q430" s="1">
        <v>1</v>
      </c>
      <c r="R430" s="1">
        <v>15.7</v>
      </c>
      <c r="S430" s="1">
        <v>20.6</v>
      </c>
      <c r="T430" s="1"/>
      <c r="U430" s="1">
        <v>0.9</v>
      </c>
      <c r="V430" s="1">
        <v>1.7</v>
      </c>
      <c r="W430" s="1">
        <v>2.6</v>
      </c>
      <c r="X430" s="1">
        <v>8.6999999999999994E-2</v>
      </c>
      <c r="Y430" s="1"/>
      <c r="Z430" s="1">
        <v>-0.5</v>
      </c>
      <c r="AA430" s="1">
        <v>1.5</v>
      </c>
      <c r="AB430" s="1">
        <v>1</v>
      </c>
      <c r="AC430" s="1">
        <v>1.1000000000000001</v>
      </c>
      <c r="AD430">
        <f>Advanced_Table[[#This Row],[VORP]]*82/Advanced_Table[[#This Row],[G]]</f>
        <v>1.5551724137931036</v>
      </c>
    </row>
    <row r="431" spans="1:30" x14ac:dyDescent="0.25">
      <c r="A431" s="1">
        <v>351</v>
      </c>
      <c r="B431" s="1" t="s">
        <v>631</v>
      </c>
      <c r="C431" s="1" t="s">
        <v>316</v>
      </c>
      <c r="D431" s="1">
        <v>22</v>
      </c>
      <c r="E431" s="1" t="s">
        <v>334</v>
      </c>
      <c r="F431" s="1">
        <v>54</v>
      </c>
      <c r="G431" s="1">
        <v>1766</v>
      </c>
      <c r="H431" s="1">
        <v>17.600000000000001</v>
      </c>
      <c r="I431" s="1">
        <v>0.55900000000000005</v>
      </c>
      <c r="J431" s="1">
        <v>0.35599999999999998</v>
      </c>
      <c r="K431" s="1">
        <v>0.21199999999999999</v>
      </c>
      <c r="L431" s="1">
        <v>2.6</v>
      </c>
      <c r="M431" s="1">
        <v>10.7</v>
      </c>
      <c r="N431" s="1">
        <v>6.7</v>
      </c>
      <c r="O431" s="1">
        <v>22.7</v>
      </c>
      <c r="P431" s="1">
        <v>1.8</v>
      </c>
      <c r="Q431" s="1">
        <v>0.8</v>
      </c>
      <c r="R431" s="1">
        <v>11.8</v>
      </c>
      <c r="S431" s="1">
        <v>25.1</v>
      </c>
      <c r="T431" s="1"/>
      <c r="U431" s="1">
        <v>2.5</v>
      </c>
      <c r="V431" s="1">
        <v>1.6</v>
      </c>
      <c r="W431" s="1">
        <v>4.2</v>
      </c>
      <c r="X431" s="1">
        <v>0.113</v>
      </c>
      <c r="Y431" s="1"/>
      <c r="Z431" s="1">
        <v>1.9</v>
      </c>
      <c r="AA431" s="1">
        <v>-0.7</v>
      </c>
      <c r="AB431" s="1">
        <v>1.2</v>
      </c>
      <c r="AC431" s="1">
        <v>1.4</v>
      </c>
      <c r="AD431">
        <f>Advanced_Table[[#This Row],[VORP]]*82/Advanced_Table[[#This Row],[G]]</f>
        <v>2.1259259259259258</v>
      </c>
    </row>
    <row r="432" spans="1:30" x14ac:dyDescent="0.25">
      <c r="A432" s="1">
        <v>352</v>
      </c>
      <c r="B432" s="1" t="s">
        <v>632</v>
      </c>
      <c r="C432" s="1" t="s">
        <v>303</v>
      </c>
      <c r="D432" s="1">
        <v>20</v>
      </c>
      <c r="E432" s="1" t="s">
        <v>299</v>
      </c>
      <c r="F432" s="1">
        <v>35</v>
      </c>
      <c r="G432" s="1">
        <v>404</v>
      </c>
      <c r="H432" s="1">
        <v>8.4</v>
      </c>
      <c r="I432" s="1">
        <v>0.46700000000000003</v>
      </c>
      <c r="J432" s="1">
        <v>0.46800000000000003</v>
      </c>
      <c r="K432" s="1">
        <v>0.317</v>
      </c>
      <c r="L432" s="1">
        <v>5</v>
      </c>
      <c r="M432" s="1">
        <v>12.9</v>
      </c>
      <c r="N432" s="1">
        <v>9</v>
      </c>
      <c r="O432" s="1">
        <v>11</v>
      </c>
      <c r="P432" s="1">
        <v>1.5</v>
      </c>
      <c r="Q432" s="1">
        <v>0.2</v>
      </c>
      <c r="R432" s="1">
        <v>15.5</v>
      </c>
      <c r="S432" s="1">
        <v>19.399999999999999</v>
      </c>
      <c r="T432" s="1"/>
      <c r="U432" s="1">
        <v>-0.4</v>
      </c>
      <c r="V432" s="1">
        <v>0.4</v>
      </c>
      <c r="W432" s="1">
        <v>0</v>
      </c>
      <c r="X432" s="1">
        <v>6.0000000000000001E-3</v>
      </c>
      <c r="Y432" s="1"/>
      <c r="Z432" s="1">
        <v>-4</v>
      </c>
      <c r="AA432" s="1">
        <v>-0.7</v>
      </c>
      <c r="AB432" s="1">
        <v>-4.7</v>
      </c>
      <c r="AC432" s="1">
        <v>-0.3</v>
      </c>
      <c r="AD432">
        <f>Advanced_Table[[#This Row],[VORP]]*82/Advanced_Table[[#This Row],[G]]</f>
        <v>-0.70285714285714285</v>
      </c>
    </row>
    <row r="433" spans="1:30" x14ac:dyDescent="0.25">
      <c r="A433" s="1">
        <v>353</v>
      </c>
      <c r="B433" s="1" t="s">
        <v>633</v>
      </c>
      <c r="C433" s="1" t="s">
        <v>287</v>
      </c>
      <c r="D433" s="1">
        <v>28</v>
      </c>
      <c r="E433" s="1" t="s">
        <v>288</v>
      </c>
      <c r="F433" s="1">
        <v>41</v>
      </c>
      <c r="G433" s="1">
        <v>492</v>
      </c>
      <c r="H433" s="1">
        <v>12.2</v>
      </c>
      <c r="I433" s="1">
        <v>0.56000000000000005</v>
      </c>
      <c r="J433" s="1">
        <v>0.755</v>
      </c>
      <c r="K433" s="1">
        <v>0.13800000000000001</v>
      </c>
      <c r="L433" s="1">
        <v>3</v>
      </c>
      <c r="M433" s="1">
        <v>17.7</v>
      </c>
      <c r="N433" s="1">
        <v>10.6</v>
      </c>
      <c r="O433" s="1">
        <v>9.8000000000000007</v>
      </c>
      <c r="P433" s="1">
        <v>0.8</v>
      </c>
      <c r="Q433" s="1">
        <v>1.9</v>
      </c>
      <c r="R433" s="1">
        <v>7.7</v>
      </c>
      <c r="S433" s="1">
        <v>16.399999999999999</v>
      </c>
      <c r="T433" s="1"/>
      <c r="U433" s="1">
        <v>0.5</v>
      </c>
      <c r="V433" s="1">
        <v>0.5</v>
      </c>
      <c r="W433" s="1">
        <v>1</v>
      </c>
      <c r="X433" s="1">
        <v>0.10199999999999999</v>
      </c>
      <c r="Y433" s="1"/>
      <c r="Z433" s="1">
        <v>-0.1</v>
      </c>
      <c r="AA433" s="1">
        <v>-0.1</v>
      </c>
      <c r="AB433" s="1">
        <v>-0.2</v>
      </c>
      <c r="AC433" s="1">
        <v>0.2</v>
      </c>
      <c r="AD433">
        <f>Advanced_Table[[#This Row],[VORP]]*82/Advanced_Table[[#This Row],[G]]</f>
        <v>0.40000000000000008</v>
      </c>
    </row>
    <row r="434" spans="1:30" x14ac:dyDescent="0.25">
      <c r="A434" s="1">
        <v>354</v>
      </c>
      <c r="B434" s="1" t="s">
        <v>634</v>
      </c>
      <c r="C434" s="1" t="s">
        <v>303</v>
      </c>
      <c r="D434" s="1">
        <v>22</v>
      </c>
      <c r="E434" s="1" t="s">
        <v>363</v>
      </c>
      <c r="F434" s="1">
        <v>55</v>
      </c>
      <c r="G434" s="1">
        <v>1241</v>
      </c>
      <c r="H434" s="1">
        <v>11</v>
      </c>
      <c r="I434" s="1">
        <v>0.57999999999999996</v>
      </c>
      <c r="J434" s="1">
        <v>0.70399999999999996</v>
      </c>
      <c r="K434" s="1">
        <v>0.16600000000000001</v>
      </c>
      <c r="L434" s="1">
        <v>1.5</v>
      </c>
      <c r="M434" s="1">
        <v>7.9</v>
      </c>
      <c r="N434" s="1">
        <v>4.7</v>
      </c>
      <c r="O434" s="1">
        <v>12</v>
      </c>
      <c r="P434" s="1">
        <v>1.5</v>
      </c>
      <c r="Q434" s="1">
        <v>0.3</v>
      </c>
      <c r="R434" s="1">
        <v>12.5</v>
      </c>
      <c r="S434" s="1">
        <v>16.899999999999999</v>
      </c>
      <c r="T434" s="1"/>
      <c r="U434" s="1">
        <v>1</v>
      </c>
      <c r="V434" s="1">
        <v>0.6</v>
      </c>
      <c r="W434" s="1">
        <v>1.5</v>
      </c>
      <c r="X434" s="1">
        <v>0.06</v>
      </c>
      <c r="Y434" s="1"/>
      <c r="Z434" s="1">
        <v>-0.7</v>
      </c>
      <c r="AA434" s="1">
        <v>-1.2</v>
      </c>
      <c r="AB434" s="1">
        <v>-1.9</v>
      </c>
      <c r="AC434" s="1">
        <v>0</v>
      </c>
      <c r="AD434">
        <f>Advanced_Table[[#This Row],[VORP]]*82/Advanced_Table[[#This Row],[G]]</f>
        <v>0</v>
      </c>
    </row>
    <row r="435" spans="1:30" x14ac:dyDescent="0.25">
      <c r="A435" s="1">
        <v>355</v>
      </c>
      <c r="B435" s="1" t="s">
        <v>635</v>
      </c>
      <c r="C435" s="1" t="s">
        <v>303</v>
      </c>
      <c r="D435" s="1">
        <v>26</v>
      </c>
      <c r="E435" s="1" t="s">
        <v>288</v>
      </c>
      <c r="F435" s="1">
        <v>48</v>
      </c>
      <c r="G435" s="1">
        <v>756</v>
      </c>
      <c r="H435" s="1">
        <v>11.2</v>
      </c>
      <c r="I435" s="1">
        <v>0.57999999999999996</v>
      </c>
      <c r="J435" s="1">
        <v>0.47699999999999998</v>
      </c>
      <c r="K435" s="1">
        <v>0.28199999999999997</v>
      </c>
      <c r="L435" s="1">
        <v>2.1</v>
      </c>
      <c r="M435" s="1">
        <v>10.8</v>
      </c>
      <c r="N435" s="1">
        <v>6.6</v>
      </c>
      <c r="O435" s="1">
        <v>6.6</v>
      </c>
      <c r="P435" s="1">
        <v>1.3</v>
      </c>
      <c r="Q435" s="1">
        <v>2.2999999999999998</v>
      </c>
      <c r="R435" s="1">
        <v>12.7</v>
      </c>
      <c r="S435" s="1">
        <v>16.5</v>
      </c>
      <c r="T435" s="1"/>
      <c r="U435" s="1">
        <v>0.4</v>
      </c>
      <c r="V435" s="1">
        <v>0.7</v>
      </c>
      <c r="W435" s="1">
        <v>1.1000000000000001</v>
      </c>
      <c r="X435" s="1">
        <v>7.1999999999999995E-2</v>
      </c>
      <c r="Y435" s="1"/>
      <c r="Z435" s="1">
        <v>-1.2</v>
      </c>
      <c r="AA435" s="1">
        <v>0.3</v>
      </c>
      <c r="AB435" s="1">
        <v>-0.9</v>
      </c>
      <c r="AC435" s="1">
        <v>0.2</v>
      </c>
      <c r="AD435">
        <f>Advanced_Table[[#This Row],[VORP]]*82/Advanced_Table[[#This Row],[G]]</f>
        <v>0.34166666666666673</v>
      </c>
    </row>
    <row r="436" spans="1:30" x14ac:dyDescent="0.25">
      <c r="A436" s="1">
        <v>356</v>
      </c>
      <c r="B436" s="1" t="s">
        <v>636</v>
      </c>
      <c r="C436" s="1" t="s">
        <v>287</v>
      </c>
      <c r="D436" s="1">
        <v>27</v>
      </c>
      <c r="E436" s="1" t="s">
        <v>411</v>
      </c>
      <c r="F436" s="1">
        <v>56</v>
      </c>
      <c r="G436" s="1">
        <v>1472</v>
      </c>
      <c r="H436" s="1">
        <v>17.3</v>
      </c>
      <c r="I436" s="1">
        <v>0.60799999999999998</v>
      </c>
      <c r="J436" s="1">
        <v>0.36899999999999999</v>
      </c>
      <c r="K436" s="1">
        <v>0.17199999999999999</v>
      </c>
      <c r="L436" s="1">
        <v>7.9</v>
      </c>
      <c r="M436" s="1">
        <v>23.1</v>
      </c>
      <c r="N436" s="1">
        <v>15.4</v>
      </c>
      <c r="O436" s="1">
        <v>12.3</v>
      </c>
      <c r="P436" s="1">
        <v>1.9</v>
      </c>
      <c r="Q436" s="1">
        <v>1.3</v>
      </c>
      <c r="R436" s="1">
        <v>11.5</v>
      </c>
      <c r="S436" s="1">
        <v>15.2</v>
      </c>
      <c r="T436" s="1"/>
      <c r="U436" s="1">
        <v>2.8</v>
      </c>
      <c r="V436" s="1">
        <v>1.1000000000000001</v>
      </c>
      <c r="W436" s="1">
        <v>3.9</v>
      </c>
      <c r="X436" s="1">
        <v>0.128</v>
      </c>
      <c r="Y436" s="1"/>
      <c r="Z436" s="1">
        <v>1.4</v>
      </c>
      <c r="AA436" s="1">
        <v>0.3</v>
      </c>
      <c r="AB436" s="1">
        <v>1.7</v>
      </c>
      <c r="AC436" s="1">
        <v>1.4</v>
      </c>
      <c r="AD436">
        <f>Advanced_Table[[#This Row],[VORP]]*82/Advanced_Table[[#This Row],[G]]</f>
        <v>2.0499999999999998</v>
      </c>
    </row>
    <row r="437" spans="1:30" x14ac:dyDescent="0.25">
      <c r="A437" s="1">
        <v>357</v>
      </c>
      <c r="B437" s="1" t="s">
        <v>637</v>
      </c>
      <c r="C437" s="1" t="s">
        <v>316</v>
      </c>
      <c r="D437" s="1">
        <v>28</v>
      </c>
      <c r="E437" s="1" t="s">
        <v>957</v>
      </c>
      <c r="F437" s="1">
        <v>51</v>
      </c>
      <c r="G437" s="1">
        <v>1234</v>
      </c>
      <c r="H437" s="1">
        <v>14.5</v>
      </c>
      <c r="I437" s="1">
        <v>0.55500000000000005</v>
      </c>
      <c r="J437" s="1">
        <v>0.53800000000000003</v>
      </c>
      <c r="K437" s="1">
        <v>0.34100000000000003</v>
      </c>
      <c r="L437" s="1">
        <v>2.1</v>
      </c>
      <c r="M437" s="1">
        <v>10.8</v>
      </c>
      <c r="N437" s="1">
        <v>6.3</v>
      </c>
      <c r="O437" s="1">
        <v>29.1</v>
      </c>
      <c r="P437" s="1">
        <v>2.5</v>
      </c>
      <c r="Q437" s="1">
        <v>0.6</v>
      </c>
      <c r="R437" s="1">
        <v>18.899999999999999</v>
      </c>
      <c r="S437" s="1">
        <v>19.600000000000001</v>
      </c>
      <c r="T437" s="1"/>
      <c r="U437" s="1">
        <v>1.1000000000000001</v>
      </c>
      <c r="V437" s="1">
        <v>0.8</v>
      </c>
      <c r="W437" s="1">
        <v>1.9</v>
      </c>
      <c r="X437" s="1">
        <v>7.4999999999999997E-2</v>
      </c>
      <c r="Y437" s="1"/>
      <c r="Z437" s="1">
        <v>-0.3</v>
      </c>
      <c r="AA437" s="1">
        <v>-0.3</v>
      </c>
      <c r="AB437" s="1">
        <v>-0.5</v>
      </c>
      <c r="AC437" s="1">
        <v>0.4</v>
      </c>
      <c r="AD437">
        <f>Advanced_Table[[#This Row],[VORP]]*82/Advanced_Table[[#This Row],[G]]</f>
        <v>0.64313725490196083</v>
      </c>
    </row>
    <row r="438" spans="1:30" x14ac:dyDescent="0.25">
      <c r="A438" s="1">
        <v>357</v>
      </c>
      <c r="B438" s="1" t="s">
        <v>637</v>
      </c>
      <c r="C438" s="1" t="s">
        <v>316</v>
      </c>
      <c r="D438" s="1">
        <v>28</v>
      </c>
      <c r="E438" s="1" t="s">
        <v>336</v>
      </c>
      <c r="F438" s="1">
        <v>36</v>
      </c>
      <c r="G438" s="1">
        <v>856</v>
      </c>
      <c r="H438" s="1">
        <v>13.9</v>
      </c>
      <c r="I438" s="1">
        <v>0.53900000000000003</v>
      </c>
      <c r="J438" s="1">
        <v>0.56200000000000006</v>
      </c>
      <c r="K438" s="1">
        <v>0.311</v>
      </c>
      <c r="L438" s="1">
        <v>2</v>
      </c>
      <c r="M438" s="1">
        <v>11.9</v>
      </c>
      <c r="N438" s="1">
        <v>6.8</v>
      </c>
      <c r="O438" s="1">
        <v>31.3</v>
      </c>
      <c r="P438" s="1">
        <v>2.2000000000000002</v>
      </c>
      <c r="Q438" s="1">
        <v>0.7</v>
      </c>
      <c r="R438" s="1">
        <v>19.100000000000001</v>
      </c>
      <c r="S438" s="1">
        <v>19.100000000000001</v>
      </c>
      <c r="T438" s="1"/>
      <c r="U438" s="1">
        <v>0.6</v>
      </c>
      <c r="V438" s="1">
        <v>0.6</v>
      </c>
      <c r="W438" s="1">
        <v>1.3</v>
      </c>
      <c r="X438" s="1">
        <v>7.0999999999999994E-2</v>
      </c>
      <c r="Y438" s="1"/>
      <c r="Z438" s="1">
        <v>-0.5</v>
      </c>
      <c r="AA438" s="1">
        <v>-0.3</v>
      </c>
      <c r="AB438" s="1">
        <v>-0.8</v>
      </c>
      <c r="AC438" s="1">
        <v>0.3</v>
      </c>
      <c r="AD438">
        <f>Advanced_Table[[#This Row],[VORP]]*82/Advanced_Table[[#This Row],[G]]</f>
        <v>0.68333333333333324</v>
      </c>
    </row>
    <row r="439" spans="1:30" x14ac:dyDescent="0.25">
      <c r="A439" s="1">
        <v>357</v>
      </c>
      <c r="B439" s="1" t="s">
        <v>637</v>
      </c>
      <c r="C439" s="1" t="s">
        <v>316</v>
      </c>
      <c r="D439" s="1">
        <v>28</v>
      </c>
      <c r="E439" s="1" t="s">
        <v>342</v>
      </c>
      <c r="F439" s="1">
        <v>15</v>
      </c>
      <c r="G439" s="1">
        <v>378</v>
      </c>
      <c r="H439" s="1">
        <v>15.7</v>
      </c>
      <c r="I439" s="1">
        <v>0.58699999999999997</v>
      </c>
      <c r="J439" s="1">
        <v>0.48499999999999999</v>
      </c>
      <c r="K439" s="1">
        <v>0.40799999999999997</v>
      </c>
      <c r="L439" s="1">
        <v>2.2000000000000002</v>
      </c>
      <c r="M439" s="1">
        <v>8.5</v>
      </c>
      <c r="N439" s="1">
        <v>5.2</v>
      </c>
      <c r="O439" s="1">
        <v>24.2</v>
      </c>
      <c r="P439" s="1">
        <v>3.2</v>
      </c>
      <c r="Q439" s="1">
        <v>0.5</v>
      </c>
      <c r="R439" s="1">
        <v>18.600000000000001</v>
      </c>
      <c r="S439" s="1">
        <v>20.7</v>
      </c>
      <c r="T439" s="1"/>
      <c r="U439" s="1">
        <v>0.4</v>
      </c>
      <c r="V439" s="1">
        <v>0.2</v>
      </c>
      <c r="W439" s="1">
        <v>0.6</v>
      </c>
      <c r="X439" s="1">
        <v>8.2000000000000003E-2</v>
      </c>
      <c r="Y439" s="1"/>
      <c r="Z439" s="1">
        <v>0.3</v>
      </c>
      <c r="AA439" s="1">
        <v>-0.3</v>
      </c>
      <c r="AB439" s="1">
        <v>0</v>
      </c>
      <c r="AC439" s="1">
        <v>0.2</v>
      </c>
      <c r="AD439">
        <f>Advanced_Table[[#This Row],[VORP]]*82/Advanced_Table[[#This Row],[G]]</f>
        <v>1.0933333333333335</v>
      </c>
    </row>
    <row r="440" spans="1:30" x14ac:dyDescent="0.25">
      <c r="A440" s="1">
        <v>358</v>
      </c>
      <c r="B440" s="1" t="s">
        <v>638</v>
      </c>
      <c r="C440" s="1" t="s">
        <v>316</v>
      </c>
      <c r="D440" s="1">
        <v>27</v>
      </c>
      <c r="E440" s="1" t="s">
        <v>361</v>
      </c>
      <c r="F440" s="1">
        <v>49</v>
      </c>
      <c r="G440" s="1">
        <v>565</v>
      </c>
      <c r="H440" s="1">
        <v>11.6</v>
      </c>
      <c r="I440" s="1">
        <v>0.56200000000000006</v>
      </c>
      <c r="J440" s="1">
        <v>0.40600000000000003</v>
      </c>
      <c r="K440" s="1">
        <v>0.17699999999999999</v>
      </c>
      <c r="L440" s="1">
        <v>2.1</v>
      </c>
      <c r="M440" s="1">
        <v>8</v>
      </c>
      <c r="N440" s="1">
        <v>5.0999999999999996</v>
      </c>
      <c r="O440" s="1">
        <v>19.3</v>
      </c>
      <c r="P440" s="1">
        <v>1.9</v>
      </c>
      <c r="Q440" s="1">
        <v>0.8</v>
      </c>
      <c r="R440" s="1">
        <v>18.2</v>
      </c>
      <c r="S440" s="1">
        <v>17.600000000000001</v>
      </c>
      <c r="T440" s="1"/>
      <c r="U440" s="1">
        <v>0.2</v>
      </c>
      <c r="V440" s="1">
        <v>0.6</v>
      </c>
      <c r="W440" s="1">
        <v>0.8</v>
      </c>
      <c r="X440" s="1">
        <v>7.0999999999999994E-2</v>
      </c>
      <c r="Y440" s="1"/>
      <c r="Z440" s="1">
        <v>-1.9</v>
      </c>
      <c r="AA440" s="1">
        <v>0.1</v>
      </c>
      <c r="AB440" s="1">
        <v>-1.8</v>
      </c>
      <c r="AC440" s="1">
        <v>0</v>
      </c>
      <c r="AD440">
        <f>Advanced_Table[[#This Row],[VORP]]*82/Advanced_Table[[#This Row],[G]]</f>
        <v>0</v>
      </c>
    </row>
    <row r="441" spans="1:30" x14ac:dyDescent="0.25">
      <c r="A441" s="1">
        <v>359</v>
      </c>
      <c r="B441" s="1" t="s">
        <v>1573</v>
      </c>
      <c r="C441" s="1" t="s">
        <v>294</v>
      </c>
      <c r="D441" s="1">
        <v>22</v>
      </c>
      <c r="E441" s="1" t="s">
        <v>411</v>
      </c>
      <c r="F441" s="1">
        <v>1</v>
      </c>
      <c r="G441" s="1">
        <v>4</v>
      </c>
      <c r="H441" s="1">
        <v>-11.3</v>
      </c>
      <c r="I441" s="1">
        <v>0.34699999999999998</v>
      </c>
      <c r="J441" s="1">
        <v>0.5</v>
      </c>
      <c r="K441" s="1">
        <v>1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25.8</v>
      </c>
      <c r="S441" s="1">
        <v>41.5</v>
      </c>
      <c r="T441" s="1"/>
      <c r="U441" s="1">
        <v>0</v>
      </c>
      <c r="V441" s="1">
        <v>0</v>
      </c>
      <c r="W441" s="1">
        <v>0</v>
      </c>
      <c r="X441" s="1">
        <v>-0.503</v>
      </c>
      <c r="Y441" s="1"/>
      <c r="Z441" s="1">
        <v>-14.6</v>
      </c>
      <c r="AA441" s="1">
        <v>-11.5</v>
      </c>
      <c r="AB441" s="1">
        <v>-26.1</v>
      </c>
      <c r="AC441" s="1">
        <v>0</v>
      </c>
      <c r="AD441">
        <f>Advanced_Table[[#This Row],[VORP]]*82/Advanced_Table[[#This Row],[G]]</f>
        <v>0</v>
      </c>
    </row>
    <row r="442" spans="1:30" x14ac:dyDescent="0.25">
      <c r="A442" s="1">
        <v>360</v>
      </c>
      <c r="B442" s="1" t="s">
        <v>639</v>
      </c>
      <c r="C442" s="1" t="s">
        <v>23</v>
      </c>
      <c r="D442" s="1">
        <v>26</v>
      </c>
      <c r="E442" s="1" t="s">
        <v>359</v>
      </c>
      <c r="F442" s="1">
        <v>58</v>
      </c>
      <c r="G442" s="1">
        <v>772</v>
      </c>
      <c r="H442" s="1">
        <v>12.4</v>
      </c>
      <c r="I442" s="1">
        <v>0.61199999999999999</v>
      </c>
      <c r="J442" s="1">
        <v>0.69799999999999995</v>
      </c>
      <c r="K442" s="1">
        <v>8.3000000000000004E-2</v>
      </c>
      <c r="L442" s="1">
        <v>1.8</v>
      </c>
      <c r="M442" s="1">
        <v>13.2</v>
      </c>
      <c r="N442" s="1">
        <v>7.7</v>
      </c>
      <c r="O442" s="1">
        <v>6.7</v>
      </c>
      <c r="P442" s="1">
        <v>0.8</v>
      </c>
      <c r="Q442" s="1">
        <v>0.5</v>
      </c>
      <c r="R442" s="1">
        <v>8.6</v>
      </c>
      <c r="S442" s="1">
        <v>17.100000000000001</v>
      </c>
      <c r="T442" s="1"/>
      <c r="U442" s="1">
        <v>1</v>
      </c>
      <c r="V442" s="1">
        <v>0.7</v>
      </c>
      <c r="W442" s="1">
        <v>1.7</v>
      </c>
      <c r="X442" s="1">
        <v>0.105</v>
      </c>
      <c r="Y442" s="1"/>
      <c r="Z442" s="1">
        <v>0.9</v>
      </c>
      <c r="AA442" s="1">
        <v>-0.4</v>
      </c>
      <c r="AB442" s="1">
        <v>0.5</v>
      </c>
      <c r="AC442" s="1">
        <v>0.5</v>
      </c>
      <c r="AD442">
        <f>Advanced_Table[[#This Row],[VORP]]*82/Advanced_Table[[#This Row],[G]]</f>
        <v>0.7068965517241379</v>
      </c>
    </row>
    <row r="443" spans="1:30" x14ac:dyDescent="0.25">
      <c r="A443" s="1">
        <v>361</v>
      </c>
      <c r="B443" s="1" t="s">
        <v>640</v>
      </c>
      <c r="C443" s="1" t="s">
        <v>287</v>
      </c>
      <c r="D443" s="1">
        <v>25</v>
      </c>
      <c r="E443" s="1" t="s">
        <v>288</v>
      </c>
      <c r="F443" s="1">
        <v>55</v>
      </c>
      <c r="G443" s="1">
        <v>1014</v>
      </c>
      <c r="H443" s="1">
        <v>21.7</v>
      </c>
      <c r="I443" s="1">
        <v>0.71399999999999997</v>
      </c>
      <c r="J443" s="1">
        <v>1.2E-2</v>
      </c>
      <c r="K443" s="1">
        <v>0.38600000000000001</v>
      </c>
      <c r="L443" s="1">
        <v>9.3000000000000007</v>
      </c>
      <c r="M443" s="1">
        <v>20</v>
      </c>
      <c r="N443" s="1">
        <v>14.8</v>
      </c>
      <c r="O443" s="1">
        <v>7.9</v>
      </c>
      <c r="P443" s="1">
        <v>2.7</v>
      </c>
      <c r="Q443" s="1">
        <v>6.9</v>
      </c>
      <c r="R443" s="1">
        <v>15.4</v>
      </c>
      <c r="S443" s="1">
        <v>15.3</v>
      </c>
      <c r="T443" s="1"/>
      <c r="U443" s="1">
        <v>2.7</v>
      </c>
      <c r="V443" s="1">
        <v>2.1</v>
      </c>
      <c r="W443" s="1">
        <v>4.8</v>
      </c>
      <c r="X443" s="1">
        <v>0.22500000000000001</v>
      </c>
      <c r="Y443" s="1"/>
      <c r="Z443" s="1">
        <v>0.6</v>
      </c>
      <c r="AA443" s="1">
        <v>3.4</v>
      </c>
      <c r="AB443" s="1">
        <v>4</v>
      </c>
      <c r="AC443" s="1">
        <v>1.5</v>
      </c>
      <c r="AD443">
        <f>Advanced_Table[[#This Row],[VORP]]*82/Advanced_Table[[#This Row],[G]]</f>
        <v>2.2363636363636363</v>
      </c>
    </row>
    <row r="444" spans="1:30" x14ac:dyDescent="0.25">
      <c r="A444" s="1">
        <v>362</v>
      </c>
      <c r="B444" s="1" t="s">
        <v>641</v>
      </c>
      <c r="C444" s="1" t="s">
        <v>294</v>
      </c>
      <c r="D444" s="1">
        <v>22</v>
      </c>
      <c r="E444" s="1" t="s">
        <v>957</v>
      </c>
      <c r="F444" s="1">
        <v>5</v>
      </c>
      <c r="G444" s="1">
        <v>41</v>
      </c>
      <c r="H444" s="1">
        <v>2.6</v>
      </c>
      <c r="I444" s="1">
        <v>0.40200000000000002</v>
      </c>
      <c r="J444" s="1">
        <v>0.66700000000000004</v>
      </c>
      <c r="K444" s="1">
        <v>8.3000000000000004E-2</v>
      </c>
      <c r="L444" s="1">
        <v>0</v>
      </c>
      <c r="M444" s="1">
        <v>16.3</v>
      </c>
      <c r="N444" s="1">
        <v>7.9</v>
      </c>
      <c r="O444" s="1">
        <v>10.199999999999999</v>
      </c>
      <c r="P444" s="1">
        <v>2.2999999999999998</v>
      </c>
      <c r="Q444" s="1">
        <v>0</v>
      </c>
      <c r="R444" s="1">
        <v>19.399999999999999</v>
      </c>
      <c r="S444" s="1">
        <v>16.100000000000001</v>
      </c>
      <c r="T444" s="1"/>
      <c r="U444" s="1">
        <v>-0.1</v>
      </c>
      <c r="V444" s="1">
        <v>0</v>
      </c>
      <c r="W444" s="1">
        <v>-0.1</v>
      </c>
      <c r="X444" s="1">
        <v>-8.4000000000000005E-2</v>
      </c>
      <c r="Y444" s="1"/>
      <c r="Z444" s="1">
        <v>-7.1</v>
      </c>
      <c r="AA444" s="1">
        <v>-1.2</v>
      </c>
      <c r="AB444" s="1">
        <v>-8.3000000000000007</v>
      </c>
      <c r="AC444" s="1">
        <v>-0.1</v>
      </c>
      <c r="AD444">
        <f>Advanced_Table[[#This Row],[VORP]]*82/Advanced_Table[[#This Row],[G]]</f>
        <v>-1.6400000000000001</v>
      </c>
    </row>
    <row r="445" spans="1:30" x14ac:dyDescent="0.25">
      <c r="A445" s="1">
        <v>362</v>
      </c>
      <c r="B445" s="1" t="s">
        <v>641</v>
      </c>
      <c r="C445" s="1" t="s">
        <v>294</v>
      </c>
      <c r="D445" s="1">
        <v>22</v>
      </c>
      <c r="E445" s="1" t="s">
        <v>309</v>
      </c>
      <c r="F445" s="1">
        <v>2</v>
      </c>
      <c r="G445" s="1">
        <v>5</v>
      </c>
      <c r="H445" s="1">
        <v>-5.6</v>
      </c>
      <c r="I445" s="1">
        <v>0</v>
      </c>
      <c r="J445" s="1">
        <v>0</v>
      </c>
      <c r="K445" s="1">
        <v>0</v>
      </c>
      <c r="L445" s="1">
        <v>0</v>
      </c>
      <c r="M445" s="1">
        <v>21.3</v>
      </c>
      <c r="N445" s="1">
        <v>10.9</v>
      </c>
      <c r="O445" s="1">
        <v>0</v>
      </c>
      <c r="P445" s="1">
        <v>0</v>
      </c>
      <c r="Q445" s="1">
        <v>0</v>
      </c>
      <c r="R445" s="1">
        <v>0</v>
      </c>
      <c r="S445" s="1">
        <v>8.4</v>
      </c>
      <c r="T445" s="1"/>
      <c r="U445" s="1">
        <v>0</v>
      </c>
      <c r="V445" s="1">
        <v>0</v>
      </c>
      <c r="W445" s="1">
        <v>0</v>
      </c>
      <c r="X445" s="1">
        <v>-0.14899999999999999</v>
      </c>
      <c r="Y445" s="1"/>
      <c r="Z445" s="1">
        <v>-10.199999999999999</v>
      </c>
      <c r="AA445" s="1">
        <v>-2.5</v>
      </c>
      <c r="AB445" s="1">
        <v>-12.7</v>
      </c>
      <c r="AC445" s="1">
        <v>0</v>
      </c>
      <c r="AD445">
        <f>Advanced_Table[[#This Row],[VORP]]*82/Advanced_Table[[#This Row],[G]]</f>
        <v>0</v>
      </c>
    </row>
    <row r="446" spans="1:30" x14ac:dyDescent="0.25">
      <c r="A446" s="1">
        <v>362</v>
      </c>
      <c r="B446" s="1" t="s">
        <v>641</v>
      </c>
      <c r="C446" s="1" t="s">
        <v>294</v>
      </c>
      <c r="D446" s="1">
        <v>22</v>
      </c>
      <c r="E446" s="1" t="s">
        <v>369</v>
      </c>
      <c r="F446" s="1">
        <v>3</v>
      </c>
      <c r="G446" s="1">
        <v>36</v>
      </c>
      <c r="H446" s="1">
        <v>3.7</v>
      </c>
      <c r="I446" s="1">
        <v>0.437</v>
      </c>
      <c r="J446" s="1">
        <v>0.72699999999999998</v>
      </c>
      <c r="K446" s="1">
        <v>9.0999999999999998E-2</v>
      </c>
      <c r="L446" s="1">
        <v>0</v>
      </c>
      <c r="M446" s="1">
        <v>15.6</v>
      </c>
      <c r="N446" s="1">
        <v>7.5</v>
      </c>
      <c r="O446" s="1">
        <v>11.7</v>
      </c>
      <c r="P446" s="1">
        <v>2.7</v>
      </c>
      <c r="Q446" s="1">
        <v>0</v>
      </c>
      <c r="R446" s="1">
        <v>20.8</v>
      </c>
      <c r="S446" s="1">
        <v>17.100000000000001</v>
      </c>
      <c r="T446" s="1"/>
      <c r="U446" s="1">
        <v>-0.1</v>
      </c>
      <c r="V446" s="1">
        <v>0</v>
      </c>
      <c r="W446" s="1">
        <v>-0.1</v>
      </c>
      <c r="X446" s="1">
        <v>-7.4999999999999997E-2</v>
      </c>
      <c r="Y446" s="1"/>
      <c r="Z446" s="1">
        <v>-6.7</v>
      </c>
      <c r="AA446" s="1">
        <v>-1</v>
      </c>
      <c r="AB446" s="1">
        <v>-7.7</v>
      </c>
      <c r="AC446" s="1">
        <v>-0.1</v>
      </c>
      <c r="AD446">
        <f>Advanced_Table[[#This Row],[VORP]]*82/Advanced_Table[[#This Row],[G]]</f>
        <v>-2.7333333333333338</v>
      </c>
    </row>
    <row r="447" spans="1:30" x14ac:dyDescent="0.25">
      <c r="A447" s="1">
        <v>363</v>
      </c>
      <c r="B447" s="1" t="s">
        <v>642</v>
      </c>
      <c r="C447" s="1" t="s">
        <v>294</v>
      </c>
      <c r="D447" s="1">
        <v>20</v>
      </c>
      <c r="E447" s="1" t="s">
        <v>336</v>
      </c>
      <c r="F447" s="1">
        <v>15</v>
      </c>
      <c r="G447" s="1">
        <v>151</v>
      </c>
      <c r="H447" s="1">
        <v>10.5</v>
      </c>
      <c r="I447" s="1">
        <v>0.47099999999999997</v>
      </c>
      <c r="J447" s="1">
        <v>0.49099999999999999</v>
      </c>
      <c r="K447" s="1">
        <v>0.32100000000000001</v>
      </c>
      <c r="L447" s="1">
        <v>2</v>
      </c>
      <c r="M447" s="1">
        <v>7.3</v>
      </c>
      <c r="N447" s="1">
        <v>4.5</v>
      </c>
      <c r="O447" s="1">
        <v>17.8</v>
      </c>
      <c r="P447" s="1">
        <v>0.9</v>
      </c>
      <c r="Q447" s="1">
        <v>0.6</v>
      </c>
      <c r="R447" s="1">
        <v>4.7</v>
      </c>
      <c r="S447" s="1">
        <v>17.3</v>
      </c>
      <c r="T447" s="1"/>
      <c r="U447" s="1">
        <v>0.1</v>
      </c>
      <c r="V447" s="1">
        <v>0</v>
      </c>
      <c r="W447" s="1">
        <v>0.2</v>
      </c>
      <c r="X447" s="1">
        <v>5.0999999999999997E-2</v>
      </c>
      <c r="Y447" s="1"/>
      <c r="Z447" s="1">
        <v>-2.8</v>
      </c>
      <c r="AA447" s="1">
        <v>-0.8</v>
      </c>
      <c r="AB447" s="1">
        <v>-3.5</v>
      </c>
      <c r="AC447" s="1">
        <v>-0.1</v>
      </c>
      <c r="AD447">
        <f>Advanced_Table[[#This Row],[VORP]]*82/Advanced_Table[[#This Row],[G]]</f>
        <v>-0.54666666666666675</v>
      </c>
    </row>
    <row r="448" spans="1:30" x14ac:dyDescent="0.25">
      <c r="A448" s="1">
        <v>364</v>
      </c>
      <c r="B448" s="1" t="s">
        <v>643</v>
      </c>
      <c r="C448" s="1" t="s">
        <v>316</v>
      </c>
      <c r="D448" s="1">
        <v>21</v>
      </c>
      <c r="E448" s="1" t="s">
        <v>332</v>
      </c>
      <c r="F448" s="1">
        <v>56</v>
      </c>
      <c r="G448" s="1">
        <v>1163</v>
      </c>
      <c r="H448" s="1">
        <v>9.9</v>
      </c>
      <c r="I448" s="1">
        <v>0.5</v>
      </c>
      <c r="J448" s="1">
        <v>0.41099999999999998</v>
      </c>
      <c r="K448" s="1">
        <v>0.16300000000000001</v>
      </c>
      <c r="L448" s="1">
        <v>2</v>
      </c>
      <c r="M448" s="1">
        <v>9</v>
      </c>
      <c r="N448" s="1">
        <v>5.4</v>
      </c>
      <c r="O448" s="1">
        <v>20.5</v>
      </c>
      <c r="P448" s="1">
        <v>2.2000000000000002</v>
      </c>
      <c r="Q448" s="1">
        <v>1.3</v>
      </c>
      <c r="R448" s="1">
        <v>16.899999999999999</v>
      </c>
      <c r="S448" s="1">
        <v>15.3</v>
      </c>
      <c r="T448" s="1"/>
      <c r="U448" s="1">
        <v>0.1</v>
      </c>
      <c r="V448" s="1">
        <v>0.8</v>
      </c>
      <c r="W448" s="1">
        <v>0.9</v>
      </c>
      <c r="X448" s="1">
        <v>3.6999999999999998E-2</v>
      </c>
      <c r="Y448" s="1"/>
      <c r="Z448" s="1">
        <v>-3.6</v>
      </c>
      <c r="AA448" s="1">
        <v>0.5</v>
      </c>
      <c r="AB448" s="1">
        <v>-3</v>
      </c>
      <c r="AC448" s="1">
        <v>-0.3</v>
      </c>
      <c r="AD448">
        <f>Advanced_Table[[#This Row],[VORP]]*82/Advanced_Table[[#This Row],[G]]</f>
        <v>-0.43928571428571422</v>
      </c>
    </row>
    <row r="449" spans="1:30" x14ac:dyDescent="0.25">
      <c r="A449" s="1">
        <v>365</v>
      </c>
      <c r="B449" s="1" t="s">
        <v>644</v>
      </c>
      <c r="C449" s="1" t="s">
        <v>294</v>
      </c>
      <c r="D449" s="1">
        <v>24</v>
      </c>
      <c r="E449" s="1" t="s">
        <v>290</v>
      </c>
      <c r="F449" s="1">
        <v>61</v>
      </c>
      <c r="G449" s="1">
        <v>1815</v>
      </c>
      <c r="H449" s="1">
        <v>13.3</v>
      </c>
      <c r="I449" s="1">
        <v>0.54</v>
      </c>
      <c r="J449" s="1">
        <v>0.42199999999999999</v>
      </c>
      <c r="K449" s="1">
        <v>0.11</v>
      </c>
      <c r="L449" s="1">
        <v>1.2</v>
      </c>
      <c r="M449" s="1">
        <v>8.8000000000000007</v>
      </c>
      <c r="N449" s="1">
        <v>5.0999999999999996</v>
      </c>
      <c r="O449" s="1">
        <v>18.7</v>
      </c>
      <c r="P449" s="1">
        <v>1.4</v>
      </c>
      <c r="Q449" s="1">
        <v>0.6</v>
      </c>
      <c r="R449" s="1">
        <v>10.199999999999999</v>
      </c>
      <c r="S449" s="1">
        <v>23.7</v>
      </c>
      <c r="T449" s="1"/>
      <c r="U449" s="1">
        <v>0.9</v>
      </c>
      <c r="V449" s="1">
        <v>1.5</v>
      </c>
      <c r="W449" s="1">
        <v>2.2999999999999998</v>
      </c>
      <c r="X449" s="1">
        <v>6.2E-2</v>
      </c>
      <c r="Y449" s="1"/>
      <c r="Z449" s="1">
        <v>-0.9</v>
      </c>
      <c r="AA449" s="1">
        <v>-1.3</v>
      </c>
      <c r="AB449" s="1">
        <v>-2.2000000000000002</v>
      </c>
      <c r="AC449" s="1">
        <v>-0.1</v>
      </c>
      <c r="AD449">
        <f>Advanced_Table[[#This Row],[VORP]]*82/Advanced_Table[[#This Row],[G]]</f>
        <v>-0.13442622950819674</v>
      </c>
    </row>
    <row r="450" spans="1:30" x14ac:dyDescent="0.25">
      <c r="A450" s="1">
        <v>366</v>
      </c>
      <c r="B450" s="1" t="s">
        <v>645</v>
      </c>
      <c r="C450" s="1" t="s">
        <v>303</v>
      </c>
      <c r="D450" s="1">
        <v>27</v>
      </c>
      <c r="E450" s="1" t="s">
        <v>299</v>
      </c>
      <c r="F450" s="1">
        <v>20</v>
      </c>
      <c r="G450" s="1">
        <v>268</v>
      </c>
      <c r="H450" s="1">
        <v>14.1</v>
      </c>
      <c r="I450" s="1">
        <v>0.627</v>
      </c>
      <c r="J450" s="1">
        <v>0.39400000000000002</v>
      </c>
      <c r="K450" s="1">
        <v>0.38</v>
      </c>
      <c r="L450" s="1">
        <v>3.2</v>
      </c>
      <c r="M450" s="1">
        <v>13.9</v>
      </c>
      <c r="N450" s="1">
        <v>8.6</v>
      </c>
      <c r="O450" s="1">
        <v>4.4000000000000004</v>
      </c>
      <c r="P450" s="1">
        <v>1.9</v>
      </c>
      <c r="Q450" s="1">
        <v>3.7</v>
      </c>
      <c r="R450" s="1">
        <v>8.8000000000000007</v>
      </c>
      <c r="S450" s="1">
        <v>14.2</v>
      </c>
      <c r="T450" s="1"/>
      <c r="U450" s="1">
        <v>0.4</v>
      </c>
      <c r="V450" s="1">
        <v>0.4</v>
      </c>
      <c r="W450" s="1">
        <v>0.8</v>
      </c>
      <c r="X450" s="1">
        <v>0.14199999999999999</v>
      </c>
      <c r="Y450" s="1"/>
      <c r="Z450" s="1">
        <v>-1</v>
      </c>
      <c r="AA450" s="1">
        <v>2.1</v>
      </c>
      <c r="AB450" s="1">
        <v>1.1000000000000001</v>
      </c>
      <c r="AC450" s="1">
        <v>0.2</v>
      </c>
      <c r="AD450">
        <f>Advanced_Table[[#This Row],[VORP]]*82/Advanced_Table[[#This Row],[G]]</f>
        <v>0.82000000000000006</v>
      </c>
    </row>
    <row r="451" spans="1:30" x14ac:dyDescent="0.25">
      <c r="A451" s="1">
        <v>367</v>
      </c>
      <c r="B451" s="1" t="s">
        <v>646</v>
      </c>
      <c r="C451" s="1" t="s">
        <v>23</v>
      </c>
      <c r="D451" s="1">
        <v>26</v>
      </c>
      <c r="E451" s="1" t="s">
        <v>359</v>
      </c>
      <c r="F451" s="1">
        <v>64</v>
      </c>
      <c r="G451" s="1">
        <v>1862</v>
      </c>
      <c r="H451" s="1">
        <v>9.3000000000000007</v>
      </c>
      <c r="I451" s="1">
        <v>0.58399999999999996</v>
      </c>
      <c r="J451" s="1">
        <v>0.65700000000000003</v>
      </c>
      <c r="K451" s="1">
        <v>0.153</v>
      </c>
      <c r="L451" s="1">
        <v>1.4</v>
      </c>
      <c r="M451" s="1">
        <v>17.8</v>
      </c>
      <c r="N451" s="1">
        <v>10</v>
      </c>
      <c r="O451" s="1">
        <v>11.5</v>
      </c>
      <c r="P451" s="1">
        <v>1.2</v>
      </c>
      <c r="Q451" s="1">
        <v>1.3</v>
      </c>
      <c r="R451" s="1">
        <v>12.7</v>
      </c>
      <c r="S451" s="1">
        <v>9.3000000000000007</v>
      </c>
      <c r="T451" s="1"/>
      <c r="U451" s="1">
        <v>1.8</v>
      </c>
      <c r="V451" s="1">
        <v>2.2000000000000002</v>
      </c>
      <c r="W451" s="1">
        <v>4</v>
      </c>
      <c r="X451" s="1">
        <v>0.104</v>
      </c>
      <c r="Y451" s="1"/>
      <c r="Z451" s="1">
        <v>-1.3</v>
      </c>
      <c r="AA451" s="1">
        <v>2.1</v>
      </c>
      <c r="AB451" s="1">
        <v>0.8</v>
      </c>
      <c r="AC451" s="1">
        <v>1.3</v>
      </c>
      <c r="AD451">
        <f>Advanced_Table[[#This Row],[VORP]]*82/Advanced_Table[[#This Row],[G]]</f>
        <v>1.6656250000000001</v>
      </c>
    </row>
    <row r="452" spans="1:30" x14ac:dyDescent="0.25">
      <c r="A452" s="1">
        <v>368</v>
      </c>
      <c r="B452" s="1" t="s">
        <v>647</v>
      </c>
      <c r="C452" s="1" t="s">
        <v>287</v>
      </c>
      <c r="D452" s="1">
        <v>29</v>
      </c>
      <c r="E452" s="1" t="s">
        <v>361</v>
      </c>
      <c r="F452" s="1">
        <v>25</v>
      </c>
      <c r="G452" s="1">
        <v>255</v>
      </c>
      <c r="H452" s="1">
        <v>18.2</v>
      </c>
      <c r="I452" s="1">
        <v>0.54100000000000004</v>
      </c>
      <c r="J452" s="1">
        <v>0.31900000000000001</v>
      </c>
      <c r="K452" s="1">
        <v>0.26400000000000001</v>
      </c>
      <c r="L452" s="1">
        <v>13.8</v>
      </c>
      <c r="M452" s="1">
        <v>27.7</v>
      </c>
      <c r="N452" s="1">
        <v>20.8</v>
      </c>
      <c r="O452" s="1">
        <v>19.399999999999999</v>
      </c>
      <c r="P452" s="1">
        <v>1</v>
      </c>
      <c r="Q452" s="1">
        <v>7.3</v>
      </c>
      <c r="R452" s="1">
        <v>18.3</v>
      </c>
      <c r="S452" s="1">
        <v>16.7</v>
      </c>
      <c r="T452" s="1"/>
      <c r="U452" s="1">
        <v>0.3</v>
      </c>
      <c r="V452" s="1">
        <v>0.5</v>
      </c>
      <c r="W452" s="1">
        <v>0.8</v>
      </c>
      <c r="X452" s="1">
        <v>0.155</v>
      </c>
      <c r="Y452" s="1"/>
      <c r="Z452" s="1">
        <v>-0.7</v>
      </c>
      <c r="AA452" s="1">
        <v>2.2000000000000002</v>
      </c>
      <c r="AB452" s="1">
        <v>1.5</v>
      </c>
      <c r="AC452" s="1">
        <v>0.2</v>
      </c>
      <c r="AD452">
        <f>Advanced_Table[[#This Row],[VORP]]*82/Advanced_Table[[#This Row],[G]]</f>
        <v>0.65600000000000014</v>
      </c>
    </row>
    <row r="453" spans="1:30" x14ac:dyDescent="0.25">
      <c r="A453" s="1">
        <v>369</v>
      </c>
      <c r="B453" s="1" t="s">
        <v>648</v>
      </c>
      <c r="C453" s="1" t="s">
        <v>23</v>
      </c>
      <c r="D453" s="1">
        <v>25</v>
      </c>
      <c r="E453" s="1" t="s">
        <v>383</v>
      </c>
      <c r="F453" s="1">
        <v>61</v>
      </c>
      <c r="G453" s="1">
        <v>891</v>
      </c>
      <c r="H453" s="1">
        <v>7.6</v>
      </c>
      <c r="I453" s="1">
        <v>0.55700000000000005</v>
      </c>
      <c r="J453" s="1">
        <v>0.61599999999999999</v>
      </c>
      <c r="K453" s="1">
        <v>0.17599999999999999</v>
      </c>
      <c r="L453" s="1">
        <v>2.9</v>
      </c>
      <c r="M453" s="1">
        <v>11.9</v>
      </c>
      <c r="N453" s="1">
        <v>7.5</v>
      </c>
      <c r="O453" s="1">
        <v>4.5</v>
      </c>
      <c r="P453" s="1">
        <v>1</v>
      </c>
      <c r="Q453" s="1">
        <v>0.5</v>
      </c>
      <c r="R453" s="1">
        <v>6.5</v>
      </c>
      <c r="S453" s="1">
        <v>8.8000000000000007</v>
      </c>
      <c r="T453" s="1"/>
      <c r="U453" s="1">
        <v>0.8</v>
      </c>
      <c r="V453" s="1">
        <v>0.9</v>
      </c>
      <c r="W453" s="1">
        <v>1.7</v>
      </c>
      <c r="X453" s="1">
        <v>9.0999999999999998E-2</v>
      </c>
      <c r="Y453" s="1"/>
      <c r="Z453" s="1">
        <v>-2.1</v>
      </c>
      <c r="AA453" s="1">
        <v>0.6</v>
      </c>
      <c r="AB453" s="1">
        <v>-1.6</v>
      </c>
      <c r="AC453" s="1">
        <v>0.1</v>
      </c>
      <c r="AD453">
        <f>Advanced_Table[[#This Row],[VORP]]*82/Advanced_Table[[#This Row],[G]]</f>
        <v>0.13442622950819674</v>
      </c>
    </row>
    <row r="454" spans="1:30" x14ac:dyDescent="0.25">
      <c r="A454" s="1">
        <v>370</v>
      </c>
      <c r="B454" s="1" t="s">
        <v>649</v>
      </c>
      <c r="C454" s="1" t="s">
        <v>287</v>
      </c>
      <c r="D454" s="1">
        <v>24</v>
      </c>
      <c r="E454" s="1" t="s">
        <v>295</v>
      </c>
      <c r="F454" s="1">
        <v>28</v>
      </c>
      <c r="G454" s="1">
        <v>424</v>
      </c>
      <c r="H454" s="1">
        <v>17.8</v>
      </c>
      <c r="I454" s="1">
        <v>0.63100000000000001</v>
      </c>
      <c r="J454" s="1">
        <v>1.4E-2</v>
      </c>
      <c r="K454" s="1">
        <v>0.40300000000000002</v>
      </c>
      <c r="L454" s="1">
        <v>11.4</v>
      </c>
      <c r="M454" s="1">
        <v>18.2</v>
      </c>
      <c r="N454" s="1">
        <v>14.8</v>
      </c>
      <c r="O454" s="1">
        <v>12.6</v>
      </c>
      <c r="P454" s="1">
        <v>0.8</v>
      </c>
      <c r="Q454" s="1">
        <v>3.7</v>
      </c>
      <c r="R454" s="1">
        <v>17.5</v>
      </c>
      <c r="S454" s="1">
        <v>19.8</v>
      </c>
      <c r="T454" s="1"/>
      <c r="U454" s="1">
        <v>0.7</v>
      </c>
      <c r="V454" s="1">
        <v>0.4</v>
      </c>
      <c r="W454" s="1">
        <v>1.1000000000000001</v>
      </c>
      <c r="X454" s="1">
        <v>0.129</v>
      </c>
      <c r="Y454" s="1"/>
      <c r="Z454" s="1">
        <v>-0.6</v>
      </c>
      <c r="AA454" s="1">
        <v>0.5</v>
      </c>
      <c r="AB454" s="1">
        <v>-0.1</v>
      </c>
      <c r="AC454" s="1">
        <v>0.2</v>
      </c>
      <c r="AD454">
        <f>Advanced_Table[[#This Row],[VORP]]*82/Advanced_Table[[#This Row],[G]]</f>
        <v>0.58571428571428574</v>
      </c>
    </row>
    <row r="455" spans="1:30" x14ac:dyDescent="0.25">
      <c r="A455" s="1">
        <v>371</v>
      </c>
      <c r="B455" s="1" t="s">
        <v>650</v>
      </c>
      <c r="C455" s="1" t="s">
        <v>316</v>
      </c>
      <c r="D455" s="1">
        <v>22</v>
      </c>
      <c r="E455" s="1" t="s">
        <v>322</v>
      </c>
      <c r="F455" s="1">
        <v>54</v>
      </c>
      <c r="G455" s="1">
        <v>707</v>
      </c>
      <c r="H455" s="1">
        <v>10.5</v>
      </c>
      <c r="I455" s="1">
        <v>0.51100000000000001</v>
      </c>
      <c r="J455" s="1">
        <v>0.39200000000000002</v>
      </c>
      <c r="K455" s="1">
        <v>0.37</v>
      </c>
      <c r="L455" s="1">
        <v>2.5</v>
      </c>
      <c r="M455" s="1">
        <v>11.6</v>
      </c>
      <c r="N455" s="1">
        <v>6.9</v>
      </c>
      <c r="O455" s="1">
        <v>21.5</v>
      </c>
      <c r="P455" s="1">
        <v>1.6</v>
      </c>
      <c r="Q455" s="1">
        <v>0.5</v>
      </c>
      <c r="R455" s="1">
        <v>15.3</v>
      </c>
      <c r="S455" s="1">
        <v>14.9</v>
      </c>
      <c r="T455" s="1"/>
      <c r="U455" s="1">
        <v>0.4</v>
      </c>
      <c r="V455" s="1">
        <v>0.5</v>
      </c>
      <c r="W455" s="1">
        <v>0.9</v>
      </c>
      <c r="X455" s="1">
        <v>5.8999999999999997E-2</v>
      </c>
      <c r="Y455" s="1"/>
      <c r="Z455" s="1">
        <v>-2</v>
      </c>
      <c r="AA455" s="1">
        <v>-0.1</v>
      </c>
      <c r="AB455" s="1">
        <v>-2.1</v>
      </c>
      <c r="AC455" s="1">
        <v>0</v>
      </c>
      <c r="AD455">
        <f>Advanced_Table[[#This Row],[VORP]]*82/Advanced_Table[[#This Row],[G]]</f>
        <v>0</v>
      </c>
    </row>
    <row r="456" spans="1:30" x14ac:dyDescent="0.25">
      <c r="A456" s="1">
        <v>372</v>
      </c>
      <c r="B456" s="1" t="s">
        <v>651</v>
      </c>
      <c r="C456" s="1" t="s">
        <v>294</v>
      </c>
      <c r="D456" s="1">
        <v>21</v>
      </c>
      <c r="E456" s="1" t="s">
        <v>336</v>
      </c>
      <c r="F456" s="1">
        <v>62</v>
      </c>
      <c r="G456" s="1">
        <v>1547</v>
      </c>
      <c r="H456" s="1">
        <v>11.6</v>
      </c>
      <c r="I456" s="1">
        <v>0.55300000000000005</v>
      </c>
      <c r="J456" s="1">
        <v>0.38700000000000001</v>
      </c>
      <c r="K456" s="1">
        <v>0.48</v>
      </c>
      <c r="L456" s="1">
        <v>5.7</v>
      </c>
      <c r="M456" s="1">
        <v>12.8</v>
      </c>
      <c r="N456" s="1">
        <v>9.1</v>
      </c>
      <c r="O456" s="1">
        <v>8.9</v>
      </c>
      <c r="P456" s="1">
        <v>2</v>
      </c>
      <c r="Q456" s="1">
        <v>1.4</v>
      </c>
      <c r="R456" s="1">
        <v>15.3</v>
      </c>
      <c r="S456" s="1">
        <v>15.1</v>
      </c>
      <c r="T456" s="1"/>
      <c r="U456" s="1">
        <v>1</v>
      </c>
      <c r="V456" s="1">
        <v>1.2</v>
      </c>
      <c r="W456" s="1">
        <v>2.2000000000000002</v>
      </c>
      <c r="X456" s="1">
        <v>6.7000000000000004E-2</v>
      </c>
      <c r="Y456" s="1"/>
      <c r="Z456" s="1">
        <v>-2.4</v>
      </c>
      <c r="AA456" s="1">
        <v>0.1</v>
      </c>
      <c r="AB456" s="1">
        <v>-2.2999999999999998</v>
      </c>
      <c r="AC456" s="1">
        <v>-0.1</v>
      </c>
      <c r="AD456">
        <f>Advanced_Table[[#This Row],[VORP]]*82/Advanced_Table[[#This Row],[G]]</f>
        <v>-0.13225806451612904</v>
      </c>
    </row>
    <row r="457" spans="1:30" x14ac:dyDescent="0.25">
      <c r="A457" s="1">
        <v>373</v>
      </c>
      <c r="B457" s="1" t="s">
        <v>652</v>
      </c>
      <c r="C457" s="1" t="s">
        <v>303</v>
      </c>
      <c r="D457" s="1">
        <v>20</v>
      </c>
      <c r="E457" s="1" t="s">
        <v>290</v>
      </c>
      <c r="F457" s="1">
        <v>5</v>
      </c>
      <c r="G457" s="1">
        <v>26</v>
      </c>
      <c r="H457" s="1">
        <v>13.7</v>
      </c>
      <c r="I457" s="1">
        <v>0.59499999999999997</v>
      </c>
      <c r="J457" s="1">
        <v>0.2</v>
      </c>
      <c r="K457" s="1">
        <v>0.4</v>
      </c>
      <c r="L457" s="1">
        <v>4.5</v>
      </c>
      <c r="M457" s="1">
        <v>16.600000000000001</v>
      </c>
      <c r="N457" s="1">
        <v>10.8</v>
      </c>
      <c r="O457" s="1">
        <v>5.5</v>
      </c>
      <c r="P457" s="1">
        <v>3.8</v>
      </c>
      <c r="Q457" s="1">
        <v>3.8</v>
      </c>
      <c r="R457" s="1">
        <v>14.5</v>
      </c>
      <c r="S457" s="1">
        <v>11.7</v>
      </c>
      <c r="T457" s="1"/>
      <c r="U457" s="1">
        <v>0</v>
      </c>
      <c r="V457" s="1">
        <v>0.1</v>
      </c>
      <c r="W457" s="1">
        <v>0.1</v>
      </c>
      <c r="X457" s="1">
        <v>0.12</v>
      </c>
      <c r="Y457" s="1"/>
      <c r="Z457" s="1">
        <v>-1.3</v>
      </c>
      <c r="AA457" s="1">
        <v>3.9</v>
      </c>
      <c r="AB457" s="1">
        <v>2.7</v>
      </c>
      <c r="AC457" s="1">
        <v>0</v>
      </c>
      <c r="AD457">
        <f>Advanced_Table[[#This Row],[VORP]]*82/Advanced_Table[[#This Row],[G]]</f>
        <v>0</v>
      </c>
    </row>
    <row r="458" spans="1:30" x14ac:dyDescent="0.25">
      <c r="A458" s="1">
        <v>374</v>
      </c>
      <c r="B458" s="1" t="s">
        <v>1342</v>
      </c>
      <c r="C458" s="1" t="s">
        <v>294</v>
      </c>
      <c r="D458" s="1">
        <v>27</v>
      </c>
      <c r="E458" s="1" t="s">
        <v>353</v>
      </c>
      <c r="F458" s="1">
        <v>13</v>
      </c>
      <c r="G458" s="1">
        <v>337</v>
      </c>
      <c r="H458" s="1">
        <v>12</v>
      </c>
      <c r="I458" s="1">
        <v>0.5</v>
      </c>
      <c r="J458" s="1">
        <v>0.42899999999999999</v>
      </c>
      <c r="K458" s="1">
        <v>0.255</v>
      </c>
      <c r="L458" s="1">
        <v>2.2999999999999998</v>
      </c>
      <c r="M458" s="1">
        <v>11</v>
      </c>
      <c r="N458" s="1">
        <v>6.7</v>
      </c>
      <c r="O458" s="1">
        <v>16.899999999999999</v>
      </c>
      <c r="P458" s="1">
        <v>1.6</v>
      </c>
      <c r="Q458" s="1">
        <v>0.8</v>
      </c>
      <c r="R458" s="1">
        <v>13.5</v>
      </c>
      <c r="S458" s="1">
        <v>27</v>
      </c>
      <c r="T458" s="1"/>
      <c r="U458" s="1">
        <v>-0.3</v>
      </c>
      <c r="V458" s="1">
        <v>0.4</v>
      </c>
      <c r="W458" s="1">
        <v>0.1</v>
      </c>
      <c r="X458" s="1">
        <v>8.0000000000000002E-3</v>
      </c>
      <c r="Y458" s="1"/>
      <c r="Z458" s="1">
        <v>-2.1</v>
      </c>
      <c r="AA458" s="1">
        <v>-1.2</v>
      </c>
      <c r="AB458" s="1">
        <v>-3.3</v>
      </c>
      <c r="AC458" s="1">
        <v>-0.1</v>
      </c>
      <c r="AD458">
        <f>Advanced_Table[[#This Row],[VORP]]*82/Advanced_Table[[#This Row],[G]]</f>
        <v>-0.63076923076923086</v>
      </c>
    </row>
    <row r="459" spans="1:30" x14ac:dyDescent="0.25">
      <c r="A459" s="1">
        <v>375</v>
      </c>
      <c r="B459" s="1" t="s">
        <v>653</v>
      </c>
      <c r="C459" s="1" t="s">
        <v>287</v>
      </c>
      <c r="D459" s="1">
        <v>28</v>
      </c>
      <c r="E459" s="1" t="s">
        <v>290</v>
      </c>
      <c r="F459" s="1">
        <v>58</v>
      </c>
      <c r="G459" s="1">
        <v>1084</v>
      </c>
      <c r="H459" s="1">
        <v>14.9</v>
      </c>
      <c r="I459" s="1">
        <v>0.64500000000000002</v>
      </c>
      <c r="J459" s="1">
        <v>0.58499999999999996</v>
      </c>
      <c r="K459" s="1">
        <v>0.26200000000000001</v>
      </c>
      <c r="L459" s="1">
        <v>4</v>
      </c>
      <c r="M459" s="1">
        <v>22</v>
      </c>
      <c r="N459" s="1">
        <v>13.4</v>
      </c>
      <c r="O459" s="1">
        <v>13.2</v>
      </c>
      <c r="P459" s="1">
        <v>1.7</v>
      </c>
      <c r="Q459" s="1">
        <v>1.7</v>
      </c>
      <c r="R459" s="1">
        <v>15.1</v>
      </c>
      <c r="S459" s="1">
        <v>16.7</v>
      </c>
      <c r="T459" s="1"/>
      <c r="U459" s="1">
        <v>1.8</v>
      </c>
      <c r="V459" s="1">
        <v>1.5</v>
      </c>
      <c r="W459" s="1">
        <v>3.3</v>
      </c>
      <c r="X459" s="1">
        <v>0.14399999999999999</v>
      </c>
      <c r="Y459" s="1"/>
      <c r="Z459" s="1">
        <v>0.2</v>
      </c>
      <c r="AA459" s="1">
        <v>1.3</v>
      </c>
      <c r="AB459" s="1">
        <v>1.5</v>
      </c>
      <c r="AC459" s="1">
        <v>0.9</v>
      </c>
      <c r="AD459">
        <f>Advanced_Table[[#This Row],[VORP]]*82/Advanced_Table[[#This Row],[G]]</f>
        <v>1.2724137931034483</v>
      </c>
    </row>
    <row r="460" spans="1:30" x14ac:dyDescent="0.25">
      <c r="A460" s="1">
        <v>376</v>
      </c>
      <c r="B460" s="1" t="s">
        <v>654</v>
      </c>
      <c r="C460" s="1" t="s">
        <v>294</v>
      </c>
      <c r="D460" s="1">
        <v>22</v>
      </c>
      <c r="E460" s="1" t="s">
        <v>359</v>
      </c>
      <c r="F460" s="1">
        <v>5</v>
      </c>
      <c r="G460" s="1">
        <v>11</v>
      </c>
      <c r="H460" s="1">
        <v>-9.9</v>
      </c>
      <c r="I460" s="1">
        <v>0</v>
      </c>
      <c r="J460" s="1">
        <v>0.5</v>
      </c>
      <c r="K460" s="1">
        <v>0</v>
      </c>
      <c r="L460" s="1">
        <v>0</v>
      </c>
      <c r="M460" s="1">
        <v>19.100000000000001</v>
      </c>
      <c r="N460" s="1">
        <v>10</v>
      </c>
      <c r="O460" s="1">
        <v>0</v>
      </c>
      <c r="P460" s="1">
        <v>0</v>
      </c>
      <c r="Q460" s="1">
        <v>0</v>
      </c>
      <c r="R460" s="1">
        <v>33.299999999999997</v>
      </c>
      <c r="S460" s="1">
        <v>12</v>
      </c>
      <c r="T460" s="1"/>
      <c r="U460" s="1">
        <v>-0.1</v>
      </c>
      <c r="V460" s="1">
        <v>0</v>
      </c>
      <c r="W460" s="1">
        <v>-0.1</v>
      </c>
      <c r="X460" s="1">
        <v>-0.28499999999999998</v>
      </c>
      <c r="Y460" s="1"/>
      <c r="Z460" s="1">
        <v>-13</v>
      </c>
      <c r="AA460" s="1">
        <v>-4.9000000000000004</v>
      </c>
      <c r="AB460" s="1">
        <v>-17.899999999999999</v>
      </c>
      <c r="AC460" s="1">
        <v>0</v>
      </c>
      <c r="AD460">
        <f>Advanced_Table[[#This Row],[VORP]]*82/Advanced_Table[[#This Row],[G]]</f>
        <v>0</v>
      </c>
    </row>
    <row r="461" spans="1:30" x14ac:dyDescent="0.25">
      <c r="A461" s="1">
        <v>377</v>
      </c>
      <c r="B461" s="1" t="s">
        <v>655</v>
      </c>
      <c r="C461" s="1" t="s">
        <v>303</v>
      </c>
      <c r="D461" s="1">
        <v>24</v>
      </c>
      <c r="E461" s="1" t="s">
        <v>411</v>
      </c>
      <c r="F461" s="1">
        <v>65</v>
      </c>
      <c r="G461" s="1">
        <v>1910</v>
      </c>
      <c r="H461" s="1">
        <v>10.7</v>
      </c>
      <c r="I461" s="1">
        <v>0.55200000000000005</v>
      </c>
      <c r="J461" s="1">
        <v>0.52700000000000002</v>
      </c>
      <c r="K461" s="1">
        <v>0.154</v>
      </c>
      <c r="L461" s="1">
        <v>2.2000000000000002</v>
      </c>
      <c r="M461" s="1">
        <v>11.3</v>
      </c>
      <c r="N461" s="1">
        <v>6.7</v>
      </c>
      <c r="O461" s="1">
        <v>11.6</v>
      </c>
      <c r="P461" s="1">
        <v>1.4</v>
      </c>
      <c r="Q461" s="1">
        <v>0.7</v>
      </c>
      <c r="R461" s="1">
        <v>12.3</v>
      </c>
      <c r="S461" s="1">
        <v>16.600000000000001</v>
      </c>
      <c r="T461" s="1"/>
      <c r="U461" s="1">
        <v>1.1000000000000001</v>
      </c>
      <c r="V461" s="1">
        <v>0.5</v>
      </c>
      <c r="W461" s="1">
        <v>1.6</v>
      </c>
      <c r="X461" s="1">
        <v>0.04</v>
      </c>
      <c r="Y461" s="1"/>
      <c r="Z461" s="1">
        <v>-1.6</v>
      </c>
      <c r="AA461" s="1">
        <v>-1.1000000000000001</v>
      </c>
      <c r="AB461" s="1">
        <v>-2.7</v>
      </c>
      <c r="AC461" s="1">
        <v>-0.3</v>
      </c>
      <c r="AD461">
        <f>Advanced_Table[[#This Row],[VORP]]*82/Advanced_Table[[#This Row],[G]]</f>
        <v>-0.3784615384615384</v>
      </c>
    </row>
    <row r="462" spans="1:30" x14ac:dyDescent="0.25">
      <c r="A462" s="1">
        <v>378</v>
      </c>
      <c r="B462" s="1" t="s">
        <v>656</v>
      </c>
      <c r="C462" s="1" t="s">
        <v>303</v>
      </c>
      <c r="D462" s="1">
        <v>24</v>
      </c>
      <c r="E462" s="1" t="s">
        <v>322</v>
      </c>
      <c r="F462" s="1">
        <v>56</v>
      </c>
      <c r="G462" s="1">
        <v>1933</v>
      </c>
      <c r="H462" s="1">
        <v>14.9</v>
      </c>
      <c r="I462" s="1">
        <v>0.56000000000000005</v>
      </c>
      <c r="J462" s="1">
        <v>0.372</v>
      </c>
      <c r="K462" s="1">
        <v>0.29799999999999999</v>
      </c>
      <c r="L462" s="1">
        <v>3.8</v>
      </c>
      <c r="M462" s="1">
        <v>17.3</v>
      </c>
      <c r="N462" s="1">
        <v>10.4</v>
      </c>
      <c r="O462" s="1">
        <v>6.7</v>
      </c>
      <c r="P462" s="1">
        <v>1.7</v>
      </c>
      <c r="Q462" s="1">
        <v>1.8</v>
      </c>
      <c r="R462" s="1">
        <v>8.1999999999999993</v>
      </c>
      <c r="S462" s="1">
        <v>22.4</v>
      </c>
      <c r="T462" s="1"/>
      <c r="U462" s="1">
        <v>1.7</v>
      </c>
      <c r="V462" s="1">
        <v>1.9</v>
      </c>
      <c r="W462" s="1">
        <v>3.6</v>
      </c>
      <c r="X462" s="1">
        <v>0.09</v>
      </c>
      <c r="Y462" s="1"/>
      <c r="Z462" s="1">
        <v>-0.2</v>
      </c>
      <c r="AA462" s="1">
        <v>-0.3</v>
      </c>
      <c r="AB462" s="1">
        <v>-0.6</v>
      </c>
      <c r="AC462" s="1">
        <v>0.7</v>
      </c>
      <c r="AD462">
        <f>Advanced_Table[[#This Row],[VORP]]*82/Advanced_Table[[#This Row],[G]]</f>
        <v>1.0249999999999999</v>
      </c>
    </row>
    <row r="463" spans="1:30" x14ac:dyDescent="0.25">
      <c r="A463" s="1">
        <v>379</v>
      </c>
      <c r="B463" s="1" t="s">
        <v>1367</v>
      </c>
      <c r="C463" s="1" t="s">
        <v>23</v>
      </c>
      <c r="D463" s="1">
        <v>24</v>
      </c>
      <c r="E463" s="1" t="s">
        <v>322</v>
      </c>
      <c r="F463" s="1">
        <v>3</v>
      </c>
      <c r="G463" s="1">
        <v>15</v>
      </c>
      <c r="H463" s="1">
        <v>8.4</v>
      </c>
      <c r="I463" s="1">
        <v>0.34</v>
      </c>
      <c r="J463" s="1">
        <v>0.4</v>
      </c>
      <c r="K463" s="1">
        <v>0.4</v>
      </c>
      <c r="L463" s="1">
        <v>14.5</v>
      </c>
      <c r="M463" s="1">
        <v>7.6</v>
      </c>
      <c r="N463" s="1">
        <v>11.1</v>
      </c>
      <c r="O463" s="1">
        <v>0</v>
      </c>
      <c r="P463" s="1">
        <v>3.2</v>
      </c>
      <c r="Q463" s="1">
        <v>0</v>
      </c>
      <c r="R463" s="1">
        <v>0</v>
      </c>
      <c r="S463" s="1">
        <v>16.7</v>
      </c>
      <c r="T463" s="1"/>
      <c r="U463" s="1">
        <v>0</v>
      </c>
      <c r="V463" s="1">
        <v>0</v>
      </c>
      <c r="W463" s="1">
        <v>0</v>
      </c>
      <c r="X463" s="1">
        <v>1.7000000000000001E-2</v>
      </c>
      <c r="Y463" s="1"/>
      <c r="Z463" s="1">
        <v>-3.1</v>
      </c>
      <c r="AA463" s="1">
        <v>-2.7</v>
      </c>
      <c r="AB463" s="1">
        <v>-5.8</v>
      </c>
      <c r="AC463" s="1">
        <v>0</v>
      </c>
      <c r="AD463">
        <f>Advanced_Table[[#This Row],[VORP]]*82/Advanced_Table[[#This Row],[G]]</f>
        <v>0</v>
      </c>
    </row>
    <row r="464" spans="1:30" x14ac:dyDescent="0.25">
      <c r="A464" s="1">
        <v>380</v>
      </c>
      <c r="B464" s="1" t="s">
        <v>1574</v>
      </c>
      <c r="C464" s="1" t="s">
        <v>316</v>
      </c>
      <c r="D464" s="1">
        <v>33</v>
      </c>
      <c r="E464" s="1" t="s">
        <v>369</v>
      </c>
      <c r="F464" s="1">
        <v>3</v>
      </c>
      <c r="G464" s="1">
        <v>44</v>
      </c>
      <c r="H464" s="1">
        <v>12.7</v>
      </c>
      <c r="I464" s="1">
        <v>0.55700000000000005</v>
      </c>
      <c r="J464" s="1">
        <v>0.318</v>
      </c>
      <c r="K464" s="1">
        <v>4.4999999999999998E-2</v>
      </c>
      <c r="L464" s="1">
        <v>2.4</v>
      </c>
      <c r="M464" s="1">
        <v>5.0999999999999996</v>
      </c>
      <c r="N464" s="1">
        <v>3.7</v>
      </c>
      <c r="O464" s="1">
        <v>33.200000000000003</v>
      </c>
      <c r="P464" s="1">
        <v>1.1000000000000001</v>
      </c>
      <c r="Q464" s="1">
        <v>0</v>
      </c>
      <c r="R464" s="1">
        <v>15.1</v>
      </c>
      <c r="S464" s="1">
        <v>25.7</v>
      </c>
      <c r="T464" s="1"/>
      <c r="U464" s="1">
        <v>0</v>
      </c>
      <c r="V464" s="1">
        <v>0</v>
      </c>
      <c r="W464" s="1">
        <v>0</v>
      </c>
      <c r="X464" s="1">
        <v>1.0999999999999999E-2</v>
      </c>
      <c r="Y464" s="1"/>
      <c r="Z464" s="1">
        <v>-2.8</v>
      </c>
      <c r="AA464" s="1">
        <v>-3</v>
      </c>
      <c r="AB464" s="1">
        <v>-5.9</v>
      </c>
      <c r="AC464" s="1">
        <v>0</v>
      </c>
      <c r="AD464">
        <f>Advanced_Table[[#This Row],[VORP]]*82/Advanced_Table[[#This Row],[G]]</f>
        <v>0</v>
      </c>
    </row>
    <row r="465" spans="1:30" x14ac:dyDescent="0.25">
      <c r="A465" s="1">
        <v>381</v>
      </c>
      <c r="B465" s="1" t="s">
        <v>657</v>
      </c>
      <c r="C465" s="1" t="s">
        <v>23</v>
      </c>
      <c r="D465" s="1">
        <v>24</v>
      </c>
      <c r="E465" s="1" t="s">
        <v>957</v>
      </c>
      <c r="F465" s="1">
        <v>33</v>
      </c>
      <c r="G465" s="1">
        <v>852</v>
      </c>
      <c r="H465" s="1">
        <v>17</v>
      </c>
      <c r="I465" s="1">
        <v>0.56100000000000005</v>
      </c>
      <c r="J465" s="1">
        <v>0.29099999999999998</v>
      </c>
      <c r="K465" s="1">
        <v>0.185</v>
      </c>
      <c r="L465" s="1">
        <v>6.8</v>
      </c>
      <c r="M465" s="1">
        <v>18.100000000000001</v>
      </c>
      <c r="N465" s="1">
        <v>12.3</v>
      </c>
      <c r="O465" s="1">
        <v>11.7</v>
      </c>
      <c r="P465" s="1">
        <v>2.2999999999999998</v>
      </c>
      <c r="Q465" s="1">
        <v>1.5</v>
      </c>
      <c r="R465" s="1">
        <v>12.2</v>
      </c>
      <c r="S465" s="1">
        <v>24</v>
      </c>
      <c r="T465" s="1"/>
      <c r="U465" s="1">
        <v>0.5</v>
      </c>
      <c r="V465" s="1">
        <v>0.7</v>
      </c>
      <c r="W465" s="1">
        <v>1.2</v>
      </c>
      <c r="X465" s="1">
        <v>6.6000000000000003E-2</v>
      </c>
      <c r="Y465" s="1"/>
      <c r="Z465" s="1">
        <v>0.3</v>
      </c>
      <c r="AA465" s="1">
        <v>-0.4</v>
      </c>
      <c r="AB465" s="1">
        <v>-0.1</v>
      </c>
      <c r="AC465" s="1">
        <v>0.4</v>
      </c>
      <c r="AD465">
        <f>Advanced_Table[[#This Row],[VORP]]*82/Advanced_Table[[#This Row],[G]]</f>
        <v>0.99393939393939412</v>
      </c>
    </row>
    <row r="466" spans="1:30" x14ac:dyDescent="0.25">
      <c r="A466" s="1">
        <v>381</v>
      </c>
      <c r="B466" s="1" t="s">
        <v>657</v>
      </c>
      <c r="C466" s="1" t="s">
        <v>23</v>
      </c>
      <c r="D466" s="1">
        <v>24</v>
      </c>
      <c r="E466" s="1" t="s">
        <v>347</v>
      </c>
      <c r="F466" s="1">
        <v>32</v>
      </c>
      <c r="G466" s="1">
        <v>837</v>
      </c>
      <c r="H466" s="1">
        <v>17.2</v>
      </c>
      <c r="I466" s="1">
        <v>0.56499999999999995</v>
      </c>
      <c r="J466" s="1">
        <v>0.29299999999999998</v>
      </c>
      <c r="K466" s="1">
        <v>0.183</v>
      </c>
      <c r="L466" s="1">
        <v>6.9</v>
      </c>
      <c r="M466" s="1">
        <v>17.8</v>
      </c>
      <c r="N466" s="1">
        <v>12.3</v>
      </c>
      <c r="O466" s="1">
        <v>11.6</v>
      </c>
      <c r="P466" s="1">
        <v>2.2999999999999998</v>
      </c>
      <c r="Q466" s="1">
        <v>1.5</v>
      </c>
      <c r="R466" s="1">
        <v>12.4</v>
      </c>
      <c r="S466" s="1">
        <v>24.1</v>
      </c>
      <c r="T466" s="1"/>
      <c r="U466" s="1">
        <v>0.5</v>
      </c>
      <c r="V466" s="1">
        <v>0.7</v>
      </c>
      <c r="W466" s="1">
        <v>1.2</v>
      </c>
      <c r="X466" s="1">
        <v>6.9000000000000006E-2</v>
      </c>
      <c r="Y466" s="1"/>
      <c r="Z466" s="1">
        <v>0.4</v>
      </c>
      <c r="AA466" s="1">
        <v>-0.3</v>
      </c>
      <c r="AB466" s="1">
        <v>0.1</v>
      </c>
      <c r="AC466" s="1">
        <v>0.4</v>
      </c>
      <c r="AD466">
        <f>Advanced_Table[[#This Row],[VORP]]*82/Advanced_Table[[#This Row],[G]]</f>
        <v>1.0250000000000001</v>
      </c>
    </row>
    <row r="467" spans="1:30" x14ac:dyDescent="0.25">
      <c r="A467" s="1">
        <v>381</v>
      </c>
      <c r="B467" s="1" t="s">
        <v>657</v>
      </c>
      <c r="C467" s="1" t="s">
        <v>23</v>
      </c>
      <c r="D467" s="1">
        <v>24</v>
      </c>
      <c r="E467" s="1" t="s">
        <v>319</v>
      </c>
      <c r="F467" s="1">
        <v>1</v>
      </c>
      <c r="G467" s="1">
        <v>15</v>
      </c>
      <c r="H467" s="1">
        <v>4</v>
      </c>
      <c r="I467" s="1">
        <v>0.29099999999999998</v>
      </c>
      <c r="J467" s="1">
        <v>0.16700000000000001</v>
      </c>
      <c r="K467" s="1">
        <v>0.33300000000000002</v>
      </c>
      <c r="L467" s="1">
        <v>0</v>
      </c>
      <c r="M467" s="1">
        <v>30.9</v>
      </c>
      <c r="N467" s="1">
        <v>15</v>
      </c>
      <c r="O467" s="1">
        <v>17.399999999999999</v>
      </c>
      <c r="P467" s="1">
        <v>0</v>
      </c>
      <c r="Q467" s="1">
        <v>0</v>
      </c>
      <c r="R467" s="1">
        <v>0</v>
      </c>
      <c r="S467" s="1">
        <v>20</v>
      </c>
      <c r="T467" s="1"/>
      <c r="U467" s="1">
        <v>0</v>
      </c>
      <c r="V467" s="1">
        <v>0</v>
      </c>
      <c r="W467" s="1">
        <v>0</v>
      </c>
      <c r="X467" s="1">
        <v>-7.9000000000000001E-2</v>
      </c>
      <c r="Y467" s="1"/>
      <c r="Z467" s="1">
        <v>-7</v>
      </c>
      <c r="AA467" s="1">
        <v>-3.6</v>
      </c>
      <c r="AB467" s="1">
        <v>-10.6</v>
      </c>
      <c r="AC467" s="1">
        <v>0</v>
      </c>
      <c r="AD467">
        <f>Advanced_Table[[#This Row],[VORP]]*82/Advanced_Table[[#This Row],[G]]</f>
        <v>0</v>
      </c>
    </row>
    <row r="468" spans="1:30" x14ac:dyDescent="0.25">
      <c r="A468" s="1">
        <v>382</v>
      </c>
      <c r="B468" s="1" t="s">
        <v>658</v>
      </c>
      <c r="C468" s="1" t="s">
        <v>303</v>
      </c>
      <c r="D468" s="1">
        <v>31</v>
      </c>
      <c r="E468" s="1" t="s">
        <v>347</v>
      </c>
      <c r="F468" s="1">
        <v>5</v>
      </c>
      <c r="G468" s="1">
        <v>54</v>
      </c>
      <c r="H468" s="1">
        <v>5.6</v>
      </c>
      <c r="I468" s="1">
        <v>0.38900000000000001</v>
      </c>
      <c r="J468" s="1">
        <v>0.77800000000000002</v>
      </c>
      <c r="K468" s="1">
        <v>0</v>
      </c>
      <c r="L468" s="1">
        <v>2</v>
      </c>
      <c r="M468" s="1">
        <v>12.1</v>
      </c>
      <c r="N468" s="1">
        <v>7</v>
      </c>
      <c r="O468" s="1">
        <v>7.5</v>
      </c>
      <c r="P468" s="1">
        <v>3.5</v>
      </c>
      <c r="Q468" s="1">
        <v>1.6</v>
      </c>
      <c r="R468" s="1">
        <v>14.3</v>
      </c>
      <c r="S468" s="1">
        <v>16.2</v>
      </c>
      <c r="T468" s="1"/>
      <c r="U468" s="1">
        <v>-0.1</v>
      </c>
      <c r="V468" s="1">
        <v>0</v>
      </c>
      <c r="W468" s="1">
        <v>-0.1</v>
      </c>
      <c r="X468" s="1">
        <v>-6.6000000000000003E-2</v>
      </c>
      <c r="Y468" s="1"/>
      <c r="Z468" s="1">
        <v>-4.5999999999999996</v>
      </c>
      <c r="AA468" s="1">
        <v>-1.3</v>
      </c>
      <c r="AB468" s="1">
        <v>-5.9</v>
      </c>
      <c r="AC468" s="1">
        <v>-0.1</v>
      </c>
      <c r="AD468">
        <f>Advanced_Table[[#This Row],[VORP]]*82/Advanced_Table[[#This Row],[G]]</f>
        <v>-1.6400000000000001</v>
      </c>
    </row>
    <row r="469" spans="1:30" x14ac:dyDescent="0.25">
      <c r="A469" s="1">
        <v>383</v>
      </c>
      <c r="B469" s="1" t="s">
        <v>659</v>
      </c>
      <c r="C469" s="1" t="s">
        <v>23</v>
      </c>
      <c r="D469" s="1">
        <v>23</v>
      </c>
      <c r="E469" s="1" t="s">
        <v>369</v>
      </c>
      <c r="F469" s="1">
        <v>60</v>
      </c>
      <c r="G469" s="1">
        <v>1654</v>
      </c>
      <c r="H469" s="1">
        <v>14.5</v>
      </c>
      <c r="I469" s="1">
        <v>0.57099999999999995</v>
      </c>
      <c r="J469" s="1">
        <v>0.20200000000000001</v>
      </c>
      <c r="K469" s="1">
        <v>0.33100000000000002</v>
      </c>
      <c r="L469" s="1">
        <v>5.2</v>
      </c>
      <c r="M469" s="1">
        <v>13.1</v>
      </c>
      <c r="N469" s="1">
        <v>9</v>
      </c>
      <c r="O469" s="1">
        <v>12.7</v>
      </c>
      <c r="P469" s="1">
        <v>0.9</v>
      </c>
      <c r="Q469" s="1">
        <v>0.7</v>
      </c>
      <c r="R469" s="1">
        <v>11.4</v>
      </c>
      <c r="S469" s="1">
        <v>21.4</v>
      </c>
      <c r="T469" s="1"/>
      <c r="U469" s="1">
        <v>1.6</v>
      </c>
      <c r="V469" s="1">
        <v>0.5</v>
      </c>
      <c r="W469" s="1">
        <v>2.1</v>
      </c>
      <c r="X469" s="1">
        <v>6.2E-2</v>
      </c>
      <c r="Y469" s="1"/>
      <c r="Z469" s="1">
        <v>-0.8</v>
      </c>
      <c r="AA469" s="1">
        <v>-1.9</v>
      </c>
      <c r="AB469" s="1">
        <v>-2.8</v>
      </c>
      <c r="AC469" s="1">
        <v>-0.3</v>
      </c>
      <c r="AD469">
        <f>Advanced_Table[[#This Row],[VORP]]*82/Advanced_Table[[#This Row],[G]]</f>
        <v>-0.41</v>
      </c>
    </row>
    <row r="470" spans="1:30" x14ac:dyDescent="0.25">
      <c r="A470" s="1">
        <v>384</v>
      </c>
      <c r="B470" s="1" t="s">
        <v>962</v>
      </c>
      <c r="C470" s="1" t="s">
        <v>287</v>
      </c>
      <c r="D470" s="1">
        <v>24</v>
      </c>
      <c r="E470" s="1" t="s">
        <v>342</v>
      </c>
      <c r="F470" s="1">
        <v>24</v>
      </c>
      <c r="G470" s="1">
        <v>405</v>
      </c>
      <c r="H470" s="1">
        <v>11.6</v>
      </c>
      <c r="I470" s="1">
        <v>0.55500000000000005</v>
      </c>
      <c r="J470" s="1">
        <v>1.9E-2</v>
      </c>
      <c r="K470" s="1">
        <v>0.50900000000000001</v>
      </c>
      <c r="L470" s="1">
        <v>10.199999999999999</v>
      </c>
      <c r="M470" s="1">
        <v>16.899999999999999</v>
      </c>
      <c r="N470" s="1">
        <v>13.4</v>
      </c>
      <c r="O470" s="1">
        <v>5.7</v>
      </c>
      <c r="P470" s="1">
        <v>0.9</v>
      </c>
      <c r="Q470" s="1">
        <v>2.6</v>
      </c>
      <c r="R470" s="1">
        <v>14.5</v>
      </c>
      <c r="S470" s="1">
        <v>15.6</v>
      </c>
      <c r="T470" s="1"/>
      <c r="U470" s="1">
        <v>0.3</v>
      </c>
      <c r="V470" s="1">
        <v>0.1</v>
      </c>
      <c r="W470" s="1">
        <v>0.5</v>
      </c>
      <c r="X470" s="1">
        <v>5.6000000000000001E-2</v>
      </c>
      <c r="Y470" s="1"/>
      <c r="Z470" s="1">
        <v>-3.6</v>
      </c>
      <c r="AA470" s="1">
        <v>-1.8</v>
      </c>
      <c r="AB470" s="1">
        <v>-5.4</v>
      </c>
      <c r="AC470" s="1">
        <v>-0.3</v>
      </c>
      <c r="AD470">
        <f>Advanced_Table[[#This Row],[VORP]]*82/Advanced_Table[[#This Row],[G]]</f>
        <v>-1.0249999999999999</v>
      </c>
    </row>
    <row r="471" spans="1:30" x14ac:dyDescent="0.25">
      <c r="A471" s="1">
        <v>385</v>
      </c>
      <c r="B471" s="1" t="s">
        <v>660</v>
      </c>
      <c r="C471" s="1" t="s">
        <v>23</v>
      </c>
      <c r="D471" s="1">
        <v>30</v>
      </c>
      <c r="E471" s="1" t="s">
        <v>350</v>
      </c>
      <c r="F471" s="1">
        <v>51</v>
      </c>
      <c r="G471" s="1">
        <v>607</v>
      </c>
      <c r="H471" s="1">
        <v>11.7</v>
      </c>
      <c r="I471" s="1">
        <v>0.57599999999999996</v>
      </c>
      <c r="J471" s="1">
        <v>0.755</v>
      </c>
      <c r="K471" s="1">
        <v>0.18099999999999999</v>
      </c>
      <c r="L471" s="1">
        <v>5.2</v>
      </c>
      <c r="M471" s="1">
        <v>15.1</v>
      </c>
      <c r="N471" s="1">
        <v>10.3</v>
      </c>
      <c r="O471" s="1">
        <v>6.9</v>
      </c>
      <c r="P471" s="1">
        <v>0.5</v>
      </c>
      <c r="Q471" s="1">
        <v>0.4</v>
      </c>
      <c r="R471" s="1">
        <v>8.1</v>
      </c>
      <c r="S471" s="1">
        <v>15.1</v>
      </c>
      <c r="T471" s="1"/>
      <c r="U471" s="1">
        <v>0.9</v>
      </c>
      <c r="V471" s="1">
        <v>0.6</v>
      </c>
      <c r="W471" s="1">
        <v>1.5</v>
      </c>
      <c r="X471" s="1">
        <v>0.11799999999999999</v>
      </c>
      <c r="Y471" s="1"/>
      <c r="Z471" s="1">
        <v>0.9</v>
      </c>
      <c r="AA471" s="1">
        <v>-0.6</v>
      </c>
      <c r="AB471" s="1">
        <v>0.3</v>
      </c>
      <c r="AC471" s="1">
        <v>0.4</v>
      </c>
      <c r="AD471">
        <f>Advanced_Table[[#This Row],[VORP]]*82/Advanced_Table[[#This Row],[G]]</f>
        <v>0.64313725490196083</v>
      </c>
    </row>
    <row r="472" spans="1:30" x14ac:dyDescent="0.25">
      <c r="A472" s="1">
        <v>386</v>
      </c>
      <c r="B472" s="1" t="s">
        <v>661</v>
      </c>
      <c r="C472" s="1" t="s">
        <v>287</v>
      </c>
      <c r="D472" s="1">
        <v>22</v>
      </c>
      <c r="E472" s="1" t="s">
        <v>288</v>
      </c>
      <c r="F472" s="1">
        <v>5</v>
      </c>
      <c r="G472" s="1">
        <v>24</v>
      </c>
      <c r="H472" s="1">
        <v>4.7</v>
      </c>
      <c r="I472" s="1">
        <v>0.45</v>
      </c>
      <c r="J472" s="1">
        <v>0.4</v>
      </c>
      <c r="K472" s="1">
        <v>0</v>
      </c>
      <c r="L472" s="1">
        <v>4.8</v>
      </c>
      <c r="M472" s="1">
        <v>17.899999999999999</v>
      </c>
      <c r="N472" s="1">
        <v>11.6</v>
      </c>
      <c r="O472" s="1">
        <v>12.5</v>
      </c>
      <c r="P472" s="1">
        <v>0</v>
      </c>
      <c r="Q472" s="1">
        <v>0</v>
      </c>
      <c r="R472" s="1">
        <v>16.7</v>
      </c>
      <c r="S472" s="1">
        <v>22.1</v>
      </c>
      <c r="T472" s="1"/>
      <c r="U472" s="1">
        <v>0</v>
      </c>
      <c r="V472" s="1">
        <v>0</v>
      </c>
      <c r="W472" s="1">
        <v>0</v>
      </c>
      <c r="X472" s="1">
        <v>-6.6000000000000003E-2</v>
      </c>
      <c r="Y472" s="1"/>
      <c r="Z472" s="1">
        <v>-6.8</v>
      </c>
      <c r="AA472" s="1">
        <v>-3.3</v>
      </c>
      <c r="AB472" s="1">
        <v>-10.1</v>
      </c>
      <c r="AC472" s="1">
        <v>-0.1</v>
      </c>
      <c r="AD472">
        <f>Advanced_Table[[#This Row],[VORP]]*82/Advanced_Table[[#This Row],[G]]</f>
        <v>-1.6400000000000001</v>
      </c>
    </row>
    <row r="473" spans="1:30" x14ac:dyDescent="0.25">
      <c r="A473" s="1">
        <v>387</v>
      </c>
      <c r="B473" s="1" t="s">
        <v>662</v>
      </c>
      <c r="C473" s="1" t="s">
        <v>316</v>
      </c>
      <c r="D473" s="1">
        <v>34</v>
      </c>
      <c r="E473" s="1" t="s">
        <v>288</v>
      </c>
      <c r="F473" s="1">
        <v>63</v>
      </c>
      <c r="G473" s="1">
        <v>2003</v>
      </c>
      <c r="H473" s="1">
        <v>21.7</v>
      </c>
      <c r="I473" s="1">
        <v>0.60899999999999999</v>
      </c>
      <c r="J473" s="1">
        <v>0.34699999999999998</v>
      </c>
      <c r="K473" s="1">
        <v>0.311</v>
      </c>
      <c r="L473" s="1">
        <v>1.2</v>
      </c>
      <c r="M473" s="1">
        <v>15.5</v>
      </c>
      <c r="N473" s="1">
        <v>8.6</v>
      </c>
      <c r="O473" s="1">
        <v>33.4</v>
      </c>
      <c r="P473" s="1">
        <v>2.4</v>
      </c>
      <c r="Q473" s="1">
        <v>0.4</v>
      </c>
      <c r="R473" s="1">
        <v>13</v>
      </c>
      <c r="S473" s="1">
        <v>23.2</v>
      </c>
      <c r="T473" s="1"/>
      <c r="U473" s="1">
        <v>5.6</v>
      </c>
      <c r="V473" s="1">
        <v>2.5</v>
      </c>
      <c r="W473" s="1">
        <v>8.1</v>
      </c>
      <c r="X473" s="1">
        <v>0.19400000000000001</v>
      </c>
      <c r="Y473" s="1"/>
      <c r="Z473" s="1">
        <v>3.2</v>
      </c>
      <c r="AA473" s="1">
        <v>1.2</v>
      </c>
      <c r="AB473" s="1">
        <v>4.4000000000000004</v>
      </c>
      <c r="AC473" s="1">
        <v>3.2</v>
      </c>
      <c r="AD473">
        <f>Advanced_Table[[#This Row],[VORP]]*82/Advanced_Table[[#This Row],[G]]</f>
        <v>4.1650793650793654</v>
      </c>
    </row>
    <row r="474" spans="1:30" x14ac:dyDescent="0.25">
      <c r="A474" s="1">
        <v>388</v>
      </c>
      <c r="B474" s="1" t="s">
        <v>663</v>
      </c>
      <c r="C474" s="1" t="s">
        <v>316</v>
      </c>
      <c r="D474" s="1">
        <v>25</v>
      </c>
      <c r="E474" s="1" t="s">
        <v>332</v>
      </c>
      <c r="F474" s="1">
        <v>44</v>
      </c>
      <c r="G474" s="1">
        <v>1211</v>
      </c>
      <c r="H474" s="1">
        <v>15.9</v>
      </c>
      <c r="I474" s="1">
        <v>0.46800000000000003</v>
      </c>
      <c r="J474" s="1">
        <v>0.16</v>
      </c>
      <c r="K474" s="1">
        <v>0.19</v>
      </c>
      <c r="L474" s="1">
        <v>4.4000000000000004</v>
      </c>
      <c r="M474" s="1">
        <v>14.1</v>
      </c>
      <c r="N474" s="1">
        <v>9.1</v>
      </c>
      <c r="O474" s="1">
        <v>38.4</v>
      </c>
      <c r="P474" s="1">
        <v>2.7</v>
      </c>
      <c r="Q474" s="1">
        <v>1.3</v>
      </c>
      <c r="R474" s="1">
        <v>16.3</v>
      </c>
      <c r="S474" s="1">
        <v>19.600000000000001</v>
      </c>
      <c r="T474" s="1"/>
      <c r="U474" s="1">
        <v>0.5</v>
      </c>
      <c r="V474" s="1">
        <v>1.1000000000000001</v>
      </c>
      <c r="W474" s="1">
        <v>1.6</v>
      </c>
      <c r="X474" s="1">
        <v>6.5000000000000002E-2</v>
      </c>
      <c r="Y474" s="1"/>
      <c r="Z474" s="1">
        <v>-0.4</v>
      </c>
      <c r="AA474" s="1">
        <v>0.4</v>
      </c>
      <c r="AB474" s="1">
        <v>0</v>
      </c>
      <c r="AC474" s="1">
        <v>0.6</v>
      </c>
      <c r="AD474">
        <f>Advanced_Table[[#This Row],[VORP]]*82/Advanced_Table[[#This Row],[G]]</f>
        <v>1.1181818181818182</v>
      </c>
    </row>
    <row r="475" spans="1:30" x14ac:dyDescent="0.25">
      <c r="A475" s="1">
        <v>389</v>
      </c>
      <c r="B475" s="1" t="s">
        <v>963</v>
      </c>
      <c r="C475" s="1" t="s">
        <v>316</v>
      </c>
      <c r="D475" s="1">
        <v>27</v>
      </c>
      <c r="E475" s="1" t="s">
        <v>342</v>
      </c>
      <c r="F475" s="1">
        <v>29</v>
      </c>
      <c r="G475" s="1">
        <v>432</v>
      </c>
      <c r="H475" s="1">
        <v>11.3</v>
      </c>
      <c r="I475" s="1">
        <v>0.47299999999999998</v>
      </c>
      <c r="J475" s="1">
        <v>0.39700000000000002</v>
      </c>
      <c r="K475" s="1">
        <v>6.9000000000000006E-2</v>
      </c>
      <c r="L475" s="1">
        <v>6.3</v>
      </c>
      <c r="M475" s="1">
        <v>14.3</v>
      </c>
      <c r="N475" s="1">
        <v>10.199999999999999</v>
      </c>
      <c r="O475" s="1">
        <v>14.7</v>
      </c>
      <c r="P475" s="1">
        <v>3.6</v>
      </c>
      <c r="Q475" s="1">
        <v>1.4</v>
      </c>
      <c r="R475" s="1">
        <v>14.3</v>
      </c>
      <c r="S475" s="1">
        <v>13.4</v>
      </c>
      <c r="T475" s="1"/>
      <c r="U475" s="1">
        <v>0.1</v>
      </c>
      <c r="V475" s="1">
        <v>0.4</v>
      </c>
      <c r="W475" s="1">
        <v>0.4</v>
      </c>
      <c r="X475" s="1">
        <v>4.9000000000000002E-2</v>
      </c>
      <c r="Y475" s="1"/>
      <c r="Z475" s="1">
        <v>-3.1</v>
      </c>
      <c r="AA475" s="1">
        <v>1.5</v>
      </c>
      <c r="AB475" s="1">
        <v>-1.6</v>
      </c>
      <c r="AC475" s="1">
        <v>0</v>
      </c>
      <c r="AD475">
        <f>Advanced_Table[[#This Row],[VORP]]*82/Advanced_Table[[#This Row],[G]]</f>
        <v>0</v>
      </c>
    </row>
    <row r="476" spans="1:30" x14ac:dyDescent="0.25">
      <c r="A476" s="1">
        <v>390</v>
      </c>
      <c r="B476" s="1" t="s">
        <v>806</v>
      </c>
      <c r="C476" s="1" t="s">
        <v>287</v>
      </c>
      <c r="D476" s="1">
        <v>26</v>
      </c>
      <c r="E476" s="1" t="s">
        <v>361</v>
      </c>
      <c r="F476" s="1">
        <v>20</v>
      </c>
      <c r="G476" s="1">
        <v>178</v>
      </c>
      <c r="H476" s="1">
        <v>11.2</v>
      </c>
      <c r="I476" s="1">
        <v>0.52100000000000002</v>
      </c>
      <c r="J476" s="1">
        <v>0</v>
      </c>
      <c r="K476" s="1">
        <v>0.34300000000000003</v>
      </c>
      <c r="L476" s="1">
        <v>9.9</v>
      </c>
      <c r="M476" s="1">
        <v>27.3</v>
      </c>
      <c r="N476" s="1">
        <v>18.600000000000001</v>
      </c>
      <c r="O476" s="1">
        <v>5.3</v>
      </c>
      <c r="P476" s="1">
        <v>0.3</v>
      </c>
      <c r="Q476" s="1">
        <v>11.9</v>
      </c>
      <c r="R476" s="1">
        <v>24.4</v>
      </c>
      <c r="S476" s="1">
        <v>12.9</v>
      </c>
      <c r="T476" s="1"/>
      <c r="U476" s="1">
        <v>-0.1</v>
      </c>
      <c r="V476" s="1">
        <v>0.4</v>
      </c>
      <c r="W476" s="1">
        <v>0.3</v>
      </c>
      <c r="X476" s="1">
        <v>8.2000000000000003E-2</v>
      </c>
      <c r="Y476" s="1"/>
      <c r="Z476" s="1">
        <v>-7.2</v>
      </c>
      <c r="AA476" s="1">
        <v>3</v>
      </c>
      <c r="AB476" s="1">
        <v>-4.2</v>
      </c>
      <c r="AC476" s="1">
        <v>-0.1</v>
      </c>
      <c r="AD476">
        <f>Advanced_Table[[#This Row],[VORP]]*82/Advanced_Table[[#This Row],[G]]</f>
        <v>-0.41000000000000003</v>
      </c>
    </row>
    <row r="477" spans="1:30" x14ac:dyDescent="0.25">
      <c r="A477" s="1">
        <v>391</v>
      </c>
      <c r="B477" s="1" t="s">
        <v>664</v>
      </c>
      <c r="C477" s="1" t="s">
        <v>294</v>
      </c>
      <c r="D477" s="1">
        <v>24</v>
      </c>
      <c r="E477" s="1" t="s">
        <v>299</v>
      </c>
      <c r="F477" s="1">
        <v>33</v>
      </c>
      <c r="G477" s="1">
        <v>365</v>
      </c>
      <c r="H477" s="1">
        <v>5.2</v>
      </c>
      <c r="I477" s="1">
        <v>0.37</v>
      </c>
      <c r="J477" s="1">
        <v>0.51600000000000001</v>
      </c>
      <c r="K477" s="1">
        <v>0.10299999999999999</v>
      </c>
      <c r="L477" s="1">
        <v>2.9</v>
      </c>
      <c r="M477" s="1">
        <v>12.1</v>
      </c>
      <c r="N477" s="1">
        <v>7.6</v>
      </c>
      <c r="O477" s="1">
        <v>22</v>
      </c>
      <c r="P477" s="1">
        <v>2.2000000000000002</v>
      </c>
      <c r="Q477" s="1">
        <v>0.9</v>
      </c>
      <c r="R477" s="1">
        <v>16.899999999999999</v>
      </c>
      <c r="S477" s="1">
        <v>22.4</v>
      </c>
      <c r="T477" s="1"/>
      <c r="U477" s="1">
        <v>-1</v>
      </c>
      <c r="V477" s="1">
        <v>0.5</v>
      </c>
      <c r="W477" s="1">
        <v>-0.6</v>
      </c>
      <c r="X477" s="1">
        <v>-7.3999999999999996E-2</v>
      </c>
      <c r="Y477" s="1"/>
      <c r="Z477" s="1">
        <v>-6.8</v>
      </c>
      <c r="AA477" s="1">
        <v>-0.2</v>
      </c>
      <c r="AB477" s="1">
        <v>-7</v>
      </c>
      <c r="AC477" s="1">
        <v>-0.5</v>
      </c>
      <c r="AD477">
        <f>Advanced_Table[[#This Row],[VORP]]*82/Advanced_Table[[#This Row],[G]]</f>
        <v>-1.2424242424242424</v>
      </c>
    </row>
    <row r="478" spans="1:30" x14ac:dyDescent="0.25">
      <c r="A478" s="1">
        <v>392</v>
      </c>
      <c r="B478" s="1" t="s">
        <v>665</v>
      </c>
      <c r="C478" s="1" t="s">
        <v>287</v>
      </c>
      <c r="D478" s="1">
        <v>29</v>
      </c>
      <c r="E478" s="1" t="s">
        <v>334</v>
      </c>
      <c r="F478" s="1">
        <v>52</v>
      </c>
      <c r="G478" s="1">
        <v>887</v>
      </c>
      <c r="H478" s="1">
        <v>19.5</v>
      </c>
      <c r="I478" s="1">
        <v>0.61899999999999999</v>
      </c>
      <c r="J478" s="1">
        <v>1.6E-2</v>
      </c>
      <c r="K478" s="1">
        <v>0.56100000000000005</v>
      </c>
      <c r="L478" s="1">
        <v>11.2</v>
      </c>
      <c r="M478" s="1">
        <v>23.9</v>
      </c>
      <c r="N478" s="1">
        <v>17.5</v>
      </c>
      <c r="O478" s="1">
        <v>20.2</v>
      </c>
      <c r="P478" s="1">
        <v>1.6</v>
      </c>
      <c r="Q478" s="1">
        <v>3.3</v>
      </c>
      <c r="R478" s="1">
        <v>18.600000000000001</v>
      </c>
      <c r="S478" s="1">
        <v>18.399999999999999</v>
      </c>
      <c r="T478" s="1"/>
      <c r="U478" s="1">
        <v>1.8</v>
      </c>
      <c r="V478" s="1">
        <v>1.3</v>
      </c>
      <c r="W478" s="1">
        <v>3.1</v>
      </c>
      <c r="X478" s="1">
        <v>0.16800000000000001</v>
      </c>
      <c r="Y478" s="1"/>
      <c r="Z478" s="1">
        <v>0.5</v>
      </c>
      <c r="AA478" s="1">
        <v>2</v>
      </c>
      <c r="AB478" s="1">
        <v>2.5</v>
      </c>
      <c r="AC478" s="1">
        <v>1</v>
      </c>
      <c r="AD478">
        <f>Advanced_Table[[#This Row],[VORP]]*82/Advanced_Table[[#This Row],[G]]</f>
        <v>1.5769230769230769</v>
      </c>
    </row>
    <row r="479" spans="1:30" x14ac:dyDescent="0.25">
      <c r="A479" s="1">
        <v>393</v>
      </c>
      <c r="B479" s="1" t="s">
        <v>666</v>
      </c>
      <c r="C479" s="1" t="s">
        <v>287</v>
      </c>
      <c r="D479" s="1">
        <v>26</v>
      </c>
      <c r="E479" s="1" t="s">
        <v>383</v>
      </c>
      <c r="F479" s="1">
        <v>21</v>
      </c>
      <c r="G479" s="1">
        <v>114</v>
      </c>
      <c r="H479" s="1">
        <v>12.8</v>
      </c>
      <c r="I479" s="1">
        <v>0.54</v>
      </c>
      <c r="J479" s="1">
        <v>6.0999999999999999E-2</v>
      </c>
      <c r="K479" s="1">
        <v>0.21199999999999999</v>
      </c>
      <c r="L479" s="1">
        <v>9.5</v>
      </c>
      <c r="M479" s="1">
        <v>22.4</v>
      </c>
      <c r="N479" s="1">
        <v>16</v>
      </c>
      <c r="O479" s="1">
        <v>8.6</v>
      </c>
      <c r="P479" s="1">
        <v>0.8</v>
      </c>
      <c r="Q479" s="1">
        <v>4.9000000000000004</v>
      </c>
      <c r="R479" s="1">
        <v>14.3</v>
      </c>
      <c r="S479" s="1">
        <v>15.8</v>
      </c>
      <c r="T479" s="1"/>
      <c r="U479" s="1">
        <v>0.1</v>
      </c>
      <c r="V479" s="1">
        <v>0.2</v>
      </c>
      <c r="W479" s="1">
        <v>0.3</v>
      </c>
      <c r="X479" s="1">
        <v>0.124</v>
      </c>
      <c r="Y479" s="1"/>
      <c r="Z479" s="1">
        <v>-4.4000000000000004</v>
      </c>
      <c r="AA479" s="1">
        <v>0.6</v>
      </c>
      <c r="AB479" s="1">
        <v>-3.8</v>
      </c>
      <c r="AC479" s="1">
        <v>-0.1</v>
      </c>
      <c r="AD479">
        <f>Advanced_Table[[#This Row],[VORP]]*82/Advanced_Table[[#This Row],[G]]</f>
        <v>-0.39047619047619053</v>
      </c>
    </row>
    <row r="480" spans="1:30" x14ac:dyDescent="0.25">
      <c r="A480" s="1">
        <v>394</v>
      </c>
      <c r="B480" s="1" t="s">
        <v>667</v>
      </c>
      <c r="C480" s="1" t="s">
        <v>287</v>
      </c>
      <c r="D480" s="1">
        <v>24</v>
      </c>
      <c r="E480" s="1" t="s">
        <v>292</v>
      </c>
      <c r="F480" s="1">
        <v>58</v>
      </c>
      <c r="G480" s="1">
        <v>965</v>
      </c>
      <c r="H480" s="1">
        <v>19.600000000000001</v>
      </c>
      <c r="I480" s="1">
        <v>0.61099999999999999</v>
      </c>
      <c r="J480" s="1">
        <v>0</v>
      </c>
      <c r="K480" s="1">
        <v>0.33900000000000002</v>
      </c>
      <c r="L480" s="1">
        <v>11.6</v>
      </c>
      <c r="M480" s="1">
        <v>23</v>
      </c>
      <c r="N480" s="1">
        <v>17.3</v>
      </c>
      <c r="O480" s="1">
        <v>14.6</v>
      </c>
      <c r="P480" s="1">
        <v>1.5</v>
      </c>
      <c r="Q480" s="1">
        <v>7.7</v>
      </c>
      <c r="R480" s="1">
        <v>15.2</v>
      </c>
      <c r="S480" s="1">
        <v>13.3</v>
      </c>
      <c r="T480" s="1"/>
      <c r="U480" s="1">
        <v>2</v>
      </c>
      <c r="V480" s="1">
        <v>1.3</v>
      </c>
      <c r="W480" s="1">
        <v>3.3</v>
      </c>
      <c r="X480" s="1">
        <v>0.16500000000000001</v>
      </c>
      <c r="Y480" s="1"/>
      <c r="Z480" s="1">
        <v>0.8</v>
      </c>
      <c r="AA480" s="1">
        <v>2.2999999999999998</v>
      </c>
      <c r="AB480" s="1">
        <v>3.1</v>
      </c>
      <c r="AC480" s="1">
        <v>1.2</v>
      </c>
      <c r="AD480">
        <f>Advanced_Table[[#This Row],[VORP]]*82/Advanced_Table[[#This Row],[G]]</f>
        <v>1.6965517241379309</v>
      </c>
    </row>
    <row r="481" spans="1:30" x14ac:dyDescent="0.25">
      <c r="A481" s="1">
        <v>395</v>
      </c>
      <c r="B481" s="1" t="s">
        <v>807</v>
      </c>
      <c r="C481" s="1" t="s">
        <v>316</v>
      </c>
      <c r="D481" s="1">
        <v>21</v>
      </c>
      <c r="E481" s="1" t="s">
        <v>314</v>
      </c>
      <c r="F481" s="1">
        <v>4</v>
      </c>
      <c r="G481" s="1">
        <v>11</v>
      </c>
      <c r="H481" s="1">
        <v>33.200000000000003</v>
      </c>
      <c r="I481" s="1">
        <v>0.76500000000000001</v>
      </c>
      <c r="J481" s="1">
        <v>0.4</v>
      </c>
      <c r="K481" s="1">
        <v>0.4</v>
      </c>
      <c r="L481" s="1">
        <v>0</v>
      </c>
      <c r="M481" s="1">
        <v>9.4</v>
      </c>
      <c r="N481" s="1">
        <v>4.8</v>
      </c>
      <c r="O481" s="1">
        <v>32.1</v>
      </c>
      <c r="P481" s="1">
        <v>0</v>
      </c>
      <c r="Q481" s="1">
        <v>8.8000000000000007</v>
      </c>
      <c r="R481" s="1">
        <v>0</v>
      </c>
      <c r="S481" s="1">
        <v>22.9</v>
      </c>
      <c r="T481" s="1"/>
      <c r="U481" s="1">
        <v>0.1</v>
      </c>
      <c r="V481" s="1">
        <v>0</v>
      </c>
      <c r="W481" s="1">
        <v>0.1</v>
      </c>
      <c r="X481" s="1">
        <v>0.45100000000000001</v>
      </c>
      <c r="Y481" s="1"/>
      <c r="Z481" s="1">
        <v>8.5</v>
      </c>
      <c r="AA481" s="1">
        <v>5.2</v>
      </c>
      <c r="AB481" s="1">
        <v>13.7</v>
      </c>
      <c r="AC481" s="1">
        <v>0</v>
      </c>
      <c r="AD481">
        <f>Advanced_Table[[#This Row],[VORP]]*82/Advanced_Table[[#This Row],[G]]</f>
        <v>0</v>
      </c>
    </row>
    <row r="482" spans="1:30" x14ac:dyDescent="0.25">
      <c r="A482" s="1">
        <v>396</v>
      </c>
      <c r="B482" s="1" t="s">
        <v>668</v>
      </c>
      <c r="C482" s="1" t="s">
        <v>294</v>
      </c>
      <c r="D482" s="1">
        <v>20</v>
      </c>
      <c r="E482" s="1" t="s">
        <v>369</v>
      </c>
      <c r="F482" s="1">
        <v>57</v>
      </c>
      <c r="G482" s="1">
        <v>1274</v>
      </c>
      <c r="H482" s="1">
        <v>7.2</v>
      </c>
      <c r="I482" s="1">
        <v>0.45400000000000001</v>
      </c>
      <c r="J482" s="1">
        <v>0.52800000000000002</v>
      </c>
      <c r="K482" s="1">
        <v>0.23699999999999999</v>
      </c>
      <c r="L482" s="1">
        <v>0.7</v>
      </c>
      <c r="M482" s="1">
        <v>9.6</v>
      </c>
      <c r="N482" s="1">
        <v>5</v>
      </c>
      <c r="O482" s="1">
        <v>15.8</v>
      </c>
      <c r="P482" s="1">
        <v>1.3</v>
      </c>
      <c r="Q482" s="1">
        <v>0.7</v>
      </c>
      <c r="R482" s="1">
        <v>11.8</v>
      </c>
      <c r="S482" s="1">
        <v>21.1</v>
      </c>
      <c r="T482" s="1"/>
      <c r="U482" s="1">
        <v>-1.6</v>
      </c>
      <c r="V482" s="1">
        <v>0.4</v>
      </c>
      <c r="W482" s="1">
        <v>-1.2</v>
      </c>
      <c r="X482" s="1">
        <v>-4.7E-2</v>
      </c>
      <c r="Y482" s="1"/>
      <c r="Z482" s="1">
        <v>-4.4000000000000004</v>
      </c>
      <c r="AA482" s="1">
        <v>-2.1</v>
      </c>
      <c r="AB482" s="1">
        <v>-6.6</v>
      </c>
      <c r="AC482" s="1">
        <v>-1.5</v>
      </c>
      <c r="AD482">
        <f>Advanced_Table[[#This Row],[VORP]]*82/Advanced_Table[[#This Row],[G]]</f>
        <v>-2.1578947368421053</v>
      </c>
    </row>
    <row r="483" spans="1:30" x14ac:dyDescent="0.25">
      <c r="A483" s="1">
        <v>397</v>
      </c>
      <c r="B483" s="1" t="s">
        <v>669</v>
      </c>
      <c r="C483" s="1" t="s">
        <v>303</v>
      </c>
      <c r="D483" s="1">
        <v>19</v>
      </c>
      <c r="E483" s="1" t="s">
        <v>411</v>
      </c>
      <c r="F483" s="1">
        <v>50</v>
      </c>
      <c r="G483" s="1">
        <v>1162</v>
      </c>
      <c r="H483" s="1">
        <v>10.8</v>
      </c>
      <c r="I483" s="1">
        <v>0.53500000000000003</v>
      </c>
      <c r="J483" s="1">
        <v>0.375</v>
      </c>
      <c r="K483" s="1">
        <v>0.24</v>
      </c>
      <c r="L483" s="1">
        <v>2.1</v>
      </c>
      <c r="M483" s="1">
        <v>13.5</v>
      </c>
      <c r="N483" s="1">
        <v>7.7</v>
      </c>
      <c r="O483" s="1">
        <v>13.9</v>
      </c>
      <c r="P483" s="1">
        <v>1.9</v>
      </c>
      <c r="Q483" s="1">
        <v>1</v>
      </c>
      <c r="R483" s="1">
        <v>16.7</v>
      </c>
      <c r="S483" s="1">
        <v>20.5</v>
      </c>
      <c r="T483" s="1"/>
      <c r="U483" s="1">
        <v>-0.3</v>
      </c>
      <c r="V483" s="1">
        <v>0.6</v>
      </c>
      <c r="W483" s="1">
        <v>0.3</v>
      </c>
      <c r="X483" s="1">
        <v>1.0999999999999999E-2</v>
      </c>
      <c r="Y483" s="1"/>
      <c r="Z483" s="1">
        <v>-3.2</v>
      </c>
      <c r="AA483" s="1">
        <v>-0.7</v>
      </c>
      <c r="AB483" s="1">
        <v>-3.8</v>
      </c>
      <c r="AC483" s="1">
        <v>-0.6</v>
      </c>
      <c r="AD483">
        <f>Advanced_Table[[#This Row],[VORP]]*82/Advanced_Table[[#This Row],[G]]</f>
        <v>-0.98399999999999987</v>
      </c>
    </row>
    <row r="484" spans="1:30" x14ac:dyDescent="0.25">
      <c r="A484" s="1">
        <v>398</v>
      </c>
      <c r="B484" s="1" t="s">
        <v>670</v>
      </c>
      <c r="C484" s="1" t="s">
        <v>23</v>
      </c>
      <c r="D484" s="1">
        <v>21</v>
      </c>
      <c r="E484" s="1" t="s">
        <v>334</v>
      </c>
      <c r="F484" s="1">
        <v>47</v>
      </c>
      <c r="G484" s="1">
        <v>665</v>
      </c>
      <c r="H484" s="1">
        <v>18.8</v>
      </c>
      <c r="I484" s="1">
        <v>0.59499999999999997</v>
      </c>
      <c r="J484" s="1">
        <v>0.36199999999999999</v>
      </c>
      <c r="K484" s="1">
        <v>0.152</v>
      </c>
      <c r="L484" s="1">
        <v>8.9</v>
      </c>
      <c r="M484" s="1">
        <v>24.3</v>
      </c>
      <c r="N484" s="1">
        <v>16.600000000000001</v>
      </c>
      <c r="O484" s="1">
        <v>8.1</v>
      </c>
      <c r="P484" s="1">
        <v>1.4</v>
      </c>
      <c r="Q484" s="1">
        <v>2.6</v>
      </c>
      <c r="R484" s="1">
        <v>10.4</v>
      </c>
      <c r="S484" s="1">
        <v>21.9</v>
      </c>
      <c r="T484" s="1"/>
      <c r="U484" s="1">
        <v>1.1000000000000001</v>
      </c>
      <c r="V484" s="1">
        <v>0.9</v>
      </c>
      <c r="W484" s="1">
        <v>2</v>
      </c>
      <c r="X484" s="1">
        <v>0.14499999999999999</v>
      </c>
      <c r="Y484" s="1"/>
      <c r="Z484" s="1">
        <v>1.7</v>
      </c>
      <c r="AA484" s="1">
        <v>-0.7</v>
      </c>
      <c r="AB484" s="1">
        <v>1</v>
      </c>
      <c r="AC484" s="1">
        <v>0.5</v>
      </c>
      <c r="AD484">
        <f>Advanced_Table[[#This Row],[VORP]]*82/Advanced_Table[[#This Row],[G]]</f>
        <v>0.87234042553191493</v>
      </c>
    </row>
    <row r="485" spans="1:30" x14ac:dyDescent="0.25">
      <c r="A485" s="1">
        <v>399</v>
      </c>
      <c r="B485" s="1" t="s">
        <v>671</v>
      </c>
      <c r="C485" s="1" t="s">
        <v>303</v>
      </c>
      <c r="D485" s="1">
        <v>26</v>
      </c>
      <c r="E485" s="1" t="s">
        <v>317</v>
      </c>
      <c r="F485" s="1">
        <v>14</v>
      </c>
      <c r="G485" s="1">
        <v>331</v>
      </c>
      <c r="H485" s="1">
        <v>15.8</v>
      </c>
      <c r="I485" s="1">
        <v>0.55000000000000004</v>
      </c>
      <c r="J485" s="1">
        <v>0.443</v>
      </c>
      <c r="K485" s="1">
        <v>0.193</v>
      </c>
      <c r="L485" s="1">
        <v>4.0999999999999996</v>
      </c>
      <c r="M485" s="1">
        <v>12.3</v>
      </c>
      <c r="N485" s="1">
        <v>8</v>
      </c>
      <c r="O485" s="1">
        <v>11.9</v>
      </c>
      <c r="P485" s="1">
        <v>2.2000000000000002</v>
      </c>
      <c r="Q485" s="1">
        <v>1.7</v>
      </c>
      <c r="R485" s="1">
        <v>6.8</v>
      </c>
      <c r="S485" s="1">
        <v>21</v>
      </c>
      <c r="T485" s="1"/>
      <c r="U485" s="1">
        <v>0.4</v>
      </c>
      <c r="V485" s="1">
        <v>0.4</v>
      </c>
      <c r="W485" s="1">
        <v>0.8</v>
      </c>
      <c r="X485" s="1">
        <v>0.112</v>
      </c>
      <c r="Y485" s="1"/>
      <c r="Z485" s="1">
        <v>0.7</v>
      </c>
      <c r="AA485" s="1">
        <v>0.3</v>
      </c>
      <c r="AB485" s="1">
        <v>1</v>
      </c>
      <c r="AC485" s="1">
        <v>0.3</v>
      </c>
      <c r="AD485">
        <f>Advanced_Table[[#This Row],[VORP]]*82/Advanced_Table[[#This Row],[G]]</f>
        <v>1.7571428571428569</v>
      </c>
    </row>
    <row r="486" spans="1:30" x14ac:dyDescent="0.25">
      <c r="A486" s="1">
        <v>400</v>
      </c>
      <c r="B486" s="1" t="s">
        <v>672</v>
      </c>
      <c r="C486" s="1" t="s">
        <v>287</v>
      </c>
      <c r="D486" s="1">
        <v>24</v>
      </c>
      <c r="E486" s="1" t="s">
        <v>332</v>
      </c>
      <c r="F486" s="1">
        <v>65</v>
      </c>
      <c r="G486" s="1">
        <v>1376</v>
      </c>
      <c r="H486" s="1">
        <v>14.7</v>
      </c>
      <c r="I486" s="1">
        <v>0.53100000000000003</v>
      </c>
      <c r="J486" s="1">
        <v>0.318</v>
      </c>
      <c r="K486" s="1">
        <v>0.16</v>
      </c>
      <c r="L486" s="1">
        <v>6</v>
      </c>
      <c r="M486" s="1">
        <v>20.5</v>
      </c>
      <c r="N486" s="1">
        <v>13</v>
      </c>
      <c r="O486" s="1">
        <v>11</v>
      </c>
      <c r="P486" s="1">
        <v>1.1000000000000001</v>
      </c>
      <c r="Q486" s="1">
        <v>1.2</v>
      </c>
      <c r="R486" s="1">
        <v>10.4</v>
      </c>
      <c r="S486" s="1">
        <v>21.4</v>
      </c>
      <c r="T486" s="1"/>
      <c r="U486" s="1">
        <v>0.9</v>
      </c>
      <c r="V486" s="1">
        <v>1</v>
      </c>
      <c r="W486" s="1">
        <v>1.9</v>
      </c>
      <c r="X486" s="1">
        <v>6.5000000000000002E-2</v>
      </c>
      <c r="Y486" s="1"/>
      <c r="Z486" s="1">
        <v>0</v>
      </c>
      <c r="AA486" s="1">
        <v>-1</v>
      </c>
      <c r="AB486" s="1">
        <v>-1</v>
      </c>
      <c r="AC486" s="1">
        <v>0.3</v>
      </c>
      <c r="AD486">
        <f>Advanced_Table[[#This Row],[VORP]]*82/Advanced_Table[[#This Row],[G]]</f>
        <v>0.3784615384615384</v>
      </c>
    </row>
    <row r="487" spans="1:30" x14ac:dyDescent="0.25">
      <c r="A487" s="1">
        <v>401</v>
      </c>
      <c r="B487" s="1" t="s">
        <v>673</v>
      </c>
      <c r="C487" s="1" t="s">
        <v>23</v>
      </c>
      <c r="D487" s="1">
        <v>24</v>
      </c>
      <c r="E487" s="1" t="s">
        <v>329</v>
      </c>
      <c r="F487" s="1">
        <v>51</v>
      </c>
      <c r="G487" s="1">
        <v>1597</v>
      </c>
      <c r="H487" s="1">
        <v>19.3</v>
      </c>
      <c r="I487" s="1">
        <v>0.54</v>
      </c>
      <c r="J487" s="1">
        <v>0.44700000000000001</v>
      </c>
      <c r="K487" s="1">
        <v>0.28199999999999997</v>
      </c>
      <c r="L487" s="1">
        <v>6</v>
      </c>
      <c r="M487" s="1">
        <v>25.3</v>
      </c>
      <c r="N487" s="1">
        <v>15.8</v>
      </c>
      <c r="O487" s="1">
        <v>8.6</v>
      </c>
      <c r="P487" s="1">
        <v>1.1000000000000001</v>
      </c>
      <c r="Q487" s="1">
        <v>5.6</v>
      </c>
      <c r="R487" s="1">
        <v>8.5</v>
      </c>
      <c r="S487" s="1">
        <v>26.6</v>
      </c>
      <c r="T487" s="1"/>
      <c r="U487" s="1">
        <v>1.8</v>
      </c>
      <c r="V487" s="1">
        <v>2.5</v>
      </c>
      <c r="W487" s="1">
        <v>4.3</v>
      </c>
      <c r="X487" s="1">
        <v>0.128</v>
      </c>
      <c r="Y487" s="1"/>
      <c r="Z487" s="1">
        <v>1.3</v>
      </c>
      <c r="AA487" s="1">
        <v>0.2</v>
      </c>
      <c r="AB487" s="1">
        <v>1.5</v>
      </c>
      <c r="AC487" s="1">
        <v>1.4</v>
      </c>
      <c r="AD487">
        <f>Advanced_Table[[#This Row],[VORP]]*82/Advanced_Table[[#This Row],[G]]</f>
        <v>2.2509803921568627</v>
      </c>
    </row>
    <row r="488" spans="1:30" x14ac:dyDescent="0.25">
      <c r="A488" s="1">
        <v>402</v>
      </c>
      <c r="B488" s="1" t="s">
        <v>674</v>
      </c>
      <c r="C488" s="1" t="s">
        <v>287</v>
      </c>
      <c r="D488" s="1">
        <v>28</v>
      </c>
      <c r="E488" s="1" t="s">
        <v>329</v>
      </c>
      <c r="F488" s="1">
        <v>40</v>
      </c>
      <c r="G488" s="1">
        <v>1061</v>
      </c>
      <c r="H488" s="1">
        <v>16</v>
      </c>
      <c r="I488" s="1">
        <v>0.67700000000000005</v>
      </c>
      <c r="J488" s="1">
        <v>0.17</v>
      </c>
      <c r="K488" s="1">
        <v>0.48499999999999999</v>
      </c>
      <c r="L488" s="1">
        <v>7.5</v>
      </c>
      <c r="M488" s="1">
        <v>14.7</v>
      </c>
      <c r="N488" s="1">
        <v>11.2</v>
      </c>
      <c r="O488" s="1">
        <v>7.7</v>
      </c>
      <c r="P488" s="1">
        <v>1.6</v>
      </c>
      <c r="Q488" s="1">
        <v>1.8</v>
      </c>
      <c r="R488" s="1">
        <v>11.5</v>
      </c>
      <c r="S488" s="1">
        <v>12.7</v>
      </c>
      <c r="T488" s="1"/>
      <c r="U488" s="1">
        <v>2.6</v>
      </c>
      <c r="V488" s="1">
        <v>1.1000000000000001</v>
      </c>
      <c r="W488" s="1">
        <v>3.7</v>
      </c>
      <c r="X488" s="1">
        <v>0.16800000000000001</v>
      </c>
      <c r="Y488" s="1"/>
      <c r="Z488" s="1">
        <v>0.5</v>
      </c>
      <c r="AA488" s="1">
        <v>0.9</v>
      </c>
      <c r="AB488" s="1">
        <v>1.4</v>
      </c>
      <c r="AC488" s="1">
        <v>0.9</v>
      </c>
      <c r="AD488">
        <f>Advanced_Table[[#This Row],[VORP]]*82/Advanced_Table[[#This Row],[G]]</f>
        <v>1.845</v>
      </c>
    </row>
    <row r="489" spans="1:30" x14ac:dyDescent="0.25">
      <c r="A489" s="1">
        <v>403</v>
      </c>
      <c r="B489" s="1" t="s">
        <v>675</v>
      </c>
      <c r="C489" s="1" t="s">
        <v>294</v>
      </c>
      <c r="D489" s="1">
        <v>26</v>
      </c>
      <c r="E489" s="1" t="s">
        <v>314</v>
      </c>
      <c r="F489" s="1">
        <v>44</v>
      </c>
      <c r="G489" s="1">
        <v>1269</v>
      </c>
      <c r="H489" s="1">
        <v>17.399999999999999</v>
      </c>
      <c r="I489" s="1">
        <v>0.629</v>
      </c>
      <c r="J489" s="1">
        <v>0.45700000000000002</v>
      </c>
      <c r="K489" s="1">
        <v>0.252</v>
      </c>
      <c r="L489" s="1">
        <v>2</v>
      </c>
      <c r="M489" s="1">
        <v>11.2</v>
      </c>
      <c r="N489" s="1">
        <v>6.7</v>
      </c>
      <c r="O489" s="1">
        <v>9.6999999999999993</v>
      </c>
      <c r="P489" s="1">
        <v>2.1</v>
      </c>
      <c r="Q489" s="1">
        <v>1.3</v>
      </c>
      <c r="R489" s="1">
        <v>10</v>
      </c>
      <c r="S489" s="1">
        <v>21.5</v>
      </c>
      <c r="T489" s="1"/>
      <c r="U489" s="1">
        <v>2.2000000000000002</v>
      </c>
      <c r="V489" s="1">
        <v>1.9</v>
      </c>
      <c r="W489" s="1">
        <v>4.2</v>
      </c>
      <c r="X489" s="1">
        <v>0.157</v>
      </c>
      <c r="Y489" s="1"/>
      <c r="Z489" s="1">
        <v>1.5</v>
      </c>
      <c r="AA489" s="1">
        <v>0.9</v>
      </c>
      <c r="AB489" s="1">
        <v>2.4</v>
      </c>
      <c r="AC489" s="1">
        <v>1.4</v>
      </c>
      <c r="AD489">
        <f>Advanced_Table[[#This Row],[VORP]]*82/Advanced_Table[[#This Row],[G]]</f>
        <v>2.6090909090909089</v>
      </c>
    </row>
    <row r="490" spans="1:30" x14ac:dyDescent="0.25">
      <c r="A490" s="1">
        <v>404</v>
      </c>
      <c r="B490" s="1" t="s">
        <v>1842</v>
      </c>
      <c r="C490" s="1" t="s">
        <v>316</v>
      </c>
      <c r="D490" s="1">
        <v>26</v>
      </c>
      <c r="E490" s="1" t="s">
        <v>369</v>
      </c>
      <c r="F490" s="1">
        <v>3</v>
      </c>
      <c r="G490" s="1">
        <v>40</v>
      </c>
      <c r="H490" s="1">
        <v>6.7</v>
      </c>
      <c r="I490" s="1">
        <v>0.377</v>
      </c>
      <c r="J490" s="1">
        <v>0.5</v>
      </c>
      <c r="K490" s="1">
        <v>1.5</v>
      </c>
      <c r="L490" s="1">
        <v>0</v>
      </c>
      <c r="M490" s="1">
        <v>5.6</v>
      </c>
      <c r="N490" s="1">
        <v>2.7</v>
      </c>
      <c r="O490" s="1">
        <v>15.7</v>
      </c>
      <c r="P490" s="1">
        <v>2.4</v>
      </c>
      <c r="Q490" s="1">
        <v>0</v>
      </c>
      <c r="R490" s="1">
        <v>0</v>
      </c>
      <c r="S490" s="1">
        <v>7.1</v>
      </c>
      <c r="T490" s="1"/>
      <c r="U490" s="1">
        <v>0</v>
      </c>
      <c r="V490" s="1">
        <v>0</v>
      </c>
      <c r="W490" s="1">
        <v>0</v>
      </c>
      <c r="X490" s="1">
        <v>4.3999999999999997E-2</v>
      </c>
      <c r="Y490" s="1"/>
      <c r="Z490" s="1">
        <v>-6</v>
      </c>
      <c r="AA490" s="1">
        <v>0.2</v>
      </c>
      <c r="AB490" s="1">
        <v>-5.8</v>
      </c>
      <c r="AC490" s="1">
        <v>0</v>
      </c>
      <c r="AD490">
        <f>Advanced_Table[[#This Row],[VORP]]*82/Advanced_Table[[#This Row],[G]]</f>
        <v>0</v>
      </c>
    </row>
    <row r="491" spans="1:30" x14ac:dyDescent="0.25">
      <c r="A491" s="1">
        <v>405</v>
      </c>
      <c r="B491" s="1" t="s">
        <v>676</v>
      </c>
      <c r="C491" s="1" t="s">
        <v>23</v>
      </c>
      <c r="D491" s="1">
        <v>25</v>
      </c>
      <c r="E491" s="1" t="s">
        <v>332</v>
      </c>
      <c r="F491" s="1">
        <v>63</v>
      </c>
      <c r="G491" s="1">
        <v>2042</v>
      </c>
      <c r="H491" s="1">
        <v>17.3</v>
      </c>
      <c r="I491" s="1">
        <v>0.53400000000000003</v>
      </c>
      <c r="J491" s="1">
        <v>0.22900000000000001</v>
      </c>
      <c r="K491" s="1">
        <v>0.35399999999999998</v>
      </c>
      <c r="L491" s="1">
        <v>7.7</v>
      </c>
      <c r="M491" s="1">
        <v>24.8</v>
      </c>
      <c r="N491" s="1">
        <v>16</v>
      </c>
      <c r="O491" s="1">
        <v>15.8</v>
      </c>
      <c r="P491" s="1">
        <v>1.2</v>
      </c>
      <c r="Q491" s="1">
        <v>1</v>
      </c>
      <c r="R491" s="1">
        <v>14.3</v>
      </c>
      <c r="S491" s="1">
        <v>27.6</v>
      </c>
      <c r="T491" s="1"/>
      <c r="U491" s="1">
        <v>0.9</v>
      </c>
      <c r="V491" s="1">
        <v>1.7</v>
      </c>
      <c r="W491" s="1">
        <v>2.5</v>
      </c>
      <c r="X491" s="1">
        <v>0.06</v>
      </c>
      <c r="Y491" s="1"/>
      <c r="Z491" s="1">
        <v>0.6</v>
      </c>
      <c r="AA491" s="1">
        <v>-0.9</v>
      </c>
      <c r="AB491" s="1">
        <v>-0.4</v>
      </c>
      <c r="AC491" s="1">
        <v>0.8</v>
      </c>
      <c r="AD491">
        <f>Advanced_Table[[#This Row],[VORP]]*82/Advanced_Table[[#This Row],[G]]</f>
        <v>1.0412698412698413</v>
      </c>
    </row>
    <row r="492" spans="1:30" x14ac:dyDescent="0.25">
      <c r="A492" s="1">
        <v>406</v>
      </c>
      <c r="B492" s="1" t="s">
        <v>981</v>
      </c>
      <c r="C492" s="1" t="s">
        <v>294</v>
      </c>
      <c r="D492" s="1">
        <v>22</v>
      </c>
      <c r="E492" s="1" t="s">
        <v>329</v>
      </c>
      <c r="F492" s="1">
        <v>2</v>
      </c>
      <c r="G492" s="1">
        <v>1</v>
      </c>
      <c r="H492" s="1">
        <v>-40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42.8</v>
      </c>
      <c r="T492" s="1"/>
      <c r="U492" s="1">
        <v>0</v>
      </c>
      <c r="V492" s="1">
        <v>0</v>
      </c>
      <c r="W492" s="1">
        <v>0</v>
      </c>
      <c r="X492" s="1">
        <v>-1.038</v>
      </c>
      <c r="Y492" s="1"/>
      <c r="Z492" s="1">
        <v>-24.2</v>
      </c>
      <c r="AA492" s="1">
        <v>-15.1</v>
      </c>
      <c r="AB492" s="1">
        <v>-39.299999999999997</v>
      </c>
      <c r="AC492" s="1">
        <v>0</v>
      </c>
      <c r="AD492">
        <f>Advanced_Table[[#This Row],[VORP]]*82/Advanced_Table[[#This Row],[G]]</f>
        <v>0</v>
      </c>
    </row>
    <row r="493" spans="1:30" x14ac:dyDescent="0.25">
      <c r="A493" s="1">
        <v>407</v>
      </c>
      <c r="B493" s="1" t="s">
        <v>677</v>
      </c>
      <c r="C493" s="1" t="s">
        <v>303</v>
      </c>
      <c r="D493" s="1">
        <v>20</v>
      </c>
      <c r="E493" s="1" t="s">
        <v>347</v>
      </c>
      <c r="F493" s="1">
        <v>57</v>
      </c>
      <c r="G493" s="1">
        <v>1516</v>
      </c>
      <c r="H493" s="1">
        <v>9.1</v>
      </c>
      <c r="I493" s="1">
        <v>0.502</v>
      </c>
      <c r="J493" s="1">
        <v>0.45300000000000001</v>
      </c>
      <c r="K493" s="1">
        <v>0.23300000000000001</v>
      </c>
      <c r="L493" s="1">
        <v>2.5</v>
      </c>
      <c r="M493" s="1">
        <v>12.6</v>
      </c>
      <c r="N493" s="1">
        <v>7.5</v>
      </c>
      <c r="O493" s="1">
        <v>8.1999999999999993</v>
      </c>
      <c r="P493" s="1">
        <v>1.8</v>
      </c>
      <c r="Q493" s="1">
        <v>1.5</v>
      </c>
      <c r="R493" s="1">
        <v>13.5</v>
      </c>
      <c r="S493" s="1">
        <v>18.899999999999999</v>
      </c>
      <c r="T493" s="1"/>
      <c r="U493" s="1">
        <v>-1</v>
      </c>
      <c r="V493" s="1">
        <v>0.8</v>
      </c>
      <c r="W493" s="1">
        <v>-0.3</v>
      </c>
      <c r="X493" s="1">
        <v>-8.9999999999999993E-3</v>
      </c>
      <c r="Y493" s="1"/>
      <c r="Z493" s="1">
        <v>-3.1</v>
      </c>
      <c r="AA493" s="1">
        <v>-0.9</v>
      </c>
      <c r="AB493" s="1">
        <v>-4</v>
      </c>
      <c r="AC493" s="1">
        <v>-0.8</v>
      </c>
      <c r="AD493">
        <f>Advanced_Table[[#This Row],[VORP]]*82/Advanced_Table[[#This Row],[G]]</f>
        <v>-1.1508771929824564</v>
      </c>
    </row>
    <row r="494" spans="1:30" x14ac:dyDescent="0.25">
      <c r="A494" s="1">
        <v>408</v>
      </c>
      <c r="B494" s="1" t="s">
        <v>678</v>
      </c>
      <c r="C494" s="1" t="s">
        <v>294</v>
      </c>
      <c r="D494" s="1">
        <v>35</v>
      </c>
      <c r="E494" s="1" t="s">
        <v>295</v>
      </c>
      <c r="F494" s="1">
        <v>54</v>
      </c>
      <c r="G494" s="1">
        <v>1425</v>
      </c>
      <c r="H494" s="1">
        <v>15.1</v>
      </c>
      <c r="I494" s="1">
        <v>0.63900000000000001</v>
      </c>
      <c r="J494" s="1">
        <v>0.61799999999999999</v>
      </c>
      <c r="K494" s="1">
        <v>0.29199999999999998</v>
      </c>
      <c r="L494" s="1">
        <v>0.7</v>
      </c>
      <c r="M494" s="1">
        <v>9.6999999999999993</v>
      </c>
      <c r="N494" s="1">
        <v>5.2</v>
      </c>
      <c r="O494" s="1">
        <v>10.8</v>
      </c>
      <c r="P494" s="1">
        <v>0.6</v>
      </c>
      <c r="Q494" s="1">
        <v>0.5</v>
      </c>
      <c r="R494" s="1">
        <v>9.4</v>
      </c>
      <c r="S494" s="1">
        <v>19.899999999999999</v>
      </c>
      <c r="T494" s="1"/>
      <c r="U494" s="1">
        <v>3.2</v>
      </c>
      <c r="V494" s="1">
        <v>0.6</v>
      </c>
      <c r="W494" s="1">
        <v>3.7</v>
      </c>
      <c r="X494" s="1">
        <v>0.125</v>
      </c>
      <c r="Y494" s="1"/>
      <c r="Z494" s="1">
        <v>2.1</v>
      </c>
      <c r="AA494" s="1">
        <v>-1.7</v>
      </c>
      <c r="AB494" s="1">
        <v>0.4</v>
      </c>
      <c r="AC494" s="1">
        <v>0.9</v>
      </c>
      <c r="AD494">
        <f>Advanced_Table[[#This Row],[VORP]]*82/Advanced_Table[[#This Row],[G]]</f>
        <v>1.3666666666666667</v>
      </c>
    </row>
    <row r="495" spans="1:30" x14ac:dyDescent="0.25">
      <c r="A495" s="1">
        <v>409</v>
      </c>
      <c r="B495" s="1" t="s">
        <v>818</v>
      </c>
      <c r="C495" s="1" t="s">
        <v>287</v>
      </c>
      <c r="D495" s="1">
        <v>20</v>
      </c>
      <c r="E495" s="1" t="s">
        <v>336</v>
      </c>
      <c r="F495" s="1">
        <v>30</v>
      </c>
      <c r="G495" s="1">
        <v>495</v>
      </c>
      <c r="H495" s="1">
        <v>15.3</v>
      </c>
      <c r="I495" s="1">
        <v>0.505</v>
      </c>
      <c r="J495" s="1">
        <v>0.39900000000000002</v>
      </c>
      <c r="K495" s="1">
        <v>0.218</v>
      </c>
      <c r="L495" s="1">
        <v>7</v>
      </c>
      <c r="M495" s="1">
        <v>19.899999999999999</v>
      </c>
      <c r="N495" s="1">
        <v>13.2</v>
      </c>
      <c r="O495" s="1">
        <v>11.2</v>
      </c>
      <c r="P495" s="1">
        <v>1.8</v>
      </c>
      <c r="Q495" s="1">
        <v>3.7</v>
      </c>
      <c r="R495" s="1">
        <v>7.6</v>
      </c>
      <c r="S495" s="1">
        <v>24</v>
      </c>
      <c r="T495" s="1"/>
      <c r="U495" s="1">
        <v>0.2</v>
      </c>
      <c r="V495" s="1">
        <v>0.6</v>
      </c>
      <c r="W495" s="1">
        <v>0.8</v>
      </c>
      <c r="X495" s="1">
        <v>7.3999999999999996E-2</v>
      </c>
      <c r="Y495" s="1"/>
      <c r="Z495" s="1">
        <v>-1.5</v>
      </c>
      <c r="AA495" s="1">
        <v>-0.4</v>
      </c>
      <c r="AB495" s="1">
        <v>-1.9</v>
      </c>
      <c r="AC495" s="1">
        <v>0</v>
      </c>
      <c r="AD495">
        <f>Advanced_Table[[#This Row],[VORP]]*82/Advanced_Table[[#This Row],[G]]</f>
        <v>0</v>
      </c>
    </row>
    <row r="496" spans="1:30" x14ac:dyDescent="0.25">
      <c r="A496" s="1">
        <v>410</v>
      </c>
      <c r="B496" s="1" t="s">
        <v>679</v>
      </c>
      <c r="C496" s="1" t="s">
        <v>294</v>
      </c>
      <c r="D496" s="1">
        <v>26</v>
      </c>
      <c r="E496" s="1" t="s">
        <v>361</v>
      </c>
      <c r="F496" s="1">
        <v>47</v>
      </c>
      <c r="G496" s="1">
        <v>1445</v>
      </c>
      <c r="H496" s="1">
        <v>12.2</v>
      </c>
      <c r="I496" s="1">
        <v>0.52600000000000002</v>
      </c>
      <c r="J496" s="1">
        <v>0.373</v>
      </c>
      <c r="K496" s="1">
        <v>0.218</v>
      </c>
      <c r="L496" s="1">
        <v>2.8</v>
      </c>
      <c r="M496" s="1">
        <v>9.5</v>
      </c>
      <c r="N496" s="1">
        <v>6.1</v>
      </c>
      <c r="O496" s="1">
        <v>15</v>
      </c>
      <c r="P496" s="1">
        <v>1.5</v>
      </c>
      <c r="Q496" s="1">
        <v>1.9</v>
      </c>
      <c r="R496" s="1">
        <v>12.8</v>
      </c>
      <c r="S496" s="1">
        <v>21.3</v>
      </c>
      <c r="T496" s="1"/>
      <c r="U496" s="1">
        <v>0.2</v>
      </c>
      <c r="V496" s="1">
        <v>1.6</v>
      </c>
      <c r="W496" s="1">
        <v>1.8</v>
      </c>
      <c r="X496" s="1">
        <v>6.0999999999999999E-2</v>
      </c>
      <c r="Y496" s="1"/>
      <c r="Z496" s="1">
        <v>-1.6</v>
      </c>
      <c r="AA496" s="1">
        <v>-0.2</v>
      </c>
      <c r="AB496" s="1">
        <v>-1.7</v>
      </c>
      <c r="AC496" s="1">
        <v>0.1</v>
      </c>
      <c r="AD496">
        <f>Advanced_Table[[#This Row],[VORP]]*82/Advanced_Table[[#This Row],[G]]</f>
        <v>0.17446808510638301</v>
      </c>
    </row>
    <row r="497" spans="1:30" x14ac:dyDescent="0.25">
      <c r="A497" s="1">
        <v>411</v>
      </c>
      <c r="B497" s="1" t="s">
        <v>680</v>
      </c>
      <c r="C497" s="1" t="s">
        <v>294</v>
      </c>
      <c r="D497" s="1">
        <v>27</v>
      </c>
      <c r="E497" s="1" t="s">
        <v>305</v>
      </c>
      <c r="F497" s="1">
        <v>60</v>
      </c>
      <c r="G497" s="1">
        <v>1402</v>
      </c>
      <c r="H497" s="1">
        <v>10.3</v>
      </c>
      <c r="I497" s="1">
        <v>0.53800000000000003</v>
      </c>
      <c r="J497" s="1">
        <v>0.53700000000000003</v>
      </c>
      <c r="K497" s="1">
        <v>0.20799999999999999</v>
      </c>
      <c r="L497" s="1">
        <v>1.9</v>
      </c>
      <c r="M497" s="1">
        <v>8.8000000000000007</v>
      </c>
      <c r="N497" s="1">
        <v>5.3</v>
      </c>
      <c r="O497" s="1">
        <v>9.5</v>
      </c>
      <c r="P497" s="1">
        <v>1.4</v>
      </c>
      <c r="Q497" s="1">
        <v>0.6</v>
      </c>
      <c r="R497" s="1">
        <v>6.9</v>
      </c>
      <c r="S497" s="1">
        <v>14.9</v>
      </c>
      <c r="T497" s="1"/>
      <c r="U497" s="1">
        <v>1.3</v>
      </c>
      <c r="V497" s="1">
        <v>1</v>
      </c>
      <c r="W497" s="1">
        <v>2.2000000000000002</v>
      </c>
      <c r="X497" s="1">
        <v>7.5999999999999998E-2</v>
      </c>
      <c r="Y497" s="1"/>
      <c r="Z497" s="1">
        <v>-1.8</v>
      </c>
      <c r="AA497" s="1">
        <v>-0.4</v>
      </c>
      <c r="AB497" s="1">
        <v>-2.2000000000000002</v>
      </c>
      <c r="AC497" s="1">
        <v>-0.1</v>
      </c>
      <c r="AD497">
        <f>Advanced_Table[[#This Row],[VORP]]*82/Advanced_Table[[#This Row],[G]]</f>
        <v>-0.13666666666666669</v>
      </c>
    </row>
    <row r="498" spans="1:30" x14ac:dyDescent="0.25">
      <c r="A498" s="1">
        <v>412</v>
      </c>
      <c r="B498" s="1" t="s">
        <v>681</v>
      </c>
      <c r="C498" s="1" t="s">
        <v>303</v>
      </c>
      <c r="D498" s="1">
        <v>25</v>
      </c>
      <c r="E498" s="1" t="s">
        <v>290</v>
      </c>
      <c r="F498" s="1">
        <v>64</v>
      </c>
      <c r="G498" s="1">
        <v>1914</v>
      </c>
      <c r="H498" s="1">
        <v>12.9</v>
      </c>
      <c r="I498" s="1">
        <v>0.68400000000000005</v>
      </c>
      <c r="J498" s="1">
        <v>0.88300000000000001</v>
      </c>
      <c r="K498" s="1">
        <v>8.3000000000000004E-2</v>
      </c>
      <c r="L498" s="1">
        <v>0.6</v>
      </c>
      <c r="M498" s="1">
        <v>11.2</v>
      </c>
      <c r="N498" s="1">
        <v>6.1</v>
      </c>
      <c r="O498" s="1">
        <v>7</v>
      </c>
      <c r="P498" s="1">
        <v>0.8</v>
      </c>
      <c r="Q498" s="1">
        <v>0.8</v>
      </c>
      <c r="R498" s="1">
        <v>8.6999999999999993</v>
      </c>
      <c r="S498" s="1">
        <v>15.7</v>
      </c>
      <c r="T498" s="1"/>
      <c r="U498" s="1">
        <v>3.3</v>
      </c>
      <c r="V498" s="1">
        <v>1.5</v>
      </c>
      <c r="W498" s="1">
        <v>4.7</v>
      </c>
      <c r="X498" s="1">
        <v>0.11899999999999999</v>
      </c>
      <c r="Y498" s="1"/>
      <c r="Z498" s="1">
        <v>1.4</v>
      </c>
      <c r="AA498" s="1">
        <v>-0.8</v>
      </c>
      <c r="AB498" s="1">
        <v>0.5</v>
      </c>
      <c r="AC498" s="1">
        <v>1.2</v>
      </c>
      <c r="AD498">
        <f>Advanced_Table[[#This Row],[VORP]]*82/Advanced_Table[[#This Row],[G]]</f>
        <v>1.5374999999999999</v>
      </c>
    </row>
    <row r="499" spans="1:30" x14ac:dyDescent="0.25">
      <c r="A499" s="1">
        <v>413</v>
      </c>
      <c r="B499" s="1" t="s">
        <v>682</v>
      </c>
      <c r="C499" s="1" t="s">
        <v>303</v>
      </c>
      <c r="D499" s="1">
        <v>26</v>
      </c>
      <c r="E499" s="1" t="s">
        <v>957</v>
      </c>
      <c r="F499" s="1">
        <v>59</v>
      </c>
      <c r="G499" s="1">
        <v>1727</v>
      </c>
      <c r="H499" s="1">
        <v>13.5</v>
      </c>
      <c r="I499" s="1">
        <v>0.57699999999999996</v>
      </c>
      <c r="J499" s="1">
        <v>0.33</v>
      </c>
      <c r="K499" s="1">
        <v>0.14399999999999999</v>
      </c>
      <c r="L499" s="1">
        <v>4.7</v>
      </c>
      <c r="M499" s="1">
        <v>11.7</v>
      </c>
      <c r="N499" s="1">
        <v>8.1</v>
      </c>
      <c r="O499" s="1">
        <v>8.6999999999999993</v>
      </c>
      <c r="P499" s="1">
        <v>1.5</v>
      </c>
      <c r="Q499" s="1">
        <v>0.8</v>
      </c>
      <c r="R499" s="1">
        <v>8</v>
      </c>
      <c r="S499" s="1">
        <v>16.5</v>
      </c>
      <c r="T499" s="1"/>
      <c r="U499" s="1">
        <v>2</v>
      </c>
      <c r="V499" s="1">
        <v>0.8</v>
      </c>
      <c r="W499" s="1">
        <v>2.8</v>
      </c>
      <c r="X499" s="1">
        <v>7.8E-2</v>
      </c>
      <c r="Y499" s="1"/>
      <c r="Z499" s="1">
        <v>-0.6</v>
      </c>
      <c r="AA499" s="1">
        <v>-1.2</v>
      </c>
      <c r="AB499" s="1">
        <v>-1.7</v>
      </c>
      <c r="AC499" s="1">
        <v>0.1</v>
      </c>
      <c r="AD499">
        <f>Advanced_Table[[#This Row],[VORP]]*82/Advanced_Table[[#This Row],[G]]</f>
        <v>0.13898305084745766</v>
      </c>
    </row>
    <row r="500" spans="1:30" x14ac:dyDescent="0.25">
      <c r="A500" s="1">
        <v>413</v>
      </c>
      <c r="B500" s="1" t="s">
        <v>682</v>
      </c>
      <c r="C500" s="1" t="s">
        <v>303</v>
      </c>
      <c r="D500" s="1">
        <v>26</v>
      </c>
      <c r="E500" s="1" t="s">
        <v>369</v>
      </c>
      <c r="F500" s="1">
        <v>48</v>
      </c>
      <c r="G500" s="1">
        <v>1516</v>
      </c>
      <c r="H500" s="1">
        <v>13.1</v>
      </c>
      <c r="I500" s="1">
        <v>0.57399999999999995</v>
      </c>
      <c r="J500" s="1">
        <v>0.33500000000000002</v>
      </c>
      <c r="K500" s="1">
        <v>0.14599999999999999</v>
      </c>
      <c r="L500" s="1">
        <v>4.5999999999999996</v>
      </c>
      <c r="M500" s="1">
        <v>11.9</v>
      </c>
      <c r="N500" s="1">
        <v>8.1</v>
      </c>
      <c r="O500" s="1">
        <v>8.8000000000000007</v>
      </c>
      <c r="P500" s="1">
        <v>1.4</v>
      </c>
      <c r="Q500" s="1">
        <v>0.8</v>
      </c>
      <c r="R500" s="1">
        <v>8.5</v>
      </c>
      <c r="S500" s="1">
        <v>16.600000000000001</v>
      </c>
      <c r="T500" s="1"/>
      <c r="U500" s="1">
        <v>1.5</v>
      </c>
      <c r="V500" s="1">
        <v>0.6</v>
      </c>
      <c r="W500" s="1">
        <v>2.1</v>
      </c>
      <c r="X500" s="1">
        <v>6.7000000000000004E-2</v>
      </c>
      <c r="Y500" s="1"/>
      <c r="Z500" s="1">
        <v>-0.6</v>
      </c>
      <c r="AA500" s="1">
        <v>-1.3</v>
      </c>
      <c r="AB500" s="1">
        <v>-1.9</v>
      </c>
      <c r="AC500" s="1">
        <v>0</v>
      </c>
      <c r="AD500">
        <f>Advanced_Table[[#This Row],[VORP]]*82/Advanced_Table[[#This Row],[G]]</f>
        <v>0</v>
      </c>
    </row>
    <row r="501" spans="1:30" x14ac:dyDescent="0.25">
      <c r="A501" s="1">
        <v>413</v>
      </c>
      <c r="B501" s="1" t="s">
        <v>682</v>
      </c>
      <c r="C501" s="1" t="s">
        <v>303</v>
      </c>
      <c r="D501" s="1">
        <v>26</v>
      </c>
      <c r="E501" s="1" t="s">
        <v>361</v>
      </c>
      <c r="F501" s="1">
        <v>11</v>
      </c>
      <c r="G501" s="1">
        <v>211</v>
      </c>
      <c r="H501" s="1">
        <v>15.8</v>
      </c>
      <c r="I501" s="1">
        <v>0.60499999999999998</v>
      </c>
      <c r="J501" s="1">
        <v>0.29399999999999998</v>
      </c>
      <c r="K501" s="1">
        <v>0.13200000000000001</v>
      </c>
      <c r="L501" s="1">
        <v>5.7</v>
      </c>
      <c r="M501" s="1">
        <v>10.5</v>
      </c>
      <c r="N501" s="1">
        <v>8.1</v>
      </c>
      <c r="O501" s="1">
        <v>7.7</v>
      </c>
      <c r="P501" s="1">
        <v>1.8</v>
      </c>
      <c r="Q501" s="1">
        <v>0.8</v>
      </c>
      <c r="R501" s="1">
        <v>4</v>
      </c>
      <c r="S501" s="1">
        <v>15.4</v>
      </c>
      <c r="T501" s="1"/>
      <c r="U501" s="1">
        <v>0.5</v>
      </c>
      <c r="V501" s="1">
        <v>0.2</v>
      </c>
      <c r="W501" s="1">
        <v>0.7</v>
      </c>
      <c r="X501" s="1">
        <v>0.157</v>
      </c>
      <c r="Y501" s="1"/>
      <c r="Z501" s="1">
        <v>-0.2</v>
      </c>
      <c r="AA501" s="1">
        <v>-0.3</v>
      </c>
      <c r="AB501" s="1">
        <v>-0.5</v>
      </c>
      <c r="AC501" s="1">
        <v>0.1</v>
      </c>
      <c r="AD501">
        <f>Advanced_Table[[#This Row],[VORP]]*82/Advanced_Table[[#This Row],[G]]</f>
        <v>0.74545454545454559</v>
      </c>
    </row>
    <row r="502" spans="1:30" x14ac:dyDescent="0.25">
      <c r="A502" s="1">
        <v>414</v>
      </c>
      <c r="B502" s="1" t="s">
        <v>683</v>
      </c>
      <c r="C502" s="1" t="s">
        <v>294</v>
      </c>
      <c r="D502" s="1">
        <v>22</v>
      </c>
      <c r="E502" s="1" t="s">
        <v>957</v>
      </c>
      <c r="F502" s="1">
        <v>55</v>
      </c>
      <c r="G502" s="1">
        <v>748</v>
      </c>
      <c r="H502" s="1">
        <v>6</v>
      </c>
      <c r="I502" s="1">
        <v>0.439</v>
      </c>
      <c r="J502" s="1">
        <v>0.48099999999999998</v>
      </c>
      <c r="K502" s="1">
        <v>0.13400000000000001</v>
      </c>
      <c r="L502" s="1">
        <v>1.3</v>
      </c>
      <c r="M502" s="1">
        <v>13.8</v>
      </c>
      <c r="N502" s="1">
        <v>7.5</v>
      </c>
      <c r="O502" s="1">
        <v>11.4</v>
      </c>
      <c r="P502" s="1">
        <v>1.4</v>
      </c>
      <c r="Q502" s="1">
        <v>1.6</v>
      </c>
      <c r="R502" s="1">
        <v>12.9</v>
      </c>
      <c r="S502" s="1">
        <v>14.6</v>
      </c>
      <c r="T502" s="1"/>
      <c r="U502" s="1">
        <v>-0.7</v>
      </c>
      <c r="V502" s="1">
        <v>0.7</v>
      </c>
      <c r="W502" s="1">
        <v>0</v>
      </c>
      <c r="X502" s="1">
        <v>3.0000000000000001E-3</v>
      </c>
      <c r="Y502" s="1"/>
      <c r="Z502" s="1">
        <v>-4.7</v>
      </c>
      <c r="AA502" s="1">
        <v>0.1</v>
      </c>
      <c r="AB502" s="1">
        <v>-4.5999999999999996</v>
      </c>
      <c r="AC502" s="1">
        <v>-0.5</v>
      </c>
      <c r="AD502">
        <f>Advanced_Table[[#This Row],[VORP]]*82/Advanced_Table[[#This Row],[G]]</f>
        <v>-0.74545454545454548</v>
      </c>
    </row>
    <row r="503" spans="1:30" x14ac:dyDescent="0.25">
      <c r="A503" s="1">
        <v>414</v>
      </c>
      <c r="B503" s="1" t="s">
        <v>683</v>
      </c>
      <c r="C503" s="1" t="s">
        <v>294</v>
      </c>
      <c r="D503" s="1">
        <v>22</v>
      </c>
      <c r="E503" s="1" t="s">
        <v>350</v>
      </c>
      <c r="F503" s="1">
        <v>42</v>
      </c>
      <c r="G503" s="1">
        <v>476</v>
      </c>
      <c r="H503" s="1">
        <v>4.8</v>
      </c>
      <c r="I503" s="1">
        <v>0.42299999999999999</v>
      </c>
      <c r="J503" s="1">
        <v>0.49299999999999999</v>
      </c>
      <c r="K503" s="1">
        <v>0.14000000000000001</v>
      </c>
      <c r="L503" s="1">
        <v>1.1000000000000001</v>
      </c>
      <c r="M503" s="1">
        <v>11.6</v>
      </c>
      <c r="N503" s="1">
        <v>6.5</v>
      </c>
      <c r="O503" s="1">
        <v>12.6</v>
      </c>
      <c r="P503" s="1">
        <v>1.3</v>
      </c>
      <c r="Q503" s="1">
        <v>1.5</v>
      </c>
      <c r="R503" s="1">
        <v>15.3</v>
      </c>
      <c r="S503" s="1">
        <v>14.9</v>
      </c>
      <c r="T503" s="1"/>
      <c r="U503" s="1">
        <v>-0.6</v>
      </c>
      <c r="V503" s="1">
        <v>0.6</v>
      </c>
      <c r="W503" s="1">
        <v>0</v>
      </c>
      <c r="X503" s="1">
        <v>-2E-3</v>
      </c>
      <c r="Y503" s="1"/>
      <c r="Z503" s="1">
        <v>-5.5</v>
      </c>
      <c r="AA503" s="1">
        <v>0.5</v>
      </c>
      <c r="AB503" s="1">
        <v>-4.9000000000000004</v>
      </c>
      <c r="AC503" s="1">
        <v>-0.4</v>
      </c>
      <c r="AD503">
        <f>Advanced_Table[[#This Row],[VORP]]*82/Advanced_Table[[#This Row],[G]]</f>
        <v>-0.78095238095238106</v>
      </c>
    </row>
    <row r="504" spans="1:30" x14ac:dyDescent="0.25">
      <c r="A504" s="1">
        <v>414</v>
      </c>
      <c r="B504" s="1" t="s">
        <v>683</v>
      </c>
      <c r="C504" s="1" t="s">
        <v>294</v>
      </c>
      <c r="D504" s="1">
        <v>22</v>
      </c>
      <c r="E504" s="1" t="s">
        <v>342</v>
      </c>
      <c r="F504" s="1">
        <v>13</v>
      </c>
      <c r="G504" s="1">
        <v>272</v>
      </c>
      <c r="H504" s="1">
        <v>8.1</v>
      </c>
      <c r="I504" s="1">
        <v>0.46800000000000003</v>
      </c>
      <c r="J504" s="1">
        <v>0.46300000000000002</v>
      </c>
      <c r="K504" s="1">
        <v>0.125</v>
      </c>
      <c r="L504" s="1">
        <v>1.6</v>
      </c>
      <c r="M504" s="1">
        <v>17.600000000000001</v>
      </c>
      <c r="N504" s="1">
        <v>9.3000000000000007</v>
      </c>
      <c r="O504" s="1">
        <v>9.1999999999999993</v>
      </c>
      <c r="P504" s="1">
        <v>1.5</v>
      </c>
      <c r="Q504" s="1">
        <v>1.9</v>
      </c>
      <c r="R504" s="1">
        <v>8.6999999999999993</v>
      </c>
      <c r="S504" s="1">
        <v>14.1</v>
      </c>
      <c r="T504" s="1"/>
      <c r="U504" s="1">
        <v>-0.1</v>
      </c>
      <c r="V504" s="1">
        <v>0.1</v>
      </c>
      <c r="W504" s="1">
        <v>0.1</v>
      </c>
      <c r="X504" s="1">
        <v>1.0999999999999999E-2</v>
      </c>
      <c r="Y504" s="1"/>
      <c r="Z504" s="1">
        <v>-3.3</v>
      </c>
      <c r="AA504" s="1">
        <v>-0.7</v>
      </c>
      <c r="AB504" s="1">
        <v>-4</v>
      </c>
      <c r="AC504" s="1">
        <v>-0.1</v>
      </c>
      <c r="AD504">
        <f>Advanced_Table[[#This Row],[VORP]]*82/Advanced_Table[[#This Row],[G]]</f>
        <v>-0.63076923076923086</v>
      </c>
    </row>
    <row r="505" spans="1:30" x14ac:dyDescent="0.25">
      <c r="A505" s="1">
        <v>415</v>
      </c>
      <c r="B505" s="1" t="s">
        <v>684</v>
      </c>
      <c r="C505" s="1" t="s">
        <v>316</v>
      </c>
      <c r="D505" s="1">
        <v>22</v>
      </c>
      <c r="E505" s="1" t="s">
        <v>342</v>
      </c>
      <c r="F505" s="1">
        <v>9</v>
      </c>
      <c r="G505" s="1">
        <v>49</v>
      </c>
      <c r="H505" s="1">
        <v>8.1999999999999993</v>
      </c>
      <c r="I505" s="1">
        <v>0.54200000000000004</v>
      </c>
      <c r="J505" s="1">
        <v>0.41699999999999998</v>
      </c>
      <c r="K505" s="1">
        <v>0</v>
      </c>
      <c r="L505" s="1">
        <v>2.2000000000000002</v>
      </c>
      <c r="M505" s="1">
        <v>9.3000000000000007</v>
      </c>
      <c r="N505" s="1">
        <v>5.6</v>
      </c>
      <c r="O505" s="1">
        <v>18.600000000000001</v>
      </c>
      <c r="P505" s="1">
        <v>0</v>
      </c>
      <c r="Q505" s="1">
        <v>1.8</v>
      </c>
      <c r="R505" s="1">
        <v>20</v>
      </c>
      <c r="S505" s="1">
        <v>12.7</v>
      </c>
      <c r="T505" s="1"/>
      <c r="U505" s="1">
        <v>0</v>
      </c>
      <c r="V505" s="1">
        <v>0</v>
      </c>
      <c r="W505" s="1">
        <v>0</v>
      </c>
      <c r="X505" s="1">
        <v>6.0000000000000001E-3</v>
      </c>
      <c r="Y505" s="1"/>
      <c r="Z505" s="1">
        <v>-2.4</v>
      </c>
      <c r="AA505" s="1">
        <v>-3.2</v>
      </c>
      <c r="AB505" s="1">
        <v>-5.7</v>
      </c>
      <c r="AC505" s="1">
        <v>0</v>
      </c>
      <c r="AD505">
        <f>Advanced_Table[[#This Row],[VORP]]*82/Advanced_Table[[#This Row],[G]]</f>
        <v>0</v>
      </c>
    </row>
    <row r="506" spans="1:30" x14ac:dyDescent="0.25">
      <c r="A506" s="1">
        <v>416</v>
      </c>
      <c r="B506" s="1" t="s">
        <v>685</v>
      </c>
      <c r="C506" s="1" t="s">
        <v>287</v>
      </c>
      <c r="D506" s="1">
        <v>21</v>
      </c>
      <c r="E506" s="1" t="s">
        <v>332</v>
      </c>
      <c r="F506" s="1">
        <v>60</v>
      </c>
      <c r="G506" s="1">
        <v>1386</v>
      </c>
      <c r="H506" s="1">
        <v>23.3</v>
      </c>
      <c r="I506" s="1">
        <v>0.72499999999999998</v>
      </c>
      <c r="J506" s="1">
        <v>0</v>
      </c>
      <c r="K506" s="1">
        <v>0.42199999999999999</v>
      </c>
      <c r="L506" s="1">
        <v>13.6</v>
      </c>
      <c r="M506" s="1">
        <v>19.100000000000001</v>
      </c>
      <c r="N506" s="1">
        <v>16.2</v>
      </c>
      <c r="O506" s="1">
        <v>4</v>
      </c>
      <c r="P506" s="1">
        <v>1.8</v>
      </c>
      <c r="Q506" s="1">
        <v>8</v>
      </c>
      <c r="R506" s="1">
        <v>8.5</v>
      </c>
      <c r="S506" s="1">
        <v>13.3</v>
      </c>
      <c r="T506" s="1"/>
      <c r="U506" s="1">
        <v>4.7</v>
      </c>
      <c r="V506" s="1">
        <v>1.9</v>
      </c>
      <c r="W506" s="1">
        <v>6.6</v>
      </c>
      <c r="X506" s="1">
        <v>0.22900000000000001</v>
      </c>
      <c r="Y506" s="1"/>
      <c r="Z506" s="1">
        <v>1.5</v>
      </c>
      <c r="AA506" s="1">
        <v>1.5</v>
      </c>
      <c r="AB506" s="1">
        <v>3</v>
      </c>
      <c r="AC506" s="1">
        <v>1.7</v>
      </c>
      <c r="AD506">
        <f>Advanced_Table[[#This Row],[VORP]]*82/Advanced_Table[[#This Row],[G]]</f>
        <v>2.3233333333333333</v>
      </c>
    </row>
    <row r="507" spans="1:30" x14ac:dyDescent="0.25">
      <c r="A507" s="1">
        <v>417</v>
      </c>
      <c r="B507" s="1" t="s">
        <v>1343</v>
      </c>
      <c r="C507" s="1" t="s">
        <v>303</v>
      </c>
      <c r="D507" s="1">
        <v>21</v>
      </c>
      <c r="E507" s="1" t="s">
        <v>288</v>
      </c>
      <c r="F507" s="1">
        <v>3</v>
      </c>
      <c r="G507" s="1">
        <v>11</v>
      </c>
      <c r="H507" s="1">
        <v>-7.7</v>
      </c>
      <c r="I507" s="1">
        <v>0</v>
      </c>
      <c r="J507" s="1">
        <v>0</v>
      </c>
      <c r="K507" s="1">
        <v>0</v>
      </c>
      <c r="L507" s="1">
        <v>0</v>
      </c>
      <c r="M507" s="1">
        <v>19.5</v>
      </c>
      <c r="N507" s="1">
        <v>10.1</v>
      </c>
      <c r="O507" s="1">
        <v>0</v>
      </c>
      <c r="P507" s="1">
        <v>0</v>
      </c>
      <c r="Q507" s="1">
        <v>0</v>
      </c>
      <c r="R507" s="1">
        <v>50</v>
      </c>
      <c r="S507" s="1">
        <v>8</v>
      </c>
      <c r="T507" s="1"/>
      <c r="U507" s="1">
        <v>-0.1</v>
      </c>
      <c r="V507" s="1">
        <v>0</v>
      </c>
      <c r="W507" s="1">
        <v>0</v>
      </c>
      <c r="X507" s="1">
        <v>-0.191</v>
      </c>
      <c r="Y507" s="1"/>
      <c r="Z507" s="1">
        <v>-12</v>
      </c>
      <c r="AA507" s="1">
        <v>-3.5</v>
      </c>
      <c r="AB507" s="1">
        <v>-15.5</v>
      </c>
      <c r="AC507" s="1">
        <v>0</v>
      </c>
      <c r="AD507">
        <f>Advanced_Table[[#This Row],[VORP]]*82/Advanced_Table[[#This Row],[G]]</f>
        <v>0</v>
      </c>
    </row>
    <row r="508" spans="1:30" x14ac:dyDescent="0.25">
      <c r="A508" s="1">
        <v>418</v>
      </c>
      <c r="B508" s="1" t="s">
        <v>686</v>
      </c>
      <c r="C508" s="1" t="s">
        <v>316</v>
      </c>
      <c r="D508" s="1">
        <v>33</v>
      </c>
      <c r="E508" s="1" t="s">
        <v>309</v>
      </c>
      <c r="F508" s="1">
        <v>48</v>
      </c>
      <c r="G508" s="1">
        <v>984</v>
      </c>
      <c r="H508" s="1">
        <v>12.4</v>
      </c>
      <c r="I508" s="1">
        <v>0.49399999999999999</v>
      </c>
      <c r="J508" s="1">
        <v>0.38100000000000001</v>
      </c>
      <c r="K508" s="1">
        <v>0.125</v>
      </c>
      <c r="L508" s="1">
        <v>2.6</v>
      </c>
      <c r="M508" s="1">
        <v>12.9</v>
      </c>
      <c r="N508" s="1">
        <v>7.9</v>
      </c>
      <c r="O508" s="1">
        <v>32.4</v>
      </c>
      <c r="P508" s="1">
        <v>1.9</v>
      </c>
      <c r="Q508" s="1">
        <v>0.2</v>
      </c>
      <c r="R508" s="1">
        <v>20.8</v>
      </c>
      <c r="S508" s="1">
        <v>18.7</v>
      </c>
      <c r="T508" s="1"/>
      <c r="U508" s="1">
        <v>0.2</v>
      </c>
      <c r="V508" s="1">
        <v>1.3</v>
      </c>
      <c r="W508" s="1">
        <v>1.5</v>
      </c>
      <c r="X508" s="1">
        <v>7.2999999999999995E-2</v>
      </c>
      <c r="Y508" s="1"/>
      <c r="Z508" s="1">
        <v>-1</v>
      </c>
      <c r="AA508" s="1">
        <v>-0.2</v>
      </c>
      <c r="AB508" s="1">
        <v>-1.1000000000000001</v>
      </c>
      <c r="AC508" s="1">
        <v>0.2</v>
      </c>
      <c r="AD508">
        <f>Advanced_Table[[#This Row],[VORP]]*82/Advanced_Table[[#This Row],[G]]</f>
        <v>0.34166666666666673</v>
      </c>
    </row>
    <row r="509" spans="1:30" x14ac:dyDescent="0.25">
      <c r="A509" s="1">
        <v>419</v>
      </c>
      <c r="B509" s="1" t="s">
        <v>687</v>
      </c>
      <c r="C509" s="1" t="s">
        <v>316</v>
      </c>
      <c r="D509" s="1">
        <v>31</v>
      </c>
      <c r="E509" s="1" t="s">
        <v>363</v>
      </c>
      <c r="F509" s="1">
        <v>50</v>
      </c>
      <c r="G509" s="1">
        <v>1298</v>
      </c>
      <c r="H509" s="1">
        <v>21.1</v>
      </c>
      <c r="I509" s="1">
        <v>0.55500000000000005</v>
      </c>
      <c r="J509" s="1">
        <v>0.19500000000000001</v>
      </c>
      <c r="K509" s="1">
        <v>0.185</v>
      </c>
      <c r="L509" s="1">
        <v>2.2999999999999998</v>
      </c>
      <c r="M509" s="1">
        <v>8.3000000000000007</v>
      </c>
      <c r="N509" s="1">
        <v>5.3</v>
      </c>
      <c r="O509" s="1">
        <v>40.5</v>
      </c>
      <c r="P509" s="1">
        <v>1.5</v>
      </c>
      <c r="Q509" s="1">
        <v>1</v>
      </c>
      <c r="R509" s="1">
        <v>13.4</v>
      </c>
      <c r="S509" s="1">
        <v>31.6</v>
      </c>
      <c r="T509" s="1"/>
      <c r="U509" s="1">
        <v>1.9</v>
      </c>
      <c r="V509" s="1">
        <v>0.7</v>
      </c>
      <c r="W509" s="1">
        <v>2.6</v>
      </c>
      <c r="X509" s="1">
        <v>9.5000000000000001E-2</v>
      </c>
      <c r="Y509" s="1"/>
      <c r="Z509" s="1">
        <v>3.9</v>
      </c>
      <c r="AA509" s="1">
        <v>-1.8</v>
      </c>
      <c r="AB509" s="1">
        <v>2.2000000000000002</v>
      </c>
      <c r="AC509" s="1">
        <v>1.4</v>
      </c>
      <c r="AD509">
        <f>Advanced_Table[[#This Row],[VORP]]*82/Advanced_Table[[#This Row],[G]]</f>
        <v>2.2959999999999998</v>
      </c>
    </row>
    <row r="510" spans="1:30" x14ac:dyDescent="0.25">
      <c r="A510" s="1">
        <v>420</v>
      </c>
      <c r="B510" s="1" t="s">
        <v>688</v>
      </c>
      <c r="C510" s="1" t="s">
        <v>294</v>
      </c>
      <c r="D510" s="1">
        <v>28</v>
      </c>
      <c r="E510" s="1" t="s">
        <v>301</v>
      </c>
      <c r="F510" s="1">
        <v>63</v>
      </c>
      <c r="G510" s="1">
        <v>1723</v>
      </c>
      <c r="H510" s="1">
        <v>14.2</v>
      </c>
      <c r="I510" s="1">
        <v>0.54800000000000004</v>
      </c>
      <c r="J510" s="1">
        <v>0.58399999999999996</v>
      </c>
      <c r="K510" s="1">
        <v>0.20699999999999999</v>
      </c>
      <c r="L510" s="1">
        <v>0.8</v>
      </c>
      <c r="M510" s="1">
        <v>12.3</v>
      </c>
      <c r="N510" s="1">
        <v>6.3</v>
      </c>
      <c r="O510" s="1">
        <v>6.8</v>
      </c>
      <c r="P510" s="1">
        <v>2</v>
      </c>
      <c r="Q510" s="1">
        <v>1.2</v>
      </c>
      <c r="R510" s="1">
        <v>6.8</v>
      </c>
      <c r="S510" s="1">
        <v>22.8</v>
      </c>
      <c r="T510" s="1"/>
      <c r="U510" s="1">
        <v>1</v>
      </c>
      <c r="V510" s="1">
        <v>1.8</v>
      </c>
      <c r="W510" s="1">
        <v>2.9</v>
      </c>
      <c r="X510" s="1">
        <v>0.08</v>
      </c>
      <c r="Y510" s="1"/>
      <c r="Z510" s="1">
        <v>-0.2</v>
      </c>
      <c r="AA510" s="1">
        <v>-0.2</v>
      </c>
      <c r="AB510" s="1">
        <v>-0.4</v>
      </c>
      <c r="AC510" s="1">
        <v>0.7</v>
      </c>
      <c r="AD510">
        <f>Advanced_Table[[#This Row],[VORP]]*82/Advanced_Table[[#This Row],[G]]</f>
        <v>0.91111111111111109</v>
      </c>
    </row>
    <row r="511" spans="1:30" x14ac:dyDescent="0.25">
      <c r="A511" s="1">
        <v>421</v>
      </c>
      <c r="B511" s="1" t="s">
        <v>689</v>
      </c>
      <c r="C511" s="1" t="s">
        <v>316</v>
      </c>
      <c r="D511" s="1">
        <v>25</v>
      </c>
      <c r="E511" s="1" t="s">
        <v>324</v>
      </c>
      <c r="F511" s="1">
        <v>63</v>
      </c>
      <c r="G511" s="1">
        <v>2164</v>
      </c>
      <c r="H511" s="1">
        <v>14.8</v>
      </c>
      <c r="I511" s="1">
        <v>0.55300000000000005</v>
      </c>
      <c r="J511" s="1">
        <v>0.45</v>
      </c>
      <c r="K511" s="1">
        <v>0.20200000000000001</v>
      </c>
      <c r="L511" s="1">
        <v>2.4</v>
      </c>
      <c r="M511" s="1">
        <v>11.9</v>
      </c>
      <c r="N511" s="1">
        <v>7</v>
      </c>
      <c r="O511" s="1">
        <v>20.399999999999999</v>
      </c>
      <c r="P511" s="1">
        <v>1.4</v>
      </c>
      <c r="Q511" s="1">
        <v>0.4</v>
      </c>
      <c r="R511" s="1">
        <v>12.1</v>
      </c>
      <c r="S511" s="1">
        <v>23.7</v>
      </c>
      <c r="T511" s="1"/>
      <c r="U511" s="1">
        <v>1.9</v>
      </c>
      <c r="V511" s="1">
        <v>1.1000000000000001</v>
      </c>
      <c r="W511" s="1">
        <v>3</v>
      </c>
      <c r="X511" s="1">
        <v>6.6000000000000003E-2</v>
      </c>
      <c r="Y511" s="1"/>
      <c r="Z511" s="1">
        <v>0.8</v>
      </c>
      <c r="AA511" s="1">
        <v>-1.3</v>
      </c>
      <c r="AB511" s="1">
        <v>-0.5</v>
      </c>
      <c r="AC511" s="1">
        <v>0.8</v>
      </c>
      <c r="AD511">
        <f>Advanced_Table[[#This Row],[VORP]]*82/Advanced_Table[[#This Row],[G]]</f>
        <v>1.0412698412698413</v>
      </c>
    </row>
    <row r="512" spans="1:30" x14ac:dyDescent="0.25">
      <c r="A512" s="1">
        <v>422</v>
      </c>
      <c r="B512" s="1" t="s">
        <v>690</v>
      </c>
      <c r="C512" s="1" t="s">
        <v>316</v>
      </c>
      <c r="D512" s="1">
        <v>29</v>
      </c>
      <c r="E512" s="1" t="s">
        <v>322</v>
      </c>
      <c r="F512" s="1">
        <v>57</v>
      </c>
      <c r="G512" s="1">
        <v>1802</v>
      </c>
      <c r="H512" s="1">
        <v>16.3</v>
      </c>
      <c r="I512" s="1">
        <v>0.53100000000000003</v>
      </c>
      <c r="J512" s="1">
        <v>0.308</v>
      </c>
      <c r="K512" s="1">
        <v>0.33400000000000002</v>
      </c>
      <c r="L512" s="1">
        <v>2.5</v>
      </c>
      <c r="M512" s="1">
        <v>14</v>
      </c>
      <c r="N512" s="1">
        <v>8.1999999999999993</v>
      </c>
      <c r="O512" s="1">
        <v>39.9</v>
      </c>
      <c r="P512" s="1">
        <v>2.2999999999999998</v>
      </c>
      <c r="Q512" s="1">
        <v>0.4</v>
      </c>
      <c r="R512" s="1">
        <v>18.100000000000001</v>
      </c>
      <c r="S512" s="1">
        <v>20.2</v>
      </c>
      <c r="T512" s="1"/>
      <c r="U512" s="1">
        <v>2.4</v>
      </c>
      <c r="V512" s="1">
        <v>1.7</v>
      </c>
      <c r="W512" s="1">
        <v>4.0999999999999996</v>
      </c>
      <c r="X512" s="1">
        <v>0.109</v>
      </c>
      <c r="Y512" s="1"/>
      <c r="Z512" s="1">
        <v>0.5</v>
      </c>
      <c r="AA512" s="1">
        <v>0.2</v>
      </c>
      <c r="AB512" s="1">
        <v>0.7</v>
      </c>
      <c r="AC512" s="1">
        <v>1.2</v>
      </c>
      <c r="AD512">
        <f>Advanced_Table[[#This Row],[VORP]]*82/Advanced_Table[[#This Row],[G]]</f>
        <v>1.726315789473684</v>
      </c>
    </row>
    <row r="513" spans="1:30" x14ac:dyDescent="0.25">
      <c r="A513" s="1">
        <v>423</v>
      </c>
      <c r="B513" s="1" t="s">
        <v>691</v>
      </c>
      <c r="C513" s="1" t="s">
        <v>316</v>
      </c>
      <c r="D513" s="1">
        <v>23</v>
      </c>
      <c r="E513" s="1" t="s">
        <v>957</v>
      </c>
      <c r="F513" s="1">
        <v>45</v>
      </c>
      <c r="G513" s="1">
        <v>1452</v>
      </c>
      <c r="H513" s="1">
        <v>18.7</v>
      </c>
      <c r="I513" s="1">
        <v>0.55600000000000005</v>
      </c>
      <c r="J513" s="1">
        <v>0.50900000000000001</v>
      </c>
      <c r="K513" s="1">
        <v>0.23499999999999999</v>
      </c>
      <c r="L513" s="1">
        <v>1.2</v>
      </c>
      <c r="M513" s="1">
        <v>12.3</v>
      </c>
      <c r="N513" s="1">
        <v>6.6</v>
      </c>
      <c r="O513" s="1">
        <v>35.200000000000003</v>
      </c>
      <c r="P513" s="1">
        <v>1.6</v>
      </c>
      <c r="Q513" s="1">
        <v>0.8</v>
      </c>
      <c r="R513" s="1">
        <v>13.6</v>
      </c>
      <c r="S513" s="1">
        <v>31.5</v>
      </c>
      <c r="T513" s="1"/>
      <c r="U513" s="1">
        <v>1.1000000000000001</v>
      </c>
      <c r="V513" s="1">
        <v>0.7</v>
      </c>
      <c r="W513" s="1">
        <v>1.8</v>
      </c>
      <c r="X513" s="1">
        <v>0.06</v>
      </c>
      <c r="Y513" s="1"/>
      <c r="Z513" s="1">
        <v>3.7</v>
      </c>
      <c r="AA513" s="1">
        <v>-2</v>
      </c>
      <c r="AB513" s="1">
        <v>1.7</v>
      </c>
      <c r="AC513" s="1">
        <v>1.3</v>
      </c>
      <c r="AD513">
        <f>Advanced_Table[[#This Row],[VORP]]*82/Advanced_Table[[#This Row],[G]]</f>
        <v>2.3688888888888893</v>
      </c>
    </row>
    <row r="514" spans="1:30" x14ac:dyDescent="0.25">
      <c r="A514" s="1">
        <v>423</v>
      </c>
      <c r="B514" s="1" t="s">
        <v>691</v>
      </c>
      <c r="C514" s="1" t="s">
        <v>316</v>
      </c>
      <c r="D514" s="1">
        <v>23</v>
      </c>
      <c r="E514" s="1" t="s">
        <v>369</v>
      </c>
      <c r="F514" s="1">
        <v>33</v>
      </c>
      <c r="G514" s="1">
        <v>1060</v>
      </c>
      <c r="H514" s="1">
        <v>19.100000000000001</v>
      </c>
      <c r="I514" s="1">
        <v>0.55800000000000005</v>
      </c>
      <c r="J514" s="1">
        <v>0.50600000000000001</v>
      </c>
      <c r="K514" s="1">
        <v>0.22700000000000001</v>
      </c>
      <c r="L514" s="1">
        <v>1.4</v>
      </c>
      <c r="M514" s="1">
        <v>11.4</v>
      </c>
      <c r="N514" s="1">
        <v>6.2</v>
      </c>
      <c r="O514" s="1">
        <v>36</v>
      </c>
      <c r="P514" s="1">
        <v>1.4</v>
      </c>
      <c r="Q514" s="1">
        <v>0.8</v>
      </c>
      <c r="R514" s="1">
        <v>12.6</v>
      </c>
      <c r="S514" s="1">
        <v>32.200000000000003</v>
      </c>
      <c r="T514" s="1"/>
      <c r="U514" s="1">
        <v>0.9</v>
      </c>
      <c r="V514" s="1">
        <v>0.4</v>
      </c>
      <c r="W514" s="1">
        <v>1.3</v>
      </c>
      <c r="X514" s="1">
        <v>5.8999999999999997E-2</v>
      </c>
      <c r="Y514" s="1"/>
      <c r="Z514" s="1">
        <v>4.5</v>
      </c>
      <c r="AA514" s="1">
        <v>-2</v>
      </c>
      <c r="AB514" s="1">
        <v>2.4</v>
      </c>
      <c r="AC514" s="1">
        <v>1.2</v>
      </c>
      <c r="AD514">
        <f>Advanced_Table[[#This Row],[VORP]]*82/Advanced_Table[[#This Row],[G]]</f>
        <v>2.9818181818181815</v>
      </c>
    </row>
    <row r="515" spans="1:30" x14ac:dyDescent="0.25">
      <c r="A515" s="1">
        <v>423</v>
      </c>
      <c r="B515" s="1" t="s">
        <v>691</v>
      </c>
      <c r="C515" s="1" t="s">
        <v>316</v>
      </c>
      <c r="D515" s="1">
        <v>23</v>
      </c>
      <c r="E515" s="1" t="s">
        <v>336</v>
      </c>
      <c r="F515" s="1">
        <v>12</v>
      </c>
      <c r="G515" s="1">
        <v>392</v>
      </c>
      <c r="H515" s="1">
        <v>17.600000000000001</v>
      </c>
      <c r="I515" s="1">
        <v>0.55300000000000005</v>
      </c>
      <c r="J515" s="1">
        <v>0.52100000000000002</v>
      </c>
      <c r="K515" s="1">
        <v>0.26100000000000001</v>
      </c>
      <c r="L515" s="1">
        <v>0.8</v>
      </c>
      <c r="M515" s="1">
        <v>14.5</v>
      </c>
      <c r="N515" s="1">
        <v>7.4</v>
      </c>
      <c r="O515" s="1">
        <v>33.1</v>
      </c>
      <c r="P515" s="1">
        <v>2</v>
      </c>
      <c r="Q515" s="1">
        <v>0.8</v>
      </c>
      <c r="R515" s="1">
        <v>16.399999999999999</v>
      </c>
      <c r="S515" s="1">
        <v>29.5</v>
      </c>
      <c r="T515" s="1"/>
      <c r="U515" s="1">
        <v>0.2</v>
      </c>
      <c r="V515" s="1">
        <v>0.3</v>
      </c>
      <c r="W515" s="1">
        <v>0.5</v>
      </c>
      <c r="X515" s="1">
        <v>6.4000000000000001E-2</v>
      </c>
      <c r="Y515" s="1"/>
      <c r="Z515" s="1">
        <v>1.6</v>
      </c>
      <c r="AA515" s="1">
        <v>-1.9</v>
      </c>
      <c r="AB515" s="1">
        <v>-0.3</v>
      </c>
      <c r="AC515" s="1">
        <v>0.2</v>
      </c>
      <c r="AD515">
        <f>Advanced_Table[[#This Row],[VORP]]*82/Advanced_Table[[#This Row],[G]]</f>
        <v>1.3666666666666669</v>
      </c>
    </row>
    <row r="516" spans="1:30" x14ac:dyDescent="0.25">
      <c r="A516" s="1">
        <v>424</v>
      </c>
      <c r="B516" s="1" t="s">
        <v>692</v>
      </c>
      <c r="C516" s="1" t="s">
        <v>287</v>
      </c>
      <c r="D516" s="1">
        <v>23</v>
      </c>
      <c r="E516" s="1" t="s">
        <v>353</v>
      </c>
      <c r="F516" s="1">
        <v>62</v>
      </c>
      <c r="G516" s="1">
        <v>2159</v>
      </c>
      <c r="H516" s="1">
        <v>20.8</v>
      </c>
      <c r="I516" s="1">
        <v>0.58599999999999997</v>
      </c>
      <c r="J516" s="1">
        <v>7.9000000000000001E-2</v>
      </c>
      <c r="K516" s="1">
        <v>0.34899999999999998</v>
      </c>
      <c r="L516" s="1">
        <v>9.6999999999999993</v>
      </c>
      <c r="M516" s="1">
        <v>29.5</v>
      </c>
      <c r="N516" s="1">
        <v>19.7</v>
      </c>
      <c r="O516" s="1">
        <v>21.7</v>
      </c>
      <c r="P516" s="1">
        <v>1.1000000000000001</v>
      </c>
      <c r="Q516" s="1">
        <v>1.2</v>
      </c>
      <c r="R516" s="1">
        <v>14.8</v>
      </c>
      <c r="S516" s="1">
        <v>23.4</v>
      </c>
      <c r="T516" s="1"/>
      <c r="U516" s="1">
        <v>4.2</v>
      </c>
      <c r="V516" s="1">
        <v>3.3</v>
      </c>
      <c r="W516" s="1">
        <v>7.6</v>
      </c>
      <c r="X516" s="1">
        <v>0.16800000000000001</v>
      </c>
      <c r="Y516" s="1"/>
      <c r="Z516" s="1">
        <v>2.1</v>
      </c>
      <c r="AA516" s="1">
        <v>1.1000000000000001</v>
      </c>
      <c r="AB516" s="1">
        <v>3.2</v>
      </c>
      <c r="AC516" s="1">
        <v>2.9</v>
      </c>
      <c r="AD516">
        <f>Advanced_Table[[#This Row],[VORP]]*82/Advanced_Table[[#This Row],[G]]</f>
        <v>3.8354838709677415</v>
      </c>
    </row>
    <row r="517" spans="1:30" x14ac:dyDescent="0.25">
      <c r="A517" s="1">
        <v>425</v>
      </c>
      <c r="B517" s="1" t="s">
        <v>1977</v>
      </c>
      <c r="C517" s="1" t="s">
        <v>23</v>
      </c>
      <c r="D517" s="1">
        <v>20</v>
      </c>
      <c r="E517" s="1" t="s">
        <v>292</v>
      </c>
      <c r="F517" s="1">
        <v>1</v>
      </c>
      <c r="G517" s="1">
        <v>12</v>
      </c>
      <c r="H517" s="1">
        <v>-3.4</v>
      </c>
      <c r="I517" s="1">
        <v>0</v>
      </c>
      <c r="J517" s="1">
        <v>0.5</v>
      </c>
      <c r="K517" s="1">
        <v>0</v>
      </c>
      <c r="L517" s="1">
        <v>0</v>
      </c>
      <c r="M517" s="1">
        <v>18</v>
      </c>
      <c r="N517" s="1">
        <v>9</v>
      </c>
      <c r="O517" s="1">
        <v>28.9</v>
      </c>
      <c r="P517" s="1">
        <v>0</v>
      </c>
      <c r="Q517" s="1">
        <v>0</v>
      </c>
      <c r="R517" s="1">
        <v>0</v>
      </c>
      <c r="S517" s="1">
        <v>14.5</v>
      </c>
      <c r="T517" s="1"/>
      <c r="U517" s="1">
        <v>-0.1</v>
      </c>
      <c r="V517" s="1">
        <v>0</v>
      </c>
      <c r="W517" s="1">
        <v>-0.1</v>
      </c>
      <c r="X517" s="1">
        <v>-0.252</v>
      </c>
      <c r="Y517" s="1"/>
      <c r="Z517" s="1">
        <v>-10.8</v>
      </c>
      <c r="AA517" s="1">
        <v>-6.5</v>
      </c>
      <c r="AB517" s="1">
        <v>-17.3</v>
      </c>
      <c r="AC517" s="1">
        <v>0</v>
      </c>
      <c r="AD517">
        <f>Advanced_Table[[#This Row],[VORP]]*82/Advanced_Table[[#This Row],[G]]</f>
        <v>0</v>
      </c>
    </row>
    <row r="518" spans="1:30" x14ac:dyDescent="0.25">
      <c r="A518" s="1">
        <v>426</v>
      </c>
      <c r="B518" s="1" t="s">
        <v>693</v>
      </c>
      <c r="C518" s="1" t="s">
        <v>303</v>
      </c>
      <c r="D518" s="1">
        <v>26</v>
      </c>
      <c r="E518" s="1" t="s">
        <v>353</v>
      </c>
      <c r="F518" s="1">
        <v>26</v>
      </c>
      <c r="G518" s="1">
        <v>340</v>
      </c>
      <c r="H518" s="1">
        <v>11.8</v>
      </c>
      <c r="I518" s="1">
        <v>0.60699999999999998</v>
      </c>
      <c r="J518" s="1">
        <v>0.16</v>
      </c>
      <c r="K518" s="1">
        <v>0.247</v>
      </c>
      <c r="L518" s="1">
        <v>4.9000000000000004</v>
      </c>
      <c r="M518" s="1">
        <v>14.2</v>
      </c>
      <c r="N518" s="1">
        <v>9.6</v>
      </c>
      <c r="O518" s="1">
        <v>3.6</v>
      </c>
      <c r="P518" s="1">
        <v>1.3</v>
      </c>
      <c r="Q518" s="1">
        <v>2.2999999999999998</v>
      </c>
      <c r="R518" s="1">
        <v>7.2</v>
      </c>
      <c r="S518" s="1">
        <v>12.5</v>
      </c>
      <c r="T518" s="1"/>
      <c r="U518" s="1">
        <v>0.4</v>
      </c>
      <c r="V518" s="1">
        <v>0.4</v>
      </c>
      <c r="W518" s="1">
        <v>0.8</v>
      </c>
      <c r="X518" s="1">
        <v>0.11700000000000001</v>
      </c>
      <c r="Y518" s="1"/>
      <c r="Z518" s="1">
        <v>-2.6</v>
      </c>
      <c r="AA518" s="1">
        <v>0.8</v>
      </c>
      <c r="AB518" s="1">
        <v>-1.8</v>
      </c>
      <c r="AC518" s="1">
        <v>0</v>
      </c>
      <c r="AD518">
        <f>Advanced_Table[[#This Row],[VORP]]*82/Advanced_Table[[#This Row],[G]]</f>
        <v>0</v>
      </c>
    </row>
    <row r="519" spans="1:30" x14ac:dyDescent="0.25">
      <c r="A519" s="1">
        <v>427</v>
      </c>
      <c r="B519" s="1" t="s">
        <v>694</v>
      </c>
      <c r="C519" s="1" t="s">
        <v>23</v>
      </c>
      <c r="D519" s="1">
        <v>25</v>
      </c>
      <c r="E519" s="1" t="s">
        <v>322</v>
      </c>
      <c r="F519" s="1">
        <v>58</v>
      </c>
      <c r="G519" s="1">
        <v>1441</v>
      </c>
      <c r="H519" s="1">
        <v>13.3</v>
      </c>
      <c r="I519" s="1">
        <v>0.57199999999999995</v>
      </c>
      <c r="J519" s="1">
        <v>0.45500000000000002</v>
      </c>
      <c r="K519" s="1">
        <v>0.20200000000000001</v>
      </c>
      <c r="L519" s="1">
        <v>6.7</v>
      </c>
      <c r="M519" s="1">
        <v>20.2</v>
      </c>
      <c r="N519" s="1">
        <v>13.3</v>
      </c>
      <c r="O519" s="1">
        <v>10.9</v>
      </c>
      <c r="P519" s="1">
        <v>1.1000000000000001</v>
      </c>
      <c r="Q519" s="1">
        <v>0.9</v>
      </c>
      <c r="R519" s="1">
        <v>12.3</v>
      </c>
      <c r="S519" s="1">
        <v>17.2</v>
      </c>
      <c r="T519" s="1"/>
      <c r="U519" s="1">
        <v>1.5</v>
      </c>
      <c r="V519" s="1">
        <v>1.2</v>
      </c>
      <c r="W519" s="1">
        <v>2.7</v>
      </c>
      <c r="X519" s="1">
        <v>9.0999999999999998E-2</v>
      </c>
      <c r="Y519" s="1"/>
      <c r="Z519" s="1">
        <v>-0.5</v>
      </c>
      <c r="AA519" s="1">
        <v>-0.4</v>
      </c>
      <c r="AB519" s="1">
        <v>-0.8</v>
      </c>
      <c r="AC519" s="1">
        <v>0.4</v>
      </c>
      <c r="AD519">
        <f>Advanced_Table[[#This Row],[VORP]]*82/Advanced_Table[[#This Row],[G]]</f>
        <v>0.56551724137931036</v>
      </c>
    </row>
    <row r="520" spans="1:30" x14ac:dyDescent="0.25">
      <c r="A520" s="1">
        <v>428</v>
      </c>
      <c r="B520" s="1" t="s">
        <v>695</v>
      </c>
      <c r="C520" s="1" t="s">
        <v>316</v>
      </c>
      <c r="D520" s="1">
        <v>28</v>
      </c>
      <c r="E520" s="1" t="s">
        <v>317</v>
      </c>
      <c r="F520" s="1">
        <v>65</v>
      </c>
      <c r="G520" s="1">
        <v>1878</v>
      </c>
      <c r="H520" s="1">
        <v>13.5</v>
      </c>
      <c r="I520" s="1">
        <v>0.53300000000000003</v>
      </c>
      <c r="J520" s="1">
        <v>0.36099999999999999</v>
      </c>
      <c r="K520" s="1">
        <v>0.22</v>
      </c>
      <c r="L520" s="1">
        <v>4.3</v>
      </c>
      <c r="M520" s="1">
        <v>11</v>
      </c>
      <c r="N520" s="1">
        <v>7.5</v>
      </c>
      <c r="O520" s="1">
        <v>27.1</v>
      </c>
      <c r="P520" s="1">
        <v>2.1</v>
      </c>
      <c r="Q520" s="1">
        <v>0.4</v>
      </c>
      <c r="R520" s="1">
        <v>17.7</v>
      </c>
      <c r="S520" s="1">
        <v>16.7</v>
      </c>
      <c r="T520" s="1"/>
      <c r="U520" s="1">
        <v>1.8</v>
      </c>
      <c r="V520" s="1">
        <v>1.7</v>
      </c>
      <c r="W520" s="1">
        <v>3.5</v>
      </c>
      <c r="X520" s="1">
        <v>0.09</v>
      </c>
      <c r="Y520" s="1"/>
      <c r="Z520" s="1">
        <v>-1.1000000000000001</v>
      </c>
      <c r="AA520" s="1">
        <v>-0.3</v>
      </c>
      <c r="AB520" s="1">
        <v>-1.4</v>
      </c>
      <c r="AC520" s="1">
        <v>0.3</v>
      </c>
      <c r="AD520">
        <f>Advanced_Table[[#This Row],[VORP]]*82/Advanced_Table[[#This Row],[G]]</f>
        <v>0.3784615384615384</v>
      </c>
    </row>
    <row r="521" spans="1:30" x14ac:dyDescent="0.25">
      <c r="A521" s="1">
        <v>429</v>
      </c>
      <c r="B521" s="1" t="s">
        <v>696</v>
      </c>
      <c r="C521" s="1" t="s">
        <v>303</v>
      </c>
      <c r="D521" s="1">
        <v>22</v>
      </c>
      <c r="E521" s="1" t="s">
        <v>342</v>
      </c>
      <c r="F521" s="1">
        <v>27</v>
      </c>
      <c r="G521" s="1">
        <v>293</v>
      </c>
      <c r="H521" s="1">
        <v>6.8</v>
      </c>
      <c r="I521" s="1">
        <v>0.51400000000000001</v>
      </c>
      <c r="J521" s="1">
        <v>0.627</v>
      </c>
      <c r="K521" s="1">
        <v>0.17299999999999999</v>
      </c>
      <c r="L521" s="1">
        <v>2.2000000000000002</v>
      </c>
      <c r="M521" s="1">
        <v>10.9</v>
      </c>
      <c r="N521" s="1">
        <v>6.4</v>
      </c>
      <c r="O521" s="1">
        <v>6.2</v>
      </c>
      <c r="P521" s="1">
        <v>1.3</v>
      </c>
      <c r="Q521" s="1">
        <v>0.9</v>
      </c>
      <c r="R521" s="1">
        <v>8</v>
      </c>
      <c r="S521" s="1">
        <v>12.5</v>
      </c>
      <c r="T521" s="1"/>
      <c r="U521" s="1">
        <v>0.1</v>
      </c>
      <c r="V521" s="1">
        <v>0</v>
      </c>
      <c r="W521" s="1">
        <v>0.1</v>
      </c>
      <c r="X521" s="1">
        <v>0.02</v>
      </c>
      <c r="Y521" s="1"/>
      <c r="Z521" s="1">
        <v>-4.0999999999999996</v>
      </c>
      <c r="AA521" s="1">
        <v>-1.1000000000000001</v>
      </c>
      <c r="AB521" s="1">
        <v>-5.3</v>
      </c>
      <c r="AC521" s="1">
        <v>-0.2</v>
      </c>
      <c r="AD521">
        <f>Advanced_Table[[#This Row],[VORP]]*82/Advanced_Table[[#This Row],[G]]</f>
        <v>-0.60740740740740751</v>
      </c>
    </row>
    <row r="522" spans="1:30" x14ac:dyDescent="0.25">
      <c r="A522" s="1">
        <v>430</v>
      </c>
      <c r="B522" s="1" t="s">
        <v>697</v>
      </c>
      <c r="C522" s="1" t="s">
        <v>316</v>
      </c>
      <c r="D522" s="1">
        <v>26</v>
      </c>
      <c r="E522" s="1" t="s">
        <v>288</v>
      </c>
      <c r="F522" s="1">
        <v>63</v>
      </c>
      <c r="G522" s="1">
        <v>1952</v>
      </c>
      <c r="H522" s="1">
        <v>16.8</v>
      </c>
      <c r="I522" s="1">
        <v>0.57299999999999995</v>
      </c>
      <c r="J522" s="1">
        <v>0.33900000000000002</v>
      </c>
      <c r="K522" s="1">
        <v>0.24299999999999999</v>
      </c>
      <c r="L522" s="1">
        <v>1.1000000000000001</v>
      </c>
      <c r="M522" s="1">
        <v>11.8</v>
      </c>
      <c r="N522" s="1">
        <v>6.6</v>
      </c>
      <c r="O522" s="1">
        <v>21.6</v>
      </c>
      <c r="P522" s="1">
        <v>1.1000000000000001</v>
      </c>
      <c r="Q522" s="1">
        <v>0.6</v>
      </c>
      <c r="R522" s="1">
        <v>13.2</v>
      </c>
      <c r="S522" s="1">
        <v>27.2</v>
      </c>
      <c r="T522" s="1"/>
      <c r="U522" s="1">
        <v>1.9</v>
      </c>
      <c r="V522" s="1">
        <v>1.6</v>
      </c>
      <c r="W522" s="1">
        <v>3.5</v>
      </c>
      <c r="X522" s="1">
        <v>8.5999999999999993E-2</v>
      </c>
      <c r="Y522" s="1"/>
      <c r="Z522" s="1">
        <v>1.2</v>
      </c>
      <c r="AA522" s="1">
        <v>-1.2</v>
      </c>
      <c r="AB522" s="1">
        <v>0</v>
      </c>
      <c r="AC522" s="1">
        <v>1</v>
      </c>
      <c r="AD522">
        <f>Advanced_Table[[#This Row],[VORP]]*82/Advanced_Table[[#This Row],[G]]</f>
        <v>1.3015873015873016</v>
      </c>
    </row>
    <row r="523" spans="1:30" x14ac:dyDescent="0.25">
      <c r="A523" s="1">
        <v>431</v>
      </c>
      <c r="B523" s="1" t="s">
        <v>698</v>
      </c>
      <c r="C523" s="1" t="s">
        <v>23</v>
      </c>
      <c r="D523" s="1">
        <v>31</v>
      </c>
      <c r="E523" s="1" t="s">
        <v>361</v>
      </c>
      <c r="F523" s="1">
        <v>62</v>
      </c>
      <c r="G523" s="1">
        <v>1100</v>
      </c>
      <c r="H523" s="1">
        <v>10.1</v>
      </c>
      <c r="I523" s="1">
        <v>0.54</v>
      </c>
      <c r="J523" s="1">
        <v>0.64400000000000002</v>
      </c>
      <c r="K523" s="1">
        <v>9.1999999999999998E-2</v>
      </c>
      <c r="L523" s="1">
        <v>5.5</v>
      </c>
      <c r="M523" s="1">
        <v>16.600000000000001</v>
      </c>
      <c r="N523" s="1">
        <v>11</v>
      </c>
      <c r="O523" s="1">
        <v>5.6</v>
      </c>
      <c r="P523" s="1">
        <v>0.8</v>
      </c>
      <c r="Q523" s="1">
        <v>0.4</v>
      </c>
      <c r="R523" s="1">
        <v>6.8</v>
      </c>
      <c r="S523" s="1">
        <v>13.8</v>
      </c>
      <c r="T523" s="1"/>
      <c r="U523" s="1">
        <v>0.9</v>
      </c>
      <c r="V523" s="1">
        <v>1.1000000000000001</v>
      </c>
      <c r="W523" s="1">
        <v>2</v>
      </c>
      <c r="X523" s="1">
        <v>8.7999999999999995E-2</v>
      </c>
      <c r="Y523" s="1"/>
      <c r="Z523" s="1">
        <v>-1.3</v>
      </c>
      <c r="AA523" s="1">
        <v>-0.9</v>
      </c>
      <c r="AB523" s="1">
        <v>-2.2000000000000002</v>
      </c>
      <c r="AC523" s="1">
        <v>-0.1</v>
      </c>
      <c r="AD523">
        <f>Advanced_Table[[#This Row],[VORP]]*82/Advanced_Table[[#This Row],[G]]</f>
        <v>-0.13225806451612904</v>
      </c>
    </row>
    <row r="524" spans="1:30" x14ac:dyDescent="0.25">
      <c r="A524" s="1">
        <v>432</v>
      </c>
      <c r="B524" s="1" t="s">
        <v>699</v>
      </c>
      <c r="C524" s="1" t="s">
        <v>23</v>
      </c>
      <c r="D524" s="1">
        <v>35</v>
      </c>
      <c r="E524" s="1" t="s">
        <v>305</v>
      </c>
      <c r="F524" s="1">
        <v>41</v>
      </c>
      <c r="G524" s="1">
        <v>436</v>
      </c>
      <c r="H524" s="1">
        <v>9.5</v>
      </c>
      <c r="I524" s="1">
        <v>0.48699999999999999</v>
      </c>
      <c r="J524" s="1">
        <v>0.59299999999999997</v>
      </c>
      <c r="K524" s="1">
        <v>8.7999999999999995E-2</v>
      </c>
      <c r="L524" s="1">
        <v>5</v>
      </c>
      <c r="M524" s="1">
        <v>17.399999999999999</v>
      </c>
      <c r="N524" s="1">
        <v>11.2</v>
      </c>
      <c r="O524" s="1">
        <v>7.5</v>
      </c>
      <c r="P524" s="1">
        <v>2.6</v>
      </c>
      <c r="Q524" s="1">
        <v>2.4</v>
      </c>
      <c r="R524" s="1">
        <v>13.7</v>
      </c>
      <c r="S524" s="1">
        <v>10.4</v>
      </c>
      <c r="T524" s="1"/>
      <c r="U524" s="1">
        <v>0.1</v>
      </c>
      <c r="V524" s="1">
        <v>0.6</v>
      </c>
      <c r="W524" s="1">
        <v>0.7</v>
      </c>
      <c r="X524" s="1">
        <v>7.2999999999999995E-2</v>
      </c>
      <c r="Y524" s="1"/>
      <c r="Z524" s="1">
        <v>-2.7</v>
      </c>
      <c r="AA524" s="1">
        <v>1.6</v>
      </c>
      <c r="AB524" s="1">
        <v>-1.1000000000000001</v>
      </c>
      <c r="AC524" s="1">
        <v>0.1</v>
      </c>
      <c r="AD524">
        <f>Advanced_Table[[#This Row],[VORP]]*82/Advanced_Table[[#This Row],[G]]</f>
        <v>0.20000000000000004</v>
      </c>
    </row>
    <row r="525" spans="1:30" x14ac:dyDescent="0.25">
      <c r="A525" s="1">
        <v>433</v>
      </c>
      <c r="B525" s="1" t="s">
        <v>700</v>
      </c>
      <c r="C525" s="1" t="s">
        <v>294</v>
      </c>
      <c r="D525" s="1">
        <v>21</v>
      </c>
      <c r="E525" s="1" t="s">
        <v>411</v>
      </c>
      <c r="F525" s="1">
        <v>65</v>
      </c>
      <c r="G525" s="1">
        <v>2143</v>
      </c>
      <c r="H525" s="1">
        <v>16.3</v>
      </c>
      <c r="I525" s="1">
        <v>0.56000000000000005</v>
      </c>
      <c r="J525" s="1">
        <v>0.23499999999999999</v>
      </c>
      <c r="K525" s="1">
        <v>0.246</v>
      </c>
      <c r="L525" s="1">
        <v>3.1</v>
      </c>
      <c r="M525" s="1">
        <v>7.5</v>
      </c>
      <c r="N525" s="1">
        <v>5.3</v>
      </c>
      <c r="O525" s="1">
        <v>15.1</v>
      </c>
      <c r="P525" s="1">
        <v>1.5</v>
      </c>
      <c r="Q525" s="1">
        <v>0.3</v>
      </c>
      <c r="R525" s="1">
        <v>11.6</v>
      </c>
      <c r="S525" s="1">
        <v>27.2</v>
      </c>
      <c r="T525" s="1"/>
      <c r="U525" s="1">
        <v>2.2000000000000002</v>
      </c>
      <c r="V525" s="1">
        <v>0.3</v>
      </c>
      <c r="W525" s="1">
        <v>2.5</v>
      </c>
      <c r="X525" s="1">
        <v>5.7000000000000002E-2</v>
      </c>
      <c r="Y525" s="1"/>
      <c r="Z525" s="1">
        <v>0.3</v>
      </c>
      <c r="AA525" s="1">
        <v>-2.1</v>
      </c>
      <c r="AB525" s="1">
        <v>-1.8</v>
      </c>
      <c r="AC525" s="1">
        <v>0.1</v>
      </c>
      <c r="AD525">
        <f>Advanced_Table[[#This Row],[VORP]]*82/Advanced_Table[[#This Row],[G]]</f>
        <v>0.12615384615384617</v>
      </c>
    </row>
    <row r="526" spans="1:30" x14ac:dyDescent="0.25">
      <c r="A526" s="1">
        <v>434</v>
      </c>
      <c r="B526" s="1" t="s">
        <v>701</v>
      </c>
      <c r="C526" s="1" t="s">
        <v>294</v>
      </c>
      <c r="D526" s="1">
        <v>22</v>
      </c>
      <c r="E526" s="1" t="s">
        <v>350</v>
      </c>
      <c r="F526" s="1">
        <v>47</v>
      </c>
      <c r="G526" s="1">
        <v>1294</v>
      </c>
      <c r="H526" s="1">
        <v>9.1999999999999993</v>
      </c>
      <c r="I526" s="1">
        <v>0.59899999999999998</v>
      </c>
      <c r="J526" s="1">
        <v>0.76400000000000001</v>
      </c>
      <c r="K526" s="1">
        <v>0.17899999999999999</v>
      </c>
      <c r="L526" s="1">
        <v>0.5</v>
      </c>
      <c r="M526" s="1">
        <v>6.5</v>
      </c>
      <c r="N526" s="1">
        <v>3.6</v>
      </c>
      <c r="O526" s="1">
        <v>9</v>
      </c>
      <c r="P526" s="1">
        <v>0.7</v>
      </c>
      <c r="Q526" s="1">
        <v>0.6</v>
      </c>
      <c r="R526" s="1">
        <v>8.6999999999999993</v>
      </c>
      <c r="S526" s="1">
        <v>13.3</v>
      </c>
      <c r="T526" s="1"/>
      <c r="U526" s="1">
        <v>1.7</v>
      </c>
      <c r="V526" s="1">
        <v>1</v>
      </c>
      <c r="W526" s="1">
        <v>2.7</v>
      </c>
      <c r="X526" s="1">
        <v>0.1</v>
      </c>
      <c r="Y526" s="1"/>
      <c r="Z526" s="1">
        <v>-1.4</v>
      </c>
      <c r="AA526" s="1">
        <v>-0.3</v>
      </c>
      <c r="AB526" s="1">
        <v>-1.7</v>
      </c>
      <c r="AC526" s="1">
        <v>0.1</v>
      </c>
      <c r="AD526">
        <f>Advanced_Table[[#This Row],[VORP]]*82/Advanced_Table[[#This Row],[G]]</f>
        <v>0.17446808510638301</v>
      </c>
    </row>
    <row r="527" spans="1:30" x14ac:dyDescent="0.25">
      <c r="A527" s="1">
        <v>435</v>
      </c>
      <c r="B527" s="1" t="s">
        <v>1575</v>
      </c>
      <c r="C527" s="1" t="s">
        <v>294</v>
      </c>
      <c r="D527" s="1">
        <v>24</v>
      </c>
      <c r="E527" s="1" t="s">
        <v>361</v>
      </c>
      <c r="F527" s="1">
        <v>2</v>
      </c>
      <c r="G527" s="1">
        <v>10</v>
      </c>
      <c r="H527" s="1">
        <v>-1.9</v>
      </c>
      <c r="I527" s="1">
        <v>0.3</v>
      </c>
      <c r="J527" s="1">
        <v>0.6</v>
      </c>
      <c r="K527" s="1">
        <v>0</v>
      </c>
      <c r="L527" s="1">
        <v>0</v>
      </c>
      <c r="M527" s="1">
        <v>33.1</v>
      </c>
      <c r="N527" s="1">
        <v>16.600000000000001</v>
      </c>
      <c r="O527" s="1">
        <v>13.4</v>
      </c>
      <c r="P527" s="1">
        <v>0</v>
      </c>
      <c r="Q527" s="1">
        <v>0</v>
      </c>
      <c r="R527" s="1">
        <v>16.7</v>
      </c>
      <c r="S527" s="1">
        <v>25.9</v>
      </c>
      <c r="T527" s="1"/>
      <c r="U527" s="1">
        <v>-0.1</v>
      </c>
      <c r="V527" s="1">
        <v>0</v>
      </c>
      <c r="W527" s="1">
        <v>0</v>
      </c>
      <c r="X527" s="1">
        <v>-0.22700000000000001</v>
      </c>
      <c r="Y527" s="1"/>
      <c r="Z527" s="1">
        <v>-8.9</v>
      </c>
      <c r="AA527" s="1">
        <v>-2.6</v>
      </c>
      <c r="AB527" s="1">
        <v>-11.5</v>
      </c>
      <c r="AC527" s="1">
        <v>0</v>
      </c>
      <c r="AD527">
        <f>Advanced_Table[[#This Row],[VORP]]*82/Advanced_Table[[#This Row],[G]]</f>
        <v>0</v>
      </c>
    </row>
    <row r="528" spans="1:30" x14ac:dyDescent="0.25">
      <c r="A528" s="1">
        <v>436</v>
      </c>
      <c r="B528" s="1" t="s">
        <v>702</v>
      </c>
      <c r="C528" s="1" t="s">
        <v>294</v>
      </c>
      <c r="D528" s="1">
        <v>29</v>
      </c>
      <c r="E528" s="1" t="s">
        <v>299</v>
      </c>
      <c r="F528" s="1">
        <v>13</v>
      </c>
      <c r="G528" s="1">
        <v>241</v>
      </c>
      <c r="H528" s="1">
        <v>5.3</v>
      </c>
      <c r="I528" s="1">
        <v>0.40300000000000002</v>
      </c>
      <c r="J528" s="1">
        <v>0.51600000000000001</v>
      </c>
      <c r="K528" s="1">
        <v>0.109</v>
      </c>
      <c r="L528" s="1">
        <v>3.9</v>
      </c>
      <c r="M528" s="1">
        <v>10.4</v>
      </c>
      <c r="N528" s="1">
        <v>7.3</v>
      </c>
      <c r="O528" s="1">
        <v>6.8</v>
      </c>
      <c r="P528" s="1">
        <v>2.4</v>
      </c>
      <c r="Q528" s="1">
        <v>0.7</v>
      </c>
      <c r="R528" s="1">
        <v>13</v>
      </c>
      <c r="S528" s="1">
        <v>13.4</v>
      </c>
      <c r="T528" s="1"/>
      <c r="U528" s="1">
        <v>-0.3</v>
      </c>
      <c r="V528" s="1">
        <v>0.3</v>
      </c>
      <c r="W528" s="1">
        <v>0</v>
      </c>
      <c r="X528" s="1">
        <v>-1E-3</v>
      </c>
      <c r="Y528" s="1"/>
      <c r="Z528" s="1">
        <v>-6.3</v>
      </c>
      <c r="AA528" s="1">
        <v>0.8</v>
      </c>
      <c r="AB528" s="1">
        <v>-5.5</v>
      </c>
      <c r="AC528" s="1">
        <v>-0.2</v>
      </c>
      <c r="AD528">
        <f>Advanced_Table[[#This Row],[VORP]]*82/Advanced_Table[[#This Row],[G]]</f>
        <v>-1.2615384615384617</v>
      </c>
    </row>
    <row r="529" spans="1:30" x14ac:dyDescent="0.25">
      <c r="A529" s="1">
        <v>437</v>
      </c>
      <c r="B529" s="1" t="s">
        <v>703</v>
      </c>
      <c r="C529" s="1" t="s">
        <v>23</v>
      </c>
      <c r="D529" s="1">
        <v>25</v>
      </c>
      <c r="E529" s="1" t="s">
        <v>314</v>
      </c>
      <c r="F529" s="1">
        <v>53</v>
      </c>
      <c r="G529" s="1">
        <v>1882</v>
      </c>
      <c r="H529" s="1">
        <v>18.7</v>
      </c>
      <c r="I529" s="1">
        <v>0.55900000000000005</v>
      </c>
      <c r="J529" s="1">
        <v>0.32</v>
      </c>
      <c r="K529" s="1">
        <v>0.27500000000000002</v>
      </c>
      <c r="L529" s="1">
        <v>3.3</v>
      </c>
      <c r="M529" s="1">
        <v>18.8</v>
      </c>
      <c r="N529" s="1">
        <v>11.2</v>
      </c>
      <c r="O529" s="1">
        <v>17</v>
      </c>
      <c r="P529" s="1">
        <v>1.3</v>
      </c>
      <c r="Q529" s="1">
        <v>2.5</v>
      </c>
      <c r="R529" s="1">
        <v>10.5</v>
      </c>
      <c r="S529" s="1">
        <v>28.5</v>
      </c>
      <c r="T529" s="1"/>
      <c r="U529" s="1">
        <v>2</v>
      </c>
      <c r="V529" s="1">
        <v>3.2</v>
      </c>
      <c r="W529" s="1">
        <v>5.2</v>
      </c>
      <c r="X529" s="1">
        <v>0.13300000000000001</v>
      </c>
      <c r="Y529" s="1"/>
      <c r="Z529" s="1">
        <v>1.8</v>
      </c>
      <c r="AA529" s="1">
        <v>0.5</v>
      </c>
      <c r="AB529" s="1">
        <v>2.2999999999999998</v>
      </c>
      <c r="AC529" s="1">
        <v>2</v>
      </c>
      <c r="AD529">
        <f>Advanced_Table[[#This Row],[VORP]]*82/Advanced_Table[[#This Row],[G]]</f>
        <v>3.0943396226415096</v>
      </c>
    </row>
    <row r="530" spans="1:30" x14ac:dyDescent="0.25">
      <c r="A530" s="1">
        <v>438</v>
      </c>
      <c r="B530" s="1" t="s">
        <v>704</v>
      </c>
      <c r="C530" s="1" t="s">
        <v>23</v>
      </c>
      <c r="D530" s="1">
        <v>23</v>
      </c>
      <c r="E530" s="1" t="s">
        <v>290</v>
      </c>
      <c r="F530" s="1">
        <v>41</v>
      </c>
      <c r="G530" s="1">
        <v>307</v>
      </c>
      <c r="H530" s="1">
        <v>17.2</v>
      </c>
      <c r="I530" s="1">
        <v>0.66300000000000003</v>
      </c>
      <c r="J530" s="1">
        <v>2.9000000000000001E-2</v>
      </c>
      <c r="K530" s="1">
        <v>0.71</v>
      </c>
      <c r="L530" s="1">
        <v>20.7</v>
      </c>
      <c r="M530" s="1">
        <v>19.3</v>
      </c>
      <c r="N530" s="1">
        <v>19.899999999999999</v>
      </c>
      <c r="O530" s="1">
        <v>10.199999999999999</v>
      </c>
      <c r="P530" s="1">
        <v>1.4</v>
      </c>
      <c r="Q530" s="1">
        <v>5.8</v>
      </c>
      <c r="R530" s="1">
        <v>25.5</v>
      </c>
      <c r="S530" s="1">
        <v>17.5</v>
      </c>
      <c r="T530" s="1"/>
      <c r="U530" s="1">
        <v>0.7</v>
      </c>
      <c r="V530" s="1">
        <v>0.5</v>
      </c>
      <c r="W530" s="1">
        <v>1.1000000000000001</v>
      </c>
      <c r="X530" s="1">
        <v>0.17899999999999999</v>
      </c>
      <c r="Y530" s="1"/>
      <c r="Z530" s="1">
        <v>-3.3</v>
      </c>
      <c r="AA530" s="1">
        <v>0.8</v>
      </c>
      <c r="AB530" s="1">
        <v>-2.6</v>
      </c>
      <c r="AC530" s="1">
        <v>0</v>
      </c>
      <c r="AD530">
        <f>Advanced_Table[[#This Row],[VORP]]*82/Advanced_Table[[#This Row],[G]]</f>
        <v>0</v>
      </c>
    </row>
    <row r="531" spans="1:30" x14ac:dyDescent="0.25">
      <c r="A531" s="1">
        <v>439</v>
      </c>
      <c r="B531" s="1" t="s">
        <v>705</v>
      </c>
      <c r="C531" s="1" t="s">
        <v>316</v>
      </c>
      <c r="D531" s="1">
        <v>23</v>
      </c>
      <c r="E531" s="1" t="s">
        <v>361</v>
      </c>
      <c r="F531" s="1">
        <v>54</v>
      </c>
      <c r="G531" s="1">
        <v>1930</v>
      </c>
      <c r="H531" s="1">
        <v>20.8</v>
      </c>
      <c r="I531" s="1">
        <v>0.60799999999999998</v>
      </c>
      <c r="J531" s="1">
        <v>0.01</v>
      </c>
      <c r="K531" s="1">
        <v>0.46</v>
      </c>
      <c r="L531" s="1">
        <v>6.2</v>
      </c>
      <c r="M531" s="1">
        <v>18</v>
      </c>
      <c r="N531" s="1">
        <v>12.1</v>
      </c>
      <c r="O531" s="1">
        <v>34.799999999999997</v>
      </c>
      <c r="P531" s="1">
        <v>2.9</v>
      </c>
      <c r="Q531" s="1">
        <v>1.4</v>
      </c>
      <c r="R531" s="1">
        <v>20.6</v>
      </c>
      <c r="S531" s="1">
        <v>20.9</v>
      </c>
      <c r="T531" s="1"/>
      <c r="U531" s="1">
        <v>3.8</v>
      </c>
      <c r="V531" s="1">
        <v>3.2</v>
      </c>
      <c r="W531" s="1">
        <v>7</v>
      </c>
      <c r="X531" s="1">
        <v>0.17299999999999999</v>
      </c>
      <c r="Y531" s="1"/>
      <c r="Z531" s="1">
        <v>1.4</v>
      </c>
      <c r="AA531" s="1">
        <v>2.5</v>
      </c>
      <c r="AB531" s="1">
        <v>3.8</v>
      </c>
      <c r="AC531" s="1">
        <v>2.8</v>
      </c>
      <c r="AD531">
        <f>Advanced_Table[[#This Row],[VORP]]*82/Advanced_Table[[#This Row],[G]]</f>
        <v>4.2518518518518515</v>
      </c>
    </row>
    <row r="532" spans="1:30" x14ac:dyDescent="0.25">
      <c r="A532" s="1">
        <v>440</v>
      </c>
      <c r="B532" s="1" t="s">
        <v>706</v>
      </c>
      <c r="C532" s="1" t="s">
        <v>294</v>
      </c>
      <c r="D532" s="1">
        <v>20</v>
      </c>
      <c r="E532" s="1" t="s">
        <v>312</v>
      </c>
      <c r="F532" s="1">
        <v>65</v>
      </c>
      <c r="G532" s="1">
        <v>1400</v>
      </c>
      <c r="H532" s="1">
        <v>9.3000000000000007</v>
      </c>
      <c r="I532" s="1">
        <v>0.50600000000000001</v>
      </c>
      <c r="J532" s="1">
        <v>0.41699999999999998</v>
      </c>
      <c r="K532" s="1">
        <v>0.17499999999999999</v>
      </c>
      <c r="L532" s="1">
        <v>1.9</v>
      </c>
      <c r="M532" s="1">
        <v>8.9</v>
      </c>
      <c r="N532" s="1">
        <v>5.4</v>
      </c>
      <c r="O532" s="1">
        <v>9.4</v>
      </c>
      <c r="P532" s="1">
        <v>0.9</v>
      </c>
      <c r="Q532" s="1">
        <v>0.6</v>
      </c>
      <c r="R532" s="1">
        <v>9.6999999999999993</v>
      </c>
      <c r="S532" s="1">
        <v>19</v>
      </c>
      <c r="T532" s="1"/>
      <c r="U532" s="1">
        <v>0.1</v>
      </c>
      <c r="V532" s="1">
        <v>0.2</v>
      </c>
      <c r="W532" s="1">
        <v>0.3</v>
      </c>
      <c r="X532" s="1">
        <v>0.01</v>
      </c>
      <c r="Y532" s="1"/>
      <c r="Z532" s="1">
        <v>-2.5</v>
      </c>
      <c r="AA532" s="1">
        <v>-1.9</v>
      </c>
      <c r="AB532" s="1">
        <v>-4.3</v>
      </c>
      <c r="AC532" s="1">
        <v>-0.8</v>
      </c>
      <c r="AD532">
        <f>Advanced_Table[[#This Row],[VORP]]*82/Advanced_Table[[#This Row],[G]]</f>
        <v>-1.0092307692307694</v>
      </c>
    </row>
    <row r="533" spans="1:30" x14ac:dyDescent="0.25">
      <c r="A533" s="1">
        <v>441</v>
      </c>
      <c r="B533" s="1" t="s">
        <v>964</v>
      </c>
      <c r="C533" s="1" t="s">
        <v>23</v>
      </c>
      <c r="D533" s="1">
        <v>19</v>
      </c>
      <c r="E533" s="1" t="s">
        <v>369</v>
      </c>
      <c r="F533" s="1">
        <v>14</v>
      </c>
      <c r="G533" s="1">
        <v>139</v>
      </c>
      <c r="H533" s="1">
        <v>14.5</v>
      </c>
      <c r="I533" s="1">
        <v>0.61</v>
      </c>
      <c r="J533" s="1">
        <v>0.32500000000000001</v>
      </c>
      <c r="K533" s="1">
        <v>0.47499999999999998</v>
      </c>
      <c r="L533" s="1">
        <v>7.5</v>
      </c>
      <c r="M533" s="1">
        <v>13.7</v>
      </c>
      <c r="N533" s="1">
        <v>10.5</v>
      </c>
      <c r="O533" s="1">
        <v>14.3</v>
      </c>
      <c r="P533" s="1">
        <v>1</v>
      </c>
      <c r="Q533" s="1">
        <v>2.6</v>
      </c>
      <c r="R533" s="1">
        <v>18.5</v>
      </c>
      <c r="S533" s="1">
        <v>18.2</v>
      </c>
      <c r="T533" s="1"/>
      <c r="U533" s="1">
        <v>0.2</v>
      </c>
      <c r="V533" s="1">
        <v>0.1</v>
      </c>
      <c r="W533" s="1">
        <v>0.2</v>
      </c>
      <c r="X533" s="1">
        <v>8.1000000000000003E-2</v>
      </c>
      <c r="Y533" s="1"/>
      <c r="Z533" s="1">
        <v>-1.4</v>
      </c>
      <c r="AA533" s="1">
        <v>-0.8</v>
      </c>
      <c r="AB533" s="1">
        <v>-2.2000000000000002</v>
      </c>
      <c r="AC533" s="1">
        <v>0</v>
      </c>
      <c r="AD533">
        <f>Advanced_Table[[#This Row],[VORP]]*82/Advanced_Table[[#This Row],[G]]</f>
        <v>0</v>
      </c>
    </row>
    <row r="534" spans="1:30" x14ac:dyDescent="0.25">
      <c r="A534" s="1">
        <v>442</v>
      </c>
      <c r="B534" s="1" t="s">
        <v>707</v>
      </c>
      <c r="C534" s="1" t="s">
        <v>294</v>
      </c>
      <c r="D534" s="1">
        <v>25</v>
      </c>
      <c r="E534" s="1" t="s">
        <v>383</v>
      </c>
      <c r="F534" s="1">
        <v>53</v>
      </c>
      <c r="G534" s="1">
        <v>1721</v>
      </c>
      <c r="H534" s="1">
        <v>14</v>
      </c>
      <c r="I534" s="1">
        <v>0.51900000000000002</v>
      </c>
      <c r="J534" s="1">
        <v>0.58199999999999996</v>
      </c>
      <c r="K534" s="1">
        <v>0.20100000000000001</v>
      </c>
      <c r="L534" s="1">
        <v>2.5</v>
      </c>
      <c r="M534" s="1">
        <v>10.1</v>
      </c>
      <c r="N534" s="1">
        <v>6.4</v>
      </c>
      <c r="O534" s="1">
        <v>21</v>
      </c>
      <c r="P534" s="1">
        <v>2.4</v>
      </c>
      <c r="Q534" s="1">
        <v>1.5</v>
      </c>
      <c r="R534" s="1">
        <v>11.5</v>
      </c>
      <c r="S534" s="1">
        <v>19.3</v>
      </c>
      <c r="T534" s="1"/>
      <c r="U534" s="1">
        <v>1.7</v>
      </c>
      <c r="V534" s="1">
        <v>2.4</v>
      </c>
      <c r="W534" s="1">
        <v>4.0999999999999996</v>
      </c>
      <c r="X534" s="1">
        <v>0.115</v>
      </c>
      <c r="Y534" s="1"/>
      <c r="Z534" s="1">
        <v>0.2</v>
      </c>
      <c r="AA534" s="1">
        <v>1.3</v>
      </c>
      <c r="AB534" s="1">
        <v>1.5</v>
      </c>
      <c r="AC534" s="1">
        <v>1.5</v>
      </c>
      <c r="AD534">
        <f>Advanced_Table[[#This Row],[VORP]]*82/Advanced_Table[[#This Row],[G]]</f>
        <v>2.3207547169811322</v>
      </c>
    </row>
    <row r="535" spans="1:30" x14ac:dyDescent="0.25">
      <c r="A535" s="1">
        <v>443</v>
      </c>
      <c r="B535" s="1" t="s">
        <v>708</v>
      </c>
      <c r="C535" s="1" t="s">
        <v>316</v>
      </c>
      <c r="D535" s="1">
        <v>22</v>
      </c>
      <c r="E535" s="1" t="s">
        <v>332</v>
      </c>
      <c r="F535" s="1">
        <v>34</v>
      </c>
      <c r="G535" s="1">
        <v>537</v>
      </c>
      <c r="H535" s="1">
        <v>7.5</v>
      </c>
      <c r="I535" s="1">
        <v>0.39900000000000002</v>
      </c>
      <c r="J535" s="1">
        <v>0.25600000000000001</v>
      </c>
      <c r="K535" s="1">
        <v>0.251</v>
      </c>
      <c r="L535" s="1">
        <v>4</v>
      </c>
      <c r="M535" s="1">
        <v>11.7</v>
      </c>
      <c r="N535" s="1">
        <v>7.8</v>
      </c>
      <c r="O535" s="1">
        <v>26.4</v>
      </c>
      <c r="P535" s="1">
        <v>2.5</v>
      </c>
      <c r="Q535" s="1">
        <v>1.4</v>
      </c>
      <c r="R535" s="1">
        <v>19.8</v>
      </c>
      <c r="S535" s="1">
        <v>23.1</v>
      </c>
      <c r="T535" s="1"/>
      <c r="U535" s="1">
        <v>-1.3</v>
      </c>
      <c r="V535" s="1">
        <v>0.5</v>
      </c>
      <c r="W535" s="1">
        <v>-0.9</v>
      </c>
      <c r="X535" s="1">
        <v>-7.9000000000000001E-2</v>
      </c>
      <c r="Y535" s="1"/>
      <c r="Z535" s="1">
        <v>-5.2</v>
      </c>
      <c r="AA535" s="1">
        <v>-1</v>
      </c>
      <c r="AB535" s="1">
        <v>-6.2</v>
      </c>
      <c r="AC535" s="1">
        <v>-0.6</v>
      </c>
      <c r="AD535">
        <f>Advanced_Table[[#This Row],[VORP]]*82/Advanced_Table[[#This Row],[G]]</f>
        <v>-1.4470588235294117</v>
      </c>
    </row>
    <row r="536" spans="1:30" x14ac:dyDescent="0.25">
      <c r="A536" s="1">
        <v>444</v>
      </c>
      <c r="B536" s="1" t="s">
        <v>709</v>
      </c>
      <c r="C536" s="1" t="s">
        <v>316</v>
      </c>
      <c r="D536" s="1">
        <v>31</v>
      </c>
      <c r="E536" s="1" t="s">
        <v>342</v>
      </c>
      <c r="F536" s="1">
        <v>60</v>
      </c>
      <c r="G536" s="1">
        <v>1570</v>
      </c>
      <c r="H536" s="1">
        <v>13.8</v>
      </c>
      <c r="I536" s="1">
        <v>0.51200000000000001</v>
      </c>
      <c r="J536" s="1">
        <v>0.25800000000000001</v>
      </c>
      <c r="K536" s="1">
        <v>0.12</v>
      </c>
      <c r="L536" s="1">
        <v>1.9</v>
      </c>
      <c r="M536" s="1">
        <v>11.7</v>
      </c>
      <c r="N536" s="1">
        <v>6.6</v>
      </c>
      <c r="O536" s="1">
        <v>25.9</v>
      </c>
      <c r="P536" s="1">
        <v>1.5</v>
      </c>
      <c r="Q536" s="1">
        <v>1.3</v>
      </c>
      <c r="R536" s="1">
        <v>11.2</v>
      </c>
      <c r="S536" s="1">
        <v>18.3</v>
      </c>
      <c r="T536" s="1"/>
      <c r="U536" s="1">
        <v>1.3</v>
      </c>
      <c r="V536" s="1">
        <v>0.4</v>
      </c>
      <c r="W536" s="1">
        <v>1.7</v>
      </c>
      <c r="X536" s="1">
        <v>5.2999999999999999E-2</v>
      </c>
      <c r="Y536" s="1"/>
      <c r="Z536" s="1">
        <v>-0.2</v>
      </c>
      <c r="AA536" s="1">
        <v>-1.2</v>
      </c>
      <c r="AB536" s="1">
        <v>-1.4</v>
      </c>
      <c r="AC536" s="1">
        <v>0.2</v>
      </c>
      <c r="AD536">
        <f>Advanced_Table[[#This Row],[VORP]]*82/Advanced_Table[[#This Row],[G]]</f>
        <v>0.27333333333333337</v>
      </c>
    </row>
    <row r="537" spans="1:30" x14ac:dyDescent="0.25">
      <c r="A537" s="1">
        <v>445</v>
      </c>
      <c r="B537" s="1" t="s">
        <v>1216</v>
      </c>
      <c r="C537" s="1" t="s">
        <v>294</v>
      </c>
      <c r="D537" s="1">
        <v>20</v>
      </c>
      <c r="E537" s="1" t="s">
        <v>361</v>
      </c>
      <c r="F537" s="1">
        <v>7</v>
      </c>
      <c r="G537" s="1">
        <v>32</v>
      </c>
      <c r="H537" s="1">
        <v>1.1000000000000001</v>
      </c>
      <c r="I537" s="1">
        <v>0.313</v>
      </c>
      <c r="J537" s="1">
        <v>0.27300000000000002</v>
      </c>
      <c r="K537" s="1">
        <v>0.36399999999999999</v>
      </c>
      <c r="L537" s="1">
        <v>0</v>
      </c>
      <c r="M537" s="1">
        <v>6.9</v>
      </c>
      <c r="N537" s="1">
        <v>3.4</v>
      </c>
      <c r="O537" s="1">
        <v>8.3000000000000007</v>
      </c>
      <c r="P537" s="1">
        <v>4.5999999999999996</v>
      </c>
      <c r="Q537" s="1">
        <v>0</v>
      </c>
      <c r="R537" s="1">
        <v>13.6</v>
      </c>
      <c r="S537" s="1">
        <v>19.899999999999999</v>
      </c>
      <c r="T537" s="1"/>
      <c r="U537" s="1">
        <v>-0.1</v>
      </c>
      <c r="V537" s="1">
        <v>0.1</v>
      </c>
      <c r="W537" s="1">
        <v>-0.1</v>
      </c>
      <c r="X537" s="1">
        <v>-0.11799999999999999</v>
      </c>
      <c r="Y537" s="1"/>
      <c r="Z537" s="1">
        <v>-11</v>
      </c>
      <c r="AA537" s="1">
        <v>0.8</v>
      </c>
      <c r="AB537" s="1">
        <v>-10.199999999999999</v>
      </c>
      <c r="AC537" s="1">
        <v>-0.1</v>
      </c>
      <c r="AD537">
        <f>Advanced_Table[[#This Row],[VORP]]*82/Advanced_Table[[#This Row],[G]]</f>
        <v>-1.1714285714285715</v>
      </c>
    </row>
    <row r="538" spans="1:30" x14ac:dyDescent="0.25">
      <c r="A538" s="1">
        <v>446</v>
      </c>
      <c r="B538" s="1" t="s">
        <v>710</v>
      </c>
      <c r="C538" s="1" t="s">
        <v>303</v>
      </c>
      <c r="D538" s="1">
        <v>28</v>
      </c>
      <c r="E538" s="1" t="s">
        <v>363</v>
      </c>
      <c r="F538" s="1">
        <v>58</v>
      </c>
      <c r="G538" s="1">
        <v>1613</v>
      </c>
      <c r="H538" s="1">
        <v>9.6</v>
      </c>
      <c r="I538" s="1">
        <v>0.59699999999999998</v>
      </c>
      <c r="J538" s="1">
        <v>0.67100000000000004</v>
      </c>
      <c r="K538" s="1">
        <v>7.6999999999999999E-2</v>
      </c>
      <c r="L538" s="1">
        <v>0.6</v>
      </c>
      <c r="M538" s="1">
        <v>7.2</v>
      </c>
      <c r="N538" s="1">
        <v>3.9</v>
      </c>
      <c r="O538" s="1">
        <v>10.8</v>
      </c>
      <c r="P538" s="1">
        <v>0.9</v>
      </c>
      <c r="Q538" s="1">
        <v>0.8</v>
      </c>
      <c r="R538" s="1">
        <v>7.1</v>
      </c>
      <c r="S538" s="1">
        <v>11.3</v>
      </c>
      <c r="T538" s="1"/>
      <c r="U538" s="1">
        <v>2</v>
      </c>
      <c r="V538" s="1">
        <v>0.5</v>
      </c>
      <c r="W538" s="1">
        <v>2.5</v>
      </c>
      <c r="X538" s="1">
        <v>7.4999999999999997E-2</v>
      </c>
      <c r="Y538" s="1"/>
      <c r="Z538" s="1">
        <v>-1.1000000000000001</v>
      </c>
      <c r="AA538" s="1">
        <v>-0.6</v>
      </c>
      <c r="AB538" s="1">
        <v>-1.7</v>
      </c>
      <c r="AC538" s="1">
        <v>0.1</v>
      </c>
      <c r="AD538">
        <f>Advanced_Table[[#This Row],[VORP]]*82/Advanced_Table[[#This Row],[G]]</f>
        <v>0.14137931034482759</v>
      </c>
    </row>
    <row r="539" spans="1:30" x14ac:dyDescent="0.25">
      <c r="A539" s="1">
        <v>447</v>
      </c>
      <c r="B539" s="1" t="s">
        <v>711</v>
      </c>
      <c r="C539" s="1" t="s">
        <v>23</v>
      </c>
      <c r="D539" s="1">
        <v>22</v>
      </c>
      <c r="E539" s="1" t="s">
        <v>369</v>
      </c>
      <c r="F539" s="1">
        <v>49</v>
      </c>
      <c r="G539" s="1">
        <v>886</v>
      </c>
      <c r="H539" s="1">
        <v>14.4</v>
      </c>
      <c r="I539" s="1">
        <v>0.55100000000000005</v>
      </c>
      <c r="J539" s="1">
        <v>0.373</v>
      </c>
      <c r="K539" s="1">
        <v>0.312</v>
      </c>
      <c r="L539" s="1">
        <v>9.1</v>
      </c>
      <c r="M539" s="1">
        <v>18</v>
      </c>
      <c r="N539" s="1">
        <v>13.4</v>
      </c>
      <c r="O539" s="1">
        <v>8.1</v>
      </c>
      <c r="P539" s="1">
        <v>1.8</v>
      </c>
      <c r="Q539" s="1">
        <v>2.4</v>
      </c>
      <c r="R539" s="1">
        <v>13.9</v>
      </c>
      <c r="S539" s="1">
        <v>18.8</v>
      </c>
      <c r="T539" s="1"/>
      <c r="U539" s="1">
        <v>0.5</v>
      </c>
      <c r="V539" s="1">
        <v>0.7</v>
      </c>
      <c r="W539" s="1">
        <v>1.2</v>
      </c>
      <c r="X539" s="1">
        <v>6.5000000000000002E-2</v>
      </c>
      <c r="Y539" s="1"/>
      <c r="Z539" s="1">
        <v>-0.8</v>
      </c>
      <c r="AA539" s="1">
        <v>-1.1000000000000001</v>
      </c>
      <c r="AB539" s="1">
        <v>-1.9</v>
      </c>
      <c r="AC539" s="1">
        <v>0</v>
      </c>
      <c r="AD539">
        <f>Advanced_Table[[#This Row],[VORP]]*82/Advanced_Table[[#This Row],[G]]</f>
        <v>0</v>
      </c>
    </row>
    <row r="540" spans="1:30" x14ac:dyDescent="0.25">
      <c r="A540" s="1">
        <v>448</v>
      </c>
      <c r="B540" s="1" t="s">
        <v>773</v>
      </c>
      <c r="C540" s="1" t="s">
        <v>294</v>
      </c>
      <c r="D540" s="1">
        <v>23</v>
      </c>
      <c r="E540" s="1" t="s">
        <v>317</v>
      </c>
      <c r="F540" s="1">
        <v>2</v>
      </c>
      <c r="G540" s="1">
        <v>6</v>
      </c>
      <c r="H540" s="1">
        <v>30.7</v>
      </c>
      <c r="I540" s="1">
        <v>0.72699999999999998</v>
      </c>
      <c r="J540" s="1">
        <v>0.33300000000000002</v>
      </c>
      <c r="K540" s="1">
        <v>0.33300000000000002</v>
      </c>
      <c r="L540" s="1">
        <v>17.5</v>
      </c>
      <c r="M540" s="1">
        <v>0</v>
      </c>
      <c r="N540" s="1">
        <v>9.1999999999999993</v>
      </c>
      <c r="O540" s="1">
        <v>0</v>
      </c>
      <c r="P540" s="1">
        <v>0</v>
      </c>
      <c r="Q540" s="1">
        <v>0</v>
      </c>
      <c r="R540" s="1">
        <v>0</v>
      </c>
      <c r="S540" s="1">
        <v>24.4</v>
      </c>
      <c r="T540" s="1"/>
      <c r="U540" s="1">
        <v>0</v>
      </c>
      <c r="V540" s="1">
        <v>0</v>
      </c>
      <c r="W540" s="1">
        <v>0</v>
      </c>
      <c r="X540" s="1">
        <v>0.317</v>
      </c>
      <c r="Y540" s="1"/>
      <c r="Z540" s="1">
        <v>5.3</v>
      </c>
      <c r="AA540" s="1">
        <v>-1</v>
      </c>
      <c r="AB540" s="1">
        <v>4.3</v>
      </c>
      <c r="AC540" s="1">
        <v>0</v>
      </c>
      <c r="AD540">
        <f>Advanced_Table[[#This Row],[VORP]]*82/Advanced_Table[[#This Row],[G]]</f>
        <v>0</v>
      </c>
    </row>
    <row r="541" spans="1:30" x14ac:dyDescent="0.25">
      <c r="A541" s="1">
        <v>449</v>
      </c>
      <c r="B541" s="1" t="s">
        <v>712</v>
      </c>
      <c r="C541" s="1" t="s">
        <v>316</v>
      </c>
      <c r="D541" s="1">
        <v>24</v>
      </c>
      <c r="E541" s="1" t="s">
        <v>353</v>
      </c>
      <c r="F541" s="1">
        <v>25</v>
      </c>
      <c r="G541" s="1">
        <v>345</v>
      </c>
      <c r="H541" s="1">
        <v>10</v>
      </c>
      <c r="I541" s="1">
        <v>0.48499999999999999</v>
      </c>
      <c r="J541" s="1">
        <v>0.34200000000000003</v>
      </c>
      <c r="K541" s="1">
        <v>0.13500000000000001</v>
      </c>
      <c r="L541" s="1">
        <v>3.2</v>
      </c>
      <c r="M541" s="1">
        <v>8.6</v>
      </c>
      <c r="N541" s="1">
        <v>5.9</v>
      </c>
      <c r="O541" s="1">
        <v>15.4</v>
      </c>
      <c r="P541" s="1">
        <v>2.1</v>
      </c>
      <c r="Q541" s="1">
        <v>2</v>
      </c>
      <c r="R541" s="1">
        <v>13.9</v>
      </c>
      <c r="S541" s="1">
        <v>17.399999999999999</v>
      </c>
      <c r="T541" s="1"/>
      <c r="U541" s="1">
        <v>-0.1</v>
      </c>
      <c r="V541" s="1">
        <v>0.4</v>
      </c>
      <c r="W541" s="1">
        <v>0.3</v>
      </c>
      <c r="X541" s="1">
        <v>3.9E-2</v>
      </c>
      <c r="Y541" s="1"/>
      <c r="Z541" s="1">
        <v>-3.6</v>
      </c>
      <c r="AA541" s="1">
        <v>0.4</v>
      </c>
      <c r="AB541" s="1">
        <v>-3.2</v>
      </c>
      <c r="AC541" s="1">
        <v>-0.1</v>
      </c>
      <c r="AD541">
        <f>Advanced_Table[[#This Row],[VORP]]*82/Advanced_Table[[#This Row],[G]]</f>
        <v>-0.32800000000000007</v>
      </c>
    </row>
    <row r="542" spans="1:30" x14ac:dyDescent="0.25">
      <c r="A542" s="1">
        <v>450</v>
      </c>
      <c r="B542" s="1" t="s">
        <v>713</v>
      </c>
      <c r="C542" s="1" t="s">
        <v>23</v>
      </c>
      <c r="D542" s="1">
        <v>22</v>
      </c>
      <c r="E542" s="1" t="s">
        <v>957</v>
      </c>
      <c r="F542" s="1">
        <v>27</v>
      </c>
      <c r="G542" s="1">
        <v>288</v>
      </c>
      <c r="H542" s="1">
        <v>7.6</v>
      </c>
      <c r="I542" s="1">
        <v>0.59699999999999998</v>
      </c>
      <c r="J542" s="1">
        <v>4.2999999999999997E-2</v>
      </c>
      <c r="K542" s="1">
        <v>0.36199999999999999</v>
      </c>
      <c r="L542" s="1">
        <v>9.9</v>
      </c>
      <c r="M542" s="1">
        <v>26.1</v>
      </c>
      <c r="N542" s="1">
        <v>18.100000000000001</v>
      </c>
      <c r="O542" s="1">
        <v>14</v>
      </c>
      <c r="P542" s="1">
        <v>0.5</v>
      </c>
      <c r="Q542" s="1">
        <v>2.1</v>
      </c>
      <c r="R542" s="1">
        <v>40.4</v>
      </c>
      <c r="S542" s="1">
        <v>13.5</v>
      </c>
      <c r="T542" s="1"/>
      <c r="U542" s="1">
        <v>-0.2</v>
      </c>
      <c r="V542" s="1">
        <v>0.2</v>
      </c>
      <c r="W542" s="1">
        <v>0</v>
      </c>
      <c r="X542" s="1">
        <v>7.0000000000000001E-3</v>
      </c>
      <c r="Y542" s="1"/>
      <c r="Z542" s="1">
        <v>-6.3</v>
      </c>
      <c r="AA542" s="1">
        <v>0.6</v>
      </c>
      <c r="AB542" s="1">
        <v>-5.7</v>
      </c>
      <c r="AC542" s="1">
        <v>-0.3</v>
      </c>
      <c r="AD542">
        <f>Advanced_Table[[#This Row],[VORP]]*82/Advanced_Table[[#This Row],[G]]</f>
        <v>-0.91111111111111098</v>
      </c>
    </row>
    <row r="543" spans="1:30" x14ac:dyDescent="0.25">
      <c r="A543" s="1">
        <v>450</v>
      </c>
      <c r="B543" s="1" t="s">
        <v>713</v>
      </c>
      <c r="C543" s="1" t="s">
        <v>23</v>
      </c>
      <c r="D543" s="1">
        <v>22</v>
      </c>
      <c r="E543" s="1" t="s">
        <v>319</v>
      </c>
      <c r="F543" s="1">
        <v>7</v>
      </c>
      <c r="G543" s="1">
        <v>23</v>
      </c>
      <c r="H543" s="1">
        <v>0</v>
      </c>
      <c r="I543" s="1">
        <v>0.51200000000000001</v>
      </c>
      <c r="J543" s="1">
        <v>0</v>
      </c>
      <c r="K543" s="1">
        <v>0.5</v>
      </c>
      <c r="L543" s="1">
        <v>9.6</v>
      </c>
      <c r="M543" s="1">
        <v>25.2</v>
      </c>
      <c r="N543" s="1">
        <v>17.2</v>
      </c>
      <c r="O543" s="1">
        <v>11.7</v>
      </c>
      <c r="P543" s="1">
        <v>2.1</v>
      </c>
      <c r="Q543" s="1">
        <v>8.3000000000000007</v>
      </c>
      <c r="R543" s="1">
        <v>55.1</v>
      </c>
      <c r="S543" s="1">
        <v>20.6</v>
      </c>
      <c r="T543" s="1"/>
      <c r="U543" s="1">
        <v>-0.1</v>
      </c>
      <c r="V543" s="1">
        <v>0</v>
      </c>
      <c r="W543" s="1">
        <v>-0.1</v>
      </c>
      <c r="X543" s="1">
        <v>-0.17499999999999999</v>
      </c>
      <c r="Y543" s="1"/>
      <c r="Z543" s="1">
        <v>-14.6</v>
      </c>
      <c r="AA543" s="1">
        <v>3.3</v>
      </c>
      <c r="AB543" s="1">
        <v>-11.3</v>
      </c>
      <c r="AC543" s="1">
        <v>-0.1</v>
      </c>
      <c r="AD543">
        <f>Advanced_Table[[#This Row],[VORP]]*82/Advanced_Table[[#This Row],[G]]</f>
        <v>-1.1714285714285715</v>
      </c>
    </row>
    <row r="544" spans="1:30" x14ac:dyDescent="0.25">
      <c r="A544" s="1">
        <v>450</v>
      </c>
      <c r="B544" s="1" t="s">
        <v>713</v>
      </c>
      <c r="C544" s="1" t="s">
        <v>23</v>
      </c>
      <c r="D544" s="1">
        <v>22</v>
      </c>
      <c r="E544" s="1" t="s">
        <v>312</v>
      </c>
      <c r="F544" s="1">
        <v>20</v>
      </c>
      <c r="G544" s="1">
        <v>265</v>
      </c>
      <c r="H544" s="1">
        <v>8.3000000000000007</v>
      </c>
      <c r="I544" s="1">
        <v>0.60499999999999998</v>
      </c>
      <c r="J544" s="1">
        <v>4.7E-2</v>
      </c>
      <c r="K544" s="1">
        <v>0.34899999999999998</v>
      </c>
      <c r="L544" s="1">
        <v>9.9</v>
      </c>
      <c r="M544" s="1">
        <v>26.2</v>
      </c>
      <c r="N544" s="1">
        <v>18.2</v>
      </c>
      <c r="O544" s="1">
        <v>14.2</v>
      </c>
      <c r="P544" s="1">
        <v>0.4</v>
      </c>
      <c r="Q544" s="1">
        <v>1.6</v>
      </c>
      <c r="R544" s="1">
        <v>38.5</v>
      </c>
      <c r="S544" s="1">
        <v>12.9</v>
      </c>
      <c r="T544" s="1"/>
      <c r="U544" s="1">
        <v>-0.1</v>
      </c>
      <c r="V544" s="1">
        <v>0.2</v>
      </c>
      <c r="W544" s="1">
        <v>0.1</v>
      </c>
      <c r="X544" s="1">
        <v>2.3E-2</v>
      </c>
      <c r="Y544" s="1"/>
      <c r="Z544" s="1">
        <v>-5.5</v>
      </c>
      <c r="AA544" s="1">
        <v>0.3</v>
      </c>
      <c r="AB544" s="1">
        <v>-5.2</v>
      </c>
      <c r="AC544" s="1">
        <v>-0.2</v>
      </c>
      <c r="AD544">
        <f>Advanced_Table[[#This Row],[VORP]]*82/Advanced_Table[[#This Row],[G]]</f>
        <v>-0.82000000000000006</v>
      </c>
    </row>
    <row r="545" spans="1:30" x14ac:dyDescent="0.25">
      <c r="A545" s="1">
        <v>451</v>
      </c>
      <c r="B545" s="1" t="s">
        <v>714</v>
      </c>
      <c r="C545" s="1" t="s">
        <v>23</v>
      </c>
      <c r="D545" s="1">
        <v>21</v>
      </c>
      <c r="E545" s="1" t="s">
        <v>383</v>
      </c>
      <c r="F545" s="1">
        <v>59</v>
      </c>
      <c r="G545" s="1">
        <v>2043</v>
      </c>
      <c r="H545" s="1">
        <v>20.399999999999999</v>
      </c>
      <c r="I545" s="1">
        <v>0.56200000000000006</v>
      </c>
      <c r="J545" s="1">
        <v>0.377</v>
      </c>
      <c r="K545" s="1">
        <v>0.251</v>
      </c>
      <c r="L545" s="1">
        <v>3</v>
      </c>
      <c r="M545" s="1">
        <v>18.8</v>
      </c>
      <c r="N545" s="1">
        <v>11</v>
      </c>
      <c r="O545" s="1">
        <v>14</v>
      </c>
      <c r="P545" s="1">
        <v>2</v>
      </c>
      <c r="Q545" s="1">
        <v>2.4</v>
      </c>
      <c r="R545" s="1">
        <v>9.6999999999999993</v>
      </c>
      <c r="S545" s="1">
        <v>28.6</v>
      </c>
      <c r="T545" s="1"/>
      <c r="U545" s="1">
        <v>2.9</v>
      </c>
      <c r="V545" s="1">
        <v>3.4</v>
      </c>
      <c r="W545" s="1">
        <v>6.2</v>
      </c>
      <c r="X545" s="1">
        <v>0.14699999999999999</v>
      </c>
      <c r="Y545" s="1"/>
      <c r="Z545" s="1">
        <v>3.3</v>
      </c>
      <c r="AA545" s="1">
        <v>0.6</v>
      </c>
      <c r="AB545" s="1">
        <v>3.9</v>
      </c>
      <c r="AC545" s="1">
        <v>3</v>
      </c>
      <c r="AD545">
        <f>Advanced_Table[[#This Row],[VORP]]*82/Advanced_Table[[#This Row],[G]]</f>
        <v>4.1694915254237293</v>
      </c>
    </row>
    <row r="546" spans="1:30" x14ac:dyDescent="0.25">
      <c r="A546" s="1">
        <v>452</v>
      </c>
      <c r="B546" s="1" t="s">
        <v>715</v>
      </c>
      <c r="C546" s="1" t="s">
        <v>316</v>
      </c>
      <c r="D546" s="1">
        <v>31</v>
      </c>
      <c r="E546" s="1" t="s">
        <v>957</v>
      </c>
      <c r="F546" s="1">
        <v>58</v>
      </c>
      <c r="G546" s="1">
        <v>1446</v>
      </c>
      <c r="H546" s="1">
        <v>14.5</v>
      </c>
      <c r="I546" s="1">
        <v>0.55200000000000005</v>
      </c>
      <c r="J546" s="1">
        <v>0.24099999999999999</v>
      </c>
      <c r="K546" s="1">
        <v>0.4</v>
      </c>
      <c r="L546" s="1">
        <v>1.9</v>
      </c>
      <c r="M546" s="1">
        <v>8.5</v>
      </c>
      <c r="N546" s="1">
        <v>5.0999999999999996</v>
      </c>
      <c r="O546" s="1">
        <v>30.7</v>
      </c>
      <c r="P546" s="1">
        <v>1.4</v>
      </c>
      <c r="Q546" s="1">
        <v>1.1000000000000001</v>
      </c>
      <c r="R546" s="1">
        <v>16.7</v>
      </c>
      <c r="S546" s="1">
        <v>19.399999999999999</v>
      </c>
      <c r="T546" s="1"/>
      <c r="U546" s="1">
        <v>1.8</v>
      </c>
      <c r="V546" s="1">
        <v>0.6</v>
      </c>
      <c r="W546" s="1">
        <v>2.4</v>
      </c>
      <c r="X546" s="1">
        <v>7.9000000000000001E-2</v>
      </c>
      <c r="Y546" s="1"/>
      <c r="Z546" s="1">
        <v>-0.3</v>
      </c>
      <c r="AA546" s="1">
        <v>-1.4</v>
      </c>
      <c r="AB546" s="1">
        <v>-1.7</v>
      </c>
      <c r="AC546" s="1">
        <v>0.1</v>
      </c>
      <c r="AD546">
        <f>Advanced_Table[[#This Row],[VORP]]*82/Advanced_Table[[#This Row],[G]]</f>
        <v>0.14137931034482759</v>
      </c>
    </row>
    <row r="547" spans="1:30" x14ac:dyDescent="0.25">
      <c r="A547" s="1">
        <v>452</v>
      </c>
      <c r="B547" s="1" t="s">
        <v>715</v>
      </c>
      <c r="C547" s="1" t="s">
        <v>316</v>
      </c>
      <c r="D547" s="1">
        <v>31</v>
      </c>
      <c r="E547" s="1" t="s">
        <v>336</v>
      </c>
      <c r="F547" s="1">
        <v>34</v>
      </c>
      <c r="G547" s="1">
        <v>945</v>
      </c>
      <c r="H547" s="1">
        <v>16</v>
      </c>
      <c r="I547" s="1">
        <v>0.57799999999999996</v>
      </c>
      <c r="J547" s="1">
        <v>0.26900000000000002</v>
      </c>
      <c r="K547" s="1">
        <v>0.44400000000000001</v>
      </c>
      <c r="L547" s="1">
        <v>1.6</v>
      </c>
      <c r="M547" s="1">
        <v>8.5</v>
      </c>
      <c r="N547" s="1">
        <v>4.9000000000000004</v>
      </c>
      <c r="O547" s="1">
        <v>32.5</v>
      </c>
      <c r="P547" s="1">
        <v>1.2</v>
      </c>
      <c r="Q547" s="1">
        <v>1.1000000000000001</v>
      </c>
      <c r="R547" s="1">
        <v>16.399999999999999</v>
      </c>
      <c r="S547" s="1">
        <v>20.2</v>
      </c>
      <c r="T547" s="1"/>
      <c r="U547" s="1">
        <v>1.7</v>
      </c>
      <c r="V547" s="1">
        <v>0.4</v>
      </c>
      <c r="W547" s="1">
        <v>2.1</v>
      </c>
      <c r="X547" s="1">
        <v>0.108</v>
      </c>
      <c r="Y547" s="1"/>
      <c r="Z547" s="1">
        <v>0.6</v>
      </c>
      <c r="AA547" s="1">
        <v>-1.2</v>
      </c>
      <c r="AB547" s="1">
        <v>-0.6</v>
      </c>
      <c r="AC547" s="1">
        <v>0.3</v>
      </c>
      <c r="AD547">
        <f>Advanced_Table[[#This Row],[VORP]]*82/Advanced_Table[[#This Row],[G]]</f>
        <v>0.72352941176470587</v>
      </c>
    </row>
    <row r="548" spans="1:30" x14ac:dyDescent="0.25">
      <c r="A548" s="1">
        <v>452</v>
      </c>
      <c r="B548" s="1" t="s">
        <v>715</v>
      </c>
      <c r="C548" s="1" t="s">
        <v>316</v>
      </c>
      <c r="D548" s="1">
        <v>31</v>
      </c>
      <c r="E548" s="1" t="s">
        <v>347</v>
      </c>
      <c r="F548" s="1">
        <v>24</v>
      </c>
      <c r="G548" s="1">
        <v>501</v>
      </c>
      <c r="H548" s="1">
        <v>11.6</v>
      </c>
      <c r="I548" s="1">
        <v>0.496</v>
      </c>
      <c r="J548" s="1">
        <v>0.184</v>
      </c>
      <c r="K548" s="1">
        <v>0.31</v>
      </c>
      <c r="L548" s="1">
        <v>2.2999999999999998</v>
      </c>
      <c r="M548" s="1">
        <v>8.6999999999999993</v>
      </c>
      <c r="N548" s="1">
        <v>5.5</v>
      </c>
      <c r="O548" s="1">
        <v>27.3</v>
      </c>
      <c r="P548" s="1">
        <v>1.8</v>
      </c>
      <c r="Q548" s="1">
        <v>1</v>
      </c>
      <c r="R548" s="1">
        <v>17.5</v>
      </c>
      <c r="S548" s="1">
        <v>18</v>
      </c>
      <c r="T548" s="1"/>
      <c r="U548" s="1">
        <v>0.1</v>
      </c>
      <c r="V548" s="1">
        <v>0.2</v>
      </c>
      <c r="W548" s="1">
        <v>0.2</v>
      </c>
      <c r="X548" s="1">
        <v>2.4E-2</v>
      </c>
      <c r="Y548" s="1"/>
      <c r="Z548" s="1">
        <v>-2.1</v>
      </c>
      <c r="AA548" s="1">
        <v>-1.6</v>
      </c>
      <c r="AB548" s="1">
        <v>-3.7</v>
      </c>
      <c r="AC548" s="1">
        <v>-0.2</v>
      </c>
      <c r="AD548">
        <f>Advanced_Table[[#This Row],[VORP]]*82/Advanced_Table[[#This Row],[G]]</f>
        <v>-0.68333333333333346</v>
      </c>
    </row>
    <row r="549" spans="1:30" x14ac:dyDescent="0.25">
      <c r="A549" s="1">
        <v>453</v>
      </c>
      <c r="B549" s="1" t="s">
        <v>716</v>
      </c>
      <c r="C549" s="1" t="s">
        <v>294</v>
      </c>
      <c r="D549" s="1">
        <v>33</v>
      </c>
      <c r="E549" s="1" t="s">
        <v>299</v>
      </c>
      <c r="F549" s="1">
        <v>55</v>
      </c>
      <c r="G549" s="1">
        <v>1547</v>
      </c>
      <c r="H549" s="1">
        <v>10.3</v>
      </c>
      <c r="I549" s="1">
        <v>0.50700000000000001</v>
      </c>
      <c r="J549" s="1">
        <v>0.66</v>
      </c>
      <c r="K549" s="1">
        <v>0.13900000000000001</v>
      </c>
      <c r="L549" s="1">
        <v>1.9</v>
      </c>
      <c r="M549" s="1">
        <v>10.5</v>
      </c>
      <c r="N549" s="1">
        <v>6.3</v>
      </c>
      <c r="O549" s="1">
        <v>13.1</v>
      </c>
      <c r="P549" s="1">
        <v>1.3</v>
      </c>
      <c r="Q549" s="1">
        <v>1.4</v>
      </c>
      <c r="R549" s="1">
        <v>9.3000000000000007</v>
      </c>
      <c r="S549" s="1">
        <v>16.600000000000001</v>
      </c>
      <c r="T549" s="1"/>
      <c r="U549" s="1">
        <v>0.5</v>
      </c>
      <c r="V549" s="1">
        <v>1.6</v>
      </c>
      <c r="W549" s="1">
        <v>2.1</v>
      </c>
      <c r="X549" s="1">
        <v>6.5000000000000002E-2</v>
      </c>
      <c r="Y549" s="1"/>
      <c r="Z549" s="1">
        <v>-1.5</v>
      </c>
      <c r="AA549" s="1">
        <v>0.4</v>
      </c>
      <c r="AB549" s="1">
        <v>-1</v>
      </c>
      <c r="AC549" s="1">
        <v>0.4</v>
      </c>
      <c r="AD549">
        <f>Advanced_Table[[#This Row],[VORP]]*82/Advanced_Table[[#This Row],[G]]</f>
        <v>0.59636363636363643</v>
      </c>
    </row>
    <row r="550" spans="1:30" x14ac:dyDescent="0.25">
      <c r="A550" s="1">
        <v>454</v>
      </c>
      <c r="B550" s="1" t="s">
        <v>717</v>
      </c>
      <c r="C550" s="1" t="s">
        <v>287</v>
      </c>
      <c r="D550" s="1">
        <v>27</v>
      </c>
      <c r="E550" s="1" t="s">
        <v>383</v>
      </c>
      <c r="F550" s="1">
        <v>58</v>
      </c>
      <c r="G550" s="1">
        <v>1382</v>
      </c>
      <c r="H550" s="1">
        <v>18.2</v>
      </c>
      <c r="I550" s="1">
        <v>0.629</v>
      </c>
      <c r="J550" s="1">
        <v>0.21199999999999999</v>
      </c>
      <c r="K550" s="1">
        <v>0.27700000000000002</v>
      </c>
      <c r="L550" s="1">
        <v>10.199999999999999</v>
      </c>
      <c r="M550" s="1">
        <v>19.2</v>
      </c>
      <c r="N550" s="1">
        <v>14.7</v>
      </c>
      <c r="O550" s="1">
        <v>9.9</v>
      </c>
      <c r="P550" s="1">
        <v>1.2</v>
      </c>
      <c r="Q550" s="1">
        <v>5</v>
      </c>
      <c r="R550" s="1">
        <v>10.1</v>
      </c>
      <c r="S550" s="1">
        <v>14.7</v>
      </c>
      <c r="T550" s="1"/>
      <c r="U550" s="1">
        <v>3.6</v>
      </c>
      <c r="V550" s="1">
        <v>2.2999999999999998</v>
      </c>
      <c r="W550" s="1">
        <v>5.9</v>
      </c>
      <c r="X550" s="1">
        <v>0.20499999999999999</v>
      </c>
      <c r="Y550" s="1"/>
      <c r="Z550" s="1">
        <v>0.5</v>
      </c>
      <c r="AA550" s="1">
        <v>1.8</v>
      </c>
      <c r="AB550" s="1">
        <v>2.2999999999999998</v>
      </c>
      <c r="AC550" s="1">
        <v>1.5</v>
      </c>
      <c r="AD550">
        <f>Advanced_Table[[#This Row],[VORP]]*82/Advanced_Table[[#This Row],[G]]</f>
        <v>2.1206896551724137</v>
      </c>
    </row>
    <row r="551" spans="1:30" x14ac:dyDescent="0.25">
      <c r="A551" s="1">
        <v>455</v>
      </c>
      <c r="B551" s="1" t="s">
        <v>718</v>
      </c>
      <c r="C551" s="1" t="s">
        <v>316</v>
      </c>
      <c r="D551" s="1">
        <v>30</v>
      </c>
      <c r="E551" s="1" t="s">
        <v>342</v>
      </c>
      <c r="F551" s="1">
        <v>40</v>
      </c>
      <c r="G551" s="1">
        <v>925</v>
      </c>
      <c r="H551" s="1">
        <v>11.6</v>
      </c>
      <c r="I551" s="1">
        <v>0.53100000000000003</v>
      </c>
      <c r="J551" s="1">
        <v>0.44400000000000001</v>
      </c>
      <c r="K551" s="1">
        <v>0.17799999999999999</v>
      </c>
      <c r="L551" s="1">
        <v>1.3</v>
      </c>
      <c r="M551" s="1">
        <v>7</v>
      </c>
      <c r="N551" s="1">
        <v>4</v>
      </c>
      <c r="O551" s="1">
        <v>23.2</v>
      </c>
      <c r="P551" s="1">
        <v>0.7</v>
      </c>
      <c r="Q551" s="1">
        <v>0.6</v>
      </c>
      <c r="R551" s="1">
        <v>14.4</v>
      </c>
      <c r="S551" s="1">
        <v>24.1</v>
      </c>
      <c r="T551" s="1"/>
      <c r="U551" s="1">
        <v>0.2</v>
      </c>
      <c r="V551" s="1">
        <v>-0.1</v>
      </c>
      <c r="W551" s="1">
        <v>0</v>
      </c>
      <c r="X551" s="1">
        <v>1E-3</v>
      </c>
      <c r="Y551" s="1"/>
      <c r="Z551" s="1">
        <v>-0.4</v>
      </c>
      <c r="AA551" s="1">
        <v>-4</v>
      </c>
      <c r="AB551" s="1">
        <v>-4.4000000000000004</v>
      </c>
      <c r="AC551" s="1">
        <v>-0.6</v>
      </c>
      <c r="AD551">
        <f>Advanced_Table[[#This Row],[VORP]]*82/Advanced_Table[[#This Row],[G]]</f>
        <v>-1.23</v>
      </c>
    </row>
    <row r="552" spans="1:30" x14ac:dyDescent="0.25">
      <c r="A552" s="1">
        <v>456</v>
      </c>
      <c r="B552" s="1" t="s">
        <v>719</v>
      </c>
      <c r="C552" s="1" t="s">
        <v>294</v>
      </c>
      <c r="D552" s="1">
        <v>23</v>
      </c>
      <c r="E552" s="1" t="s">
        <v>363</v>
      </c>
      <c r="F552" s="1">
        <v>7</v>
      </c>
      <c r="G552" s="1">
        <v>47</v>
      </c>
      <c r="H552" s="1">
        <v>2.2000000000000002</v>
      </c>
      <c r="I552" s="1">
        <v>0.437</v>
      </c>
      <c r="J552" s="1">
        <v>0.78600000000000003</v>
      </c>
      <c r="K552" s="1">
        <v>0.14299999999999999</v>
      </c>
      <c r="L552" s="1">
        <v>2.4</v>
      </c>
      <c r="M552" s="1">
        <v>0</v>
      </c>
      <c r="N552" s="1">
        <v>1.2</v>
      </c>
      <c r="O552" s="1">
        <v>5.8</v>
      </c>
      <c r="P552" s="1">
        <v>2.1</v>
      </c>
      <c r="Q552" s="1">
        <v>0</v>
      </c>
      <c r="R552" s="1">
        <v>16.8</v>
      </c>
      <c r="S552" s="1">
        <v>16.600000000000001</v>
      </c>
      <c r="T552" s="1"/>
      <c r="U552" s="1">
        <v>-0.1</v>
      </c>
      <c r="V552" s="1">
        <v>0</v>
      </c>
      <c r="W552" s="1">
        <v>-0.1</v>
      </c>
      <c r="X552" s="1">
        <v>-7.3999999999999996E-2</v>
      </c>
      <c r="Y552" s="1"/>
      <c r="Z552" s="1">
        <v>-5.7</v>
      </c>
      <c r="AA552" s="1">
        <v>-2.2000000000000002</v>
      </c>
      <c r="AB552" s="1">
        <v>-8</v>
      </c>
      <c r="AC552" s="1">
        <v>-0.1</v>
      </c>
      <c r="AD552">
        <f>Advanced_Table[[#This Row],[VORP]]*82/Advanced_Table[[#This Row],[G]]</f>
        <v>-1.1714285714285715</v>
      </c>
    </row>
    <row r="553" spans="1:30" x14ac:dyDescent="0.25">
      <c r="A553" s="1">
        <v>457</v>
      </c>
      <c r="B553" s="1" t="s">
        <v>720</v>
      </c>
      <c r="C553" s="1" t="s">
        <v>294</v>
      </c>
      <c r="D553" s="1">
        <v>25</v>
      </c>
      <c r="E553" s="1" t="s">
        <v>314</v>
      </c>
      <c r="F553" s="1">
        <v>33</v>
      </c>
      <c r="G553" s="1">
        <v>321</v>
      </c>
      <c r="H553" s="1">
        <v>13.6</v>
      </c>
      <c r="I553" s="1">
        <v>0.65</v>
      </c>
      <c r="J553" s="1">
        <v>0.67600000000000005</v>
      </c>
      <c r="K553" s="1">
        <v>0.09</v>
      </c>
      <c r="L553" s="1">
        <v>2.4</v>
      </c>
      <c r="M553" s="1">
        <v>13.2</v>
      </c>
      <c r="N553" s="1">
        <v>7.9</v>
      </c>
      <c r="O553" s="1">
        <v>7.9</v>
      </c>
      <c r="P553" s="1">
        <v>1.2</v>
      </c>
      <c r="Q553" s="1">
        <v>0</v>
      </c>
      <c r="R553" s="1">
        <v>9.4</v>
      </c>
      <c r="S553" s="1">
        <v>17</v>
      </c>
      <c r="T553" s="1"/>
      <c r="U553" s="1">
        <v>0.5</v>
      </c>
      <c r="V553" s="1">
        <v>0.4</v>
      </c>
      <c r="W553" s="1">
        <v>0.9</v>
      </c>
      <c r="X553" s="1">
        <v>0.13700000000000001</v>
      </c>
      <c r="Y553" s="1"/>
      <c r="Z553" s="1">
        <v>0.9</v>
      </c>
      <c r="AA553" s="1">
        <v>0.3</v>
      </c>
      <c r="AB553" s="1">
        <v>1.2</v>
      </c>
      <c r="AC553" s="1">
        <v>0.3</v>
      </c>
      <c r="AD553">
        <f>Advanced_Table[[#This Row],[VORP]]*82/Advanced_Table[[#This Row],[G]]</f>
        <v>0.74545454545454537</v>
      </c>
    </row>
    <row r="554" spans="1:30" x14ac:dyDescent="0.25">
      <c r="A554" s="1">
        <v>458</v>
      </c>
      <c r="B554" s="1" t="s">
        <v>721</v>
      </c>
      <c r="C554" s="1" t="s">
        <v>287</v>
      </c>
      <c r="D554" s="1">
        <v>28</v>
      </c>
      <c r="E554" s="1" t="s">
        <v>411</v>
      </c>
      <c r="F554" s="1">
        <v>57</v>
      </c>
      <c r="G554" s="1">
        <v>1721</v>
      </c>
      <c r="H554" s="1">
        <v>16.8</v>
      </c>
      <c r="I554" s="1">
        <v>0.54</v>
      </c>
      <c r="J554" s="1">
        <v>4.1000000000000002E-2</v>
      </c>
      <c r="K554" s="1">
        <v>0.28599999999999998</v>
      </c>
      <c r="L554" s="1">
        <v>14.5</v>
      </c>
      <c r="M554" s="1">
        <v>22.9</v>
      </c>
      <c r="N554" s="1">
        <v>18.600000000000001</v>
      </c>
      <c r="O554" s="1">
        <v>10.5</v>
      </c>
      <c r="P554" s="1">
        <v>0.9</v>
      </c>
      <c r="Q554" s="1">
        <v>2.5</v>
      </c>
      <c r="R554" s="1">
        <v>14</v>
      </c>
      <c r="S554" s="1">
        <v>18.3</v>
      </c>
      <c r="T554" s="1"/>
      <c r="U554" s="1">
        <v>2</v>
      </c>
      <c r="V554" s="1">
        <v>1.1000000000000001</v>
      </c>
      <c r="W554" s="1">
        <v>3.1</v>
      </c>
      <c r="X554" s="1">
        <v>8.5000000000000006E-2</v>
      </c>
      <c r="Y554" s="1"/>
      <c r="Z554" s="1">
        <v>-0.2</v>
      </c>
      <c r="AA554" s="1">
        <v>-1.4</v>
      </c>
      <c r="AB554" s="1">
        <v>-1.6</v>
      </c>
      <c r="AC554" s="1">
        <v>0.2</v>
      </c>
      <c r="AD554">
        <f>Advanced_Table[[#This Row],[VORP]]*82/Advanced_Table[[#This Row],[G]]</f>
        <v>0.2877192982456141</v>
      </c>
    </row>
    <row r="555" spans="1:30" x14ac:dyDescent="0.25">
      <c r="A555" s="1">
        <v>459</v>
      </c>
      <c r="B555" s="1" t="s">
        <v>722</v>
      </c>
      <c r="C555" s="1" t="s">
        <v>294</v>
      </c>
      <c r="D555" s="1">
        <v>22</v>
      </c>
      <c r="E555" s="1" t="s">
        <v>361</v>
      </c>
      <c r="F555" s="1">
        <v>56</v>
      </c>
      <c r="G555" s="1">
        <v>1092</v>
      </c>
      <c r="H555" s="1">
        <v>9.5</v>
      </c>
      <c r="I555" s="1">
        <v>0.52200000000000002</v>
      </c>
      <c r="J555" s="1">
        <v>0.61099999999999999</v>
      </c>
      <c r="K555" s="1">
        <v>0.17899999999999999</v>
      </c>
      <c r="L555" s="1">
        <v>3.5</v>
      </c>
      <c r="M555" s="1">
        <v>5.2</v>
      </c>
      <c r="N555" s="1">
        <v>4.3</v>
      </c>
      <c r="O555" s="1">
        <v>8.3000000000000007</v>
      </c>
      <c r="P555" s="1">
        <v>3.4</v>
      </c>
      <c r="Q555" s="1">
        <v>3.1</v>
      </c>
      <c r="R555" s="1">
        <v>15.1</v>
      </c>
      <c r="S555" s="1">
        <v>11.5</v>
      </c>
      <c r="T555" s="1"/>
      <c r="U555" s="1">
        <v>0.1</v>
      </c>
      <c r="V555" s="1">
        <v>1.8</v>
      </c>
      <c r="W555" s="1">
        <v>1.8</v>
      </c>
      <c r="X555" s="1">
        <v>0.08</v>
      </c>
      <c r="Y555" s="1"/>
      <c r="Z555" s="1">
        <v>-3.1</v>
      </c>
      <c r="AA555" s="1">
        <v>3.1</v>
      </c>
      <c r="AB555" s="1">
        <v>-0.1</v>
      </c>
      <c r="AC555" s="1">
        <v>0.5</v>
      </c>
      <c r="AD555">
        <f>Advanced_Table[[#This Row],[VORP]]*82/Advanced_Table[[#This Row],[G]]</f>
        <v>0.7321428571428571</v>
      </c>
    </row>
    <row r="556" spans="1:30" x14ac:dyDescent="0.25">
      <c r="A556" s="1">
        <v>460</v>
      </c>
      <c r="B556" s="1" t="s">
        <v>723</v>
      </c>
      <c r="C556" s="1" t="s">
        <v>23</v>
      </c>
      <c r="D556" s="1">
        <v>34</v>
      </c>
      <c r="E556" s="1" t="s">
        <v>957</v>
      </c>
      <c r="F556" s="1">
        <v>47</v>
      </c>
      <c r="G556" s="1">
        <v>732</v>
      </c>
      <c r="H556" s="1">
        <v>6.6</v>
      </c>
      <c r="I556" s="1">
        <v>0.497</v>
      </c>
      <c r="J556" s="1">
        <v>0.78100000000000003</v>
      </c>
      <c r="K556" s="1">
        <v>0.161</v>
      </c>
      <c r="L556" s="1">
        <v>4.3</v>
      </c>
      <c r="M556" s="1">
        <v>14.5</v>
      </c>
      <c r="N556" s="1">
        <v>9.5</v>
      </c>
      <c r="O556" s="1">
        <v>5.7</v>
      </c>
      <c r="P556" s="1">
        <v>1</v>
      </c>
      <c r="Q556" s="1">
        <v>1.3</v>
      </c>
      <c r="R556" s="1">
        <v>15.3</v>
      </c>
      <c r="S556" s="1">
        <v>11.4</v>
      </c>
      <c r="T556" s="1"/>
      <c r="U556" s="1">
        <v>-0.1</v>
      </c>
      <c r="V556" s="1">
        <v>0.4</v>
      </c>
      <c r="W556" s="1">
        <v>0.3</v>
      </c>
      <c r="X556" s="1">
        <v>1.7999999999999999E-2</v>
      </c>
      <c r="Y556" s="1"/>
      <c r="Z556" s="1">
        <v>-3.1</v>
      </c>
      <c r="AA556" s="1">
        <v>-0.8</v>
      </c>
      <c r="AB556" s="1">
        <v>-3.9</v>
      </c>
      <c r="AC556" s="1">
        <v>-0.4</v>
      </c>
      <c r="AD556">
        <f>Advanced_Table[[#This Row],[VORP]]*82/Advanced_Table[[#This Row],[G]]</f>
        <v>-0.69787234042553203</v>
      </c>
    </row>
    <row r="557" spans="1:30" x14ac:dyDescent="0.25">
      <c r="A557" s="1">
        <v>460</v>
      </c>
      <c r="B557" s="1" t="s">
        <v>723</v>
      </c>
      <c r="C557" s="1" t="s">
        <v>23</v>
      </c>
      <c r="D557" s="1">
        <v>34</v>
      </c>
      <c r="E557" s="1" t="s">
        <v>312</v>
      </c>
      <c r="F557" s="1">
        <v>33</v>
      </c>
      <c r="G557" s="1">
        <v>554</v>
      </c>
      <c r="H557" s="1">
        <v>7.6</v>
      </c>
      <c r="I557" s="1">
        <v>0.51500000000000001</v>
      </c>
      <c r="J557" s="1">
        <v>0.76100000000000001</v>
      </c>
      <c r="K557" s="1">
        <v>0.16200000000000001</v>
      </c>
      <c r="L557" s="1">
        <v>5.0999999999999996</v>
      </c>
      <c r="M557" s="1">
        <v>15.3</v>
      </c>
      <c r="N557" s="1">
        <v>10.3</v>
      </c>
      <c r="O557" s="1">
        <v>6.6</v>
      </c>
      <c r="P557" s="1">
        <v>0.7</v>
      </c>
      <c r="Q557" s="1">
        <v>1.4</v>
      </c>
      <c r="R557" s="1">
        <v>14.3</v>
      </c>
      <c r="S557" s="1">
        <v>11.2</v>
      </c>
      <c r="T557" s="1"/>
      <c r="U557" s="1">
        <v>0.2</v>
      </c>
      <c r="V557" s="1">
        <v>0.2</v>
      </c>
      <c r="W557" s="1">
        <v>0.4</v>
      </c>
      <c r="X557" s="1">
        <v>3.3000000000000002E-2</v>
      </c>
      <c r="Y557" s="1"/>
      <c r="Z557" s="1">
        <v>-2.4</v>
      </c>
      <c r="AA557" s="1">
        <v>-0.9</v>
      </c>
      <c r="AB557" s="1">
        <v>-3.3</v>
      </c>
      <c r="AC557" s="1">
        <v>-0.2</v>
      </c>
      <c r="AD557">
        <f>Advanced_Table[[#This Row],[VORP]]*82/Advanced_Table[[#This Row],[G]]</f>
        <v>-0.49696969696969706</v>
      </c>
    </row>
    <row r="558" spans="1:30" x14ac:dyDescent="0.25">
      <c r="A558" s="1">
        <v>460</v>
      </c>
      <c r="B558" s="1" t="s">
        <v>723</v>
      </c>
      <c r="C558" s="1" t="s">
        <v>23</v>
      </c>
      <c r="D558" s="1">
        <v>34</v>
      </c>
      <c r="E558" s="1" t="s">
        <v>319</v>
      </c>
      <c r="F558" s="1">
        <v>9</v>
      </c>
      <c r="G558" s="1">
        <v>82</v>
      </c>
      <c r="H558" s="1">
        <v>0.3</v>
      </c>
      <c r="I558" s="1">
        <v>0.252</v>
      </c>
      <c r="J558" s="1">
        <v>0.88200000000000001</v>
      </c>
      <c r="K558" s="1">
        <v>0.11799999999999999</v>
      </c>
      <c r="L558" s="1">
        <v>2.7</v>
      </c>
      <c r="M558" s="1">
        <v>12.7</v>
      </c>
      <c r="N558" s="1">
        <v>7.6</v>
      </c>
      <c r="O558" s="1">
        <v>4.5999999999999996</v>
      </c>
      <c r="P558" s="1">
        <v>2.4</v>
      </c>
      <c r="Q558" s="1">
        <v>1.2</v>
      </c>
      <c r="R558" s="1">
        <v>18.3</v>
      </c>
      <c r="S558" s="1">
        <v>11.6</v>
      </c>
      <c r="T558" s="1"/>
      <c r="U558" s="1">
        <v>-0.2</v>
      </c>
      <c r="V558" s="1">
        <v>0.1</v>
      </c>
      <c r="W558" s="1">
        <v>-0.2</v>
      </c>
      <c r="X558" s="1">
        <v>-9.9000000000000005E-2</v>
      </c>
      <c r="Y558" s="1"/>
      <c r="Z558" s="1">
        <v>-7.8</v>
      </c>
      <c r="AA558" s="1">
        <v>-0.9</v>
      </c>
      <c r="AB558" s="1">
        <v>-8.8000000000000007</v>
      </c>
      <c r="AC558" s="1">
        <v>-0.1</v>
      </c>
      <c r="AD558">
        <f>Advanced_Table[[#This Row],[VORP]]*82/Advanced_Table[[#This Row],[G]]</f>
        <v>-0.9111111111111112</v>
      </c>
    </row>
    <row r="559" spans="1:30" x14ac:dyDescent="0.25">
      <c r="A559" s="1">
        <v>460</v>
      </c>
      <c r="B559" s="1" t="s">
        <v>723</v>
      </c>
      <c r="C559" s="1" t="s">
        <v>23</v>
      </c>
      <c r="D559" s="1">
        <v>34</v>
      </c>
      <c r="E559" s="1" t="s">
        <v>297</v>
      </c>
      <c r="F559" s="1">
        <v>5</v>
      </c>
      <c r="G559" s="1">
        <v>96</v>
      </c>
      <c r="H559" s="1">
        <v>6.8</v>
      </c>
      <c r="I559" s="1">
        <v>0.59299999999999997</v>
      </c>
      <c r="J559" s="1">
        <v>0.81</v>
      </c>
      <c r="K559" s="1">
        <v>0.19</v>
      </c>
      <c r="L559" s="1">
        <v>1.1000000000000001</v>
      </c>
      <c r="M559" s="1">
        <v>11.8</v>
      </c>
      <c r="N559" s="1">
        <v>6.6</v>
      </c>
      <c r="O559" s="1">
        <v>1.3</v>
      </c>
      <c r="P559" s="1">
        <v>1.5</v>
      </c>
      <c r="Q559" s="1">
        <v>0.9</v>
      </c>
      <c r="R559" s="1">
        <v>18</v>
      </c>
      <c r="S559" s="1">
        <v>12</v>
      </c>
      <c r="T559" s="1"/>
      <c r="U559" s="1">
        <v>0</v>
      </c>
      <c r="V559" s="1">
        <v>0.1</v>
      </c>
      <c r="W559" s="1">
        <v>0.1</v>
      </c>
      <c r="X559" s="1">
        <v>2.5999999999999999E-2</v>
      </c>
      <c r="Y559" s="1"/>
      <c r="Z559" s="1">
        <v>-3.3</v>
      </c>
      <c r="AA559" s="1">
        <v>-0.1</v>
      </c>
      <c r="AB559" s="1">
        <v>-3.4</v>
      </c>
      <c r="AC559" s="1">
        <v>0</v>
      </c>
      <c r="AD559">
        <f>Advanced_Table[[#This Row],[VORP]]*82/Advanced_Table[[#This Row],[G]]</f>
        <v>0</v>
      </c>
    </row>
    <row r="560" spans="1:30" x14ac:dyDescent="0.25">
      <c r="A560" s="1">
        <v>461</v>
      </c>
      <c r="B560" s="1" t="s">
        <v>1576</v>
      </c>
      <c r="C560" s="1" t="s">
        <v>303</v>
      </c>
      <c r="D560" s="1">
        <v>26</v>
      </c>
      <c r="E560" s="1" t="s">
        <v>369</v>
      </c>
      <c r="F560" s="1">
        <v>13</v>
      </c>
      <c r="G560" s="1">
        <v>272</v>
      </c>
      <c r="H560" s="1">
        <v>9.4</v>
      </c>
      <c r="I560" s="1">
        <v>0.52900000000000003</v>
      </c>
      <c r="J560" s="1">
        <v>0.36499999999999999</v>
      </c>
      <c r="K560" s="1">
        <v>7.9000000000000001E-2</v>
      </c>
      <c r="L560" s="1">
        <v>3.5</v>
      </c>
      <c r="M560" s="1">
        <v>17.8</v>
      </c>
      <c r="N560" s="1">
        <v>10.4</v>
      </c>
      <c r="O560" s="1">
        <v>13.8</v>
      </c>
      <c r="P560" s="1">
        <v>2.2999999999999998</v>
      </c>
      <c r="Q560" s="1">
        <v>1.7</v>
      </c>
      <c r="R560" s="1">
        <v>19.7</v>
      </c>
      <c r="S560" s="1">
        <v>12.7</v>
      </c>
      <c r="T560" s="1"/>
      <c r="U560" s="1">
        <v>-0.1</v>
      </c>
      <c r="V560" s="1">
        <v>0.2</v>
      </c>
      <c r="W560" s="1">
        <v>0.2</v>
      </c>
      <c r="X560" s="1">
        <v>0.03</v>
      </c>
      <c r="Y560" s="1"/>
      <c r="Z560" s="1">
        <v>-4</v>
      </c>
      <c r="AA560" s="1">
        <v>0.1</v>
      </c>
      <c r="AB560" s="1">
        <v>-3.9</v>
      </c>
      <c r="AC560" s="1">
        <v>-0.1</v>
      </c>
      <c r="AD560">
        <f>Advanced_Table[[#This Row],[VORP]]*82/Advanced_Table[[#This Row],[G]]</f>
        <v>-0.63076923076923086</v>
      </c>
    </row>
    <row r="561" spans="1:30" x14ac:dyDescent="0.25">
      <c r="A561" s="1">
        <v>462</v>
      </c>
      <c r="B561" s="1" t="s">
        <v>724</v>
      </c>
      <c r="C561" s="1" t="s">
        <v>287</v>
      </c>
      <c r="D561" s="1">
        <v>24</v>
      </c>
      <c r="E561" s="1" t="s">
        <v>336</v>
      </c>
      <c r="F561" s="1">
        <v>35</v>
      </c>
      <c r="G561" s="1">
        <v>1187</v>
      </c>
      <c r="H561" s="1">
        <v>26.5</v>
      </c>
      <c r="I561" s="1">
        <v>0.64200000000000002</v>
      </c>
      <c r="J561" s="1">
        <v>0.44500000000000001</v>
      </c>
      <c r="K561" s="1">
        <v>0.36299999999999999</v>
      </c>
      <c r="L561" s="1">
        <v>8.1</v>
      </c>
      <c r="M561" s="1">
        <v>26.1</v>
      </c>
      <c r="N561" s="1">
        <v>16.8</v>
      </c>
      <c r="O561" s="1">
        <v>22.8</v>
      </c>
      <c r="P561" s="1">
        <v>1.3</v>
      </c>
      <c r="Q561" s="1">
        <v>2.9</v>
      </c>
      <c r="R561" s="1">
        <v>13.2</v>
      </c>
      <c r="S561" s="1">
        <v>28.8</v>
      </c>
      <c r="T561" s="1"/>
      <c r="U561" s="1">
        <v>3.8</v>
      </c>
      <c r="V561" s="1">
        <v>1.3</v>
      </c>
      <c r="W561" s="1">
        <v>5.0999999999999996</v>
      </c>
      <c r="X561" s="1">
        <v>0.20499999999999999</v>
      </c>
      <c r="Y561" s="1"/>
      <c r="Z561" s="1">
        <v>7.1</v>
      </c>
      <c r="AA561" s="1">
        <v>0.8</v>
      </c>
      <c r="AB561" s="1">
        <v>7.8</v>
      </c>
      <c r="AC561" s="1">
        <v>2.9</v>
      </c>
      <c r="AD561">
        <f>Advanced_Table[[#This Row],[VORP]]*82/Advanced_Table[[#This Row],[G]]</f>
        <v>6.7942857142857136</v>
      </c>
    </row>
    <row r="562" spans="1:30" x14ac:dyDescent="0.25">
      <c r="A562" s="1">
        <v>463</v>
      </c>
      <c r="B562" s="1" t="s">
        <v>725</v>
      </c>
      <c r="C562" s="1" t="s">
        <v>294</v>
      </c>
      <c r="D562" s="1">
        <v>21</v>
      </c>
      <c r="E562" s="1" t="s">
        <v>312</v>
      </c>
      <c r="F562" s="1">
        <v>53</v>
      </c>
      <c r="G562" s="1">
        <v>1059</v>
      </c>
      <c r="H562" s="1">
        <v>11.8</v>
      </c>
      <c r="I562" s="1">
        <v>0.55500000000000005</v>
      </c>
      <c r="J562" s="1">
        <v>0.57399999999999995</v>
      </c>
      <c r="K562" s="1">
        <v>0.10299999999999999</v>
      </c>
      <c r="L562" s="1">
        <v>2</v>
      </c>
      <c r="M562" s="1">
        <v>6.6</v>
      </c>
      <c r="N562" s="1">
        <v>4.3</v>
      </c>
      <c r="O562" s="1">
        <v>6.5</v>
      </c>
      <c r="P562" s="1">
        <v>1.8</v>
      </c>
      <c r="Q562" s="1">
        <v>1</v>
      </c>
      <c r="R562" s="1">
        <v>4.9000000000000004</v>
      </c>
      <c r="S562" s="1">
        <v>15.4</v>
      </c>
      <c r="T562" s="1"/>
      <c r="U562" s="1">
        <v>1.2</v>
      </c>
      <c r="V562" s="1">
        <v>0.4</v>
      </c>
      <c r="W562" s="1">
        <v>1.6</v>
      </c>
      <c r="X562" s="1">
        <v>7.0999999999999994E-2</v>
      </c>
      <c r="Y562" s="1"/>
      <c r="Z562" s="1">
        <v>-0.5</v>
      </c>
      <c r="AA562" s="1">
        <v>-0.7</v>
      </c>
      <c r="AB562" s="1">
        <v>-1.2</v>
      </c>
      <c r="AC562" s="1">
        <v>0.2</v>
      </c>
      <c r="AD562">
        <f>Advanced_Table[[#This Row],[VORP]]*82/Advanced_Table[[#This Row],[G]]</f>
        <v>0.30943396226415099</v>
      </c>
    </row>
    <row r="563" spans="1:30" x14ac:dyDescent="0.25">
      <c r="A563" s="1">
        <v>464</v>
      </c>
      <c r="B563" s="1" t="s">
        <v>726</v>
      </c>
      <c r="C563" s="1" t="s">
        <v>316</v>
      </c>
      <c r="D563" s="1">
        <v>24</v>
      </c>
      <c r="E563" s="1" t="s">
        <v>332</v>
      </c>
      <c r="F563" s="1">
        <v>24</v>
      </c>
      <c r="G563" s="1">
        <v>291</v>
      </c>
      <c r="H563" s="1">
        <v>14.6</v>
      </c>
      <c r="I563" s="1">
        <v>0.62</v>
      </c>
      <c r="J563" s="1">
        <v>0.5</v>
      </c>
      <c r="K563" s="1">
        <v>0.40600000000000003</v>
      </c>
      <c r="L563" s="1">
        <v>2.1</v>
      </c>
      <c r="M563" s="1">
        <v>8.6999999999999993</v>
      </c>
      <c r="N563" s="1">
        <v>5.3</v>
      </c>
      <c r="O563" s="1">
        <v>14.8</v>
      </c>
      <c r="P563" s="1">
        <v>0.5</v>
      </c>
      <c r="Q563" s="1">
        <v>1.3</v>
      </c>
      <c r="R563" s="1">
        <v>15</v>
      </c>
      <c r="S563" s="1">
        <v>21.4</v>
      </c>
      <c r="T563" s="1"/>
      <c r="U563" s="1">
        <v>0.5</v>
      </c>
      <c r="V563" s="1">
        <v>0.1</v>
      </c>
      <c r="W563" s="1">
        <v>0.5</v>
      </c>
      <c r="X563" s="1">
        <v>8.7999999999999995E-2</v>
      </c>
      <c r="Y563" s="1"/>
      <c r="Z563" s="1">
        <v>0.9</v>
      </c>
      <c r="AA563" s="1">
        <v>-1.3</v>
      </c>
      <c r="AB563" s="1">
        <v>-0.5</v>
      </c>
      <c r="AC563" s="1">
        <v>0.1</v>
      </c>
      <c r="AD563">
        <f>Advanced_Table[[#This Row],[VORP]]*82/Advanced_Table[[#This Row],[G]]</f>
        <v>0.34166666666666673</v>
      </c>
    </row>
    <row r="564" spans="1:30" x14ac:dyDescent="0.25">
      <c r="A564" s="1">
        <v>465</v>
      </c>
      <c r="B564" s="1" t="s">
        <v>727</v>
      </c>
      <c r="C564" s="1" t="s">
        <v>23</v>
      </c>
      <c r="D564" s="1">
        <v>34</v>
      </c>
      <c r="E564" s="1" t="s">
        <v>305</v>
      </c>
      <c r="F564" s="1">
        <v>64</v>
      </c>
      <c r="G564" s="1">
        <v>2203</v>
      </c>
      <c r="H564" s="1">
        <v>8.6999999999999993</v>
      </c>
      <c r="I564" s="1">
        <v>0.57999999999999996</v>
      </c>
      <c r="J564" s="1">
        <v>0.68700000000000006</v>
      </c>
      <c r="K564" s="1">
        <v>0.11799999999999999</v>
      </c>
      <c r="L564" s="1">
        <v>4.8</v>
      </c>
      <c r="M564" s="1">
        <v>16.2</v>
      </c>
      <c r="N564" s="1">
        <v>10.5</v>
      </c>
      <c r="O564" s="1">
        <v>5.9</v>
      </c>
      <c r="P564" s="1">
        <v>1.5</v>
      </c>
      <c r="Q564" s="1">
        <v>1.2</v>
      </c>
      <c r="R564" s="1">
        <v>14.6</v>
      </c>
      <c r="S564" s="1">
        <v>8.6</v>
      </c>
      <c r="T564" s="1"/>
      <c r="U564" s="1">
        <v>1.8</v>
      </c>
      <c r="V564" s="1">
        <v>2.2000000000000002</v>
      </c>
      <c r="W564" s="1">
        <v>3.9</v>
      </c>
      <c r="X564" s="1">
        <v>8.5999999999999993E-2</v>
      </c>
      <c r="Y564" s="1"/>
      <c r="Z564" s="1">
        <v>-2.1</v>
      </c>
      <c r="AA564" s="1">
        <v>0.6</v>
      </c>
      <c r="AB564" s="1">
        <v>-1.5</v>
      </c>
      <c r="AC564" s="1">
        <v>0.3</v>
      </c>
      <c r="AD564">
        <f>Advanced_Table[[#This Row],[VORP]]*82/Advanced_Table[[#This Row],[G]]</f>
        <v>0.38437499999999997</v>
      </c>
    </row>
    <row r="565" spans="1:30" x14ac:dyDescent="0.25">
      <c r="A565" s="1">
        <v>466</v>
      </c>
      <c r="B565" s="1" t="s">
        <v>965</v>
      </c>
      <c r="C565" s="1" t="s">
        <v>294</v>
      </c>
      <c r="D565" s="1">
        <v>22</v>
      </c>
      <c r="E565" s="1" t="s">
        <v>359</v>
      </c>
      <c r="F565" s="1">
        <v>14</v>
      </c>
      <c r="G565" s="1">
        <v>78</v>
      </c>
      <c r="H565" s="1">
        <v>4.5</v>
      </c>
      <c r="I565" s="1">
        <v>0.44800000000000001</v>
      </c>
      <c r="J565" s="1">
        <v>0.316</v>
      </c>
      <c r="K565" s="1">
        <v>0.26300000000000001</v>
      </c>
      <c r="L565" s="1">
        <v>2.9</v>
      </c>
      <c r="M565" s="1">
        <v>14.8</v>
      </c>
      <c r="N565" s="1">
        <v>9.1</v>
      </c>
      <c r="O565" s="1">
        <v>3.5</v>
      </c>
      <c r="P565" s="1">
        <v>0.6</v>
      </c>
      <c r="Q565" s="1">
        <v>0</v>
      </c>
      <c r="R565" s="1">
        <v>12.4</v>
      </c>
      <c r="S565" s="1">
        <v>13.6</v>
      </c>
      <c r="T565" s="1"/>
      <c r="U565" s="1">
        <v>-0.1</v>
      </c>
      <c r="V565" s="1">
        <v>0.1</v>
      </c>
      <c r="W565" s="1">
        <v>0</v>
      </c>
      <c r="X565" s="1">
        <v>-8.9999999999999993E-3</v>
      </c>
      <c r="Y565" s="1"/>
      <c r="Z565" s="1">
        <v>-6.7</v>
      </c>
      <c r="AA565" s="1">
        <v>-1.2</v>
      </c>
      <c r="AB565" s="1">
        <v>-7.9</v>
      </c>
      <c r="AC565" s="1">
        <v>-0.1</v>
      </c>
      <c r="AD565">
        <f>Advanced_Table[[#This Row],[VORP]]*82/Advanced_Table[[#This Row],[G]]</f>
        <v>-0.58571428571428574</v>
      </c>
    </row>
    <row r="566" spans="1:30" x14ac:dyDescent="0.25">
      <c r="A566" s="1">
        <v>467</v>
      </c>
      <c r="B566" s="1" t="s">
        <v>728</v>
      </c>
      <c r="C566" s="1" t="s">
        <v>316</v>
      </c>
      <c r="D566" s="1">
        <v>31</v>
      </c>
      <c r="E566" s="1" t="s">
        <v>347</v>
      </c>
      <c r="F566" s="1">
        <v>19</v>
      </c>
      <c r="G566" s="1">
        <v>251</v>
      </c>
      <c r="H566" s="1">
        <v>6.8</v>
      </c>
      <c r="I566" s="1">
        <v>0.42399999999999999</v>
      </c>
      <c r="J566" s="1">
        <v>7.4999999999999997E-2</v>
      </c>
      <c r="K566" s="1">
        <v>0.20899999999999999</v>
      </c>
      <c r="L566" s="1">
        <v>3.4</v>
      </c>
      <c r="M566" s="1">
        <v>13</v>
      </c>
      <c r="N566" s="1">
        <v>8.1999999999999993</v>
      </c>
      <c r="O566" s="1">
        <v>20.6</v>
      </c>
      <c r="P566" s="1">
        <v>1.7</v>
      </c>
      <c r="Q566" s="1">
        <v>2.7</v>
      </c>
      <c r="R566" s="1">
        <v>26.2</v>
      </c>
      <c r="S566" s="1">
        <v>16.399999999999999</v>
      </c>
      <c r="T566" s="1"/>
      <c r="U566" s="1">
        <v>-0.5</v>
      </c>
      <c r="V566" s="1">
        <v>0.1</v>
      </c>
      <c r="W566" s="1">
        <v>-0.3</v>
      </c>
      <c r="X566" s="1">
        <v>-6.4000000000000001E-2</v>
      </c>
      <c r="Y566" s="1"/>
      <c r="Z566" s="1">
        <v>-4.8</v>
      </c>
      <c r="AA566" s="1">
        <v>-0.7</v>
      </c>
      <c r="AB566" s="1">
        <v>-5.6</v>
      </c>
      <c r="AC566" s="1">
        <v>-0.2</v>
      </c>
      <c r="AD566">
        <f>Advanced_Table[[#This Row],[VORP]]*82/Advanced_Table[[#This Row],[G]]</f>
        <v>-0.86315789473684223</v>
      </c>
    </row>
    <row r="567" spans="1:30" x14ac:dyDescent="0.25">
      <c r="A567" s="1">
        <v>468</v>
      </c>
      <c r="B567" s="1" t="s">
        <v>729</v>
      </c>
      <c r="C567" s="1" t="s">
        <v>287</v>
      </c>
      <c r="D567" s="1">
        <v>23</v>
      </c>
      <c r="E567" s="1" t="s">
        <v>353</v>
      </c>
      <c r="F567" s="1">
        <v>55</v>
      </c>
      <c r="G567" s="1">
        <v>1628</v>
      </c>
      <c r="H567" s="1">
        <v>14.7</v>
      </c>
      <c r="I567" s="1">
        <v>0.56100000000000005</v>
      </c>
      <c r="J567" s="1">
        <v>0.443</v>
      </c>
      <c r="K567" s="1">
        <v>0.27900000000000003</v>
      </c>
      <c r="L567" s="1">
        <v>4.8</v>
      </c>
      <c r="M567" s="1">
        <v>19.5</v>
      </c>
      <c r="N567" s="1">
        <v>12.2</v>
      </c>
      <c r="O567" s="1">
        <v>5.0999999999999996</v>
      </c>
      <c r="P567" s="1">
        <v>1.3</v>
      </c>
      <c r="Q567" s="1">
        <v>6.5</v>
      </c>
      <c r="R567" s="1">
        <v>10.5</v>
      </c>
      <c r="S567" s="1">
        <v>17.5</v>
      </c>
      <c r="T567" s="1"/>
      <c r="U567" s="1">
        <v>1</v>
      </c>
      <c r="V567" s="1">
        <v>2.8</v>
      </c>
      <c r="W567" s="1">
        <v>3.7</v>
      </c>
      <c r="X567" s="1">
        <v>0.111</v>
      </c>
      <c r="Y567" s="1"/>
      <c r="Z567" s="1">
        <v>-0.8</v>
      </c>
      <c r="AA567" s="1">
        <v>1</v>
      </c>
      <c r="AB567" s="1">
        <v>0.2</v>
      </c>
      <c r="AC567" s="1">
        <v>0.9</v>
      </c>
      <c r="AD567">
        <f>Advanced_Table[[#This Row],[VORP]]*82/Advanced_Table[[#This Row],[G]]</f>
        <v>1.3418181818181818</v>
      </c>
    </row>
    <row r="568" spans="1:30" x14ac:dyDescent="0.25">
      <c r="A568" s="1">
        <v>469</v>
      </c>
      <c r="B568" s="1" t="s">
        <v>1843</v>
      </c>
      <c r="C568" s="1" t="s">
        <v>303</v>
      </c>
      <c r="D568" s="1">
        <v>26</v>
      </c>
      <c r="E568" s="1" t="s">
        <v>297</v>
      </c>
      <c r="F568" s="1">
        <v>4</v>
      </c>
      <c r="G568" s="1">
        <v>14</v>
      </c>
      <c r="H568" s="1">
        <v>-0.1</v>
      </c>
      <c r="I568" s="1">
        <v>0.254</v>
      </c>
      <c r="J568" s="1">
        <v>0.57099999999999995</v>
      </c>
      <c r="K568" s="1">
        <v>0.28599999999999998</v>
      </c>
      <c r="L568" s="1">
        <v>7.6</v>
      </c>
      <c r="M568" s="1">
        <v>0</v>
      </c>
      <c r="N568" s="1">
        <v>3.7</v>
      </c>
      <c r="O568" s="1">
        <v>0</v>
      </c>
      <c r="P568" s="1">
        <v>3.3</v>
      </c>
      <c r="Q568" s="1">
        <v>0</v>
      </c>
      <c r="R568" s="1">
        <v>0</v>
      </c>
      <c r="S568" s="1">
        <v>23.4</v>
      </c>
      <c r="T568" s="1"/>
      <c r="U568" s="1">
        <v>-0.1</v>
      </c>
      <c r="V568" s="1">
        <v>0</v>
      </c>
      <c r="W568" s="1">
        <v>0</v>
      </c>
      <c r="X568" s="1">
        <v>-0.16700000000000001</v>
      </c>
      <c r="Y568" s="1"/>
      <c r="Z568" s="1">
        <v>-11.6</v>
      </c>
      <c r="AA568" s="1">
        <v>-2.4</v>
      </c>
      <c r="AB568" s="1">
        <v>-14</v>
      </c>
      <c r="AC568" s="1">
        <v>0</v>
      </c>
      <c r="AD568">
        <f>Advanced_Table[[#This Row],[VORP]]*82/Advanced_Table[[#This Row],[G]]</f>
        <v>0</v>
      </c>
    </row>
    <row r="569" spans="1:30" x14ac:dyDescent="0.25">
      <c r="A569" s="1">
        <v>470</v>
      </c>
      <c r="B569" s="1" t="s">
        <v>730</v>
      </c>
      <c r="C569" s="1" t="s">
        <v>287</v>
      </c>
      <c r="D569" s="1">
        <v>27</v>
      </c>
      <c r="E569" s="1" t="s">
        <v>297</v>
      </c>
      <c r="F569" s="1">
        <v>62</v>
      </c>
      <c r="G569" s="1">
        <v>1630</v>
      </c>
      <c r="H569" s="1">
        <v>22.3</v>
      </c>
      <c r="I569" s="1">
        <v>0.63100000000000001</v>
      </c>
      <c r="J569" s="1">
        <v>0.12</v>
      </c>
      <c r="K569" s="1">
        <v>0.25600000000000001</v>
      </c>
      <c r="L569" s="1">
        <v>12.5</v>
      </c>
      <c r="M569" s="1">
        <v>31.9</v>
      </c>
      <c r="N569" s="1">
        <v>22.4</v>
      </c>
      <c r="O569" s="1">
        <v>10.199999999999999</v>
      </c>
      <c r="P569" s="1">
        <v>0.7</v>
      </c>
      <c r="Q569" s="1">
        <v>3.7</v>
      </c>
      <c r="R569" s="1">
        <v>12.8</v>
      </c>
      <c r="S569" s="1">
        <v>21.4</v>
      </c>
      <c r="T569" s="1"/>
      <c r="U569" s="1">
        <v>3.8</v>
      </c>
      <c r="V569" s="1">
        <v>2.4</v>
      </c>
      <c r="W569" s="1">
        <v>6.2</v>
      </c>
      <c r="X569" s="1">
        <v>0.182</v>
      </c>
      <c r="Y569" s="1"/>
      <c r="Z569" s="1">
        <v>2.2000000000000002</v>
      </c>
      <c r="AA569" s="1">
        <v>0</v>
      </c>
      <c r="AB569" s="1">
        <v>2.1</v>
      </c>
      <c r="AC569" s="1">
        <v>1.7</v>
      </c>
      <c r="AD569">
        <f>Advanced_Table[[#This Row],[VORP]]*82/Advanced_Table[[#This Row],[G]]</f>
        <v>2.2483870967741937</v>
      </c>
    </row>
    <row r="570" spans="1:30" x14ac:dyDescent="0.25">
      <c r="A570" s="1">
        <v>471</v>
      </c>
      <c r="B570" s="1" t="s">
        <v>731</v>
      </c>
      <c r="C570" s="1" t="s">
        <v>303</v>
      </c>
      <c r="D570" s="1">
        <v>26</v>
      </c>
      <c r="E570" s="1" t="s">
        <v>317</v>
      </c>
      <c r="F570" s="1">
        <v>36</v>
      </c>
      <c r="G570" s="1">
        <v>488</v>
      </c>
      <c r="H570" s="1">
        <v>13.1</v>
      </c>
      <c r="I570" s="1">
        <v>0.51100000000000001</v>
      </c>
      <c r="J570" s="1">
        <v>0.57799999999999996</v>
      </c>
      <c r="K570" s="1">
        <v>3.4000000000000002E-2</v>
      </c>
      <c r="L570" s="1">
        <v>1.9</v>
      </c>
      <c r="M570" s="1">
        <v>15.5</v>
      </c>
      <c r="N570" s="1">
        <v>8.4</v>
      </c>
      <c r="O570" s="1">
        <v>14.2</v>
      </c>
      <c r="P570" s="1">
        <v>2.6</v>
      </c>
      <c r="Q570" s="1">
        <v>1.2</v>
      </c>
      <c r="R570" s="1">
        <v>9.8000000000000007</v>
      </c>
      <c r="S570" s="1">
        <v>23.3</v>
      </c>
      <c r="T570" s="1"/>
      <c r="U570" s="1">
        <v>-0.1</v>
      </c>
      <c r="V570" s="1">
        <v>0.6</v>
      </c>
      <c r="W570" s="1">
        <v>0.5</v>
      </c>
      <c r="X570" s="1">
        <v>4.8000000000000001E-2</v>
      </c>
      <c r="Y570" s="1"/>
      <c r="Z570" s="1">
        <v>-0.7</v>
      </c>
      <c r="AA570" s="1">
        <v>0.2</v>
      </c>
      <c r="AB570" s="1">
        <v>-0.5</v>
      </c>
      <c r="AC570" s="1">
        <v>0.2</v>
      </c>
      <c r="AD570">
        <f>Advanced_Table[[#This Row],[VORP]]*82/Advanced_Table[[#This Row],[G]]</f>
        <v>0.4555555555555556</v>
      </c>
    </row>
    <row r="571" spans="1:30" x14ac:dyDescent="0.25">
      <c r="A571" s="1">
        <v>472</v>
      </c>
      <c r="B571" s="1" t="s">
        <v>732</v>
      </c>
      <c r="C571" s="1" t="s">
        <v>1572</v>
      </c>
      <c r="D571" s="1">
        <v>20</v>
      </c>
      <c r="E571" s="1" t="s">
        <v>957</v>
      </c>
      <c r="F571" s="1">
        <v>11</v>
      </c>
      <c r="G571" s="1">
        <v>46</v>
      </c>
      <c r="H571" s="1">
        <v>7.6</v>
      </c>
      <c r="I571" s="1">
        <v>0.67600000000000005</v>
      </c>
      <c r="J571" s="1">
        <v>0.125</v>
      </c>
      <c r="K571" s="1">
        <v>0.25</v>
      </c>
      <c r="L571" s="1">
        <v>7.2</v>
      </c>
      <c r="M571" s="1">
        <v>14.5</v>
      </c>
      <c r="N571" s="1">
        <v>10.8</v>
      </c>
      <c r="O571" s="1">
        <v>5.9</v>
      </c>
      <c r="P571" s="1">
        <v>3.2</v>
      </c>
      <c r="Q571" s="1">
        <v>2</v>
      </c>
      <c r="R571" s="1">
        <v>44.1</v>
      </c>
      <c r="S571" s="1">
        <v>14.9</v>
      </c>
      <c r="T571" s="1"/>
      <c r="U571" s="1">
        <v>-0.1</v>
      </c>
      <c r="V571" s="1">
        <v>0.1</v>
      </c>
      <c r="W571" s="1">
        <v>0</v>
      </c>
      <c r="X571" s="1">
        <v>-0.02</v>
      </c>
      <c r="Y571" s="1"/>
      <c r="Z571" s="1">
        <v>-6.6</v>
      </c>
      <c r="AA571" s="1">
        <v>0.7</v>
      </c>
      <c r="AB571" s="1">
        <v>-5.9</v>
      </c>
      <c r="AC571" s="1">
        <v>0</v>
      </c>
      <c r="AD571">
        <f>Advanced_Table[[#This Row],[VORP]]*82/Advanced_Table[[#This Row],[G]]</f>
        <v>0</v>
      </c>
    </row>
    <row r="572" spans="1:30" x14ac:dyDescent="0.25">
      <c r="A572" s="1">
        <v>472</v>
      </c>
      <c r="B572" s="1" t="s">
        <v>732</v>
      </c>
      <c r="C572" s="1" t="s">
        <v>303</v>
      </c>
      <c r="D572" s="1">
        <v>20</v>
      </c>
      <c r="E572" s="1" t="s">
        <v>334</v>
      </c>
      <c r="F572" s="1">
        <v>9</v>
      </c>
      <c r="G572" s="1">
        <v>41</v>
      </c>
      <c r="H572" s="1">
        <v>7.2</v>
      </c>
      <c r="I572" s="1">
        <v>0.71399999999999997</v>
      </c>
      <c r="J572" s="1">
        <v>0</v>
      </c>
      <c r="K572" s="1">
        <v>0</v>
      </c>
      <c r="L572" s="1">
        <v>8.1</v>
      </c>
      <c r="M572" s="1">
        <v>13.6</v>
      </c>
      <c r="N572" s="1">
        <v>10.9</v>
      </c>
      <c r="O572" s="1">
        <v>6.6</v>
      </c>
      <c r="P572" s="1">
        <v>3.6</v>
      </c>
      <c r="Q572" s="1">
        <v>2.2000000000000002</v>
      </c>
      <c r="R572" s="1">
        <v>50</v>
      </c>
      <c r="S572" s="1">
        <v>14.8</v>
      </c>
      <c r="T572" s="1"/>
      <c r="U572" s="1">
        <v>-0.1</v>
      </c>
      <c r="V572" s="1">
        <v>0.1</v>
      </c>
      <c r="W572" s="1">
        <v>0</v>
      </c>
      <c r="X572" s="1">
        <v>-3.5000000000000003E-2</v>
      </c>
      <c r="Y572" s="1"/>
      <c r="Z572" s="1">
        <v>-7</v>
      </c>
      <c r="AA572" s="1">
        <v>1.1000000000000001</v>
      </c>
      <c r="AB572" s="1">
        <v>-5.9</v>
      </c>
      <c r="AC572" s="1">
        <v>0</v>
      </c>
      <c r="AD572">
        <f>Advanced_Table[[#This Row],[VORP]]*82/Advanced_Table[[#This Row],[G]]</f>
        <v>0</v>
      </c>
    </row>
    <row r="573" spans="1:30" x14ac:dyDescent="0.25">
      <c r="A573" s="1">
        <v>472</v>
      </c>
      <c r="B573" s="1" t="s">
        <v>732</v>
      </c>
      <c r="C573" s="1" t="s">
        <v>23</v>
      </c>
      <c r="D573" s="1">
        <v>20</v>
      </c>
      <c r="E573" s="1" t="s">
        <v>336</v>
      </c>
      <c r="F573" s="1">
        <v>2</v>
      </c>
      <c r="G573" s="1">
        <v>5</v>
      </c>
      <c r="H573" s="1">
        <v>11.1</v>
      </c>
      <c r="I573" s="1">
        <v>0.53200000000000003</v>
      </c>
      <c r="J573" s="1">
        <v>1</v>
      </c>
      <c r="K573" s="1">
        <v>2</v>
      </c>
      <c r="L573" s="1">
        <v>0</v>
      </c>
      <c r="M573" s="1">
        <v>21.9</v>
      </c>
      <c r="N573" s="1">
        <v>10.6</v>
      </c>
      <c r="O573" s="1">
        <v>0</v>
      </c>
      <c r="P573" s="1">
        <v>0</v>
      </c>
      <c r="Q573" s="1">
        <v>0</v>
      </c>
      <c r="R573" s="1">
        <v>0</v>
      </c>
      <c r="S573" s="1">
        <v>15.5</v>
      </c>
      <c r="T573" s="1"/>
      <c r="U573" s="1">
        <v>0</v>
      </c>
      <c r="V573" s="1">
        <v>0</v>
      </c>
      <c r="W573" s="1">
        <v>0</v>
      </c>
      <c r="X573" s="1">
        <v>0.104</v>
      </c>
      <c r="Y573" s="1"/>
      <c r="Z573" s="1">
        <v>-3</v>
      </c>
      <c r="AA573" s="1">
        <v>-3.1</v>
      </c>
      <c r="AB573" s="1">
        <v>-6.1</v>
      </c>
      <c r="AC573" s="1">
        <v>0</v>
      </c>
      <c r="AD573">
        <f>Advanced_Table[[#This Row],[VORP]]*82/Advanced_Table[[#This Row],[G]]</f>
        <v>0</v>
      </c>
    </row>
    <row r="574" spans="1:30" x14ac:dyDescent="0.25">
      <c r="A574" s="1">
        <v>473</v>
      </c>
      <c r="B574" s="1" t="s">
        <v>733</v>
      </c>
      <c r="C574" s="1" t="s">
        <v>316</v>
      </c>
      <c r="D574" s="1">
        <v>25</v>
      </c>
      <c r="E574" s="1" t="s">
        <v>314</v>
      </c>
      <c r="F574" s="1">
        <v>48</v>
      </c>
      <c r="G574" s="1">
        <v>1719</v>
      </c>
      <c r="H574" s="1">
        <v>16</v>
      </c>
      <c r="I574" s="1">
        <v>0.54600000000000004</v>
      </c>
      <c r="J574" s="1">
        <v>0.48199999999999998</v>
      </c>
      <c r="K574" s="1">
        <v>0.23699999999999999</v>
      </c>
      <c r="L574" s="1">
        <v>1.1000000000000001</v>
      </c>
      <c r="M574" s="1">
        <v>9.6999999999999993</v>
      </c>
      <c r="N574" s="1">
        <v>5.5</v>
      </c>
      <c r="O574" s="1">
        <v>27.4</v>
      </c>
      <c r="P574" s="1">
        <v>2.5</v>
      </c>
      <c r="Q574" s="1">
        <v>0.7</v>
      </c>
      <c r="R574" s="1">
        <v>12.4</v>
      </c>
      <c r="S574" s="1">
        <v>22</v>
      </c>
      <c r="T574" s="1"/>
      <c r="U574" s="1">
        <v>2.2000000000000002</v>
      </c>
      <c r="V574" s="1">
        <v>2.7</v>
      </c>
      <c r="W574" s="1">
        <v>4.9000000000000004</v>
      </c>
      <c r="X574" s="1">
        <v>0.13600000000000001</v>
      </c>
      <c r="Y574" s="1"/>
      <c r="Z574" s="1">
        <v>1.1000000000000001</v>
      </c>
      <c r="AA574" s="1">
        <v>1.2</v>
      </c>
      <c r="AB574" s="1">
        <v>2.4</v>
      </c>
      <c r="AC574" s="1">
        <v>1.9</v>
      </c>
      <c r="AD574">
        <f>Advanced_Table[[#This Row],[VORP]]*82/Advanced_Table[[#This Row],[G]]</f>
        <v>3.2458333333333331</v>
      </c>
    </row>
    <row r="575" spans="1:30" x14ac:dyDescent="0.25">
      <c r="A575" s="1">
        <v>474</v>
      </c>
      <c r="B575" s="1" t="s">
        <v>1344</v>
      </c>
      <c r="C575" s="1" t="s">
        <v>316</v>
      </c>
      <c r="D575" s="1">
        <v>23</v>
      </c>
      <c r="E575" s="1" t="s">
        <v>290</v>
      </c>
      <c r="F575" s="1">
        <v>6</v>
      </c>
      <c r="G575" s="1">
        <v>42</v>
      </c>
      <c r="H575" s="1">
        <v>1.2</v>
      </c>
      <c r="I575" s="1">
        <v>0.316</v>
      </c>
      <c r="J575" s="1">
        <v>0.84199999999999997</v>
      </c>
      <c r="K575" s="1">
        <v>0</v>
      </c>
      <c r="L575" s="1">
        <v>0</v>
      </c>
      <c r="M575" s="1">
        <v>7.7</v>
      </c>
      <c r="N575" s="1">
        <v>4</v>
      </c>
      <c r="O575" s="1">
        <v>9.9</v>
      </c>
      <c r="P575" s="1">
        <v>1.2</v>
      </c>
      <c r="Q575" s="1">
        <v>0</v>
      </c>
      <c r="R575" s="1">
        <v>0</v>
      </c>
      <c r="S575" s="1">
        <v>19.899999999999999</v>
      </c>
      <c r="T575" s="1"/>
      <c r="U575" s="1">
        <v>-0.1</v>
      </c>
      <c r="V575" s="1">
        <v>0</v>
      </c>
      <c r="W575" s="1">
        <v>-0.1</v>
      </c>
      <c r="X575" s="1">
        <v>-0.104</v>
      </c>
      <c r="Y575" s="1"/>
      <c r="Z575" s="1">
        <v>-6.7</v>
      </c>
      <c r="AA575" s="1">
        <v>-2.9</v>
      </c>
      <c r="AB575" s="1">
        <v>-9.6</v>
      </c>
      <c r="AC575" s="1">
        <v>-0.1</v>
      </c>
      <c r="AD575">
        <f>Advanced_Table[[#This Row],[VORP]]*82/Advanced_Table[[#This Row],[G]]</f>
        <v>-1.3666666666666669</v>
      </c>
    </row>
    <row r="576" spans="1:30" x14ac:dyDescent="0.25">
      <c r="A576" s="1">
        <v>475</v>
      </c>
      <c r="B576" s="1" t="s">
        <v>734</v>
      </c>
      <c r="C576" s="1" t="s">
        <v>1624</v>
      </c>
      <c r="D576" s="1">
        <v>24</v>
      </c>
      <c r="E576" s="1" t="s">
        <v>957</v>
      </c>
      <c r="F576" s="1">
        <v>33</v>
      </c>
      <c r="G576" s="1">
        <v>364</v>
      </c>
      <c r="H576" s="1">
        <v>15.6</v>
      </c>
      <c r="I576" s="1">
        <v>0.621</v>
      </c>
      <c r="J576" s="1">
        <v>0.16900000000000001</v>
      </c>
      <c r="K576" s="1">
        <v>0.33700000000000002</v>
      </c>
      <c r="L576" s="1">
        <v>10.4</v>
      </c>
      <c r="M576" s="1">
        <v>25.9</v>
      </c>
      <c r="N576" s="1">
        <v>17.899999999999999</v>
      </c>
      <c r="O576" s="1">
        <v>10.7</v>
      </c>
      <c r="P576" s="1">
        <v>1.4</v>
      </c>
      <c r="Q576" s="1">
        <v>1.4</v>
      </c>
      <c r="R576" s="1">
        <v>17</v>
      </c>
      <c r="S576" s="1">
        <v>14</v>
      </c>
      <c r="T576" s="1"/>
      <c r="U576" s="1">
        <v>0.6</v>
      </c>
      <c r="V576" s="1">
        <v>0.4</v>
      </c>
      <c r="W576" s="1">
        <v>1</v>
      </c>
      <c r="X576" s="1">
        <v>0.126</v>
      </c>
      <c r="Y576" s="1"/>
      <c r="Z576" s="1">
        <v>-1.1000000000000001</v>
      </c>
      <c r="AA576" s="1">
        <v>0.3</v>
      </c>
      <c r="AB576" s="1">
        <v>-0.8</v>
      </c>
      <c r="AC576" s="1">
        <v>0.1</v>
      </c>
      <c r="AD576">
        <f>Advanced_Table[[#This Row],[VORP]]*82/Advanced_Table[[#This Row],[G]]</f>
        <v>0.24848484848484853</v>
      </c>
    </row>
    <row r="577" spans="1:30" x14ac:dyDescent="0.25">
      <c r="A577" s="1">
        <v>475</v>
      </c>
      <c r="B577" s="1" t="s">
        <v>734</v>
      </c>
      <c r="C577" s="1" t="s">
        <v>287</v>
      </c>
      <c r="D577" s="1">
        <v>24</v>
      </c>
      <c r="E577" s="1" t="s">
        <v>336</v>
      </c>
      <c r="F577" s="1">
        <v>29</v>
      </c>
      <c r="G577" s="1">
        <v>347</v>
      </c>
      <c r="H577" s="1">
        <v>15.3</v>
      </c>
      <c r="I577" s="1">
        <v>0.60499999999999998</v>
      </c>
      <c r="J577" s="1">
        <v>0.16300000000000001</v>
      </c>
      <c r="K577" s="1">
        <v>0.32600000000000001</v>
      </c>
      <c r="L577" s="1">
        <v>10</v>
      </c>
      <c r="M577" s="1">
        <v>25.9</v>
      </c>
      <c r="N577" s="1">
        <v>17.600000000000001</v>
      </c>
      <c r="O577" s="1">
        <v>10.8</v>
      </c>
      <c r="P577" s="1">
        <v>1.5</v>
      </c>
      <c r="Q577" s="1">
        <v>1.4</v>
      </c>
      <c r="R577" s="1">
        <v>16.2</v>
      </c>
      <c r="S577" s="1">
        <v>13.9</v>
      </c>
      <c r="T577" s="1"/>
      <c r="U577" s="1">
        <v>0.5</v>
      </c>
      <c r="V577" s="1">
        <v>0.3</v>
      </c>
      <c r="W577" s="1">
        <v>0.9</v>
      </c>
      <c r="X577" s="1">
        <v>0.123</v>
      </c>
      <c r="Y577" s="1"/>
      <c r="Z577" s="1">
        <v>-1.4</v>
      </c>
      <c r="AA577" s="1">
        <v>0.4</v>
      </c>
      <c r="AB577" s="1">
        <v>-1</v>
      </c>
      <c r="AC577" s="1">
        <v>0.1</v>
      </c>
      <c r="AD577">
        <f>Advanced_Table[[#This Row],[VORP]]*82/Advanced_Table[[#This Row],[G]]</f>
        <v>0.28275862068965518</v>
      </c>
    </row>
    <row r="578" spans="1:30" x14ac:dyDescent="0.25">
      <c r="A578" s="1">
        <v>475</v>
      </c>
      <c r="B578" s="1" t="s">
        <v>734</v>
      </c>
      <c r="C578" s="1" t="s">
        <v>23</v>
      </c>
      <c r="D578" s="1">
        <v>24</v>
      </c>
      <c r="E578" s="1" t="s">
        <v>334</v>
      </c>
      <c r="F578" s="1">
        <v>4</v>
      </c>
      <c r="G578" s="1">
        <v>17</v>
      </c>
      <c r="H578" s="1">
        <v>22</v>
      </c>
      <c r="I578" s="1">
        <v>1.0309999999999999</v>
      </c>
      <c r="J578" s="1">
        <v>0.33300000000000002</v>
      </c>
      <c r="K578" s="1">
        <v>0.66700000000000004</v>
      </c>
      <c r="L578" s="1">
        <v>19.600000000000001</v>
      </c>
      <c r="M578" s="1">
        <v>26.3</v>
      </c>
      <c r="N578" s="1">
        <v>22.9</v>
      </c>
      <c r="O578" s="1">
        <v>8.6</v>
      </c>
      <c r="P578" s="1">
        <v>0</v>
      </c>
      <c r="Q578" s="1">
        <v>0</v>
      </c>
      <c r="R578" s="1">
        <v>34</v>
      </c>
      <c r="S578" s="1">
        <v>15</v>
      </c>
      <c r="T578" s="1"/>
      <c r="U578" s="1">
        <v>0.1</v>
      </c>
      <c r="V578" s="1">
        <v>0</v>
      </c>
      <c r="W578" s="1">
        <v>0.1</v>
      </c>
      <c r="X578" s="1">
        <v>0.184</v>
      </c>
      <c r="Y578" s="1"/>
      <c r="Z578" s="1">
        <v>4.3</v>
      </c>
      <c r="AA578" s="1">
        <v>-1.4</v>
      </c>
      <c r="AB578" s="1">
        <v>2.9</v>
      </c>
      <c r="AC578" s="1">
        <v>0</v>
      </c>
      <c r="AD578">
        <f>Advanced_Table[[#This Row],[VORP]]*82/Advanced_Table[[#This Row],[G]]</f>
        <v>0</v>
      </c>
    </row>
    <row r="579" spans="1:30" x14ac:dyDescent="0.25">
      <c r="A579" s="1">
        <v>476</v>
      </c>
      <c r="B579" s="1" t="s">
        <v>735</v>
      </c>
      <c r="C579" s="1" t="s">
        <v>287</v>
      </c>
      <c r="D579" s="1">
        <v>29</v>
      </c>
      <c r="E579" s="1" t="s">
        <v>301</v>
      </c>
      <c r="F579" s="1">
        <v>54</v>
      </c>
      <c r="G579" s="1">
        <v>1763</v>
      </c>
      <c r="H579" s="1">
        <v>21.6</v>
      </c>
      <c r="I579" s="1">
        <v>0.54</v>
      </c>
      <c r="J579" s="1">
        <v>0.27400000000000002</v>
      </c>
      <c r="K579" s="1">
        <v>0.16</v>
      </c>
      <c r="L579" s="1">
        <v>7.6</v>
      </c>
      <c r="M579" s="1">
        <v>29.4</v>
      </c>
      <c r="N579" s="1">
        <v>18.100000000000001</v>
      </c>
      <c r="O579" s="1">
        <v>20</v>
      </c>
      <c r="P579" s="1">
        <v>1.3</v>
      </c>
      <c r="Q579" s="1">
        <v>2.4</v>
      </c>
      <c r="R579" s="1">
        <v>7.3</v>
      </c>
      <c r="S579" s="1">
        <v>25.8</v>
      </c>
      <c r="T579" s="1"/>
      <c r="U579" s="1">
        <v>2.9</v>
      </c>
      <c r="V579" s="1">
        <v>2.6</v>
      </c>
      <c r="W579" s="1">
        <v>5.5</v>
      </c>
      <c r="X579" s="1">
        <v>0.15</v>
      </c>
      <c r="Y579" s="1"/>
      <c r="Z579" s="1">
        <v>3.3</v>
      </c>
      <c r="AA579" s="1">
        <v>0.6</v>
      </c>
      <c r="AB579" s="1">
        <v>3.9</v>
      </c>
      <c r="AC579" s="1">
        <v>2.7</v>
      </c>
      <c r="AD579">
        <f>Advanced_Table[[#This Row],[VORP]]*82/Advanced_Table[[#This Row],[G]]</f>
        <v>4.1000000000000005</v>
      </c>
    </row>
    <row r="580" spans="1:30" x14ac:dyDescent="0.25">
      <c r="A580" s="1">
        <v>477</v>
      </c>
      <c r="B580" s="1" t="s">
        <v>736</v>
      </c>
      <c r="C580" s="1" t="s">
        <v>23</v>
      </c>
      <c r="D580" s="1">
        <v>23</v>
      </c>
      <c r="E580" s="1" t="s">
        <v>411</v>
      </c>
      <c r="F580" s="1">
        <v>12</v>
      </c>
      <c r="G580" s="1">
        <v>71</v>
      </c>
      <c r="H580" s="1">
        <v>13.9</v>
      </c>
      <c r="I580" s="1">
        <v>0.74399999999999999</v>
      </c>
      <c r="J580" s="1">
        <v>0.308</v>
      </c>
      <c r="K580" s="1">
        <v>7.6999999999999999E-2</v>
      </c>
      <c r="L580" s="1">
        <v>4.5999999999999996</v>
      </c>
      <c r="M580" s="1">
        <v>25.3</v>
      </c>
      <c r="N580" s="1">
        <v>14.9</v>
      </c>
      <c r="O580" s="1">
        <v>4</v>
      </c>
      <c r="P580" s="1">
        <v>1.4</v>
      </c>
      <c r="Q580" s="1">
        <v>4.8</v>
      </c>
      <c r="R580" s="1">
        <v>18.2</v>
      </c>
      <c r="S580" s="1">
        <v>9.9</v>
      </c>
      <c r="T580" s="1"/>
      <c r="U580" s="1">
        <v>0.1</v>
      </c>
      <c r="V580" s="1">
        <v>0.1</v>
      </c>
      <c r="W580" s="1">
        <v>0.2</v>
      </c>
      <c r="X580" s="1">
        <v>0.104</v>
      </c>
      <c r="Y580" s="1"/>
      <c r="Z580" s="1">
        <v>-1.7</v>
      </c>
      <c r="AA580" s="1">
        <v>0.4</v>
      </c>
      <c r="AB580" s="1">
        <v>-1.3</v>
      </c>
      <c r="AC580" s="1">
        <v>0</v>
      </c>
      <c r="AD580">
        <f>Advanced_Table[[#This Row],[VORP]]*82/Advanced_Table[[#This Row],[G]]</f>
        <v>0</v>
      </c>
    </row>
    <row r="581" spans="1:30" x14ac:dyDescent="0.25">
      <c r="A581" s="1">
        <v>478</v>
      </c>
      <c r="B581" s="1" t="s">
        <v>737</v>
      </c>
      <c r="C581" s="1" t="s">
        <v>287</v>
      </c>
      <c r="D581" s="1">
        <v>22</v>
      </c>
      <c r="E581" s="1" t="s">
        <v>342</v>
      </c>
      <c r="F581" s="1">
        <v>37</v>
      </c>
      <c r="G581" s="1">
        <v>707</v>
      </c>
      <c r="H581" s="1">
        <v>16.600000000000001</v>
      </c>
      <c r="I581" s="1">
        <v>0.66600000000000004</v>
      </c>
      <c r="J581" s="1">
        <v>0.29399999999999998</v>
      </c>
      <c r="K581" s="1">
        <v>0.36</v>
      </c>
      <c r="L581" s="1">
        <v>7.6</v>
      </c>
      <c r="M581" s="1">
        <v>22.8</v>
      </c>
      <c r="N581" s="1">
        <v>14.9</v>
      </c>
      <c r="O581" s="1">
        <v>10.1</v>
      </c>
      <c r="P581" s="1">
        <v>1.5</v>
      </c>
      <c r="Q581" s="1">
        <v>2.1</v>
      </c>
      <c r="R581" s="1">
        <v>17.2</v>
      </c>
      <c r="S581" s="1">
        <v>18.8</v>
      </c>
      <c r="T581" s="1"/>
      <c r="U581" s="1">
        <v>1.3</v>
      </c>
      <c r="V581" s="1">
        <v>0.5</v>
      </c>
      <c r="W581" s="1">
        <v>1.8</v>
      </c>
      <c r="X581" s="1">
        <v>0.122</v>
      </c>
      <c r="Y581" s="1"/>
      <c r="Z581" s="1">
        <v>-1.2</v>
      </c>
      <c r="AA581" s="1">
        <v>-0.5</v>
      </c>
      <c r="AB581" s="1">
        <v>-1.6</v>
      </c>
      <c r="AC581" s="1">
        <v>0.1</v>
      </c>
      <c r="AD581">
        <f>Advanced_Table[[#This Row],[VORP]]*82/Advanced_Table[[#This Row],[G]]</f>
        <v>0.22162162162162166</v>
      </c>
    </row>
    <row r="582" spans="1:30" x14ac:dyDescent="0.25">
      <c r="A582" s="1">
        <v>479</v>
      </c>
      <c r="B582" s="1" t="s">
        <v>1217</v>
      </c>
      <c r="C582" s="1" t="s">
        <v>294</v>
      </c>
      <c r="D582" s="1">
        <v>28</v>
      </c>
      <c r="E582" s="1" t="s">
        <v>290</v>
      </c>
      <c r="F582" s="1">
        <v>3</v>
      </c>
      <c r="G582" s="1">
        <v>42</v>
      </c>
      <c r="H582" s="1">
        <v>13.5</v>
      </c>
      <c r="I582" s="1">
        <v>0.53</v>
      </c>
      <c r="J582" s="1">
        <v>0.65400000000000003</v>
      </c>
      <c r="K582" s="1">
        <v>3.7999999999999999E-2</v>
      </c>
      <c r="L582" s="1">
        <v>0</v>
      </c>
      <c r="M582" s="1">
        <v>28.2</v>
      </c>
      <c r="N582" s="1">
        <v>14.7</v>
      </c>
      <c r="O582" s="1">
        <v>12.4</v>
      </c>
      <c r="P582" s="1">
        <v>0</v>
      </c>
      <c r="Q582" s="1">
        <v>4.7</v>
      </c>
      <c r="R582" s="1">
        <v>10.199999999999999</v>
      </c>
      <c r="S582" s="1">
        <v>30.9</v>
      </c>
      <c r="T582" s="1"/>
      <c r="U582" s="1">
        <v>-0.1</v>
      </c>
      <c r="V582" s="1">
        <v>0.1</v>
      </c>
      <c r="W582" s="1">
        <v>0</v>
      </c>
      <c r="X582" s="1">
        <v>1E-3</v>
      </c>
      <c r="Y582" s="1"/>
      <c r="Z582" s="1">
        <v>2.4</v>
      </c>
      <c r="AA582" s="1">
        <v>-0.6</v>
      </c>
      <c r="AB582" s="1">
        <v>1.8</v>
      </c>
      <c r="AC582" s="1">
        <v>0</v>
      </c>
      <c r="AD582">
        <f>Advanced_Table[[#This Row],[VORP]]*82/Advanced_Table[[#This Row],[G]]</f>
        <v>0</v>
      </c>
    </row>
    <row r="583" spans="1:30" x14ac:dyDescent="0.25">
      <c r="A583" s="1">
        <v>480</v>
      </c>
      <c r="B583" s="1" t="s">
        <v>738</v>
      </c>
      <c r="C583" s="1" t="s">
        <v>316</v>
      </c>
      <c r="D583" s="1">
        <v>29</v>
      </c>
      <c r="E583" s="1" t="s">
        <v>383</v>
      </c>
      <c r="F583" s="1">
        <v>50</v>
      </c>
      <c r="G583" s="1">
        <v>1592</v>
      </c>
      <c r="H583" s="1">
        <v>20.2</v>
      </c>
      <c r="I583" s="1">
        <v>0.56899999999999995</v>
      </c>
      <c r="J583" s="1">
        <v>0.52600000000000002</v>
      </c>
      <c r="K583" s="1">
        <v>0.27</v>
      </c>
      <c r="L583" s="1">
        <v>2.2000000000000002</v>
      </c>
      <c r="M583" s="1">
        <v>11.4</v>
      </c>
      <c r="N583" s="1">
        <v>6.9</v>
      </c>
      <c r="O583" s="1">
        <v>24.6</v>
      </c>
      <c r="P583" s="1">
        <v>1.4</v>
      </c>
      <c r="Q583" s="1">
        <v>1.5</v>
      </c>
      <c r="R583" s="1">
        <v>10.3</v>
      </c>
      <c r="S583" s="1">
        <v>27.8</v>
      </c>
      <c r="T583" s="1"/>
      <c r="U583" s="1">
        <v>3.5</v>
      </c>
      <c r="V583" s="1">
        <v>1.9</v>
      </c>
      <c r="W583" s="1">
        <v>5.4</v>
      </c>
      <c r="X583" s="1">
        <v>0.16300000000000001</v>
      </c>
      <c r="Y583" s="1"/>
      <c r="Z583" s="1">
        <v>5.0999999999999996</v>
      </c>
      <c r="AA583" s="1">
        <v>-0.3</v>
      </c>
      <c r="AB583" s="1">
        <v>4.7</v>
      </c>
      <c r="AC583" s="1">
        <v>2.7</v>
      </c>
      <c r="AD583">
        <f>Advanced_Table[[#This Row],[VORP]]*82/Advanced_Table[[#This Row],[G]]</f>
        <v>4.4279999999999999</v>
      </c>
    </row>
    <row r="584" spans="1:30" x14ac:dyDescent="0.25">
      <c r="A584" s="1">
        <v>481</v>
      </c>
      <c r="B584" s="1" t="s">
        <v>739</v>
      </c>
      <c r="C584" s="1" t="s">
        <v>294</v>
      </c>
      <c r="D584" s="1">
        <v>21</v>
      </c>
      <c r="E584" s="1" t="s">
        <v>292</v>
      </c>
      <c r="F584" s="1">
        <v>53</v>
      </c>
      <c r="G584" s="1">
        <v>767</v>
      </c>
      <c r="H584" s="1">
        <v>11</v>
      </c>
      <c r="I584" s="1">
        <v>0.51500000000000001</v>
      </c>
      <c r="J584" s="1">
        <v>0.26600000000000001</v>
      </c>
      <c r="K584" s="1">
        <v>0.19900000000000001</v>
      </c>
      <c r="L584" s="1">
        <v>2.8</v>
      </c>
      <c r="M584" s="1">
        <v>13.4</v>
      </c>
      <c r="N584" s="1">
        <v>8.1</v>
      </c>
      <c r="O584" s="1">
        <v>8.4</v>
      </c>
      <c r="P584" s="1">
        <v>1.8</v>
      </c>
      <c r="Q584" s="1">
        <v>1.5</v>
      </c>
      <c r="R584" s="1">
        <v>9.6</v>
      </c>
      <c r="S584" s="1">
        <v>18.2</v>
      </c>
      <c r="T584" s="1"/>
      <c r="U584" s="1">
        <v>0</v>
      </c>
      <c r="V584" s="1">
        <v>0.5</v>
      </c>
      <c r="W584" s="1">
        <v>0.5</v>
      </c>
      <c r="X584" s="1">
        <v>2.8000000000000001E-2</v>
      </c>
      <c r="Y584" s="1"/>
      <c r="Z584" s="1">
        <v>-2.5</v>
      </c>
      <c r="AA584" s="1">
        <v>-0.7</v>
      </c>
      <c r="AB584" s="1">
        <v>-3.2</v>
      </c>
      <c r="AC584" s="1">
        <v>-0.2</v>
      </c>
      <c r="AD584">
        <f>Advanced_Table[[#This Row],[VORP]]*82/Advanced_Table[[#This Row],[G]]</f>
        <v>-0.30943396226415099</v>
      </c>
    </row>
    <row r="585" spans="1:30" x14ac:dyDescent="0.25">
      <c r="A585" s="1">
        <v>482</v>
      </c>
      <c r="B585" s="1" t="s">
        <v>740</v>
      </c>
      <c r="C585" s="1" t="s">
        <v>294</v>
      </c>
      <c r="D585" s="1">
        <v>25</v>
      </c>
      <c r="E585" s="1" t="s">
        <v>347</v>
      </c>
      <c r="F585" s="1">
        <v>14</v>
      </c>
      <c r="G585" s="1">
        <v>160</v>
      </c>
      <c r="H585" s="1">
        <v>3.9</v>
      </c>
      <c r="I585" s="1">
        <v>0.38900000000000001</v>
      </c>
      <c r="J585" s="1">
        <v>0.34100000000000003</v>
      </c>
      <c r="K585" s="1">
        <v>0.38600000000000001</v>
      </c>
      <c r="L585" s="1">
        <v>2</v>
      </c>
      <c r="M585" s="1">
        <v>12.9</v>
      </c>
      <c r="N585" s="1">
        <v>7.4</v>
      </c>
      <c r="O585" s="1">
        <v>10.9</v>
      </c>
      <c r="P585" s="1">
        <v>2</v>
      </c>
      <c r="Q585" s="1">
        <v>0.5</v>
      </c>
      <c r="R585" s="1">
        <v>16.3</v>
      </c>
      <c r="S585" s="1">
        <v>16</v>
      </c>
      <c r="T585" s="1"/>
      <c r="U585" s="1">
        <v>-0.3</v>
      </c>
      <c r="V585" s="1">
        <v>0.1</v>
      </c>
      <c r="W585" s="1">
        <v>-0.3</v>
      </c>
      <c r="X585" s="1">
        <v>-7.4999999999999997E-2</v>
      </c>
      <c r="Y585" s="1"/>
      <c r="Z585" s="1">
        <v>-7.6</v>
      </c>
      <c r="AA585" s="1">
        <v>-1</v>
      </c>
      <c r="AB585" s="1">
        <v>-8.6999999999999993</v>
      </c>
      <c r="AC585" s="1">
        <v>-0.3</v>
      </c>
      <c r="AD585">
        <f>Advanced_Table[[#This Row],[VORP]]*82/Advanced_Table[[#This Row],[G]]</f>
        <v>-1.7571428571428569</v>
      </c>
    </row>
    <row r="586" spans="1:30" x14ac:dyDescent="0.25">
      <c r="A586" s="1">
        <v>483</v>
      </c>
      <c r="B586" s="1" t="s">
        <v>741</v>
      </c>
      <c r="C586" s="1" t="s">
        <v>303</v>
      </c>
      <c r="D586" s="1">
        <v>25</v>
      </c>
      <c r="E586" s="1" t="s">
        <v>299</v>
      </c>
      <c r="F586" s="1">
        <v>64</v>
      </c>
      <c r="G586" s="1">
        <v>1857</v>
      </c>
      <c r="H586" s="1">
        <v>9.1999999999999993</v>
      </c>
      <c r="I586" s="1">
        <v>0.497</v>
      </c>
      <c r="J586" s="1">
        <v>0.58299999999999996</v>
      </c>
      <c r="K586" s="1">
        <v>0.12</v>
      </c>
      <c r="L586" s="1">
        <v>2.8</v>
      </c>
      <c r="M586" s="1">
        <v>17.899999999999999</v>
      </c>
      <c r="N586" s="1">
        <v>10.6</v>
      </c>
      <c r="O586" s="1">
        <v>9.3000000000000007</v>
      </c>
      <c r="P586" s="1">
        <v>1.5</v>
      </c>
      <c r="Q586" s="1">
        <v>1.1000000000000001</v>
      </c>
      <c r="R586" s="1">
        <v>14</v>
      </c>
      <c r="S586" s="1">
        <v>20.399999999999999</v>
      </c>
      <c r="T586" s="1"/>
      <c r="U586" s="1">
        <v>-1.7</v>
      </c>
      <c r="V586" s="1">
        <v>2.4</v>
      </c>
      <c r="W586" s="1">
        <v>0.7</v>
      </c>
      <c r="X586" s="1">
        <v>1.9E-2</v>
      </c>
      <c r="Y586" s="1"/>
      <c r="Z586" s="1">
        <v>-2.8</v>
      </c>
      <c r="AA586" s="1">
        <v>-0.2</v>
      </c>
      <c r="AB586" s="1">
        <v>-3</v>
      </c>
      <c r="AC586" s="1">
        <v>-0.4</v>
      </c>
      <c r="AD586">
        <f>Advanced_Table[[#This Row],[VORP]]*82/Advanced_Table[[#This Row],[G]]</f>
        <v>-0.51250000000000007</v>
      </c>
    </row>
    <row r="587" spans="1:30" x14ac:dyDescent="0.25">
      <c r="A587" s="1">
        <v>484</v>
      </c>
      <c r="B587" s="1" t="s">
        <v>742</v>
      </c>
      <c r="C587" s="1" t="s">
        <v>316</v>
      </c>
      <c r="D587" s="1">
        <v>24</v>
      </c>
      <c r="E587" s="1" t="s">
        <v>957</v>
      </c>
      <c r="F587" s="1">
        <v>26</v>
      </c>
      <c r="G587" s="1">
        <v>248</v>
      </c>
      <c r="H587" s="1">
        <v>8.6999999999999993</v>
      </c>
      <c r="I587" s="1">
        <v>0.61699999999999999</v>
      </c>
      <c r="J587" s="1">
        <v>0.61499999999999999</v>
      </c>
      <c r="K587" s="1">
        <v>0.23100000000000001</v>
      </c>
      <c r="L587" s="1">
        <v>0.9</v>
      </c>
      <c r="M587" s="1">
        <v>5.7</v>
      </c>
      <c r="N587" s="1">
        <v>3.4</v>
      </c>
      <c r="O587" s="1">
        <v>13.9</v>
      </c>
      <c r="P587" s="1">
        <v>1.4</v>
      </c>
      <c r="Q587" s="1">
        <v>0</v>
      </c>
      <c r="R587" s="1">
        <v>10.4</v>
      </c>
      <c r="S587" s="1">
        <v>8.1</v>
      </c>
      <c r="T587" s="1"/>
      <c r="U587" s="1">
        <v>0.4</v>
      </c>
      <c r="V587" s="1">
        <v>0.2</v>
      </c>
      <c r="W587" s="1">
        <v>0.6</v>
      </c>
      <c r="X587" s="1">
        <v>0.112</v>
      </c>
      <c r="Y587" s="1"/>
      <c r="Z587" s="1">
        <v>-2.4</v>
      </c>
      <c r="AA587" s="1">
        <v>1.2</v>
      </c>
      <c r="AB587" s="1">
        <v>-1.2</v>
      </c>
      <c r="AC587" s="1">
        <v>0.1</v>
      </c>
      <c r="AD587">
        <f>Advanced_Table[[#This Row],[VORP]]*82/Advanced_Table[[#This Row],[G]]</f>
        <v>0.31538461538461543</v>
      </c>
    </row>
    <row r="588" spans="1:30" x14ac:dyDescent="0.25">
      <c r="A588" s="1">
        <v>484</v>
      </c>
      <c r="B588" s="1" t="s">
        <v>742</v>
      </c>
      <c r="C588" s="1" t="s">
        <v>316</v>
      </c>
      <c r="D588" s="1">
        <v>24</v>
      </c>
      <c r="E588" s="1" t="s">
        <v>350</v>
      </c>
      <c r="F588" s="1">
        <v>23</v>
      </c>
      <c r="G588" s="1">
        <v>222</v>
      </c>
      <c r="H588" s="1">
        <v>8.4</v>
      </c>
      <c r="I588" s="1">
        <v>0.626</v>
      </c>
      <c r="J588" s="1">
        <v>0.58299999999999996</v>
      </c>
      <c r="K588" s="1">
        <v>0.25</v>
      </c>
      <c r="L588" s="1">
        <v>1</v>
      </c>
      <c r="M588" s="1">
        <v>5.9</v>
      </c>
      <c r="N588" s="1">
        <v>3.5</v>
      </c>
      <c r="O588" s="1">
        <v>12.6</v>
      </c>
      <c r="P588" s="1">
        <v>0.8</v>
      </c>
      <c r="Q588" s="1">
        <v>0</v>
      </c>
      <c r="R588" s="1">
        <v>9.1</v>
      </c>
      <c r="S588" s="1">
        <v>8.1999999999999993</v>
      </c>
      <c r="T588" s="1"/>
      <c r="U588" s="1">
        <v>0.4</v>
      </c>
      <c r="V588" s="1">
        <v>0.2</v>
      </c>
      <c r="W588" s="1">
        <v>0.5</v>
      </c>
      <c r="X588" s="1">
        <v>0.113</v>
      </c>
      <c r="Y588" s="1"/>
      <c r="Z588" s="1">
        <v>-2.2999999999999998</v>
      </c>
      <c r="AA588" s="1">
        <v>0.8</v>
      </c>
      <c r="AB588" s="1">
        <v>-1.5</v>
      </c>
      <c r="AC588" s="1">
        <v>0</v>
      </c>
      <c r="AD588">
        <f>Advanced_Table[[#This Row],[VORP]]*82/Advanced_Table[[#This Row],[G]]</f>
        <v>0</v>
      </c>
    </row>
    <row r="589" spans="1:30" x14ac:dyDescent="0.25">
      <c r="A589" s="1">
        <v>484</v>
      </c>
      <c r="B589" s="1" t="s">
        <v>742</v>
      </c>
      <c r="C589" s="1" t="s">
        <v>316</v>
      </c>
      <c r="D589" s="1">
        <v>24</v>
      </c>
      <c r="E589" s="1" t="s">
        <v>363</v>
      </c>
      <c r="F589" s="1">
        <v>3</v>
      </c>
      <c r="G589" s="1">
        <v>26</v>
      </c>
      <c r="H589" s="1">
        <v>11.3</v>
      </c>
      <c r="I589" s="1">
        <v>0.5</v>
      </c>
      <c r="J589" s="1">
        <v>1</v>
      </c>
      <c r="K589" s="1">
        <v>0</v>
      </c>
      <c r="L589" s="1">
        <v>0</v>
      </c>
      <c r="M589" s="1">
        <v>4.4000000000000004</v>
      </c>
      <c r="N589" s="1">
        <v>2.2000000000000002</v>
      </c>
      <c r="O589" s="1">
        <v>24.8</v>
      </c>
      <c r="P589" s="1">
        <v>5.7</v>
      </c>
      <c r="Q589" s="1">
        <v>0</v>
      </c>
      <c r="R589" s="1">
        <v>25</v>
      </c>
      <c r="S589" s="1">
        <v>6.7</v>
      </c>
      <c r="T589" s="1"/>
      <c r="U589" s="1">
        <v>0</v>
      </c>
      <c r="V589" s="1">
        <v>0</v>
      </c>
      <c r="W589" s="1">
        <v>0.1</v>
      </c>
      <c r="X589" s="1">
        <v>0.106</v>
      </c>
      <c r="Y589" s="1"/>
      <c r="Z589" s="1">
        <v>-3</v>
      </c>
      <c r="AA589" s="1">
        <v>4.9000000000000004</v>
      </c>
      <c r="AB589" s="1">
        <v>1.9</v>
      </c>
      <c r="AC589" s="1">
        <v>0</v>
      </c>
      <c r="AD589">
        <f>Advanced_Table[[#This Row],[VORP]]*82/Advanced_Table[[#This Row],[G]]</f>
        <v>0</v>
      </c>
    </row>
    <row r="590" spans="1:30" x14ac:dyDescent="0.25">
      <c r="A590" s="1">
        <v>485</v>
      </c>
      <c r="B590" s="1" t="s">
        <v>743</v>
      </c>
      <c r="C590" s="1" t="s">
        <v>316</v>
      </c>
      <c r="D590" s="1">
        <v>30</v>
      </c>
      <c r="E590" s="1" t="s">
        <v>383</v>
      </c>
      <c r="F590" s="1">
        <v>63</v>
      </c>
      <c r="G590" s="1">
        <v>1215</v>
      </c>
      <c r="H590" s="1">
        <v>11.8</v>
      </c>
      <c r="I590" s="1">
        <v>0.56000000000000005</v>
      </c>
      <c r="J590" s="1">
        <v>0.28299999999999997</v>
      </c>
      <c r="K590" s="1">
        <v>0.36499999999999999</v>
      </c>
      <c r="L590" s="1">
        <v>1.7</v>
      </c>
      <c r="M590" s="1">
        <v>9.1999999999999993</v>
      </c>
      <c r="N590" s="1">
        <v>5.5</v>
      </c>
      <c r="O590" s="1">
        <v>17.600000000000001</v>
      </c>
      <c r="P590" s="1">
        <v>2.1</v>
      </c>
      <c r="Q590" s="1">
        <v>1</v>
      </c>
      <c r="R590" s="1">
        <v>15.9</v>
      </c>
      <c r="S590" s="1">
        <v>15.4</v>
      </c>
      <c r="T590" s="1"/>
      <c r="U590" s="1">
        <v>1.2</v>
      </c>
      <c r="V590" s="1">
        <v>1.5</v>
      </c>
      <c r="W590" s="1">
        <v>2.7</v>
      </c>
      <c r="X590" s="1">
        <v>0.108</v>
      </c>
      <c r="Y590" s="1"/>
      <c r="Z590" s="1">
        <v>-2.4</v>
      </c>
      <c r="AA590" s="1">
        <v>1</v>
      </c>
      <c r="AB590" s="1">
        <v>-1.3</v>
      </c>
      <c r="AC590" s="1">
        <v>0.2</v>
      </c>
      <c r="AD590">
        <f>Advanced_Table[[#This Row],[VORP]]*82/Advanced_Table[[#This Row],[G]]</f>
        <v>0.26031746031746034</v>
      </c>
    </row>
    <row r="591" spans="1:30" x14ac:dyDescent="0.25">
      <c r="A591" s="1">
        <v>486</v>
      </c>
      <c r="B591" s="1" t="s">
        <v>744</v>
      </c>
      <c r="C591" s="1" t="s">
        <v>303</v>
      </c>
      <c r="D591" s="1">
        <v>26</v>
      </c>
      <c r="E591" s="1" t="s">
        <v>353</v>
      </c>
      <c r="F591" s="1">
        <v>61</v>
      </c>
      <c r="G591" s="1">
        <v>1984</v>
      </c>
      <c r="H591" s="1">
        <v>17.2</v>
      </c>
      <c r="I591" s="1">
        <v>0.59899999999999998</v>
      </c>
      <c r="J591" s="1">
        <v>0.21199999999999999</v>
      </c>
      <c r="K591" s="1">
        <v>0.214</v>
      </c>
      <c r="L591" s="1">
        <v>3.4</v>
      </c>
      <c r="M591" s="1">
        <v>10</v>
      </c>
      <c r="N591" s="1">
        <v>6.7</v>
      </c>
      <c r="O591" s="1">
        <v>6.8</v>
      </c>
      <c r="P591" s="1">
        <v>1.7</v>
      </c>
      <c r="Q591" s="1">
        <v>1.2</v>
      </c>
      <c r="R591" s="1">
        <v>7.5</v>
      </c>
      <c r="S591" s="1">
        <v>22.8</v>
      </c>
      <c r="T591" s="1"/>
      <c r="U591" s="1">
        <v>3.2</v>
      </c>
      <c r="V591" s="1">
        <v>2.2000000000000002</v>
      </c>
      <c r="W591" s="1">
        <v>5.3</v>
      </c>
      <c r="X591" s="1">
        <v>0.129</v>
      </c>
      <c r="Y591" s="1"/>
      <c r="Z591" s="1">
        <v>0.4</v>
      </c>
      <c r="AA591" s="1">
        <v>-0.2</v>
      </c>
      <c r="AB591" s="1">
        <v>0.1</v>
      </c>
      <c r="AC591" s="1">
        <v>1</v>
      </c>
      <c r="AD591">
        <f>Advanced_Table[[#This Row],[VORP]]*82/Advanced_Table[[#This Row],[G]]</f>
        <v>1.3442622950819672</v>
      </c>
    </row>
    <row r="592" spans="1:30" x14ac:dyDescent="0.25">
      <c r="A592" s="1">
        <v>487</v>
      </c>
      <c r="B592" s="1" t="s">
        <v>1625</v>
      </c>
      <c r="C592" s="1" t="s">
        <v>23</v>
      </c>
      <c r="D592" s="1">
        <v>21</v>
      </c>
      <c r="E592" s="1" t="s">
        <v>324</v>
      </c>
      <c r="F592" s="1">
        <v>57</v>
      </c>
      <c r="G592" s="1">
        <v>1723</v>
      </c>
      <c r="H592" s="1">
        <v>12.4</v>
      </c>
      <c r="I592" s="1">
        <v>0.54900000000000004</v>
      </c>
      <c r="J592" s="1">
        <v>0.38500000000000001</v>
      </c>
      <c r="K592" s="1">
        <v>0.23400000000000001</v>
      </c>
      <c r="L592" s="1">
        <v>3.3</v>
      </c>
      <c r="M592" s="1">
        <v>16.8</v>
      </c>
      <c r="N592" s="1">
        <v>9.8000000000000007</v>
      </c>
      <c r="O592" s="1">
        <v>11.4</v>
      </c>
      <c r="P592" s="1">
        <v>1.5</v>
      </c>
      <c r="Q592" s="1">
        <v>2.2999999999999998</v>
      </c>
      <c r="R592" s="1">
        <v>12.7</v>
      </c>
      <c r="S592" s="1">
        <v>18.5</v>
      </c>
      <c r="T592" s="1"/>
      <c r="U592" s="1">
        <v>0.5</v>
      </c>
      <c r="V592" s="1">
        <v>1.4</v>
      </c>
      <c r="W592" s="1">
        <v>1.9</v>
      </c>
      <c r="X592" s="1">
        <v>5.2999999999999999E-2</v>
      </c>
      <c r="Y592" s="1"/>
      <c r="Z592" s="1">
        <v>-1.8</v>
      </c>
      <c r="AA592" s="1">
        <v>0.1</v>
      </c>
      <c r="AB592" s="1">
        <v>-1.7</v>
      </c>
      <c r="AC592" s="1">
        <v>0.1</v>
      </c>
      <c r="AD592">
        <f>Advanced_Table[[#This Row],[VORP]]*82/Advanced_Table[[#This Row],[G]]</f>
        <v>0.14385964912280705</v>
      </c>
    </row>
    <row r="593" spans="1:30" x14ac:dyDescent="0.25">
      <c r="A593" s="1">
        <v>488</v>
      </c>
      <c r="B593" s="1" t="s">
        <v>745</v>
      </c>
      <c r="C593" s="1" t="s">
        <v>294</v>
      </c>
      <c r="D593" s="1">
        <v>25</v>
      </c>
      <c r="E593" s="1" t="s">
        <v>297</v>
      </c>
      <c r="F593" s="1">
        <v>16</v>
      </c>
      <c r="G593" s="1">
        <v>99</v>
      </c>
      <c r="H593" s="1">
        <v>9.5</v>
      </c>
      <c r="I593" s="1">
        <v>0.46100000000000002</v>
      </c>
      <c r="J593" s="1">
        <v>0.27600000000000002</v>
      </c>
      <c r="K593" s="1">
        <v>0.27600000000000002</v>
      </c>
      <c r="L593" s="1">
        <v>6.5</v>
      </c>
      <c r="M593" s="1">
        <v>11.4</v>
      </c>
      <c r="N593" s="1">
        <v>9</v>
      </c>
      <c r="O593" s="1">
        <v>5.3</v>
      </c>
      <c r="P593" s="1">
        <v>2.4</v>
      </c>
      <c r="Q593" s="1">
        <v>0.9</v>
      </c>
      <c r="R593" s="1">
        <v>5.8</v>
      </c>
      <c r="S593" s="1">
        <v>14.5</v>
      </c>
      <c r="T593" s="1"/>
      <c r="U593" s="1">
        <v>0</v>
      </c>
      <c r="V593" s="1">
        <v>0.1</v>
      </c>
      <c r="W593" s="1">
        <v>0.1</v>
      </c>
      <c r="X593" s="1">
        <v>4.7E-2</v>
      </c>
      <c r="Y593" s="1"/>
      <c r="Z593" s="1">
        <v>-3.6</v>
      </c>
      <c r="AA593" s="1">
        <v>0.2</v>
      </c>
      <c r="AB593" s="1">
        <v>-3.4</v>
      </c>
      <c r="AC593" s="1">
        <v>0</v>
      </c>
      <c r="AD593">
        <f>Advanced_Table[[#This Row],[VORP]]*82/Advanced_Table[[#This Row],[G]]</f>
        <v>0</v>
      </c>
    </row>
    <row r="594" spans="1:30" x14ac:dyDescent="0.25">
      <c r="A594" s="1">
        <v>489</v>
      </c>
      <c r="B594" s="1" t="s">
        <v>799</v>
      </c>
      <c r="C594" s="1" t="s">
        <v>316</v>
      </c>
      <c r="D594" s="1">
        <v>22</v>
      </c>
      <c r="E594" s="1" t="s">
        <v>383</v>
      </c>
      <c r="F594" s="1">
        <v>10</v>
      </c>
      <c r="G594" s="1">
        <v>89</v>
      </c>
      <c r="H594" s="1">
        <v>6.5</v>
      </c>
      <c r="I594" s="1">
        <v>0.438</v>
      </c>
      <c r="J594" s="1">
        <v>0.48599999999999999</v>
      </c>
      <c r="K594" s="1">
        <v>0.17100000000000001</v>
      </c>
      <c r="L594" s="1">
        <v>0</v>
      </c>
      <c r="M594" s="1">
        <v>10.7</v>
      </c>
      <c r="N594" s="1">
        <v>5.4</v>
      </c>
      <c r="O594" s="1">
        <v>18.8</v>
      </c>
      <c r="P594" s="1">
        <v>2.7</v>
      </c>
      <c r="Q594" s="1">
        <v>2.1</v>
      </c>
      <c r="R594" s="1">
        <v>21</v>
      </c>
      <c r="S594" s="1">
        <v>22.9</v>
      </c>
      <c r="T594" s="1"/>
      <c r="U594" s="1">
        <v>-0.2</v>
      </c>
      <c r="V594" s="1">
        <v>0.1</v>
      </c>
      <c r="W594" s="1">
        <v>-0.1</v>
      </c>
      <c r="X594" s="1">
        <v>-4.4999999999999998E-2</v>
      </c>
      <c r="Y594" s="1"/>
      <c r="Z594" s="1">
        <v>-6.6</v>
      </c>
      <c r="AA594" s="1">
        <v>0</v>
      </c>
      <c r="AB594" s="1">
        <v>-6.6</v>
      </c>
      <c r="AC594" s="1">
        <v>-0.1</v>
      </c>
      <c r="AD594">
        <f>Advanced_Table[[#This Row],[VORP]]*82/Advanced_Table[[#This Row],[G]]</f>
        <v>-0.82000000000000006</v>
      </c>
    </row>
    <row r="595" spans="1:30" x14ac:dyDescent="0.25">
      <c r="A595" s="1">
        <v>490</v>
      </c>
      <c r="B595" s="1" t="s">
        <v>1049</v>
      </c>
      <c r="C595" s="1" t="s">
        <v>1214</v>
      </c>
      <c r="D595" s="1">
        <v>25</v>
      </c>
      <c r="E595" s="1" t="s">
        <v>957</v>
      </c>
      <c r="F595" s="1">
        <v>5</v>
      </c>
      <c r="G595" s="1">
        <v>25</v>
      </c>
      <c r="H595" s="1">
        <v>-0.5</v>
      </c>
      <c r="I595" s="1">
        <v>5.6000000000000001E-2</v>
      </c>
      <c r="J595" s="1">
        <v>0.5</v>
      </c>
      <c r="K595" s="1">
        <v>0.25</v>
      </c>
      <c r="L595" s="1">
        <v>0</v>
      </c>
      <c r="M595" s="1">
        <v>17</v>
      </c>
      <c r="N595" s="1">
        <v>8.5</v>
      </c>
      <c r="O595" s="1">
        <v>23.9</v>
      </c>
      <c r="P595" s="1">
        <v>1.9</v>
      </c>
      <c r="Q595" s="1">
        <v>3.9</v>
      </c>
      <c r="R595" s="1">
        <v>0</v>
      </c>
      <c r="S595" s="1">
        <v>14.9</v>
      </c>
      <c r="T595" s="1"/>
      <c r="U595" s="1">
        <v>-0.1</v>
      </c>
      <c r="V595" s="1">
        <v>0</v>
      </c>
      <c r="W595" s="1">
        <v>-0.1</v>
      </c>
      <c r="X595" s="1">
        <v>-0.182</v>
      </c>
      <c r="Y595" s="1"/>
      <c r="Z595" s="1">
        <v>-8</v>
      </c>
      <c r="AA595" s="1">
        <v>0.8</v>
      </c>
      <c r="AB595" s="1">
        <v>-7.2</v>
      </c>
      <c r="AC595" s="1">
        <v>0</v>
      </c>
      <c r="AD595">
        <f>Advanced_Table[[#This Row],[VORP]]*82/Advanced_Table[[#This Row],[G]]</f>
        <v>0</v>
      </c>
    </row>
    <row r="596" spans="1:30" x14ac:dyDescent="0.25">
      <c r="A596" s="1">
        <v>490</v>
      </c>
      <c r="B596" s="1" t="s">
        <v>1049</v>
      </c>
      <c r="C596" s="1" t="s">
        <v>294</v>
      </c>
      <c r="D596" s="1">
        <v>25</v>
      </c>
      <c r="E596" s="1" t="s">
        <v>347</v>
      </c>
      <c r="F596" s="1">
        <v>2</v>
      </c>
      <c r="G596" s="1">
        <v>17</v>
      </c>
      <c r="H596" s="1">
        <v>-7.1</v>
      </c>
      <c r="I596" s="1">
        <v>0</v>
      </c>
      <c r="J596" s="1">
        <v>0.42899999999999999</v>
      </c>
      <c r="K596" s="1">
        <v>0</v>
      </c>
      <c r="L596" s="1">
        <v>0</v>
      </c>
      <c r="M596" s="1">
        <v>12.8</v>
      </c>
      <c r="N596" s="1">
        <v>6.3</v>
      </c>
      <c r="O596" s="1">
        <v>21.1</v>
      </c>
      <c r="P596" s="1">
        <v>2.7</v>
      </c>
      <c r="Q596" s="1">
        <v>0</v>
      </c>
      <c r="R596" s="1">
        <v>0</v>
      </c>
      <c r="S596" s="1">
        <v>17.100000000000001</v>
      </c>
      <c r="T596" s="1"/>
      <c r="U596" s="1">
        <v>-0.1</v>
      </c>
      <c r="V596" s="1">
        <v>0</v>
      </c>
      <c r="W596" s="1">
        <v>-0.1</v>
      </c>
      <c r="X596" s="1">
        <v>-0.32100000000000001</v>
      </c>
      <c r="Y596" s="1"/>
      <c r="Z596" s="1">
        <v>-12.3</v>
      </c>
      <c r="AA596" s="1">
        <v>-1.6</v>
      </c>
      <c r="AB596" s="1">
        <v>-13.8</v>
      </c>
      <c r="AC596" s="1">
        <v>-0.1</v>
      </c>
      <c r="AD596">
        <f>Advanced_Table[[#This Row],[VORP]]*82/Advanced_Table[[#This Row],[G]]</f>
        <v>-4.1000000000000005</v>
      </c>
    </row>
    <row r="597" spans="1:30" x14ac:dyDescent="0.25">
      <c r="A597" s="1">
        <v>490</v>
      </c>
      <c r="B597" s="1" t="s">
        <v>1049</v>
      </c>
      <c r="C597" s="1" t="s">
        <v>303</v>
      </c>
      <c r="D597" s="1">
        <v>25</v>
      </c>
      <c r="E597" s="1" t="s">
        <v>314</v>
      </c>
      <c r="F597" s="1">
        <v>3</v>
      </c>
      <c r="G597" s="1">
        <v>8</v>
      </c>
      <c r="H597" s="1">
        <v>13.6</v>
      </c>
      <c r="I597" s="1">
        <v>0.26600000000000001</v>
      </c>
      <c r="J597" s="1">
        <v>1</v>
      </c>
      <c r="K597" s="1">
        <v>2</v>
      </c>
      <c r="L597" s="1">
        <v>0</v>
      </c>
      <c r="M597" s="1">
        <v>25.9</v>
      </c>
      <c r="N597" s="1">
        <v>13.2</v>
      </c>
      <c r="O597" s="1">
        <v>29.8</v>
      </c>
      <c r="P597" s="1">
        <v>0</v>
      </c>
      <c r="Q597" s="1">
        <v>12.1</v>
      </c>
      <c r="R597" s="1">
        <v>0</v>
      </c>
      <c r="S597" s="1">
        <v>10.1</v>
      </c>
      <c r="T597" s="1"/>
      <c r="U597" s="1">
        <v>0</v>
      </c>
      <c r="V597" s="1">
        <v>0</v>
      </c>
      <c r="W597" s="1">
        <v>0</v>
      </c>
      <c r="X597" s="1">
        <v>0.114</v>
      </c>
      <c r="Y597" s="1"/>
      <c r="Z597" s="1">
        <v>1.2</v>
      </c>
      <c r="AA597" s="1">
        <v>5.8</v>
      </c>
      <c r="AB597" s="1">
        <v>7</v>
      </c>
      <c r="AC597" s="1">
        <v>0</v>
      </c>
      <c r="AD597">
        <f>Advanced_Table[[#This Row],[VORP]]*82/Advanced_Table[[#This Row],[G]]</f>
        <v>0</v>
      </c>
    </row>
    <row r="598" spans="1:30" x14ac:dyDescent="0.25">
      <c r="A598" s="1">
        <v>491</v>
      </c>
      <c r="B598" s="1" t="s">
        <v>1577</v>
      </c>
      <c r="C598" s="1" t="s">
        <v>294</v>
      </c>
      <c r="D598" s="1">
        <v>23</v>
      </c>
      <c r="E598" s="1" t="s">
        <v>292</v>
      </c>
      <c r="F598" s="1">
        <v>3</v>
      </c>
      <c r="G598" s="1">
        <v>15</v>
      </c>
      <c r="H598" s="1">
        <v>-5.0999999999999996</v>
      </c>
      <c r="I598" s="1">
        <v>0</v>
      </c>
      <c r="J598" s="1">
        <v>0.33300000000000002</v>
      </c>
      <c r="K598" s="1">
        <v>0</v>
      </c>
      <c r="L598" s="1">
        <v>0</v>
      </c>
      <c r="M598" s="1">
        <v>7.2</v>
      </c>
      <c r="N598" s="1">
        <v>3.6</v>
      </c>
      <c r="O598" s="1">
        <v>7.7</v>
      </c>
      <c r="P598" s="1">
        <v>0</v>
      </c>
      <c r="Q598" s="1">
        <v>0</v>
      </c>
      <c r="R598" s="1">
        <v>0</v>
      </c>
      <c r="S598" s="1">
        <v>8.6999999999999993</v>
      </c>
      <c r="T598" s="1"/>
      <c r="U598" s="1">
        <v>-0.1</v>
      </c>
      <c r="V598" s="1">
        <v>0</v>
      </c>
      <c r="W598" s="1">
        <v>-0.1</v>
      </c>
      <c r="X598" s="1">
        <v>-0.19700000000000001</v>
      </c>
      <c r="Y598" s="1"/>
      <c r="Z598" s="1">
        <v>-9</v>
      </c>
      <c r="AA598" s="1">
        <v>-6</v>
      </c>
      <c r="AB598" s="1">
        <v>-15</v>
      </c>
      <c r="AC598" s="1">
        <v>0</v>
      </c>
      <c r="AD598">
        <f>Advanced_Table[[#This Row],[VORP]]*82/Advanced_Table[[#This Row],[G]]</f>
        <v>0</v>
      </c>
    </row>
    <row r="599" spans="1:30" x14ac:dyDescent="0.25">
      <c r="A599" s="1">
        <v>492</v>
      </c>
      <c r="B599" s="1" t="s">
        <v>746</v>
      </c>
      <c r="C599" s="1" t="s">
        <v>316</v>
      </c>
      <c r="D599" s="1">
        <v>31</v>
      </c>
      <c r="E599" s="1" t="s">
        <v>305</v>
      </c>
      <c r="F599" s="1">
        <v>53</v>
      </c>
      <c r="G599" s="1">
        <v>1905</v>
      </c>
      <c r="H599" s="1">
        <v>21.5</v>
      </c>
      <c r="I599" s="1">
        <v>0.53900000000000003</v>
      </c>
      <c r="J599" s="1">
        <v>0.16800000000000001</v>
      </c>
      <c r="K599" s="1">
        <v>0.28899999999999998</v>
      </c>
      <c r="L599" s="1">
        <v>5.0999999999999996</v>
      </c>
      <c r="M599" s="1">
        <v>18.399999999999999</v>
      </c>
      <c r="N599" s="1">
        <v>11.7</v>
      </c>
      <c r="O599" s="1">
        <v>35</v>
      </c>
      <c r="P599" s="1">
        <v>2.1</v>
      </c>
      <c r="Q599" s="1">
        <v>0.8</v>
      </c>
      <c r="R599" s="1">
        <v>14.9</v>
      </c>
      <c r="S599" s="1">
        <v>34.4</v>
      </c>
      <c r="T599" s="1"/>
      <c r="U599" s="1">
        <v>2.1</v>
      </c>
      <c r="V599" s="1">
        <v>2.2999999999999998</v>
      </c>
      <c r="W599" s="1">
        <v>4.3</v>
      </c>
      <c r="X599" s="1">
        <v>0.109</v>
      </c>
      <c r="Y599" s="1"/>
      <c r="Z599" s="1">
        <v>1.9</v>
      </c>
      <c r="AA599" s="1">
        <v>-0.1</v>
      </c>
      <c r="AB599" s="1">
        <v>1.8</v>
      </c>
      <c r="AC599" s="1">
        <v>1.9</v>
      </c>
      <c r="AD599">
        <f>Advanced_Table[[#This Row],[VORP]]*82/Advanced_Table[[#This Row],[G]]</f>
        <v>2.9396226415094335</v>
      </c>
    </row>
    <row r="600" spans="1:30" x14ac:dyDescent="0.25">
      <c r="A600" s="1">
        <v>493</v>
      </c>
      <c r="B600" s="1" t="s">
        <v>747</v>
      </c>
      <c r="C600" s="1" t="s">
        <v>294</v>
      </c>
      <c r="D600" s="1">
        <v>19</v>
      </c>
      <c r="E600" s="1" t="s">
        <v>317</v>
      </c>
      <c r="F600" s="1">
        <v>65</v>
      </c>
      <c r="G600" s="1">
        <v>1674</v>
      </c>
      <c r="H600" s="1">
        <v>11.9</v>
      </c>
      <c r="I600" s="1">
        <v>0.50600000000000001</v>
      </c>
      <c r="J600" s="1">
        <v>0.47499999999999998</v>
      </c>
      <c r="K600" s="1">
        <v>0.16300000000000001</v>
      </c>
      <c r="L600" s="1">
        <v>1.8</v>
      </c>
      <c r="M600" s="1">
        <v>14</v>
      </c>
      <c r="N600" s="1">
        <v>7.6</v>
      </c>
      <c r="O600" s="1">
        <v>16.5</v>
      </c>
      <c r="P600" s="1">
        <v>1.4</v>
      </c>
      <c r="Q600" s="1">
        <v>0.3</v>
      </c>
      <c r="R600" s="1">
        <v>11.4</v>
      </c>
      <c r="S600" s="1">
        <v>24.4</v>
      </c>
      <c r="T600" s="1"/>
      <c r="U600" s="1">
        <v>-0.4</v>
      </c>
      <c r="V600" s="1">
        <v>1.4</v>
      </c>
      <c r="W600" s="1">
        <v>0.9</v>
      </c>
      <c r="X600" s="1">
        <v>2.5999999999999999E-2</v>
      </c>
      <c r="Y600" s="1"/>
      <c r="Z600" s="1">
        <v>-1.3</v>
      </c>
      <c r="AA600" s="1">
        <v>-1.5</v>
      </c>
      <c r="AB600" s="1">
        <v>-2.7</v>
      </c>
      <c r="AC600" s="1">
        <v>-0.3</v>
      </c>
      <c r="AD600">
        <f>Advanced_Table[[#This Row],[VORP]]*82/Advanced_Table[[#This Row],[G]]</f>
        <v>-0.3784615384615384</v>
      </c>
    </row>
    <row r="601" spans="1:30" x14ac:dyDescent="0.25">
      <c r="A601" s="1">
        <v>494</v>
      </c>
      <c r="B601" s="1" t="s">
        <v>748</v>
      </c>
      <c r="C601" s="1" t="s">
        <v>294</v>
      </c>
      <c r="D601" s="1">
        <v>25</v>
      </c>
      <c r="E601" s="1" t="s">
        <v>292</v>
      </c>
      <c r="F601" s="1">
        <v>61</v>
      </c>
      <c r="G601" s="1">
        <v>1468</v>
      </c>
      <c r="H601" s="1">
        <v>15.9</v>
      </c>
      <c r="I601" s="1">
        <v>0.58499999999999996</v>
      </c>
      <c r="J601" s="1">
        <v>0.34499999999999997</v>
      </c>
      <c r="K601" s="1">
        <v>0.377</v>
      </c>
      <c r="L601" s="1">
        <v>2.2000000000000002</v>
      </c>
      <c r="M601" s="1">
        <v>12</v>
      </c>
      <c r="N601" s="1">
        <v>7.1</v>
      </c>
      <c r="O601" s="1">
        <v>19.5</v>
      </c>
      <c r="P601" s="1">
        <v>1.3</v>
      </c>
      <c r="Q601" s="1">
        <v>3.3</v>
      </c>
      <c r="R601" s="1">
        <v>12.2</v>
      </c>
      <c r="S601" s="1">
        <v>18.2</v>
      </c>
      <c r="T601" s="1"/>
      <c r="U601" s="1">
        <v>2.5</v>
      </c>
      <c r="V601" s="1">
        <v>0.9</v>
      </c>
      <c r="W601" s="1">
        <v>3.4</v>
      </c>
      <c r="X601" s="1">
        <v>0.11</v>
      </c>
      <c r="Y601" s="1"/>
      <c r="Z601" s="1">
        <v>0.7</v>
      </c>
      <c r="AA601" s="1">
        <v>0.2</v>
      </c>
      <c r="AB601" s="1">
        <v>0.9</v>
      </c>
      <c r="AC601" s="1">
        <v>1.1000000000000001</v>
      </c>
      <c r="AD601">
        <f>Advanced_Table[[#This Row],[VORP]]*82/Advanced_Table[[#This Row],[G]]</f>
        <v>1.478688524590164</v>
      </c>
    </row>
    <row r="602" spans="1:30" x14ac:dyDescent="0.25">
      <c r="A602" s="1">
        <v>495</v>
      </c>
      <c r="B602" s="1" t="s">
        <v>749</v>
      </c>
      <c r="C602" s="1" t="s">
        <v>287</v>
      </c>
      <c r="D602" s="1">
        <v>30</v>
      </c>
      <c r="E602" s="1" t="s">
        <v>312</v>
      </c>
      <c r="F602" s="1">
        <v>61</v>
      </c>
      <c r="G602" s="1">
        <v>1911</v>
      </c>
      <c r="H602" s="1">
        <v>25</v>
      </c>
      <c r="I602" s="1">
        <v>0.64100000000000001</v>
      </c>
      <c r="J602" s="1">
        <v>0.01</v>
      </c>
      <c r="K602" s="1">
        <v>0.33300000000000002</v>
      </c>
      <c r="L602" s="1">
        <v>13.4</v>
      </c>
      <c r="M602" s="1">
        <v>33.4</v>
      </c>
      <c r="N602" s="1">
        <v>23.6</v>
      </c>
      <c r="O602" s="1">
        <v>6</v>
      </c>
      <c r="P602" s="1">
        <v>0.6</v>
      </c>
      <c r="Q602" s="1">
        <v>8.3000000000000007</v>
      </c>
      <c r="R602" s="1">
        <v>13.1</v>
      </c>
      <c r="S602" s="1">
        <v>19.8</v>
      </c>
      <c r="T602" s="1"/>
      <c r="U602" s="1">
        <v>5.0999999999999996</v>
      </c>
      <c r="V602" s="1">
        <v>3</v>
      </c>
      <c r="W602" s="1">
        <v>8.1</v>
      </c>
      <c r="X602" s="1">
        <v>0.20399999999999999</v>
      </c>
      <c r="Y602" s="1"/>
      <c r="Z602" s="1">
        <v>2.5</v>
      </c>
      <c r="AA602" s="1">
        <v>0.7</v>
      </c>
      <c r="AB602" s="1">
        <v>3.2</v>
      </c>
      <c r="AC602" s="1">
        <v>2.5</v>
      </c>
      <c r="AD602">
        <f>Advanced_Table[[#This Row],[VORP]]*82/Advanced_Table[[#This Row],[G]]</f>
        <v>3.360655737704918</v>
      </c>
    </row>
    <row r="603" spans="1:30" x14ac:dyDescent="0.25">
      <c r="A603" s="1">
        <v>496</v>
      </c>
      <c r="B603" s="1" t="s">
        <v>750</v>
      </c>
      <c r="C603" s="1" t="s">
        <v>1214</v>
      </c>
      <c r="D603" s="1">
        <v>24</v>
      </c>
      <c r="E603" s="1" t="s">
        <v>957</v>
      </c>
      <c r="F603" s="1">
        <v>54</v>
      </c>
      <c r="G603" s="1">
        <v>1858</v>
      </c>
      <c r="H603" s="1">
        <v>16.399999999999999</v>
      </c>
      <c r="I603" s="1">
        <v>0.53600000000000003</v>
      </c>
      <c r="J603" s="1">
        <v>0.34200000000000003</v>
      </c>
      <c r="K603" s="1">
        <v>0.27400000000000002</v>
      </c>
      <c r="L603" s="1">
        <v>3.6</v>
      </c>
      <c r="M603" s="1">
        <v>12.3</v>
      </c>
      <c r="N603" s="1">
        <v>7.8</v>
      </c>
      <c r="O603" s="1">
        <v>18.100000000000001</v>
      </c>
      <c r="P603" s="1">
        <v>1.1000000000000001</v>
      </c>
      <c r="Q603" s="1">
        <v>2.4</v>
      </c>
      <c r="R603" s="1">
        <v>10.7</v>
      </c>
      <c r="S603" s="1">
        <v>27.4</v>
      </c>
      <c r="T603" s="1"/>
      <c r="U603" s="1">
        <v>0.9</v>
      </c>
      <c r="V603" s="1">
        <v>1.1000000000000001</v>
      </c>
      <c r="W603" s="1">
        <v>1.9</v>
      </c>
      <c r="X603" s="1">
        <v>0.05</v>
      </c>
      <c r="Y603" s="1"/>
      <c r="Z603" s="1">
        <v>1.2</v>
      </c>
      <c r="AA603" s="1">
        <v>-1.5</v>
      </c>
      <c r="AB603" s="1">
        <v>-0.3</v>
      </c>
      <c r="AC603" s="1">
        <v>0.8</v>
      </c>
      <c r="AD603">
        <f>Advanced_Table[[#This Row],[VORP]]*82/Advanced_Table[[#This Row],[G]]</f>
        <v>1.214814814814815</v>
      </c>
    </row>
    <row r="604" spans="1:30" x14ac:dyDescent="0.25">
      <c r="A604" s="1">
        <v>496</v>
      </c>
      <c r="B604" s="1" t="s">
        <v>750</v>
      </c>
      <c r="C604" s="1" t="s">
        <v>303</v>
      </c>
      <c r="D604" s="1">
        <v>24</v>
      </c>
      <c r="E604" s="1" t="s">
        <v>336</v>
      </c>
      <c r="F604" s="1">
        <v>42</v>
      </c>
      <c r="G604" s="1">
        <v>1455</v>
      </c>
      <c r="H604" s="1">
        <v>16.100000000000001</v>
      </c>
      <c r="I604" s="1">
        <v>0.53500000000000003</v>
      </c>
      <c r="J604" s="1">
        <v>0.34799999999999998</v>
      </c>
      <c r="K604" s="1">
        <v>0.26200000000000001</v>
      </c>
      <c r="L604" s="1">
        <v>3.4</v>
      </c>
      <c r="M604" s="1">
        <v>12.9</v>
      </c>
      <c r="N604" s="1">
        <v>7.9</v>
      </c>
      <c r="O604" s="1">
        <v>18.100000000000001</v>
      </c>
      <c r="P604" s="1">
        <v>0.9</v>
      </c>
      <c r="Q604" s="1">
        <v>2.1</v>
      </c>
      <c r="R604" s="1">
        <v>10.8</v>
      </c>
      <c r="S604" s="1">
        <v>28</v>
      </c>
      <c r="T604" s="1"/>
      <c r="U604" s="1">
        <v>0.6</v>
      </c>
      <c r="V604" s="1">
        <v>0.8</v>
      </c>
      <c r="W604" s="1">
        <v>1.4</v>
      </c>
      <c r="X604" s="1">
        <v>4.5999999999999999E-2</v>
      </c>
      <c r="Y604" s="1"/>
      <c r="Z604" s="1">
        <v>1.2</v>
      </c>
      <c r="AA604" s="1">
        <v>-1.6</v>
      </c>
      <c r="AB604" s="1">
        <v>-0.3</v>
      </c>
      <c r="AC604" s="1">
        <v>0.6</v>
      </c>
      <c r="AD604">
        <f>Advanced_Table[[#This Row],[VORP]]*82/Advanced_Table[[#This Row],[G]]</f>
        <v>1.1714285714285713</v>
      </c>
    </row>
    <row r="605" spans="1:30" x14ac:dyDescent="0.25">
      <c r="A605" s="1">
        <v>496</v>
      </c>
      <c r="B605" s="1" t="s">
        <v>750</v>
      </c>
      <c r="C605" s="1" t="s">
        <v>294</v>
      </c>
      <c r="D605" s="1">
        <v>24</v>
      </c>
      <c r="E605" s="1" t="s">
        <v>369</v>
      </c>
      <c r="F605" s="1">
        <v>12</v>
      </c>
      <c r="G605" s="1">
        <v>403</v>
      </c>
      <c r="H605" s="1">
        <v>17.5</v>
      </c>
      <c r="I605" s="1">
        <v>0.54200000000000004</v>
      </c>
      <c r="J605" s="1">
        <v>0.314</v>
      </c>
      <c r="K605" s="1">
        <v>0.32400000000000001</v>
      </c>
      <c r="L605" s="1">
        <v>4.7</v>
      </c>
      <c r="M605" s="1">
        <v>10.3</v>
      </c>
      <c r="N605" s="1">
        <v>7.4</v>
      </c>
      <c r="O605" s="1">
        <v>18.2</v>
      </c>
      <c r="P605" s="1">
        <v>1.9</v>
      </c>
      <c r="Q605" s="1">
        <v>3.8</v>
      </c>
      <c r="R605" s="1">
        <v>10.4</v>
      </c>
      <c r="S605" s="1">
        <v>25.4</v>
      </c>
      <c r="T605" s="1"/>
      <c r="U605" s="1">
        <v>0.3</v>
      </c>
      <c r="V605" s="1">
        <v>0.3</v>
      </c>
      <c r="W605" s="1">
        <v>0.5</v>
      </c>
      <c r="X605" s="1">
        <v>6.4000000000000001E-2</v>
      </c>
      <c r="Y605" s="1"/>
      <c r="Z605" s="1">
        <v>0.9</v>
      </c>
      <c r="AA605" s="1">
        <v>-1.2</v>
      </c>
      <c r="AB605" s="1">
        <v>-0.3</v>
      </c>
      <c r="AC605" s="1">
        <v>0.2</v>
      </c>
      <c r="AD605">
        <f>Advanced_Table[[#This Row],[VORP]]*82/Advanced_Table[[#This Row],[G]]</f>
        <v>1.3666666666666669</v>
      </c>
    </row>
    <row r="606" spans="1:30" x14ac:dyDescent="0.25">
      <c r="A606" s="1">
        <v>497</v>
      </c>
      <c r="B606" s="1" t="s">
        <v>751</v>
      </c>
      <c r="C606" s="1" t="s">
        <v>23</v>
      </c>
      <c r="D606" s="1">
        <v>21</v>
      </c>
      <c r="E606" s="1" t="s">
        <v>383</v>
      </c>
      <c r="F606" s="1">
        <v>62</v>
      </c>
      <c r="G606" s="1">
        <v>970</v>
      </c>
      <c r="H606" s="1">
        <v>8</v>
      </c>
      <c r="I606" s="1">
        <v>0.50800000000000001</v>
      </c>
      <c r="J606" s="1">
        <v>0.443</v>
      </c>
      <c r="K606" s="1">
        <v>0.26600000000000001</v>
      </c>
      <c r="L606" s="1">
        <v>6.5</v>
      </c>
      <c r="M606" s="1">
        <v>11.7</v>
      </c>
      <c r="N606" s="1">
        <v>9.1</v>
      </c>
      <c r="O606" s="1">
        <v>8.3000000000000007</v>
      </c>
      <c r="P606" s="1">
        <v>1.4</v>
      </c>
      <c r="Q606" s="1">
        <v>3.1</v>
      </c>
      <c r="R606" s="1">
        <v>17.7</v>
      </c>
      <c r="S606" s="1">
        <v>11.5</v>
      </c>
      <c r="T606" s="1"/>
      <c r="U606" s="1">
        <v>0.2</v>
      </c>
      <c r="V606" s="1">
        <v>1.3</v>
      </c>
      <c r="W606" s="1">
        <v>1.5</v>
      </c>
      <c r="X606" s="1">
        <v>7.4999999999999997E-2</v>
      </c>
      <c r="Y606" s="1"/>
      <c r="Z606" s="1">
        <v>-3.9</v>
      </c>
      <c r="AA606" s="1">
        <v>1.2</v>
      </c>
      <c r="AB606" s="1">
        <v>-2.7</v>
      </c>
      <c r="AC606" s="1">
        <v>-0.2</v>
      </c>
      <c r="AD606">
        <f>Advanced_Table[[#This Row],[VORP]]*82/Advanced_Table[[#This Row],[G]]</f>
        <v>-0.26451612903225807</v>
      </c>
    </row>
    <row r="607" spans="1:30" x14ac:dyDescent="0.25">
      <c r="A607" s="1">
        <v>498</v>
      </c>
      <c r="B607" s="1" t="s">
        <v>966</v>
      </c>
      <c r="C607" s="1" t="s">
        <v>287</v>
      </c>
      <c r="D607" s="1">
        <v>24</v>
      </c>
      <c r="E607" s="1" t="s">
        <v>342</v>
      </c>
      <c r="F607" s="1">
        <v>11</v>
      </c>
      <c r="G607" s="1">
        <v>135</v>
      </c>
      <c r="H607" s="1">
        <v>14.4</v>
      </c>
      <c r="I607" s="1">
        <v>0.64300000000000002</v>
      </c>
      <c r="J607" s="1">
        <v>0.08</v>
      </c>
      <c r="K607" s="1">
        <v>0.2</v>
      </c>
      <c r="L607" s="1">
        <v>11.7</v>
      </c>
      <c r="M607" s="1">
        <v>23.7</v>
      </c>
      <c r="N607" s="1">
        <v>17.5</v>
      </c>
      <c r="O607" s="1">
        <v>5.9</v>
      </c>
      <c r="P607" s="1">
        <v>0.3</v>
      </c>
      <c r="Q607" s="1">
        <v>3.9</v>
      </c>
      <c r="R607" s="1">
        <v>12.8</v>
      </c>
      <c r="S607" s="1">
        <v>9.6</v>
      </c>
      <c r="T607" s="1"/>
      <c r="U607" s="1">
        <v>0.3</v>
      </c>
      <c r="V607" s="1">
        <v>0.1</v>
      </c>
      <c r="W607" s="1">
        <v>0.3</v>
      </c>
      <c r="X607" s="1">
        <v>0.11600000000000001</v>
      </c>
      <c r="Y607" s="1"/>
      <c r="Z607" s="1">
        <v>-0.3</v>
      </c>
      <c r="AA607" s="1">
        <v>-1.4</v>
      </c>
      <c r="AB607" s="1">
        <v>-1.7</v>
      </c>
      <c r="AC607" s="1">
        <v>0</v>
      </c>
      <c r="AD607">
        <f>Advanced_Table[[#This Row],[VORP]]*82/Advanced_Table[[#This Row],[G]]</f>
        <v>0</v>
      </c>
    </row>
    <row r="608" spans="1:30" x14ac:dyDescent="0.25">
      <c r="A608" s="1">
        <v>499</v>
      </c>
      <c r="B608" s="1" t="s">
        <v>752</v>
      </c>
      <c r="C608" s="1" t="s">
        <v>23</v>
      </c>
      <c r="D608" s="1">
        <v>25</v>
      </c>
      <c r="E608" s="1" t="s">
        <v>295</v>
      </c>
      <c r="F608" s="1">
        <v>35</v>
      </c>
      <c r="G608" s="1">
        <v>779</v>
      </c>
      <c r="H608" s="1">
        <v>7.6</v>
      </c>
      <c r="I608" s="1">
        <v>0.43</v>
      </c>
      <c r="J608" s="1">
        <v>0.67100000000000004</v>
      </c>
      <c r="K608" s="1">
        <v>0.16800000000000001</v>
      </c>
      <c r="L608" s="1">
        <v>6.6</v>
      </c>
      <c r="M608" s="1">
        <v>17.5</v>
      </c>
      <c r="N608" s="1">
        <v>12</v>
      </c>
      <c r="O608" s="1">
        <v>8.3000000000000007</v>
      </c>
      <c r="P608" s="1">
        <v>1.5</v>
      </c>
      <c r="Q608" s="1">
        <v>2.2000000000000002</v>
      </c>
      <c r="R608" s="1">
        <v>12</v>
      </c>
      <c r="S608" s="1">
        <v>9.1999999999999993</v>
      </c>
      <c r="T608" s="1"/>
      <c r="U608" s="1">
        <v>0.1</v>
      </c>
      <c r="V608" s="1">
        <v>0.8</v>
      </c>
      <c r="W608" s="1">
        <v>0.8</v>
      </c>
      <c r="X608" s="1">
        <v>5.1999999999999998E-2</v>
      </c>
      <c r="Y608" s="1"/>
      <c r="Z608" s="1">
        <v>-3.1</v>
      </c>
      <c r="AA608" s="1">
        <v>0.9</v>
      </c>
      <c r="AB608" s="1">
        <v>-2.2999999999999998</v>
      </c>
      <c r="AC608" s="1">
        <v>0</v>
      </c>
      <c r="AD608">
        <f>Advanced_Table[[#This Row],[VORP]]*82/Advanced_Table[[#This Row],[G]]</f>
        <v>0</v>
      </c>
    </row>
    <row r="609" spans="1:30" x14ac:dyDescent="0.25">
      <c r="A609" s="1">
        <v>500</v>
      </c>
      <c r="B609" s="1" t="s">
        <v>753</v>
      </c>
      <c r="C609" s="1" t="s">
        <v>294</v>
      </c>
      <c r="D609" s="1">
        <v>33</v>
      </c>
      <c r="E609" s="1" t="s">
        <v>350</v>
      </c>
      <c r="F609" s="1">
        <v>60</v>
      </c>
      <c r="G609" s="1">
        <v>1757</v>
      </c>
      <c r="H609" s="1">
        <v>17.2</v>
      </c>
      <c r="I609" s="1">
        <v>0.54600000000000004</v>
      </c>
      <c r="J609" s="1">
        <v>0.33400000000000002</v>
      </c>
      <c r="K609" s="1">
        <v>0.36499999999999999</v>
      </c>
      <c r="L609" s="1">
        <v>1.7</v>
      </c>
      <c r="M609" s="1">
        <v>9.1</v>
      </c>
      <c r="N609" s="1">
        <v>5.5</v>
      </c>
      <c r="O609" s="1">
        <v>29.9</v>
      </c>
      <c r="P609" s="1">
        <v>1.1000000000000001</v>
      </c>
      <c r="Q609" s="1">
        <v>0.5</v>
      </c>
      <c r="R609" s="1">
        <v>14.4</v>
      </c>
      <c r="S609" s="1">
        <v>28.3</v>
      </c>
      <c r="T609" s="1"/>
      <c r="U609" s="1">
        <v>2.2000000000000002</v>
      </c>
      <c r="V609" s="1">
        <v>1.7</v>
      </c>
      <c r="W609" s="1">
        <v>3.9</v>
      </c>
      <c r="X609" s="1">
        <v>0.107</v>
      </c>
      <c r="Y609" s="1"/>
      <c r="Z609" s="1">
        <v>2.1</v>
      </c>
      <c r="AA609" s="1">
        <v>-1.4</v>
      </c>
      <c r="AB609" s="1">
        <v>0.7</v>
      </c>
      <c r="AC609" s="1">
        <v>1.2</v>
      </c>
      <c r="AD609">
        <f>Advanced_Table[[#This Row],[VORP]]*82/Advanced_Table[[#This Row],[G]]</f>
        <v>1.64</v>
      </c>
    </row>
    <row r="610" spans="1:30" x14ac:dyDescent="0.25">
      <c r="A610" s="1">
        <v>501</v>
      </c>
      <c r="B610" s="1" t="s">
        <v>754</v>
      </c>
      <c r="C610" s="1" t="s">
        <v>23</v>
      </c>
      <c r="D610" s="1">
        <v>33</v>
      </c>
      <c r="E610" s="1" t="s">
        <v>957</v>
      </c>
      <c r="F610" s="1">
        <v>52</v>
      </c>
      <c r="G610" s="1">
        <v>1011</v>
      </c>
      <c r="H610" s="1">
        <v>11.4</v>
      </c>
      <c r="I610" s="1">
        <v>0.58499999999999996</v>
      </c>
      <c r="J610" s="1">
        <v>0.57799999999999996</v>
      </c>
      <c r="K610" s="1">
        <v>0.217</v>
      </c>
      <c r="L610" s="1">
        <v>2.1</v>
      </c>
      <c r="M610" s="1">
        <v>13.7</v>
      </c>
      <c r="N610" s="1">
        <v>7.8</v>
      </c>
      <c r="O610" s="1">
        <v>8</v>
      </c>
      <c r="P610" s="1">
        <v>1.7</v>
      </c>
      <c r="Q610" s="1">
        <v>2.2999999999999998</v>
      </c>
      <c r="R610" s="1">
        <v>9.3000000000000007</v>
      </c>
      <c r="S610" s="1">
        <v>13</v>
      </c>
      <c r="T610" s="1"/>
      <c r="U610" s="1">
        <v>1</v>
      </c>
      <c r="V610" s="1">
        <v>1</v>
      </c>
      <c r="W610" s="1">
        <v>2.1</v>
      </c>
      <c r="X610" s="1">
        <v>9.8000000000000004E-2</v>
      </c>
      <c r="Y610" s="1"/>
      <c r="Z610" s="1">
        <v>-1.7</v>
      </c>
      <c r="AA610" s="1">
        <v>0.9</v>
      </c>
      <c r="AB610" s="1">
        <v>-0.8</v>
      </c>
      <c r="AC610" s="1">
        <v>0.3</v>
      </c>
      <c r="AD610">
        <f>Advanced_Table[[#This Row],[VORP]]*82/Advanced_Table[[#This Row],[G]]</f>
        <v>0.47307692307692306</v>
      </c>
    </row>
    <row r="611" spans="1:30" x14ac:dyDescent="0.25">
      <c r="A611" s="1">
        <v>501</v>
      </c>
      <c r="B611" s="1" t="s">
        <v>754</v>
      </c>
      <c r="C611" s="1" t="s">
        <v>23</v>
      </c>
      <c r="D611" s="1">
        <v>33</v>
      </c>
      <c r="E611" s="1" t="s">
        <v>324</v>
      </c>
      <c r="F611" s="1">
        <v>41</v>
      </c>
      <c r="G611" s="1">
        <v>808</v>
      </c>
      <c r="H611" s="1">
        <v>11.8</v>
      </c>
      <c r="I611" s="1">
        <v>0.59299999999999997</v>
      </c>
      <c r="J611" s="1">
        <v>0.55700000000000005</v>
      </c>
      <c r="K611" s="1">
        <v>0.23799999999999999</v>
      </c>
      <c r="L611" s="1">
        <v>2</v>
      </c>
      <c r="M611" s="1">
        <v>13.2</v>
      </c>
      <c r="N611" s="1">
        <v>7.4</v>
      </c>
      <c r="O611" s="1">
        <v>7.8</v>
      </c>
      <c r="P611" s="1">
        <v>1.6</v>
      </c>
      <c r="Q611" s="1">
        <v>2.5</v>
      </c>
      <c r="R611" s="1">
        <v>9.6999999999999993</v>
      </c>
      <c r="S611" s="1">
        <v>14</v>
      </c>
      <c r="T611" s="1"/>
      <c r="U611" s="1">
        <v>0.8</v>
      </c>
      <c r="V611" s="1">
        <v>0.6</v>
      </c>
      <c r="W611" s="1">
        <v>1.4</v>
      </c>
      <c r="X611" s="1">
        <v>8.5999999999999993E-2</v>
      </c>
      <c r="Y611" s="1"/>
      <c r="Z611" s="1">
        <v>-1.6</v>
      </c>
      <c r="AA611" s="1">
        <v>0.3</v>
      </c>
      <c r="AB611" s="1">
        <v>-1.3</v>
      </c>
      <c r="AC611" s="1">
        <v>0.1</v>
      </c>
      <c r="AD611">
        <f>Advanced_Table[[#This Row],[VORP]]*82/Advanced_Table[[#This Row],[G]]</f>
        <v>0.20000000000000004</v>
      </c>
    </row>
    <row r="612" spans="1:30" x14ac:dyDescent="0.25">
      <c r="A612" s="1">
        <v>501</v>
      </c>
      <c r="B612" s="1" t="s">
        <v>754</v>
      </c>
      <c r="C612" s="1" t="s">
        <v>23</v>
      </c>
      <c r="D612" s="1">
        <v>33</v>
      </c>
      <c r="E612" s="1" t="s">
        <v>307</v>
      </c>
      <c r="F612" s="1">
        <v>11</v>
      </c>
      <c r="G612" s="1">
        <v>203</v>
      </c>
      <c r="H612" s="1">
        <v>9.6999999999999993</v>
      </c>
      <c r="I612" s="1">
        <v>0.54</v>
      </c>
      <c r="J612" s="1">
        <v>0.69199999999999995</v>
      </c>
      <c r="K612" s="1">
        <v>0.10299999999999999</v>
      </c>
      <c r="L612" s="1">
        <v>2.6</v>
      </c>
      <c r="M612" s="1">
        <v>15.6</v>
      </c>
      <c r="N612" s="1">
        <v>9.5</v>
      </c>
      <c r="O612" s="1">
        <v>9</v>
      </c>
      <c r="P612" s="1">
        <v>2</v>
      </c>
      <c r="Q612" s="1">
        <v>1.7</v>
      </c>
      <c r="R612" s="1">
        <v>6.9</v>
      </c>
      <c r="S612" s="1">
        <v>8.9</v>
      </c>
      <c r="T612" s="1"/>
      <c r="U612" s="1">
        <v>0.2</v>
      </c>
      <c r="V612" s="1">
        <v>0.4</v>
      </c>
      <c r="W612" s="1">
        <v>0.6</v>
      </c>
      <c r="X612" s="1">
        <v>0.14799999999999999</v>
      </c>
      <c r="Y612" s="1"/>
      <c r="Z612" s="1">
        <v>-1.9</v>
      </c>
      <c r="AA612" s="1">
        <v>3.3</v>
      </c>
      <c r="AB612" s="1">
        <v>1.4</v>
      </c>
      <c r="AC612" s="1">
        <v>0.2</v>
      </c>
      <c r="AD612">
        <f>Advanced_Table[[#This Row],[VORP]]*82/Advanced_Table[[#This Row],[G]]</f>
        <v>1.4909090909090912</v>
      </c>
    </row>
    <row r="613" spans="1:30" x14ac:dyDescent="0.25">
      <c r="A613" s="1">
        <v>502</v>
      </c>
      <c r="B613" s="1" t="s">
        <v>755</v>
      </c>
      <c r="C613" s="1" t="s">
        <v>287</v>
      </c>
      <c r="D613" s="1">
        <v>22</v>
      </c>
      <c r="E613" s="1" t="s">
        <v>383</v>
      </c>
      <c r="F613" s="1">
        <v>23</v>
      </c>
      <c r="G613" s="1">
        <v>323</v>
      </c>
      <c r="H613" s="1">
        <v>19.600000000000001</v>
      </c>
      <c r="I613" s="1">
        <v>0.67100000000000004</v>
      </c>
      <c r="J613" s="1">
        <v>0</v>
      </c>
      <c r="K613" s="1">
        <v>0.40300000000000002</v>
      </c>
      <c r="L613" s="1">
        <v>11.4</v>
      </c>
      <c r="M613" s="1">
        <v>24.3</v>
      </c>
      <c r="N613" s="1">
        <v>17.899999999999999</v>
      </c>
      <c r="O613" s="1">
        <v>9.5</v>
      </c>
      <c r="P613" s="1">
        <v>3</v>
      </c>
      <c r="Q613" s="1">
        <v>8</v>
      </c>
      <c r="R613" s="1">
        <v>21.5</v>
      </c>
      <c r="S613" s="1">
        <v>12.3</v>
      </c>
      <c r="T613" s="1"/>
      <c r="U613" s="1">
        <v>0.6</v>
      </c>
      <c r="V613" s="1">
        <v>0.8</v>
      </c>
      <c r="W613" s="1">
        <v>1.4</v>
      </c>
      <c r="X613" s="1">
        <v>0.20499999999999999</v>
      </c>
      <c r="Y613" s="1"/>
      <c r="Z613" s="1">
        <v>-0.4</v>
      </c>
      <c r="AA613" s="1">
        <v>4.4000000000000004</v>
      </c>
      <c r="AB613" s="1">
        <v>4.0999999999999996</v>
      </c>
      <c r="AC613" s="1">
        <v>0.5</v>
      </c>
      <c r="AD613">
        <f>Advanced_Table[[#This Row],[VORP]]*82/Advanced_Table[[#This Row],[G]]</f>
        <v>1.7826086956521738</v>
      </c>
    </row>
    <row r="614" spans="1:30" x14ac:dyDescent="0.25">
      <c r="A614" s="1">
        <v>503</v>
      </c>
      <c r="B614" s="1" t="s">
        <v>756</v>
      </c>
      <c r="C614" s="1" t="s">
        <v>316</v>
      </c>
      <c r="D614" s="1">
        <v>25</v>
      </c>
      <c r="E614" s="1" t="s">
        <v>359</v>
      </c>
      <c r="F614" s="1">
        <v>9</v>
      </c>
      <c r="G614" s="1">
        <v>28</v>
      </c>
      <c r="H614" s="1">
        <v>5.7</v>
      </c>
      <c r="I614" s="1">
        <v>0.254</v>
      </c>
      <c r="J614" s="1">
        <v>0.28599999999999998</v>
      </c>
      <c r="K614" s="1">
        <v>0.28599999999999998</v>
      </c>
      <c r="L614" s="1">
        <v>8.1999999999999993</v>
      </c>
      <c r="M614" s="1">
        <v>11.2</v>
      </c>
      <c r="N614" s="1">
        <v>9.8000000000000007</v>
      </c>
      <c r="O614" s="1">
        <v>22.3</v>
      </c>
      <c r="P614" s="1">
        <v>1.7</v>
      </c>
      <c r="Q614" s="1">
        <v>3</v>
      </c>
      <c r="R614" s="1">
        <v>20.2</v>
      </c>
      <c r="S614" s="1">
        <v>15.5</v>
      </c>
      <c r="T614" s="1"/>
      <c r="U614" s="1">
        <v>-0.1</v>
      </c>
      <c r="V614" s="1">
        <v>0</v>
      </c>
      <c r="W614" s="1">
        <v>0</v>
      </c>
      <c r="X614" s="1">
        <v>-4.4999999999999998E-2</v>
      </c>
      <c r="Y614" s="1"/>
      <c r="Z614" s="1">
        <v>-5</v>
      </c>
      <c r="AA614" s="1">
        <v>1.1000000000000001</v>
      </c>
      <c r="AB614" s="1">
        <v>-3.9</v>
      </c>
      <c r="AC614" s="1">
        <v>0</v>
      </c>
      <c r="AD614">
        <f>Advanced_Table[[#This Row],[VORP]]*82/Advanced_Table[[#This Row],[G]]</f>
        <v>0</v>
      </c>
    </row>
    <row r="615" spans="1:30" x14ac:dyDescent="0.25">
      <c r="A615" s="1">
        <v>504</v>
      </c>
      <c r="B615" s="1" t="s">
        <v>1218</v>
      </c>
      <c r="C615" s="1" t="s">
        <v>23</v>
      </c>
      <c r="D615" s="1">
        <v>19</v>
      </c>
      <c r="E615" s="1" t="s">
        <v>295</v>
      </c>
      <c r="F615" s="1">
        <v>19</v>
      </c>
      <c r="G615" s="1">
        <v>565</v>
      </c>
      <c r="H615" s="1">
        <v>24.3</v>
      </c>
      <c r="I615" s="1">
        <v>0.624</v>
      </c>
      <c r="J615" s="1">
        <v>4.4999999999999998E-2</v>
      </c>
      <c r="K615" s="1">
        <v>0.52100000000000002</v>
      </c>
      <c r="L615" s="1">
        <v>10.199999999999999</v>
      </c>
      <c r="M615" s="1">
        <v>13.9</v>
      </c>
      <c r="N615" s="1">
        <v>12</v>
      </c>
      <c r="O615" s="1">
        <v>12.6</v>
      </c>
      <c r="P615" s="1">
        <v>1.3</v>
      </c>
      <c r="Q615" s="1">
        <v>1.3</v>
      </c>
      <c r="R615" s="1">
        <v>12.4</v>
      </c>
      <c r="S615" s="1">
        <v>29.6</v>
      </c>
      <c r="T615" s="1"/>
      <c r="U615" s="1">
        <v>1.3</v>
      </c>
      <c r="V615" s="1">
        <v>0.4</v>
      </c>
      <c r="W615" s="1">
        <v>1.8</v>
      </c>
      <c r="X615" s="1">
        <v>0.15</v>
      </c>
      <c r="Y615" s="1"/>
      <c r="Z615" s="1">
        <v>3.6</v>
      </c>
      <c r="AA615" s="1">
        <v>-1.2</v>
      </c>
      <c r="AB615" s="1">
        <v>2.4</v>
      </c>
      <c r="AC615" s="1">
        <v>0.6</v>
      </c>
      <c r="AD615">
        <f>Advanced_Table[[#This Row],[VORP]]*82/Advanced_Table[[#This Row],[G]]</f>
        <v>2.5894736842105259</v>
      </c>
    </row>
    <row r="616" spans="1:30" x14ac:dyDescent="0.25">
      <c r="A616" s="1">
        <v>505</v>
      </c>
      <c r="B616" s="1" t="s">
        <v>757</v>
      </c>
      <c r="C616" s="1" t="s">
        <v>23</v>
      </c>
      <c r="D616" s="1">
        <v>23</v>
      </c>
      <c r="E616" s="1" t="s">
        <v>307</v>
      </c>
      <c r="F616" s="1">
        <v>31</v>
      </c>
      <c r="G616" s="1">
        <v>280</v>
      </c>
      <c r="H616" s="1">
        <v>8.4</v>
      </c>
      <c r="I616" s="1">
        <v>0.47599999999999998</v>
      </c>
      <c r="J616" s="1">
        <v>0.54500000000000004</v>
      </c>
      <c r="K616" s="1">
        <v>8.8999999999999996E-2</v>
      </c>
      <c r="L616" s="1">
        <v>3.8</v>
      </c>
      <c r="M616" s="1">
        <v>19.3</v>
      </c>
      <c r="N616" s="1">
        <v>12</v>
      </c>
      <c r="O616" s="1">
        <v>10.3</v>
      </c>
      <c r="P616" s="1">
        <v>0.3</v>
      </c>
      <c r="Q616" s="1">
        <v>1.6</v>
      </c>
      <c r="R616" s="1">
        <v>12.5</v>
      </c>
      <c r="S616" s="1">
        <v>17.7</v>
      </c>
      <c r="T616" s="1"/>
      <c r="U616" s="1">
        <v>-0.2</v>
      </c>
      <c r="V616" s="1">
        <v>0.5</v>
      </c>
      <c r="W616" s="1">
        <v>0.3</v>
      </c>
      <c r="X616" s="1">
        <v>5.5E-2</v>
      </c>
      <c r="Y616" s="1"/>
      <c r="Z616" s="1">
        <v>-3.8</v>
      </c>
      <c r="AA616" s="1">
        <v>0.2</v>
      </c>
      <c r="AB616" s="1">
        <v>-3.6</v>
      </c>
      <c r="AC616" s="1">
        <v>-0.1</v>
      </c>
      <c r="AD616">
        <f>Advanced_Table[[#This Row],[VORP]]*82/Advanced_Table[[#This Row],[G]]</f>
        <v>-0.26451612903225807</v>
      </c>
    </row>
    <row r="617" spans="1:30" x14ac:dyDescent="0.25">
      <c r="A617" s="1">
        <v>506</v>
      </c>
      <c r="B617" s="1" t="s">
        <v>758</v>
      </c>
      <c r="C617" s="1" t="s">
        <v>303</v>
      </c>
      <c r="D617" s="1">
        <v>23</v>
      </c>
      <c r="E617" s="1" t="s">
        <v>290</v>
      </c>
      <c r="F617" s="1">
        <v>11</v>
      </c>
      <c r="G617" s="1">
        <v>352</v>
      </c>
      <c r="H617" s="1">
        <v>8.6</v>
      </c>
      <c r="I617" s="1">
        <v>0.44</v>
      </c>
      <c r="J617" s="1">
        <v>0.20899999999999999</v>
      </c>
      <c r="K617" s="1">
        <v>0.20899999999999999</v>
      </c>
      <c r="L617" s="1">
        <v>5.3</v>
      </c>
      <c r="M617" s="1">
        <v>17.399999999999999</v>
      </c>
      <c r="N617" s="1">
        <v>11.6</v>
      </c>
      <c r="O617" s="1">
        <v>18.600000000000001</v>
      </c>
      <c r="P617" s="1">
        <v>1</v>
      </c>
      <c r="Q617" s="1">
        <v>1.4</v>
      </c>
      <c r="R617" s="1">
        <v>14.6</v>
      </c>
      <c r="S617" s="1">
        <v>20.6</v>
      </c>
      <c r="T617" s="1"/>
      <c r="U617" s="1">
        <v>-0.4</v>
      </c>
      <c r="V617" s="1">
        <v>0.4</v>
      </c>
      <c r="W617" s="1">
        <v>0</v>
      </c>
      <c r="X617" s="1">
        <v>-2E-3</v>
      </c>
      <c r="Y617" s="1"/>
      <c r="Z617" s="1">
        <v>-3.4</v>
      </c>
      <c r="AA617" s="1">
        <v>-0.1</v>
      </c>
      <c r="AB617" s="1">
        <v>-3.5</v>
      </c>
      <c r="AC617" s="1">
        <v>-0.1</v>
      </c>
      <c r="AD617">
        <f>Advanced_Table[[#This Row],[VORP]]*82/Advanced_Table[[#This Row],[G]]</f>
        <v>-0.74545454545454559</v>
      </c>
    </row>
    <row r="618" spans="1:30" x14ac:dyDescent="0.25">
      <c r="A618" s="1">
        <v>507</v>
      </c>
      <c r="B618" s="1" t="s">
        <v>759</v>
      </c>
      <c r="C618" s="1" t="s">
        <v>23</v>
      </c>
      <c r="D618" s="1">
        <v>24</v>
      </c>
      <c r="E618" s="1" t="s">
        <v>363</v>
      </c>
      <c r="F618" s="1">
        <v>61</v>
      </c>
      <c r="G618" s="1">
        <v>1286</v>
      </c>
      <c r="H618" s="1">
        <v>22.8</v>
      </c>
      <c r="I618" s="1">
        <v>0.65400000000000003</v>
      </c>
      <c r="J618" s="1">
        <v>0.27800000000000002</v>
      </c>
      <c r="K618" s="1">
        <v>0.48599999999999999</v>
      </c>
      <c r="L618" s="1">
        <v>9</v>
      </c>
      <c r="M618" s="1">
        <v>25</v>
      </c>
      <c r="N618" s="1">
        <v>16.899999999999999</v>
      </c>
      <c r="O618" s="1">
        <v>7.5</v>
      </c>
      <c r="P618" s="1">
        <v>1.2</v>
      </c>
      <c r="Q618" s="1">
        <v>3.4</v>
      </c>
      <c r="R618" s="1">
        <v>12</v>
      </c>
      <c r="S618" s="1">
        <v>22.9</v>
      </c>
      <c r="T618" s="1"/>
      <c r="U618" s="1">
        <v>3.5</v>
      </c>
      <c r="V618" s="1">
        <v>1.4</v>
      </c>
      <c r="W618" s="1">
        <v>4.9000000000000004</v>
      </c>
      <c r="X618" s="1">
        <v>0.183</v>
      </c>
      <c r="Y618" s="1"/>
      <c r="Z618" s="1">
        <v>3.3</v>
      </c>
      <c r="AA618" s="1">
        <v>-0.3</v>
      </c>
      <c r="AB618" s="1">
        <v>2.9</v>
      </c>
      <c r="AC618" s="1">
        <v>1.6</v>
      </c>
      <c r="AD618">
        <f>Advanced_Table[[#This Row],[VORP]]*82/Advanced_Table[[#This Row],[G]]</f>
        <v>2.1508196721311479</v>
      </c>
    </row>
    <row r="619" spans="1:30" x14ac:dyDescent="0.25">
      <c r="A619" s="1">
        <v>508</v>
      </c>
      <c r="B619" s="1" t="s">
        <v>760</v>
      </c>
      <c r="C619" s="1" t="s">
        <v>294</v>
      </c>
      <c r="D619" s="1">
        <v>27</v>
      </c>
      <c r="E619" s="1" t="s">
        <v>329</v>
      </c>
      <c r="F619" s="1">
        <v>64</v>
      </c>
      <c r="G619" s="1">
        <v>1384</v>
      </c>
      <c r="H619" s="1">
        <v>16</v>
      </c>
      <c r="I619" s="1">
        <v>0.56299999999999994</v>
      </c>
      <c r="J619" s="1">
        <v>0.30599999999999999</v>
      </c>
      <c r="K619" s="1">
        <v>0.23599999999999999</v>
      </c>
      <c r="L619" s="1">
        <v>4.9000000000000004</v>
      </c>
      <c r="M619" s="1">
        <v>13.8</v>
      </c>
      <c r="N619" s="1">
        <v>9.4</v>
      </c>
      <c r="O619" s="1">
        <v>21.3</v>
      </c>
      <c r="P619" s="1">
        <v>2.5</v>
      </c>
      <c r="Q619" s="1">
        <v>1.2</v>
      </c>
      <c r="R619" s="1">
        <v>13.8</v>
      </c>
      <c r="S619" s="1">
        <v>14.8</v>
      </c>
      <c r="T619" s="1"/>
      <c r="U619" s="1">
        <v>2.5</v>
      </c>
      <c r="V619" s="1">
        <v>1.7</v>
      </c>
      <c r="W619" s="1">
        <v>4.2</v>
      </c>
      <c r="X619" s="1">
        <v>0.14599999999999999</v>
      </c>
      <c r="Y619" s="1"/>
      <c r="Z619" s="1">
        <v>0.5</v>
      </c>
      <c r="AA619" s="1">
        <v>1.6</v>
      </c>
      <c r="AB619" s="1">
        <v>2.1</v>
      </c>
      <c r="AC619" s="1">
        <v>1.4</v>
      </c>
      <c r="AD619">
        <f>Advanced_Table[[#This Row],[VORP]]*82/Advanced_Table[[#This Row],[G]]</f>
        <v>1.79375</v>
      </c>
    </row>
    <row r="620" spans="1:30" x14ac:dyDescent="0.25">
      <c r="A620" s="1">
        <v>509</v>
      </c>
      <c r="B620" s="1" t="s">
        <v>1648</v>
      </c>
      <c r="C620" s="1" t="s">
        <v>316</v>
      </c>
      <c r="D620" s="1">
        <v>22</v>
      </c>
      <c r="E620" s="1" t="s">
        <v>359</v>
      </c>
      <c r="F620" s="1">
        <v>1</v>
      </c>
      <c r="G620" s="1">
        <v>2</v>
      </c>
      <c r="H620" s="1">
        <v>0</v>
      </c>
      <c r="I620" s="1"/>
      <c r="J620" s="1"/>
      <c r="K620" s="1"/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/>
      <c r="S620" s="1">
        <v>0</v>
      </c>
      <c r="T620" s="1"/>
      <c r="U620" s="1">
        <v>0</v>
      </c>
      <c r="V620" s="1">
        <v>0</v>
      </c>
      <c r="W620" s="1">
        <v>0</v>
      </c>
      <c r="X620" s="1">
        <v>0.01</v>
      </c>
      <c r="Y620" s="1"/>
      <c r="Z620" s="1">
        <v>-6</v>
      </c>
      <c r="AA620" s="1">
        <v>-0.9</v>
      </c>
      <c r="AB620" s="1">
        <v>-6.9</v>
      </c>
      <c r="AC620" s="1">
        <v>0</v>
      </c>
      <c r="AD620">
        <f>Advanced_Table[[#This Row],[VORP]]*82/Advanced_Table[[#This Row],[G]]</f>
        <v>0</v>
      </c>
    </row>
    <row r="621" spans="1:30" x14ac:dyDescent="0.25">
      <c r="A621" s="1">
        <v>510</v>
      </c>
      <c r="B621" s="1" t="s">
        <v>761</v>
      </c>
      <c r="C621" s="1" t="s">
        <v>23</v>
      </c>
      <c r="D621" s="1">
        <v>31</v>
      </c>
      <c r="E621" s="1" t="s">
        <v>317</v>
      </c>
      <c r="F621" s="1">
        <v>64</v>
      </c>
      <c r="G621" s="1">
        <v>1591</v>
      </c>
      <c r="H621" s="1">
        <v>13.3</v>
      </c>
      <c r="I621" s="1">
        <v>0.52100000000000002</v>
      </c>
      <c r="J621" s="1">
        <v>0.36899999999999999</v>
      </c>
      <c r="K621" s="1">
        <v>0.12</v>
      </c>
      <c r="L621" s="1">
        <v>6.2</v>
      </c>
      <c r="M621" s="1">
        <v>16.100000000000001</v>
      </c>
      <c r="N621" s="1">
        <v>10.9</v>
      </c>
      <c r="O621" s="1">
        <v>11.3</v>
      </c>
      <c r="P621" s="1">
        <v>2.8</v>
      </c>
      <c r="Q621" s="1">
        <v>1.4</v>
      </c>
      <c r="R621" s="1">
        <v>13.9</v>
      </c>
      <c r="S621" s="1">
        <v>19.7</v>
      </c>
      <c r="T621" s="1"/>
      <c r="U621" s="1">
        <v>-0.2</v>
      </c>
      <c r="V621" s="1">
        <v>2.1</v>
      </c>
      <c r="W621" s="1">
        <v>1.9</v>
      </c>
      <c r="X621" s="1">
        <v>5.8000000000000003E-2</v>
      </c>
      <c r="Y621" s="1"/>
      <c r="Z621" s="1">
        <v>-1.4</v>
      </c>
      <c r="AA621" s="1">
        <v>0.3</v>
      </c>
      <c r="AB621" s="1">
        <v>-1.2</v>
      </c>
      <c r="AC621" s="1">
        <v>0.3</v>
      </c>
      <c r="AD621">
        <f>Advanced_Table[[#This Row],[VORP]]*82/Advanced_Table[[#This Row],[G]]</f>
        <v>0.38437499999999997</v>
      </c>
    </row>
    <row r="622" spans="1:30" x14ac:dyDescent="0.25">
      <c r="A622" s="1">
        <v>511</v>
      </c>
      <c r="B622" s="1" t="s">
        <v>762</v>
      </c>
      <c r="C622" s="1" t="s">
        <v>316</v>
      </c>
      <c r="D622" s="1">
        <v>21</v>
      </c>
      <c r="E622" s="1" t="s">
        <v>347</v>
      </c>
      <c r="F622" s="1">
        <v>59</v>
      </c>
      <c r="G622" s="1">
        <v>2082</v>
      </c>
      <c r="H622" s="1">
        <v>23.8</v>
      </c>
      <c r="I622" s="1">
        <v>0.59299999999999997</v>
      </c>
      <c r="J622" s="1">
        <v>0.45400000000000001</v>
      </c>
      <c r="K622" s="1">
        <v>0.44400000000000001</v>
      </c>
      <c r="L622" s="1">
        <v>1.5</v>
      </c>
      <c r="M622" s="1">
        <v>11.7</v>
      </c>
      <c r="N622" s="1">
        <v>6.5</v>
      </c>
      <c r="O622" s="1">
        <v>45.6</v>
      </c>
      <c r="P622" s="1">
        <v>1.5</v>
      </c>
      <c r="Q622" s="1">
        <v>0.3</v>
      </c>
      <c r="R622" s="1">
        <v>16.2</v>
      </c>
      <c r="S622" s="1">
        <v>34.9</v>
      </c>
      <c r="T622" s="1"/>
      <c r="U622" s="1">
        <v>5.2</v>
      </c>
      <c r="V622" s="1">
        <v>0.6</v>
      </c>
      <c r="W622" s="1">
        <v>5.7</v>
      </c>
      <c r="X622" s="1">
        <v>0.13100000000000001</v>
      </c>
      <c r="Y622" s="1"/>
      <c r="Z622" s="1">
        <v>6.2</v>
      </c>
      <c r="AA622" s="1">
        <v>-2.2999999999999998</v>
      </c>
      <c r="AB622" s="1">
        <v>3.9</v>
      </c>
      <c r="AC622" s="1">
        <v>3.1</v>
      </c>
      <c r="AD622">
        <f>Advanced_Table[[#This Row],[VORP]]*82/Advanced_Table[[#This Row],[G]]</f>
        <v>4.3084745762711867</v>
      </c>
    </row>
    <row r="623" spans="1:30" x14ac:dyDescent="0.25">
      <c r="A623" s="1">
        <v>512</v>
      </c>
      <c r="B623" s="1" t="s">
        <v>763</v>
      </c>
      <c r="C623" s="1" t="s">
        <v>287</v>
      </c>
      <c r="D623" s="1">
        <v>27</v>
      </c>
      <c r="E623" s="1" t="s">
        <v>324</v>
      </c>
      <c r="F623" s="1">
        <v>57</v>
      </c>
      <c r="G623" s="1">
        <v>1318</v>
      </c>
      <c r="H623" s="1">
        <v>18.5</v>
      </c>
      <c r="I623" s="1">
        <v>0.57299999999999995</v>
      </c>
      <c r="J623" s="1">
        <v>0.157</v>
      </c>
      <c r="K623" s="1">
        <v>0.372</v>
      </c>
      <c r="L623" s="1">
        <v>12.3</v>
      </c>
      <c r="M623" s="1">
        <v>21.2</v>
      </c>
      <c r="N623" s="1">
        <v>16.600000000000001</v>
      </c>
      <c r="O623" s="1">
        <v>11.1</v>
      </c>
      <c r="P623" s="1">
        <v>1.5</v>
      </c>
      <c r="Q623" s="1">
        <v>1.7</v>
      </c>
      <c r="R623" s="1">
        <v>11.9</v>
      </c>
      <c r="S623" s="1">
        <v>20.8</v>
      </c>
      <c r="T623" s="1"/>
      <c r="U623" s="1">
        <v>2.2000000000000002</v>
      </c>
      <c r="V623" s="1">
        <v>1.2</v>
      </c>
      <c r="W623" s="1">
        <v>3.4</v>
      </c>
      <c r="X623" s="1">
        <v>0.124</v>
      </c>
      <c r="Y623" s="1"/>
      <c r="Z623" s="1">
        <v>0</v>
      </c>
      <c r="AA623" s="1">
        <v>-0.9</v>
      </c>
      <c r="AB623" s="1">
        <v>-0.9</v>
      </c>
      <c r="AC623" s="1">
        <v>0.4</v>
      </c>
    </row>
    <row r="624" spans="1:30" x14ac:dyDescent="0.25">
      <c r="A624" s="1">
        <v>513</v>
      </c>
      <c r="B624" s="1" t="s">
        <v>764</v>
      </c>
      <c r="C624" s="1" t="s">
        <v>287</v>
      </c>
      <c r="D624" s="1">
        <v>23</v>
      </c>
      <c r="E624" s="1" t="s">
        <v>411</v>
      </c>
      <c r="F624" s="1">
        <v>22</v>
      </c>
      <c r="G624" s="1">
        <v>221</v>
      </c>
      <c r="H624" s="1">
        <v>16.399999999999999</v>
      </c>
      <c r="I624" s="1">
        <v>0.59699999999999998</v>
      </c>
      <c r="J624" s="1">
        <v>0</v>
      </c>
      <c r="K624" s="1">
        <v>0.26400000000000001</v>
      </c>
      <c r="L624" s="1">
        <v>9</v>
      </c>
      <c r="M624" s="1">
        <v>24.4</v>
      </c>
      <c r="N624" s="1">
        <v>16.600000000000001</v>
      </c>
      <c r="O624" s="1">
        <v>4.2</v>
      </c>
      <c r="P624" s="1">
        <v>1.5</v>
      </c>
      <c r="Q624" s="1">
        <v>1.9</v>
      </c>
      <c r="R624" s="1">
        <v>11.1</v>
      </c>
      <c r="S624" s="1">
        <v>17.5</v>
      </c>
      <c r="T624" s="1"/>
      <c r="U624" s="1">
        <v>0.3</v>
      </c>
      <c r="V624" s="1">
        <v>0.2</v>
      </c>
      <c r="W624" s="1">
        <v>0.5</v>
      </c>
      <c r="X624" s="1">
        <v>0.106</v>
      </c>
      <c r="Y624" s="1"/>
      <c r="Z624" s="1">
        <v>-1.6</v>
      </c>
      <c r="AA624" s="1">
        <v>-1.7</v>
      </c>
      <c r="AB624" s="1">
        <v>-3.3</v>
      </c>
      <c r="AC624" s="1">
        <v>-0.1</v>
      </c>
    </row>
    <row r="625" spans="1:30" x14ac:dyDescent="0.25">
      <c r="A625" s="1">
        <v>514</v>
      </c>
      <c r="B625" s="1" t="s">
        <v>765</v>
      </c>
      <c r="C625" s="1" t="s">
        <v>287</v>
      </c>
      <c r="D625" s="1">
        <v>22</v>
      </c>
      <c r="E625" s="1" t="s">
        <v>350</v>
      </c>
      <c r="F625" s="1">
        <v>64</v>
      </c>
      <c r="G625" s="1">
        <v>1156</v>
      </c>
      <c r="H625" s="1">
        <v>21</v>
      </c>
      <c r="I625" s="1">
        <v>0.64200000000000002</v>
      </c>
      <c r="J625" s="1">
        <v>6.0000000000000001E-3</v>
      </c>
      <c r="K625" s="1">
        <v>0.42</v>
      </c>
      <c r="L625" s="1">
        <v>15.2</v>
      </c>
      <c r="M625" s="1">
        <v>25.7</v>
      </c>
      <c r="N625" s="1">
        <v>20.6</v>
      </c>
      <c r="O625" s="1">
        <v>8.6999999999999993</v>
      </c>
      <c r="P625" s="1">
        <v>0.5</v>
      </c>
      <c r="Q625" s="1">
        <v>4.5999999999999996</v>
      </c>
      <c r="R625" s="1">
        <v>11.8</v>
      </c>
      <c r="S625" s="1">
        <v>16.2</v>
      </c>
      <c r="T625" s="1"/>
      <c r="U625" s="1">
        <v>3.6</v>
      </c>
      <c r="V625" s="1">
        <v>2</v>
      </c>
      <c r="W625" s="1">
        <v>5.6</v>
      </c>
      <c r="X625" s="1">
        <v>0.23100000000000001</v>
      </c>
      <c r="Y625" s="1"/>
      <c r="Z625" s="1">
        <v>1.5</v>
      </c>
      <c r="AA625" s="1">
        <v>0.9</v>
      </c>
      <c r="AB625" s="1">
        <v>2.4</v>
      </c>
      <c r="AC625" s="1">
        <v>1.3</v>
      </c>
      <c r="AD625">
        <f>Advanced_Table[[#This Row],[VORP]]*82/Advanced_Table[[#This Row],[G]]</f>
        <v>1.6656250000000001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32"/>
  <sheetViews>
    <sheetView workbookViewId="0">
      <selection activeCell="C8" sqref="C8:M8"/>
    </sheetView>
  </sheetViews>
  <sheetFormatPr defaultRowHeight="15" x14ac:dyDescent="0.25"/>
  <cols>
    <col min="15" max="16" width="9.7109375" bestFit="1" customWidth="1"/>
  </cols>
  <sheetData>
    <row r="1" spans="2:16" x14ac:dyDescent="0.25">
      <c r="D1" s="182" t="s">
        <v>195</v>
      </c>
      <c r="E1" s="182"/>
      <c r="F1" s="182"/>
      <c r="G1" s="92"/>
      <c r="H1" s="183" t="s">
        <v>196</v>
      </c>
      <c r="I1" s="183"/>
      <c r="J1" s="183"/>
      <c r="K1" s="93"/>
      <c r="L1" s="184" t="s">
        <v>197</v>
      </c>
      <c r="M1" s="184"/>
      <c r="N1" s="94"/>
      <c r="O1" s="2">
        <f ca="1">TODAY()-7</f>
        <v>43895</v>
      </c>
      <c r="P1" s="2">
        <f ca="1">TODAY()</f>
        <v>43902</v>
      </c>
    </row>
    <row r="2" spans="2:16" x14ac:dyDescent="0.25">
      <c r="D2" s="12" t="s">
        <v>23</v>
      </c>
      <c r="E2" s="12" t="s">
        <v>194</v>
      </c>
      <c r="F2" s="12" t="s">
        <v>2</v>
      </c>
      <c r="G2" s="12" t="s">
        <v>219</v>
      </c>
      <c r="H2" s="14" t="s">
        <v>23</v>
      </c>
      <c r="I2" s="14" t="s">
        <v>194</v>
      </c>
      <c r="J2" s="14" t="s">
        <v>2</v>
      </c>
      <c r="K2" s="14" t="s">
        <v>219</v>
      </c>
      <c r="L2" s="94" t="s">
        <v>198</v>
      </c>
      <c r="M2" s="94" t="s">
        <v>199</v>
      </c>
      <c r="N2" s="94" t="s">
        <v>220</v>
      </c>
      <c r="O2" s="94" t="s">
        <v>1154</v>
      </c>
      <c r="P2" s="94" t="s">
        <v>1155</v>
      </c>
    </row>
    <row r="3" spans="2:16" x14ac:dyDescent="0.25">
      <c r="B3" t="s">
        <v>25</v>
      </c>
      <c r="C3" t="s">
        <v>186</v>
      </c>
      <c r="D3" s="12">
        <f>SUMIFS(Append1[PTS2],Append1[Home/Neutral],B3,Append1[2],"&lt;&gt;"&amp;"OT")</f>
        <v>2704</v>
      </c>
      <c r="E3" s="12">
        <f>SUMIFS(Append1[PTS],Append1[Home/Neutral],B3,Append1[2],"&lt;&gt;"&amp;"OT")</f>
        <v>2493</v>
      </c>
      <c r="F3" s="12">
        <f>COUNTIFS(Append1[Home/Neutral],B3,Append1[PTS2],"&gt;"&amp;0,Append1[2],"&lt;&gt;"&amp;"OT")</f>
        <v>23</v>
      </c>
      <c r="G3" s="12">
        <f t="array" ref="G3">_xlfn.STDEV.P(IF(Append1[PTS2]&gt;0,IF(Append1[2]&lt;&gt;"OT",IF(Append1[Home/Neutral]=Scores!B3,Append1[PTS2]))))</f>
        <v>14.823090351253907</v>
      </c>
      <c r="H3" s="14">
        <f>SUMIFS(Append1[PTS],Append1[Visitor/Neutral],B3,Append1[2],"&lt;&gt;"&amp;"OT")</f>
        <v>2727</v>
      </c>
      <c r="I3" s="14">
        <f>SUMIFS(Append1[PTS2],Append1[Visitor/Neutral],B3,Append1[2],"&lt;&gt;"&amp;"OT")</f>
        <v>2663</v>
      </c>
      <c r="J3" s="14">
        <f>COUNTIFS(Append1[Visitor/Neutral],B3,Append1[PTS2],"&gt;"&amp;0,Append1[2],"&lt;&gt;"&amp;"OT")</f>
        <v>24</v>
      </c>
      <c r="K3" s="14">
        <f t="array" ref="K3">IFERROR(_xlfn.STDEV.P(IF(Append1[PTS2]&gt;0,IF(Append1[2]&lt;&gt;"OT",IF(Append1[Visitor/Neutral]=Scores!B3,Append1[PTS])))),0)</f>
        <v>13.86786603386885</v>
      </c>
      <c r="L3" s="94">
        <f t="shared" ref="L3:L32" si="0">(D3+H3)/($F3+$J3)</f>
        <v>115.55319148936171</v>
      </c>
      <c r="M3" s="94">
        <f t="shared" ref="M3:M32" si="1">(E3+I3)/($F3+$J3)</f>
        <v>109.70212765957447</v>
      </c>
      <c r="N3" s="94">
        <f>(G3*F3+J3*K3)/(J3+F3)</f>
        <v>14.335316231738133</v>
      </c>
      <c r="O3">
        <f ca="1">COUNTIFS(Append1[Date],"&gt;="&amp;$O$1,Append1[Date],"&lt;"&amp;$P$1,Append1[Home/Neutral],B3,Append1[PTS2],"&gt;"&amp;0,Append1[2],"&lt;&gt;"&amp;"OT")+COUNTIFS(Append1[Date],"&gt;="&amp;$O$1,Append1[Date],"&lt;"&amp;$P$1,Append1[Visitor/Neutral],B3,Append1[PTS2],"&gt;"&amp;0,Append1[2],"&lt;&gt;"&amp;"OT")</f>
        <v>0</v>
      </c>
      <c r="P3" s="3">
        <f ca="1">O3-AVERAGE($O$3:$O$32)</f>
        <v>0</v>
      </c>
    </row>
    <row r="4" spans="2:16" x14ac:dyDescent="0.25">
      <c r="B4" t="s">
        <v>26</v>
      </c>
      <c r="C4" t="s">
        <v>163</v>
      </c>
      <c r="D4" s="12">
        <f>SUMIFS(Append1[PTS2],Append1[Home/Neutral],B4,Append1[2],"&lt;&gt;"&amp;"OT")</f>
        <v>2829</v>
      </c>
      <c r="E4" s="12">
        <f>SUMIFS(Append1[PTS],Append1[Home/Neutral],B4,Append1[2],"&lt;&gt;"&amp;"OT")</f>
        <v>2839</v>
      </c>
      <c r="F4" s="12">
        <f>COUNTIFS(Append1[Home/Neutral],B4,Append1[PTS2],"&gt;"&amp;0,Append1[2],"&lt;&gt;"&amp;"OT")</f>
        <v>25</v>
      </c>
      <c r="G4" s="12">
        <f t="array" ref="G4">_xlfn.STDEV.P(IF(Append1[PTS2]&gt;0,IF(Append1[2]&lt;&gt;"OT",IF(Append1[Home/Neutral]=Scores!B4,Append1[PTS2]))))</f>
        <v>13.310687435290484</v>
      </c>
      <c r="H4" s="14">
        <f>SUMIFS(Append1[PTS],Append1[Visitor/Neutral],B4,Append1[2],"&lt;&gt;"&amp;"OT")</f>
        <v>2230</v>
      </c>
      <c r="I4" s="14">
        <f>SUMIFS(Append1[PTS2],Append1[Visitor/Neutral],B4,Append1[2],"&lt;&gt;"&amp;"OT")</f>
        <v>2247</v>
      </c>
      <c r="J4" s="14">
        <f>COUNTIFS(Append1[Visitor/Neutral],B4,Append1[PTS2],"&gt;"&amp;0,Append1[2],"&lt;&gt;"&amp;"OT")</f>
        <v>20</v>
      </c>
      <c r="K4" s="14">
        <f t="array" ref="K4">IFERROR(_xlfn.STDEV.P(IF(Append1[PTS2]&gt;0,IF(Append1[2]&lt;&gt;"OT",IF(Append1[Visitor/Neutral]=Scores!B4,Append1[PTS])))),0)</f>
        <v>9.0249653738947941</v>
      </c>
      <c r="L4" s="94">
        <f t="shared" si="0"/>
        <v>112.42222222222222</v>
      </c>
      <c r="M4" s="94">
        <f t="shared" si="1"/>
        <v>113.02222222222223</v>
      </c>
      <c r="N4" s="94">
        <f t="shared" ref="N4:N32" si="2">(G4*F4+J4*K4)/(J4+F4)</f>
        <v>11.405922074670176</v>
      </c>
      <c r="O4">
        <f ca="1">COUNTIFS(Append1[Date],"&gt;="&amp;$O$1,Append1[Date],"&lt;"&amp;$P$1,Append1[Home/Neutral],B4,Append1[PTS2],"&gt;"&amp;0,Append1[2],"&lt;&gt;"&amp;"OT")+COUNTIFS(Append1[Date],"&gt;="&amp;$O$1,Append1[Date],"&lt;"&amp;$P$1,Append1[Visitor/Neutral],B4,Append1[PTS2],"&gt;"&amp;0,Append1[2],"&lt;&gt;"&amp;"OT")</f>
        <v>0</v>
      </c>
      <c r="P4" s="3">
        <f t="shared" ref="P4:P32" ca="1" si="3">O4-AVERAGE($O$3:$O$32)</f>
        <v>0</v>
      </c>
    </row>
    <row r="5" spans="2:16" x14ac:dyDescent="0.25">
      <c r="B5" t="s">
        <v>27</v>
      </c>
      <c r="C5" t="s">
        <v>164</v>
      </c>
      <c r="D5" s="12">
        <f>SUMIFS(Append1[PTS2],Append1[Home/Neutral],B5,Append1[2],"&lt;&gt;"&amp;"OT")</f>
        <v>2527</v>
      </c>
      <c r="E5" s="12">
        <f>SUMIFS(Append1[PTS],Append1[Home/Neutral],B5,Append1[2],"&lt;&gt;"&amp;"OT")</f>
        <v>2335</v>
      </c>
      <c r="F5" s="12">
        <f>COUNTIFS(Append1[Home/Neutral],B5,Append1[PTS2],"&gt;"&amp;0,Append1[2],"&lt;&gt;"&amp;"OT")</f>
        <v>22</v>
      </c>
      <c r="G5" s="12">
        <f t="array" ref="G5">_xlfn.STDEV.P(IF(Append1[PTS2]&gt;0,IF(Append1[2]&lt;&gt;"OT",IF(Append1[Home/Neutral]=Scores!B5,Append1[PTS2]))))</f>
        <v>13.335855477707984</v>
      </c>
      <c r="H5" s="14">
        <f>SUMIFS(Append1[PTS],Append1[Visitor/Neutral],B5,Append1[2],"&lt;&gt;"&amp;"OT")</f>
        <v>2508</v>
      </c>
      <c r="I5" s="14">
        <f>SUMIFS(Append1[PTS2],Append1[Visitor/Neutral],B5,Append1[2],"&lt;&gt;"&amp;"OT")</f>
        <v>2385</v>
      </c>
      <c r="J5" s="14">
        <f>COUNTIFS(Append1[Visitor/Neutral],B5,Append1[PTS2],"&gt;"&amp;0,Append1[2],"&lt;&gt;"&amp;"OT")</f>
        <v>23</v>
      </c>
      <c r="K5" s="14">
        <f t="array" ref="K5">IFERROR(_xlfn.STDEV.P(IF(Append1[PTS2]&gt;0,IF(Append1[2]&lt;&gt;"OT",IF(Append1[Visitor/Neutral]=Scores!B5,Append1[PTS])))),0)</f>
        <v>12.578374336343293</v>
      </c>
      <c r="L5" s="94">
        <f t="shared" si="0"/>
        <v>111.88888888888889</v>
      </c>
      <c r="M5" s="94">
        <f t="shared" si="1"/>
        <v>104.88888888888889</v>
      </c>
      <c r="N5" s="94">
        <f t="shared" si="2"/>
        <v>12.948698449899362</v>
      </c>
      <c r="O5">
        <f ca="1">COUNTIFS(Append1[Date],"&gt;="&amp;$O$1,Append1[Date],"&lt;"&amp;$P$1,Append1[Home/Neutral],B5,Append1[PTS2],"&gt;"&amp;0,Append1[2],"&lt;&gt;"&amp;"OT")+COUNTIFS(Append1[Date],"&gt;="&amp;$O$1,Append1[Date],"&lt;"&amp;$P$1,Append1[Visitor/Neutral],B5,Append1[PTS2],"&gt;"&amp;0,Append1[2],"&lt;&gt;"&amp;"OT")</f>
        <v>0</v>
      </c>
      <c r="P5" s="3">
        <f t="shared" ca="1" si="3"/>
        <v>0</v>
      </c>
    </row>
    <row r="6" spans="2:16" x14ac:dyDescent="0.25">
      <c r="B6" t="s">
        <v>28</v>
      </c>
      <c r="C6" t="s">
        <v>165</v>
      </c>
      <c r="D6" s="12">
        <f>SUMIFS(Append1[PTS2],Append1[Home/Neutral],B6,Append1[2],"&lt;&gt;"&amp;"OT")</f>
        <v>2431</v>
      </c>
      <c r="E6" s="12">
        <f>SUMIFS(Append1[PTS],Append1[Home/Neutral],B6,Append1[2],"&lt;&gt;"&amp;"OT")</f>
        <v>2420</v>
      </c>
      <c r="F6" s="12">
        <f>COUNTIFS(Append1[Home/Neutral],B6,Append1[PTS2],"&gt;"&amp;0,Append1[2],"&lt;&gt;"&amp;"OT")</f>
        <v>21</v>
      </c>
      <c r="G6" s="12">
        <f t="array" ref="G6">_xlfn.STDEV.P(IF(Append1[PTS2]&gt;0,IF(Append1[2]&lt;&gt;"OT",IF(Append1[Home/Neutral]=Scores!B6,Append1[PTS2]))))</f>
        <v>11.907999559738791</v>
      </c>
      <c r="H6" s="14">
        <f>SUMIFS(Append1[PTS],Append1[Visitor/Neutral],B6,Append1[2],"&lt;&gt;"&amp;"OT")</f>
        <v>2869</v>
      </c>
      <c r="I6" s="14">
        <f>SUMIFS(Append1[PTS2],Append1[Visitor/Neutral],B6,Append1[2],"&lt;&gt;"&amp;"OT")</f>
        <v>2972</v>
      </c>
      <c r="J6" s="14">
        <f>COUNTIFS(Append1[Visitor/Neutral],B6,Append1[PTS2],"&gt;"&amp;0,Append1[2],"&lt;&gt;"&amp;"OT")</f>
        <v>26</v>
      </c>
      <c r="K6" s="14">
        <f t="array" ref="K6">IFERROR(_xlfn.STDEV.P(IF(Append1[PTS2]&gt;0,IF(Append1[2]&lt;&gt;"OT",IF(Append1[Visitor/Neutral]=Scores!B6,Append1[PTS])))),0)</f>
        <v>9.7109862752384633</v>
      </c>
      <c r="L6" s="94">
        <f t="shared" si="0"/>
        <v>112.76595744680851</v>
      </c>
      <c r="M6" s="94">
        <f t="shared" si="1"/>
        <v>114.72340425531915</v>
      </c>
      <c r="N6" s="94">
        <f t="shared" si="2"/>
        <v>10.69263050873861</v>
      </c>
      <c r="O6">
        <f ca="1">COUNTIFS(Append1[Date],"&gt;="&amp;$O$1,Append1[Date],"&lt;"&amp;$P$1,Append1[Home/Neutral],B6,Append1[PTS2],"&gt;"&amp;0,Append1[2],"&lt;&gt;"&amp;"OT")+COUNTIFS(Append1[Date],"&gt;="&amp;$O$1,Append1[Date],"&lt;"&amp;$P$1,Append1[Visitor/Neutral],B6,Append1[PTS2],"&gt;"&amp;0,Append1[2],"&lt;&gt;"&amp;"OT")</f>
        <v>0</v>
      </c>
      <c r="P6" s="3">
        <f t="shared" ca="1" si="3"/>
        <v>0</v>
      </c>
    </row>
    <row r="7" spans="2:16" x14ac:dyDescent="0.25">
      <c r="B7" t="s">
        <v>29</v>
      </c>
      <c r="C7" t="s">
        <v>166</v>
      </c>
      <c r="D7" s="12">
        <f>SUMIFS(Append1[PTS2],Append1[Home/Neutral],B7,Append1[2],"&lt;&gt;"&amp;"OT")</f>
        <v>2096</v>
      </c>
      <c r="E7" s="12">
        <f>SUMIFS(Append1[PTS],Append1[Home/Neutral],B7,Append1[2],"&lt;&gt;"&amp;"OT")</f>
        <v>2205</v>
      </c>
      <c r="F7" s="12">
        <f>COUNTIFS(Append1[Home/Neutral],B7,Append1[PTS2],"&gt;"&amp;0,Append1[2],"&lt;&gt;"&amp;"OT")</f>
        <v>20</v>
      </c>
      <c r="G7" s="12">
        <f t="array" ref="G7">_xlfn.STDEV.P(IF(Append1[PTS2]&gt;0,IF(Append1[2]&lt;&gt;"OT",IF(Append1[Home/Neutral]=Scores!B7,Append1[PTS2]))))</f>
        <v>9.8315817649043638</v>
      </c>
      <c r="H7" s="14">
        <f>SUMIFS(Append1[PTS],Append1[Visitor/Neutral],B7,Append1[2],"&lt;&gt;"&amp;"OT")</f>
        <v>2402</v>
      </c>
      <c r="I7" s="14">
        <f>SUMIFS(Append1[PTS2],Append1[Visitor/Neutral],B7,Append1[2],"&lt;&gt;"&amp;"OT")</f>
        <v>2639</v>
      </c>
      <c r="J7" s="14">
        <f>COUNTIFS(Append1[Visitor/Neutral],B7,Append1[PTS2],"&gt;"&amp;0,Append1[2],"&lt;&gt;"&amp;"OT")</f>
        <v>24</v>
      </c>
      <c r="K7" s="14">
        <f t="array" ref="K7">IFERROR(_xlfn.STDEV.P(IF(Append1[PTS2]&gt;0,IF(Append1[2]&lt;&gt;"OT",IF(Append1[Visitor/Neutral]=Scores!B7,Append1[PTS])))),0)</f>
        <v>9.8358047741684853</v>
      </c>
      <c r="L7" s="94">
        <f t="shared" si="0"/>
        <v>102.22727272727273</v>
      </c>
      <c r="M7" s="94">
        <f t="shared" si="1"/>
        <v>110.09090909090909</v>
      </c>
      <c r="N7" s="94">
        <f t="shared" si="2"/>
        <v>9.8338852245029766</v>
      </c>
      <c r="O7">
        <f ca="1">COUNTIFS(Append1[Date],"&gt;="&amp;$O$1,Append1[Date],"&lt;"&amp;$P$1,Append1[Home/Neutral],B7,Append1[PTS2],"&gt;"&amp;0,Append1[2],"&lt;&gt;"&amp;"OT")+COUNTIFS(Append1[Date],"&gt;="&amp;$O$1,Append1[Date],"&lt;"&amp;$P$1,Append1[Visitor/Neutral],B7,Append1[PTS2],"&gt;"&amp;0,Append1[2],"&lt;&gt;"&amp;"OT")</f>
        <v>0</v>
      </c>
      <c r="P7" s="3">
        <f t="shared" ca="1" si="3"/>
        <v>0</v>
      </c>
    </row>
    <row r="8" spans="2:16" x14ac:dyDescent="0.25">
      <c r="B8" t="s">
        <v>30</v>
      </c>
      <c r="C8" t="s">
        <v>167</v>
      </c>
      <c r="D8" s="12">
        <f>SUMIFS(Append1[PTS2],Append1[Home/Neutral],B8,Append1[2],"&lt;&gt;"&amp;"OT")</f>
        <v>2544</v>
      </c>
      <c r="E8" s="12">
        <f>SUMIFS(Append1[PTS],Append1[Home/Neutral],B8,Append1[2],"&lt;&gt;"&amp;"OT")</f>
        <v>2558</v>
      </c>
      <c r="F8" s="12">
        <f>COUNTIFS(Append1[Home/Neutral],B8,Append1[PTS2],"&gt;"&amp;0,Append1[2],"&lt;&gt;"&amp;"OT")</f>
        <v>23</v>
      </c>
      <c r="G8" s="12">
        <f t="array" ref="G8">_xlfn.STDEV.P(IF(Append1[PTS2]&gt;0,IF(Append1[2]&lt;&gt;"OT",IF(Append1[Home/Neutral]=Scores!B8,Append1[PTS2]))))</f>
        <v>11.251044900015065</v>
      </c>
      <c r="H8" s="14">
        <f>SUMIFS(Append1[PTS],Append1[Visitor/Neutral],B8,Append1[2],"&lt;&gt;"&amp;"OT")</f>
        <v>2571</v>
      </c>
      <c r="I8" s="14">
        <f>SUMIFS(Append1[PTS2],Append1[Visitor/Neutral],B8,Append1[2],"&lt;&gt;"&amp;"OT")</f>
        <v>2659</v>
      </c>
      <c r="J8" s="14">
        <f>COUNTIFS(Append1[Visitor/Neutral],B8,Append1[PTS2],"&gt;"&amp;0,Append1[2],"&lt;&gt;"&amp;"OT")</f>
        <v>24</v>
      </c>
      <c r="K8" s="14">
        <f t="array" ref="K8">IFERROR(_xlfn.STDEV.P(IF(Append1[PTS2]&gt;0,IF(Append1[2]&lt;&gt;"OT",IF(Append1[Visitor/Neutral]=Scores!B8,Append1[PTS])))),0)</f>
        <v>11.980235459567005</v>
      </c>
      <c r="L8" s="94">
        <f t="shared" si="0"/>
        <v>108.82978723404256</v>
      </c>
      <c r="M8" s="94">
        <f t="shared" si="1"/>
        <v>111</v>
      </c>
      <c r="N8" s="94">
        <f t="shared" si="2"/>
        <v>11.623397526169247</v>
      </c>
      <c r="O8">
        <f ca="1">COUNTIFS(Append1[Date],"&gt;="&amp;$O$1,Append1[Date],"&lt;"&amp;$P$1,Append1[Home/Neutral],B8,Append1[PTS2],"&gt;"&amp;0,Append1[2],"&lt;&gt;"&amp;"OT")+COUNTIFS(Append1[Date],"&gt;="&amp;$O$1,Append1[Date],"&lt;"&amp;$P$1,Append1[Visitor/Neutral],B8,Append1[PTS2],"&gt;"&amp;0,Append1[2],"&lt;&gt;"&amp;"OT")</f>
        <v>0</v>
      </c>
      <c r="P8" s="3">
        <f t="shared" ca="1" si="3"/>
        <v>0</v>
      </c>
    </row>
    <row r="9" spans="2:16" x14ac:dyDescent="0.25">
      <c r="B9" t="s">
        <v>31</v>
      </c>
      <c r="C9" t="s">
        <v>168</v>
      </c>
      <c r="D9" s="12">
        <f>SUMIFS(Append1[PTS2],Append1[Home/Neutral],B9,Append1[2],"&lt;&gt;"&amp;"OT")</f>
        <v>2725</v>
      </c>
      <c r="E9" s="12">
        <f>SUMIFS(Append1[PTS],Append1[Home/Neutral],B9,Append1[2],"&lt;&gt;"&amp;"OT")</f>
        <v>2760</v>
      </c>
      <c r="F9" s="12">
        <f>COUNTIFS(Append1[Home/Neutral],B9,Append1[PTS2],"&gt;"&amp;0,Append1[2],"&lt;&gt;"&amp;"OT")</f>
        <v>26</v>
      </c>
      <c r="G9" s="12">
        <f t="array" ref="G9">_xlfn.STDEV.P(IF(Append1[PTS2]&gt;0,IF(Append1[2]&lt;&gt;"OT",IF(Append1[Home/Neutral]=Scores!B9,Append1[PTS2]))))</f>
        <v>13.150078182772061</v>
      </c>
      <c r="H9" s="14">
        <f>SUMIFS(Append1[PTS],Append1[Visitor/Neutral],B9,Append1[2],"&lt;&gt;"&amp;"OT")</f>
        <v>2359</v>
      </c>
      <c r="I9" s="14">
        <f>SUMIFS(Append1[PTS2],Append1[Visitor/Neutral],B9,Append1[2],"&lt;&gt;"&amp;"OT")</f>
        <v>2429</v>
      </c>
      <c r="J9" s="14">
        <f>COUNTIFS(Append1[Visitor/Neutral],B9,Append1[PTS2],"&gt;"&amp;0,Append1[2],"&lt;&gt;"&amp;"OT")</f>
        <v>22</v>
      </c>
      <c r="K9" s="14">
        <f t="array" ref="K9">IFERROR(_xlfn.STDEV.P(IF(Append1[PTS2]&gt;0,IF(Append1[2]&lt;&gt;"OT",IF(Append1[Visitor/Neutral]=Scores!B9,Append1[PTS])))),0)</f>
        <v>9.7184539463557691</v>
      </c>
      <c r="L9" s="94">
        <f t="shared" si="0"/>
        <v>105.91666666666667</v>
      </c>
      <c r="M9" s="94">
        <f t="shared" si="1"/>
        <v>108.10416666666667</v>
      </c>
      <c r="N9" s="94">
        <f t="shared" si="2"/>
        <v>11.577250407747927</v>
      </c>
      <c r="O9">
        <f ca="1">COUNTIFS(Append1[Date],"&gt;="&amp;$O$1,Append1[Date],"&lt;"&amp;$P$1,Append1[Home/Neutral],B9,Append1[PTS2],"&gt;"&amp;0,Append1[2],"&lt;&gt;"&amp;"OT")+COUNTIFS(Append1[Date],"&gt;="&amp;$O$1,Append1[Date],"&lt;"&amp;$P$1,Append1[Visitor/Neutral],B9,Append1[PTS2],"&gt;"&amp;0,Append1[2],"&lt;&gt;"&amp;"OT")</f>
        <v>0</v>
      </c>
      <c r="P9" s="3">
        <f t="shared" ca="1" si="3"/>
        <v>0</v>
      </c>
    </row>
    <row r="10" spans="2:16" x14ac:dyDescent="0.25">
      <c r="B10" t="s">
        <v>32</v>
      </c>
      <c r="C10" t="s">
        <v>169</v>
      </c>
      <c r="D10" s="12">
        <f>SUMIFS(Append1[PTS2],Append1[Home/Neutral],B10,Append1[2],"&lt;&gt;"&amp;"OT")</f>
        <v>2747</v>
      </c>
      <c r="E10" s="12">
        <f>SUMIFS(Append1[PTS],Append1[Home/Neutral],B10,Append1[2],"&lt;&gt;"&amp;"OT")</f>
        <v>2571</v>
      </c>
      <c r="F10" s="12">
        <f>COUNTIFS(Append1[Home/Neutral],B10,Append1[PTS2],"&gt;"&amp;0,Append1[2],"&lt;&gt;"&amp;"OT")</f>
        <v>23</v>
      </c>
      <c r="G10" s="12">
        <f t="array" ref="G10">_xlfn.STDEV.P(IF(Append1[PTS2]&gt;0,IF(Append1[2]&lt;&gt;"OT",IF(Append1[Home/Neutral]=Scores!B10,Append1[PTS2]))))</f>
        <v>12.464998254090537</v>
      </c>
      <c r="H10" s="14">
        <f>SUMIFS(Append1[PTS],Append1[Visitor/Neutral],B10,Append1[2],"&lt;&gt;"&amp;"OT")</f>
        <v>2951</v>
      </c>
      <c r="I10" s="14">
        <f>SUMIFS(Append1[PTS2],Append1[Visitor/Neutral],B10,Append1[2],"&lt;&gt;"&amp;"OT")</f>
        <v>2934</v>
      </c>
      <c r="J10" s="14">
        <f>COUNTIFS(Append1[Visitor/Neutral],B10,Append1[PTS2],"&gt;"&amp;0,Append1[2],"&lt;&gt;"&amp;"OT")</f>
        <v>25</v>
      </c>
      <c r="K10" s="14">
        <f t="array" ref="K10">IFERROR(_xlfn.STDEV.P(IF(Append1[PTS2]&gt;0,IF(Append1[2]&lt;&gt;"OT",IF(Append1[Visitor/Neutral]=Scores!B10,Append1[PTS])))),0)</f>
        <v>14.004227933020799</v>
      </c>
      <c r="L10" s="94">
        <f t="shared" si="0"/>
        <v>118.70833333333333</v>
      </c>
      <c r="M10" s="94">
        <f t="shared" si="1"/>
        <v>114.6875</v>
      </c>
      <c r="N10" s="94">
        <f t="shared" si="2"/>
        <v>13.26668037853338</v>
      </c>
      <c r="O10">
        <f ca="1">COUNTIFS(Append1[Date],"&gt;="&amp;$O$1,Append1[Date],"&lt;"&amp;$P$1,Append1[Home/Neutral],B10,Append1[PTS2],"&gt;"&amp;0,Append1[2],"&lt;&gt;"&amp;"OT")+COUNTIFS(Append1[Date],"&gt;="&amp;$O$1,Append1[Date],"&lt;"&amp;$P$1,Append1[Visitor/Neutral],B10,Append1[PTS2],"&gt;"&amp;0,Append1[2],"&lt;&gt;"&amp;"OT")</f>
        <v>0</v>
      </c>
      <c r="P10" s="3">
        <f t="shared" ca="1" si="3"/>
        <v>0</v>
      </c>
    </row>
    <row r="11" spans="2:16" x14ac:dyDescent="0.25">
      <c r="B11" t="s">
        <v>33</v>
      </c>
      <c r="C11" t="s">
        <v>187</v>
      </c>
      <c r="D11" s="12">
        <f>SUMIFS(Append1[PTS2],Append1[Home/Neutral],B11,Append1[2],"&lt;&gt;"&amp;"OT")</f>
        <v>2580</v>
      </c>
      <c r="E11" s="12">
        <f>SUMIFS(Append1[PTS],Append1[Home/Neutral],B11,Append1[2],"&lt;&gt;"&amp;"OT")</f>
        <v>2504</v>
      </c>
      <c r="F11" s="12">
        <f>COUNTIFS(Append1[Home/Neutral],B11,Append1[PTS2],"&gt;"&amp;0,Append1[2],"&lt;&gt;"&amp;"OT")</f>
        <v>23</v>
      </c>
      <c r="G11" s="12">
        <f t="array" ref="G11">_xlfn.STDEV.P(IF(Append1[PTS2]&gt;0,IF(Append1[2]&lt;&gt;"OT",IF(Append1[Home/Neutral]=Scores!B11,Append1[PTS2]))))</f>
        <v>12.085392454324653</v>
      </c>
      <c r="H11" s="14">
        <f>SUMIFS(Append1[PTS],Append1[Visitor/Neutral],B11,Append1[2],"&lt;&gt;"&amp;"OT")</f>
        <v>2466</v>
      </c>
      <c r="I11" s="14">
        <f>SUMIFS(Append1[PTS2],Append1[Visitor/Neutral],B11,Append1[2],"&lt;&gt;"&amp;"OT")</f>
        <v>2439</v>
      </c>
      <c r="J11" s="14">
        <f>COUNTIFS(Append1[Visitor/Neutral],B11,Append1[PTS2],"&gt;"&amp;0,Append1[2],"&lt;&gt;"&amp;"OT")</f>
        <v>23</v>
      </c>
      <c r="K11" s="14">
        <f t="array" ref="K11">IFERROR(_xlfn.STDEV.P(IF(Append1[PTS2]&gt;0,IF(Append1[2]&lt;&gt;"OT",IF(Append1[Visitor/Neutral]=Scores!B11,Append1[PTS])))),0)</f>
        <v>9.9867587192465077</v>
      </c>
      <c r="L11" s="94">
        <f t="shared" si="0"/>
        <v>109.69565217391305</v>
      </c>
      <c r="M11" s="94">
        <f t="shared" si="1"/>
        <v>107.45652173913044</v>
      </c>
      <c r="N11" s="94">
        <f t="shared" si="2"/>
        <v>11.03607558678558</v>
      </c>
      <c r="O11">
        <f ca="1">COUNTIFS(Append1[Date],"&gt;="&amp;$O$1,Append1[Date],"&lt;"&amp;$P$1,Append1[Home/Neutral],B11,Append1[PTS2],"&gt;"&amp;0,Append1[2],"&lt;&gt;"&amp;"OT")+COUNTIFS(Append1[Date],"&gt;="&amp;$O$1,Append1[Date],"&lt;"&amp;$P$1,Append1[Visitor/Neutral],B11,Append1[PTS2],"&gt;"&amp;0,Append1[2],"&lt;&gt;"&amp;"OT")</f>
        <v>0</v>
      </c>
      <c r="P11" s="3">
        <f t="shared" ca="1" si="3"/>
        <v>0</v>
      </c>
    </row>
    <row r="12" spans="2:16" x14ac:dyDescent="0.25">
      <c r="B12" t="s">
        <v>34</v>
      </c>
      <c r="C12" t="s">
        <v>170</v>
      </c>
      <c r="D12" s="12">
        <f>SUMIFS(Append1[PTS2],Append1[Home/Neutral],B12,Append1[2],"&lt;&gt;"&amp;"OT")</f>
        <v>2461</v>
      </c>
      <c r="E12" s="12">
        <f>SUMIFS(Append1[PTS],Append1[Home/Neutral],B12,Append1[2],"&lt;&gt;"&amp;"OT")</f>
        <v>2290</v>
      </c>
      <c r="F12" s="12">
        <f>COUNTIFS(Append1[Home/Neutral],B12,Append1[PTS2],"&gt;"&amp;0,Append1[2],"&lt;&gt;"&amp;"OT")</f>
        <v>22</v>
      </c>
      <c r="G12" s="12">
        <f t="array" ref="G12">_xlfn.STDEV.P(IF(Append1[PTS2]&gt;0,IF(Append1[2]&lt;&gt;"OT",IF(Append1[Home/Neutral]=Scores!B12,Append1[PTS2]))))</f>
        <v>10.028574876301557</v>
      </c>
      <c r="H12" s="14">
        <f>SUMIFS(Append1[PTS],Append1[Visitor/Neutral],B12,Append1[2],"&lt;&gt;"&amp;"OT")</f>
        <v>2744</v>
      </c>
      <c r="I12" s="14">
        <f>SUMIFS(Append1[PTS2],Append1[Visitor/Neutral],B12,Append1[2],"&lt;&gt;"&amp;"OT")</f>
        <v>2692</v>
      </c>
      <c r="J12" s="14">
        <f>COUNTIFS(Append1[Visitor/Neutral],B12,Append1[PTS2],"&gt;"&amp;0,Append1[2],"&lt;&gt;"&amp;"OT")</f>
        <v>25</v>
      </c>
      <c r="K12" s="14">
        <f t="array" ref="K12">IFERROR(_xlfn.STDEV.P(IF(Append1[PTS2]&gt;0,IF(Append1[2]&lt;&gt;"OT",IF(Append1[Visitor/Neutral]=Scores!B12,Append1[PTS])))),0)</f>
        <v>11.822960712105914</v>
      </c>
      <c r="L12" s="94">
        <f t="shared" si="0"/>
        <v>110.74468085106383</v>
      </c>
      <c r="M12" s="94">
        <f t="shared" si="1"/>
        <v>106</v>
      </c>
      <c r="N12" s="94">
        <f t="shared" si="2"/>
        <v>10.983035427261322</v>
      </c>
      <c r="O12">
        <f ca="1">COUNTIFS(Append1[Date],"&gt;="&amp;$O$1,Append1[Date],"&lt;"&amp;$P$1,Append1[Home/Neutral],B12,Append1[PTS2],"&gt;"&amp;0,Append1[2],"&lt;&gt;"&amp;"OT")+COUNTIFS(Append1[Date],"&gt;="&amp;$O$1,Append1[Date],"&lt;"&amp;$P$1,Append1[Visitor/Neutral],B12,Append1[PTS2],"&gt;"&amp;0,Append1[2],"&lt;&gt;"&amp;"OT")</f>
        <v>0</v>
      </c>
      <c r="P12" s="3">
        <f t="shared" ca="1" si="3"/>
        <v>0</v>
      </c>
    </row>
    <row r="13" spans="2:16" x14ac:dyDescent="0.25">
      <c r="B13" t="s">
        <v>35</v>
      </c>
      <c r="C13" t="s">
        <v>188</v>
      </c>
      <c r="D13" s="12">
        <f>SUMIFS(Append1[PTS2],Append1[Home/Neutral],B13,Append1[2],"&lt;&gt;"&amp;"OT")</f>
        <v>2626</v>
      </c>
      <c r="E13" s="12">
        <f>SUMIFS(Append1[PTS],Append1[Home/Neutral],B13,Append1[2],"&lt;&gt;"&amp;"OT")</f>
        <v>2763</v>
      </c>
      <c r="F13" s="12">
        <f>COUNTIFS(Append1[Home/Neutral],B13,Append1[PTS2],"&gt;"&amp;0,Append1[2],"&lt;&gt;"&amp;"OT")</f>
        <v>25</v>
      </c>
      <c r="G13" s="12">
        <f t="array" ref="G13">_xlfn.STDEV.P(IF(Append1[PTS2]&gt;0,IF(Append1[2]&lt;&gt;"OT",IF(Append1[Home/Neutral]=Scores!B13,Append1[PTS2]))))</f>
        <v>12.53628334076731</v>
      </c>
      <c r="H13" s="14">
        <f>SUMIFS(Append1[PTS],Append1[Visitor/Neutral],B13,Append1[2],"&lt;&gt;"&amp;"OT")</f>
        <v>2350</v>
      </c>
      <c r="I13" s="14">
        <f>SUMIFS(Append1[PTS2],Append1[Visitor/Neutral],B13,Append1[2],"&lt;&gt;"&amp;"OT")</f>
        <v>2592</v>
      </c>
      <c r="J13" s="14">
        <f>COUNTIFS(Append1[Visitor/Neutral],B13,Append1[PTS2],"&gt;"&amp;0,Append1[2],"&lt;&gt;"&amp;"OT")</f>
        <v>23</v>
      </c>
      <c r="K13" s="14">
        <f t="array" ref="K13">IFERROR(_xlfn.STDEV.P(IF(Append1[PTS2]&gt;0,IF(Append1[2]&lt;&gt;"OT",IF(Append1[Visitor/Neutral]=Scores!B13,Append1[PTS])))),0)</f>
        <v>10.499077284148617</v>
      </c>
      <c r="L13" s="94">
        <f t="shared" si="0"/>
        <v>103.66666666666667</v>
      </c>
      <c r="M13" s="94">
        <f t="shared" si="1"/>
        <v>111.5625</v>
      </c>
      <c r="N13" s="94">
        <f t="shared" si="2"/>
        <v>11.560122105304188</v>
      </c>
      <c r="O13">
        <f ca="1">COUNTIFS(Append1[Date],"&gt;="&amp;$O$1,Append1[Date],"&lt;"&amp;$P$1,Append1[Home/Neutral],B13,Append1[PTS2],"&gt;"&amp;0,Append1[2],"&lt;&gt;"&amp;"OT")+COUNTIFS(Append1[Date],"&gt;="&amp;$O$1,Append1[Date],"&lt;"&amp;$P$1,Append1[Visitor/Neutral],B13,Append1[PTS2],"&gt;"&amp;0,Append1[2],"&lt;&gt;"&amp;"OT")</f>
        <v>0</v>
      </c>
      <c r="P13" s="3">
        <f t="shared" ca="1" si="3"/>
        <v>0</v>
      </c>
    </row>
    <row r="14" spans="2:16" x14ac:dyDescent="0.25">
      <c r="B14" t="s">
        <v>36</v>
      </c>
      <c r="C14" t="s">
        <v>171</v>
      </c>
      <c r="D14" s="12">
        <f>SUMIFS(Append1[PTS2],Append1[Home/Neutral],B14,Append1[2],"&lt;&gt;"&amp;"OT")</f>
        <v>2247</v>
      </c>
      <c r="E14" s="12">
        <f>SUMIFS(Append1[PTS],Append1[Home/Neutral],B14,Append1[2],"&lt;&gt;"&amp;"OT")</f>
        <v>2326</v>
      </c>
      <c r="F14" s="12">
        <f>COUNTIFS(Append1[Home/Neutral],B14,Append1[PTS2],"&gt;"&amp;0,Append1[2],"&lt;&gt;"&amp;"OT")</f>
        <v>21</v>
      </c>
      <c r="G14" s="12">
        <f t="array" ref="G14">_xlfn.STDEV.P(IF(Append1[PTS2]&gt;0,IF(Append1[2]&lt;&gt;"OT",IF(Append1[Home/Neutral]=Scores!B14,Append1[PTS2]))))</f>
        <v>9.6065453876882447</v>
      </c>
      <c r="H14" s="14">
        <f>SUMIFS(Append1[PTS],Append1[Visitor/Neutral],B14,Append1[2],"&lt;&gt;"&amp;"OT")</f>
        <v>2455</v>
      </c>
      <c r="I14" s="14">
        <f>SUMIFS(Append1[PTS2],Append1[Visitor/Neutral],B14,Append1[2],"&lt;&gt;"&amp;"OT")</f>
        <v>2518</v>
      </c>
      <c r="J14" s="14">
        <f>COUNTIFS(Append1[Visitor/Neutral],B14,Append1[PTS2],"&gt;"&amp;0,Append1[2],"&lt;&gt;"&amp;"OT")</f>
        <v>23</v>
      </c>
      <c r="K14" s="14">
        <f t="array" ref="K14">IFERROR(_xlfn.STDEV.P(IF(Append1[PTS2]&gt;0,IF(Append1[2]&lt;&gt;"OT",IF(Append1[Visitor/Neutral]=Scores!B14,Append1[PTS])))),0)</f>
        <v>10.698302958898578</v>
      </c>
      <c r="L14" s="94">
        <f t="shared" si="0"/>
        <v>106.86363636363636</v>
      </c>
      <c r="M14" s="94">
        <f t="shared" si="1"/>
        <v>110.09090909090909</v>
      </c>
      <c r="N14" s="94">
        <f t="shared" si="2"/>
        <v>10.177236845366373</v>
      </c>
      <c r="O14">
        <f ca="1">COUNTIFS(Append1[Date],"&gt;="&amp;$O$1,Append1[Date],"&lt;"&amp;$P$1,Append1[Home/Neutral],B14,Append1[PTS2],"&gt;"&amp;0,Append1[2],"&lt;&gt;"&amp;"OT")+COUNTIFS(Append1[Date],"&gt;="&amp;$O$1,Append1[Date],"&lt;"&amp;$P$1,Append1[Visitor/Neutral],B14,Append1[PTS2],"&gt;"&amp;0,Append1[2],"&lt;&gt;"&amp;"OT")</f>
        <v>0</v>
      </c>
      <c r="P14" s="3">
        <f t="shared" ca="1" si="3"/>
        <v>0</v>
      </c>
    </row>
    <row r="15" spans="2:16" x14ac:dyDescent="0.25">
      <c r="B15" t="s">
        <v>37</v>
      </c>
      <c r="C15" t="s">
        <v>189</v>
      </c>
      <c r="D15" s="12">
        <f>SUMIFS(Append1[PTS2],Append1[Home/Neutral],B15,Append1[2],"&lt;&gt;"&amp;"OT")</f>
        <v>2580</v>
      </c>
      <c r="E15" s="12">
        <f>SUMIFS(Append1[PTS],Append1[Home/Neutral],B15,Append1[2],"&lt;&gt;"&amp;"OT")</f>
        <v>2545</v>
      </c>
      <c r="F15" s="12">
        <f>COUNTIFS(Append1[Home/Neutral],B15,Append1[PTS2],"&gt;"&amp;0,Append1[2],"&lt;&gt;"&amp;"OT")</f>
        <v>22</v>
      </c>
      <c r="G15" s="12">
        <f t="array" ref="G15">_xlfn.STDEV.P(IF(Append1[PTS2]&gt;0,IF(Append1[2]&lt;&gt;"OT",IF(Append1[Home/Neutral]=Scores!B15,Append1[PTS2]))))</f>
        <v>10.432387585965239</v>
      </c>
      <c r="H15" s="14">
        <f>SUMIFS(Append1[PTS],Append1[Visitor/Neutral],B15,Append1[2],"&lt;&gt;"&amp;"OT")</f>
        <v>2455</v>
      </c>
      <c r="I15" s="14">
        <f>SUMIFS(Append1[PTS2],Append1[Visitor/Neutral],B15,Append1[2],"&lt;&gt;"&amp;"OT")</f>
        <v>2575</v>
      </c>
      <c r="J15" s="14">
        <f>COUNTIFS(Append1[Visitor/Neutral],B15,Append1[PTS2],"&gt;"&amp;0,Append1[2],"&lt;&gt;"&amp;"OT")</f>
        <v>22</v>
      </c>
      <c r="K15" s="14">
        <f t="array" ref="K15">IFERROR(_xlfn.STDEV.P(IF(Append1[PTS2]&gt;0,IF(Append1[2]&lt;&gt;"OT",IF(Append1[Visitor/Neutral]=Scores!B15,Append1[PTS])))),0)</f>
        <v>10.751993856993522</v>
      </c>
      <c r="L15" s="94">
        <f t="shared" si="0"/>
        <v>114.43181818181819</v>
      </c>
      <c r="M15" s="94">
        <f t="shared" si="1"/>
        <v>116.36363636363636</v>
      </c>
      <c r="N15" s="94">
        <f t="shared" si="2"/>
        <v>10.592190721479382</v>
      </c>
      <c r="O15">
        <f ca="1">COUNTIFS(Append1[Date],"&gt;="&amp;$O$1,Append1[Date],"&lt;"&amp;$P$1,Append1[Home/Neutral],B15,Append1[PTS2],"&gt;"&amp;0,Append1[2],"&lt;&gt;"&amp;"OT")+COUNTIFS(Append1[Date],"&gt;="&amp;$O$1,Append1[Date],"&lt;"&amp;$P$1,Append1[Visitor/Neutral],B15,Append1[PTS2],"&gt;"&amp;0,Append1[2],"&lt;&gt;"&amp;"OT")</f>
        <v>0</v>
      </c>
      <c r="P15" s="3">
        <f t="shared" ca="1" si="3"/>
        <v>0</v>
      </c>
    </row>
    <row r="16" spans="2:16" x14ac:dyDescent="0.25">
      <c r="B16" t="s">
        <v>38</v>
      </c>
      <c r="C16" t="s">
        <v>172</v>
      </c>
      <c r="D16" s="12">
        <f>SUMIFS(Append1[PTS2],Append1[Home/Neutral],B16,Append1[2],"&lt;&gt;"&amp;"OT")</f>
        <v>2539</v>
      </c>
      <c r="E16" s="12">
        <f>SUMIFS(Append1[PTS],Append1[Home/Neutral],B16,Append1[2],"&lt;&gt;"&amp;"OT")</f>
        <v>2530</v>
      </c>
      <c r="F16" s="12">
        <f>COUNTIFS(Append1[Home/Neutral],B16,Append1[PTS2],"&gt;"&amp;0,Append1[2],"&lt;&gt;"&amp;"OT")</f>
        <v>23</v>
      </c>
      <c r="G16" s="12">
        <f t="array" ref="G16">_xlfn.STDEV.P(IF(Append1[PTS2]&gt;0,IF(Append1[2]&lt;&gt;"OT",IF(Append1[Home/Neutral]=Scores!B16,Append1[PTS2]))))</f>
        <v>12.394736366822192</v>
      </c>
      <c r="H16" s="14">
        <f>SUMIFS(Append1[PTS],Append1[Visitor/Neutral],B16,Append1[2],"&lt;&gt;"&amp;"OT")</f>
        <v>1934</v>
      </c>
      <c r="I16" s="14">
        <f>SUMIFS(Append1[PTS2],Append1[Visitor/Neutral],B16,Append1[2],"&lt;&gt;"&amp;"OT")</f>
        <v>2034</v>
      </c>
      <c r="J16" s="14">
        <f>COUNTIFS(Append1[Visitor/Neutral],B16,Append1[PTS2],"&gt;"&amp;0,Append1[2],"&lt;&gt;"&amp;"OT")</f>
        <v>18</v>
      </c>
      <c r="K16" s="14">
        <f t="array" ref="K16">IFERROR(_xlfn.STDEV.P(IF(Append1[PTS2]&gt;0,IF(Append1[2]&lt;&gt;"OT",IF(Append1[Visitor/Neutral]=Scores!B16,Append1[PTS])))),0)</f>
        <v>9.5348613124110813</v>
      </c>
      <c r="L16" s="94">
        <f t="shared" si="0"/>
        <v>109.09756097560975</v>
      </c>
      <c r="M16" s="94">
        <f t="shared" si="1"/>
        <v>111.3170731707317</v>
      </c>
      <c r="N16" s="94">
        <f t="shared" si="2"/>
        <v>11.139181464885606</v>
      </c>
      <c r="O16">
        <f ca="1">COUNTIFS(Append1[Date],"&gt;="&amp;$O$1,Append1[Date],"&lt;"&amp;$P$1,Append1[Home/Neutral],B16,Append1[PTS2],"&gt;"&amp;0,Append1[2],"&lt;&gt;"&amp;"OT")+COUNTIFS(Append1[Date],"&gt;="&amp;$O$1,Append1[Date],"&lt;"&amp;$P$1,Append1[Visitor/Neutral],B16,Append1[PTS2],"&gt;"&amp;0,Append1[2],"&lt;&gt;"&amp;"OT")</f>
        <v>0</v>
      </c>
      <c r="P16" s="3">
        <f t="shared" ca="1" si="3"/>
        <v>0</v>
      </c>
    </row>
    <row r="17" spans="2:16" x14ac:dyDescent="0.25">
      <c r="B17" t="s">
        <v>39</v>
      </c>
      <c r="C17" t="s">
        <v>173</v>
      </c>
      <c r="D17" s="12">
        <f>SUMIFS(Append1[PTS2],Append1[Home/Neutral],B17,Append1[2],"&lt;&gt;"&amp;"OT")</f>
        <v>2913</v>
      </c>
      <c r="E17" s="12">
        <f>SUMIFS(Append1[PTS],Append1[Home/Neutral],B17,Append1[2],"&lt;&gt;"&amp;"OT")</f>
        <v>2583</v>
      </c>
      <c r="F17" s="12">
        <f>COUNTIFS(Append1[Home/Neutral],B17,Append1[PTS2],"&gt;"&amp;0,Append1[2],"&lt;&gt;"&amp;"OT")</f>
        <v>24</v>
      </c>
      <c r="G17" s="12">
        <f t="array" ref="G17">_xlfn.STDEV.P(IF(Append1[PTS2]&gt;0,IF(Append1[2]&lt;&gt;"OT",IF(Append1[Home/Neutral]=Scores!B17,Append1[PTS2]))))</f>
        <v>11.071030138760047</v>
      </c>
      <c r="H17" s="14">
        <f>SUMIFS(Append1[PTS],Append1[Visitor/Neutral],B17,Append1[2],"&lt;&gt;"&amp;"OT")</f>
        <v>2714</v>
      </c>
      <c r="I17" s="14">
        <f>SUMIFS(Append1[PTS2],Append1[Visitor/Neutral],B17,Append1[2],"&lt;&gt;"&amp;"OT")</f>
        <v>2450</v>
      </c>
      <c r="J17" s="14">
        <f>COUNTIFS(Append1[Visitor/Neutral],B17,Append1[PTS2],"&gt;"&amp;0,Append1[2],"&lt;&gt;"&amp;"OT")</f>
        <v>23</v>
      </c>
      <c r="K17" s="14">
        <f t="array" ref="K17">IFERROR(_xlfn.STDEV.P(IF(Append1[PTS2]&gt;0,IF(Append1[2]&lt;&gt;"OT",IF(Append1[Visitor/Neutral]=Scores!B17,Append1[PTS])))),0)</f>
        <v>9.7979589711327115</v>
      </c>
      <c r="L17" s="94">
        <f t="shared" si="0"/>
        <v>119.72340425531915</v>
      </c>
      <c r="M17" s="94">
        <f t="shared" si="1"/>
        <v>107.08510638297872</v>
      </c>
      <c r="N17" s="94">
        <f t="shared" si="2"/>
        <v>10.448037865240286</v>
      </c>
      <c r="O17">
        <f ca="1">COUNTIFS(Append1[Date],"&gt;="&amp;$O$1,Append1[Date],"&lt;"&amp;$P$1,Append1[Home/Neutral],B17,Append1[PTS2],"&gt;"&amp;0,Append1[2],"&lt;&gt;"&amp;"OT")+COUNTIFS(Append1[Date],"&gt;="&amp;$O$1,Append1[Date],"&lt;"&amp;$P$1,Append1[Visitor/Neutral],B17,Append1[PTS2],"&gt;"&amp;0,Append1[2],"&lt;&gt;"&amp;"OT")</f>
        <v>0</v>
      </c>
      <c r="P17" s="3">
        <f t="shared" ca="1" si="3"/>
        <v>0</v>
      </c>
    </row>
    <row r="18" spans="2:16" x14ac:dyDescent="0.25">
      <c r="B18" t="s">
        <v>40</v>
      </c>
      <c r="C18" t="s">
        <v>174</v>
      </c>
      <c r="D18" s="12">
        <f>SUMIFS(Append1[PTS2],Append1[Home/Neutral],B18,Append1[2],"&lt;&gt;"&amp;"OT")</f>
        <v>2317</v>
      </c>
      <c r="E18" s="12">
        <f>SUMIFS(Append1[PTS],Append1[Home/Neutral],B18,Append1[2],"&lt;&gt;"&amp;"OT")</f>
        <v>2339</v>
      </c>
      <c r="F18" s="12">
        <f>COUNTIFS(Append1[Home/Neutral],B18,Append1[PTS2],"&gt;"&amp;0,Append1[2],"&lt;&gt;"&amp;"OT")</f>
        <v>20</v>
      </c>
      <c r="G18" s="12">
        <f t="array" ref="G18">_xlfn.STDEV.P(IF(Append1[PTS2]&gt;0,IF(Append1[2]&lt;&gt;"OT",IF(Append1[Home/Neutral]=Scores!B18,Append1[PTS2]))))</f>
        <v>14.231215689462372</v>
      </c>
      <c r="H18" s="14">
        <f>SUMIFS(Append1[PTS],Append1[Visitor/Neutral],B18,Append1[2],"&lt;&gt;"&amp;"OT")</f>
        <v>2885</v>
      </c>
      <c r="I18" s="14">
        <f>SUMIFS(Append1[PTS2],Append1[Visitor/Neutral],B18,Append1[2],"&lt;&gt;"&amp;"OT")</f>
        <v>3103</v>
      </c>
      <c r="J18" s="14">
        <f>COUNTIFS(Append1[Visitor/Neutral],B18,Append1[PTS2],"&gt;"&amp;0,Append1[2],"&lt;&gt;"&amp;"OT")</f>
        <v>25</v>
      </c>
      <c r="K18" s="14">
        <f t="array" ref="K18">IFERROR(_xlfn.STDEV.P(IF(Append1[PTS2]&gt;0,IF(Append1[2]&lt;&gt;"OT",IF(Append1[Visitor/Neutral]=Scores!B18,Append1[PTS])))),0)</f>
        <v>13.789851340750559</v>
      </c>
      <c r="L18" s="94">
        <f t="shared" si="0"/>
        <v>115.6</v>
      </c>
      <c r="M18" s="94">
        <f t="shared" si="1"/>
        <v>120.93333333333334</v>
      </c>
      <c r="N18" s="94">
        <f t="shared" si="2"/>
        <v>13.986013273511364</v>
      </c>
      <c r="O18">
        <f ca="1">COUNTIFS(Append1[Date],"&gt;="&amp;$O$1,Append1[Date],"&lt;"&amp;$P$1,Append1[Home/Neutral],B18,Append1[PTS2],"&gt;"&amp;0,Append1[2],"&lt;&gt;"&amp;"OT")+COUNTIFS(Append1[Date],"&gt;="&amp;$O$1,Append1[Date],"&lt;"&amp;$P$1,Append1[Visitor/Neutral],B18,Append1[PTS2],"&gt;"&amp;0,Append1[2],"&lt;&gt;"&amp;"OT")</f>
        <v>0</v>
      </c>
      <c r="P18" s="3">
        <f t="shared" ca="1" si="3"/>
        <v>0</v>
      </c>
    </row>
    <row r="19" spans="2:16" x14ac:dyDescent="0.25">
      <c r="B19" t="s">
        <v>41</v>
      </c>
      <c r="C19" t="s">
        <v>175</v>
      </c>
      <c r="D19" s="12">
        <f>SUMIFS(Append1[PTS2],Append1[Home/Neutral],B19,Append1[2],"&lt;&gt;"&amp;"OT")</f>
        <v>2164</v>
      </c>
      <c r="E19" s="12">
        <f>SUMIFS(Append1[PTS],Append1[Home/Neutral],B19,Append1[2],"&lt;&gt;"&amp;"OT")</f>
        <v>1961</v>
      </c>
      <c r="F19" s="12">
        <f>COUNTIFS(Append1[Home/Neutral],B19,Append1[PTS2],"&gt;"&amp;0,Append1[2],"&lt;&gt;"&amp;"OT")</f>
        <v>19</v>
      </c>
      <c r="G19" s="12">
        <f t="array" ref="G19">_xlfn.STDEV.P(IF(Append1[PTS2]&gt;0,IF(Append1[2]&lt;&gt;"OT",IF(Append1[Home/Neutral]=Scores!B19,Append1[PTS2]))))</f>
        <v>10.192333222069189</v>
      </c>
      <c r="H19" s="14">
        <f>SUMIFS(Append1[PTS],Append1[Visitor/Neutral],B19,Append1[2],"&lt;&gt;"&amp;"OT")</f>
        <v>2110</v>
      </c>
      <c r="I19" s="14">
        <f>SUMIFS(Append1[PTS2],Append1[Visitor/Neutral],B19,Append1[2],"&lt;&gt;"&amp;"OT")</f>
        <v>2192</v>
      </c>
      <c r="J19" s="14">
        <f>COUNTIFS(Append1[Visitor/Neutral],B19,Append1[PTS2],"&gt;"&amp;0,Append1[2],"&lt;&gt;"&amp;"OT")</f>
        <v>20</v>
      </c>
      <c r="K19" s="14">
        <f t="array" ref="K19">IFERROR(_xlfn.STDEV.P(IF(Append1[PTS2]&gt;0,IF(Append1[2]&lt;&gt;"OT",IF(Append1[Visitor/Neutral]=Scores!B19,Append1[PTS])))),0)</f>
        <v>12.403628501370072</v>
      </c>
      <c r="L19" s="94">
        <f t="shared" si="0"/>
        <v>109.58974358974359</v>
      </c>
      <c r="M19" s="94">
        <f t="shared" si="1"/>
        <v>106.48717948717949</v>
      </c>
      <c r="N19" s="94">
        <f t="shared" si="2"/>
        <v>11.326330801197846</v>
      </c>
      <c r="O19">
        <f ca="1">COUNTIFS(Append1[Date],"&gt;="&amp;$O$1,Append1[Date],"&lt;"&amp;$P$1,Append1[Home/Neutral],B19,Append1[PTS2],"&gt;"&amp;0,Append1[2],"&lt;&gt;"&amp;"OT")+COUNTIFS(Append1[Date],"&gt;="&amp;$O$1,Append1[Date],"&lt;"&amp;$P$1,Append1[Visitor/Neutral],B19,Append1[PTS2],"&gt;"&amp;0,Append1[2],"&lt;&gt;"&amp;"OT")</f>
        <v>0</v>
      </c>
      <c r="P19" s="3">
        <f t="shared" ca="1" si="3"/>
        <v>0</v>
      </c>
    </row>
    <row r="20" spans="2:16" x14ac:dyDescent="0.25">
      <c r="B20" t="s">
        <v>42</v>
      </c>
      <c r="C20" t="s">
        <v>176</v>
      </c>
      <c r="D20" s="12">
        <f>SUMIFS(Append1[PTS2],Append1[Home/Neutral],B20,Append1[2],"&lt;&gt;"&amp;"OT")</f>
        <v>2150</v>
      </c>
      <c r="E20" s="12">
        <f>SUMIFS(Append1[PTS],Append1[Home/Neutral],B20,Append1[2],"&lt;&gt;"&amp;"OT")</f>
        <v>2269</v>
      </c>
      <c r="F20" s="12">
        <f>COUNTIFS(Append1[Home/Neutral],B20,Append1[PTS2],"&gt;"&amp;0,Append1[2],"&lt;&gt;"&amp;"OT")</f>
        <v>20</v>
      </c>
      <c r="G20" s="12">
        <f t="array" ref="G20">_xlfn.STDEV.P(IF(Append1[PTS2]&gt;0,IF(Append1[2]&lt;&gt;"OT",IF(Append1[Home/Neutral]=Scores!B20,Append1[PTS2]))))</f>
        <v>10.166120203892929</v>
      </c>
      <c r="H20" s="14">
        <f>SUMIFS(Append1[PTS],Append1[Visitor/Neutral],B20,Append1[2],"&lt;&gt;"&amp;"OT")</f>
        <v>2368</v>
      </c>
      <c r="I20" s="14">
        <f>SUMIFS(Append1[PTS2],Append1[Visitor/Neutral],B20,Append1[2],"&lt;&gt;"&amp;"OT")</f>
        <v>2419</v>
      </c>
      <c r="J20" s="14">
        <f>COUNTIFS(Append1[Visitor/Neutral],B20,Append1[PTS2],"&gt;"&amp;0,Append1[2],"&lt;&gt;"&amp;"OT")</f>
        <v>21</v>
      </c>
      <c r="K20" s="14">
        <f t="array" ref="K20">IFERROR(_xlfn.STDEV.P(IF(Append1[PTS2]&gt;0,IF(Append1[2]&lt;&gt;"OT",IF(Append1[Visitor/Neutral]=Scores!B20,Append1[PTS])))),0)</f>
        <v>8.7988352146057878</v>
      </c>
      <c r="L20" s="94">
        <f t="shared" si="0"/>
        <v>110.19512195121951</v>
      </c>
      <c r="M20" s="94">
        <f t="shared" si="1"/>
        <v>114.34146341463415</v>
      </c>
      <c r="N20" s="94">
        <f t="shared" si="2"/>
        <v>9.4658035020629292</v>
      </c>
      <c r="O20">
        <f ca="1">COUNTIFS(Append1[Date],"&gt;="&amp;$O$1,Append1[Date],"&lt;"&amp;$P$1,Append1[Home/Neutral],B20,Append1[PTS2],"&gt;"&amp;0,Append1[2],"&lt;&gt;"&amp;"OT")+COUNTIFS(Append1[Date],"&gt;="&amp;$O$1,Append1[Date],"&lt;"&amp;$P$1,Append1[Visitor/Neutral],B20,Append1[PTS2],"&gt;"&amp;0,Append1[2],"&lt;&gt;"&amp;"OT")</f>
        <v>0</v>
      </c>
      <c r="P20" s="3">
        <f t="shared" ca="1" si="3"/>
        <v>0</v>
      </c>
    </row>
    <row r="21" spans="2:16" x14ac:dyDescent="0.25">
      <c r="B21" t="s">
        <v>43</v>
      </c>
      <c r="C21" t="s">
        <v>177</v>
      </c>
      <c r="D21" s="12">
        <f>SUMIFS(Append1[PTS2],Append1[Home/Neutral],B21,Append1[2],"&lt;&gt;"&amp;"OT")</f>
        <v>2510</v>
      </c>
      <c r="E21" s="12">
        <f>SUMIFS(Append1[PTS],Append1[Home/Neutral],B21,Append1[2],"&lt;&gt;"&amp;"OT")</f>
        <v>2372</v>
      </c>
      <c r="F21" s="12">
        <f>COUNTIFS(Append1[Home/Neutral],B21,Append1[PTS2],"&gt;"&amp;0,Append1[2],"&lt;&gt;"&amp;"OT")</f>
        <v>22</v>
      </c>
      <c r="G21" s="12">
        <f t="array" ref="G21">_xlfn.STDEV.P(IF(Append1[PTS2]&gt;0,IF(Append1[2]&lt;&gt;"OT",IF(Append1[Home/Neutral]=Scores!B21,Append1[PTS2]))))</f>
        <v>11.935086132564589</v>
      </c>
      <c r="H21" s="14">
        <f>SUMIFS(Append1[PTS],Append1[Visitor/Neutral],B21,Append1[2],"&lt;&gt;"&amp;"OT")</f>
        <v>2721</v>
      </c>
      <c r="I21" s="14">
        <f>SUMIFS(Append1[PTS2],Append1[Visitor/Neutral],B21,Append1[2],"&lt;&gt;"&amp;"OT")</f>
        <v>2562</v>
      </c>
      <c r="J21" s="14">
        <f>COUNTIFS(Append1[Visitor/Neutral],B21,Append1[PTS2],"&gt;"&amp;0,Append1[2],"&lt;&gt;"&amp;"OT")</f>
        <v>23</v>
      </c>
      <c r="K21" s="14">
        <f t="array" ref="K21">IFERROR(_xlfn.STDEV.P(IF(Append1[PTS2]&gt;0,IF(Append1[2]&lt;&gt;"OT",IF(Append1[Visitor/Neutral]=Scores!B21,Append1[PTS])))),0)</f>
        <v>12.344457593200334</v>
      </c>
      <c r="L21" s="94">
        <f t="shared" si="0"/>
        <v>116.24444444444444</v>
      </c>
      <c r="M21" s="94">
        <f t="shared" si="1"/>
        <v>109.64444444444445</v>
      </c>
      <c r="N21" s="94">
        <f t="shared" si="2"/>
        <v>12.144320434667303</v>
      </c>
      <c r="O21">
        <f ca="1">COUNTIFS(Append1[Date],"&gt;="&amp;$O$1,Append1[Date],"&lt;"&amp;$P$1,Append1[Home/Neutral],B21,Append1[PTS2],"&gt;"&amp;0,Append1[2],"&lt;&gt;"&amp;"OT")+COUNTIFS(Append1[Date],"&gt;="&amp;$O$1,Append1[Date],"&lt;"&amp;$P$1,Append1[Visitor/Neutral],B21,Append1[PTS2],"&gt;"&amp;0,Append1[2],"&lt;&gt;"&amp;"OT")</f>
        <v>0</v>
      </c>
      <c r="P21" s="3">
        <f t="shared" ca="1" si="3"/>
        <v>0</v>
      </c>
    </row>
    <row r="22" spans="2:16" x14ac:dyDescent="0.25">
      <c r="B22" t="s">
        <v>44</v>
      </c>
      <c r="C22" t="s">
        <v>190</v>
      </c>
      <c r="D22" s="12">
        <f>SUMIFS(Append1[PTS2],Append1[Home/Neutral],B22,Append1[2],"&lt;&gt;"&amp;"OT")</f>
        <v>2329</v>
      </c>
      <c r="E22" s="12">
        <f>SUMIFS(Append1[PTS],Append1[Home/Neutral],B22,Append1[2],"&lt;&gt;"&amp;"OT")</f>
        <v>2469</v>
      </c>
      <c r="F22" s="12">
        <f>COUNTIFS(Append1[Home/Neutral],B22,Append1[PTS2],"&gt;"&amp;0,Append1[2],"&lt;&gt;"&amp;"OT")</f>
        <v>22</v>
      </c>
      <c r="G22" s="12">
        <f t="array" ref="G22">_xlfn.STDEV.P(IF(Append1[PTS2]&gt;0,IF(Append1[2]&lt;&gt;"OT",IF(Append1[Home/Neutral]=Scores!B22,Append1[PTS2]))))</f>
        <v>11.153048725248563</v>
      </c>
      <c r="H22" s="14">
        <f>SUMIFS(Append1[PTS],Append1[Visitor/Neutral],B22,Append1[2],"&lt;&gt;"&amp;"OT")</f>
        <v>2238</v>
      </c>
      <c r="I22" s="14">
        <f>SUMIFS(Append1[PTS2],Append1[Visitor/Neutral],B22,Append1[2],"&lt;&gt;"&amp;"OT")</f>
        <v>2505</v>
      </c>
      <c r="J22" s="14">
        <f>COUNTIFS(Append1[Visitor/Neutral],B22,Append1[PTS2],"&gt;"&amp;0,Append1[2],"&lt;&gt;"&amp;"OT")</f>
        <v>22</v>
      </c>
      <c r="K22" s="14">
        <f t="array" ref="K22">IFERROR(_xlfn.STDEV.P(IF(Append1[PTS2]&gt;0,IF(Append1[2]&lt;&gt;"OT",IF(Append1[Visitor/Neutral]=Scores!B22,Append1[PTS])))),0)</f>
        <v>11.181079059089951</v>
      </c>
      <c r="L22" s="94">
        <f t="shared" si="0"/>
        <v>103.79545454545455</v>
      </c>
      <c r="M22" s="94">
        <f t="shared" si="1"/>
        <v>113.04545454545455</v>
      </c>
      <c r="N22" s="94">
        <f t="shared" si="2"/>
        <v>11.167063892169256</v>
      </c>
      <c r="O22">
        <f ca="1">COUNTIFS(Append1[Date],"&gt;="&amp;$O$1,Append1[Date],"&lt;"&amp;$P$1,Append1[Home/Neutral],B22,Append1[PTS2],"&gt;"&amp;0,Append1[2],"&lt;&gt;"&amp;"OT")+COUNTIFS(Append1[Date],"&gt;="&amp;$O$1,Append1[Date],"&lt;"&amp;$P$1,Append1[Visitor/Neutral],B22,Append1[PTS2],"&gt;"&amp;0,Append1[2],"&lt;&gt;"&amp;"OT")</f>
        <v>0</v>
      </c>
      <c r="P22" s="3">
        <f t="shared" ca="1" si="3"/>
        <v>0</v>
      </c>
    </row>
    <row r="23" spans="2:16" x14ac:dyDescent="0.25">
      <c r="B23" t="s">
        <v>45</v>
      </c>
      <c r="C23" t="s">
        <v>178</v>
      </c>
      <c r="D23" s="12">
        <f>SUMIFS(Append1[PTS2],Append1[Home/Neutral],B23,Append1[2],"&lt;&gt;"&amp;"OT")</f>
        <v>2673</v>
      </c>
      <c r="E23" s="12">
        <f>SUMIFS(Append1[PTS],Append1[Home/Neutral],B23,Append1[2],"&lt;&gt;"&amp;"OT")</f>
        <v>2428</v>
      </c>
      <c r="F23" s="12">
        <f>COUNTIFS(Append1[Home/Neutral],B23,Append1[PTS2],"&gt;"&amp;0,Append1[2],"&lt;&gt;"&amp;"OT")</f>
        <v>24</v>
      </c>
      <c r="G23" s="12">
        <f t="array" ref="G23">_xlfn.STDEV.P(IF(Append1[PTS2]&gt;0,IF(Append1[2]&lt;&gt;"OT",IF(Append1[Home/Neutral]=Scores!B23,Append1[PTS2]))))</f>
        <v>10.160431831374098</v>
      </c>
      <c r="H23" s="14">
        <f>SUMIFS(Append1[PTS],Append1[Visitor/Neutral],B23,Append1[2],"&lt;&gt;"&amp;"OT")</f>
        <v>2418</v>
      </c>
      <c r="I23" s="14">
        <f>SUMIFS(Append1[PTS2],Append1[Visitor/Neutral],B23,Append1[2],"&lt;&gt;"&amp;"OT")</f>
        <v>2484</v>
      </c>
      <c r="J23" s="14">
        <f>COUNTIFS(Append1[Visitor/Neutral],B23,Append1[PTS2],"&gt;"&amp;0,Append1[2],"&lt;&gt;"&amp;"OT")</f>
        <v>23</v>
      </c>
      <c r="K23" s="14">
        <f t="array" ref="K23">IFERROR(_xlfn.STDEV.P(IF(Append1[PTS2]&gt;0,IF(Append1[2]&lt;&gt;"OT",IF(Append1[Visitor/Neutral]=Scores!B23,Append1[PTS])))),0)</f>
        <v>11.245498994577833</v>
      </c>
      <c r="L23" s="94">
        <f t="shared" si="0"/>
        <v>108.31914893617021</v>
      </c>
      <c r="M23" s="94">
        <f t="shared" si="1"/>
        <v>104.51063829787235</v>
      </c>
      <c r="N23" s="94">
        <f t="shared" si="2"/>
        <v>10.691422145282308</v>
      </c>
      <c r="O23">
        <f ca="1">COUNTIFS(Append1[Date],"&gt;="&amp;$O$1,Append1[Date],"&lt;"&amp;$P$1,Append1[Home/Neutral],B23,Append1[PTS2],"&gt;"&amp;0,Append1[2],"&lt;&gt;"&amp;"OT")+COUNTIFS(Append1[Date],"&gt;="&amp;$O$1,Append1[Date],"&lt;"&amp;$P$1,Append1[Visitor/Neutral],B23,Append1[PTS2],"&gt;"&amp;0,Append1[2],"&lt;&gt;"&amp;"OT")</f>
        <v>0</v>
      </c>
      <c r="P23" s="3">
        <f t="shared" ca="1" si="3"/>
        <v>0</v>
      </c>
    </row>
    <row r="24" spans="2:16" x14ac:dyDescent="0.25">
      <c r="B24" t="s">
        <v>46</v>
      </c>
      <c r="C24" t="s">
        <v>179</v>
      </c>
      <c r="D24" s="12">
        <f>SUMIFS(Append1[PTS2],Append1[Home/Neutral],B24,Append1[2],"&lt;&gt;"&amp;"OT")</f>
        <v>2785</v>
      </c>
      <c r="E24" s="12">
        <f>SUMIFS(Append1[PTS],Append1[Home/Neutral],B24,Append1[2],"&lt;&gt;"&amp;"OT")</f>
        <v>2557</v>
      </c>
      <c r="F24" s="12">
        <f>COUNTIFS(Append1[Home/Neutral],B24,Append1[PTS2],"&gt;"&amp;0,Append1[2],"&lt;&gt;"&amp;"OT")</f>
        <v>24</v>
      </c>
      <c r="G24" s="12">
        <f t="array" ref="G24">_xlfn.STDEV.P(IF(Append1[PTS2]&gt;0,IF(Append1[2]&lt;&gt;"OT",IF(Append1[Home/Neutral]=Scores!B24,Append1[PTS2]))))</f>
        <v>11.182125493641875</v>
      </c>
      <c r="H24" s="14">
        <f>SUMIFS(Append1[PTS],Append1[Visitor/Neutral],B24,Append1[2],"&lt;&gt;"&amp;"OT")</f>
        <v>2393</v>
      </c>
      <c r="I24" s="14">
        <f>SUMIFS(Append1[PTS2],Append1[Visitor/Neutral],B24,Append1[2],"&lt;&gt;"&amp;"OT")</f>
        <v>2295</v>
      </c>
      <c r="J24" s="14">
        <f>COUNTIFS(Append1[Visitor/Neutral],B24,Append1[PTS2],"&gt;"&amp;0,Append1[2],"&lt;&gt;"&amp;"OT")</f>
        <v>22</v>
      </c>
      <c r="K24" s="14">
        <f t="array" ref="K24">IFERROR(_xlfn.STDEV.P(IF(Append1[PTS2]&gt;0,IF(Append1[2]&lt;&gt;"OT",IF(Append1[Visitor/Neutral]=Scores!B24,Append1[PTS])))),0)</f>
        <v>10.290913106327515</v>
      </c>
      <c r="L24" s="94">
        <f t="shared" si="0"/>
        <v>112.56521739130434</v>
      </c>
      <c r="M24" s="94">
        <f t="shared" si="1"/>
        <v>105.47826086956522</v>
      </c>
      <c r="N24" s="94">
        <f t="shared" si="2"/>
        <v>10.755893482317616</v>
      </c>
      <c r="O24">
        <f ca="1">COUNTIFS(Append1[Date],"&gt;="&amp;$O$1,Append1[Date],"&lt;"&amp;$P$1,Append1[Home/Neutral],B24,Append1[PTS2],"&gt;"&amp;0,Append1[2],"&lt;&gt;"&amp;"OT")+COUNTIFS(Append1[Date],"&gt;="&amp;$O$1,Append1[Date],"&lt;"&amp;$P$1,Append1[Visitor/Neutral],B24,Append1[PTS2],"&gt;"&amp;0,Append1[2],"&lt;&gt;"&amp;"OT")</f>
        <v>0</v>
      </c>
      <c r="P24" s="3">
        <f t="shared" ca="1" si="3"/>
        <v>0</v>
      </c>
    </row>
    <row r="25" spans="2:16" x14ac:dyDescent="0.25">
      <c r="B25" t="s">
        <v>47</v>
      </c>
      <c r="C25" t="s">
        <v>191</v>
      </c>
      <c r="D25" s="12">
        <f>SUMIFS(Append1[PTS2],Append1[Home/Neutral],B25,Append1[2],"&lt;&gt;"&amp;"OT")</f>
        <v>2500</v>
      </c>
      <c r="E25" s="12">
        <f>SUMIFS(Append1[PTS],Append1[Home/Neutral],B25,Append1[2],"&lt;&gt;"&amp;"OT")</f>
        <v>2297</v>
      </c>
      <c r="F25" s="12">
        <f>COUNTIFS(Append1[Home/Neutral],B25,Append1[PTS2],"&gt;"&amp;0,Append1[2],"&lt;&gt;"&amp;"OT")</f>
        <v>22</v>
      </c>
      <c r="G25" s="12">
        <f t="array" ref="G25">_xlfn.STDEV.P(IF(Append1[PTS2]&gt;0,IF(Append1[2]&lt;&gt;"OT",IF(Append1[Home/Neutral]=Scores!B25,Append1[PTS2]))))</f>
        <v>11.522884166046808</v>
      </c>
      <c r="H25" s="14">
        <f>SUMIFS(Append1[PTS],Append1[Visitor/Neutral],B25,Append1[2],"&lt;&gt;"&amp;"OT")</f>
        <v>2723</v>
      </c>
      <c r="I25" s="14">
        <f>SUMIFS(Append1[PTS2],Append1[Visitor/Neutral],B25,Append1[2],"&lt;&gt;"&amp;"OT")</f>
        <v>2609</v>
      </c>
      <c r="J25" s="14">
        <f>COUNTIFS(Append1[Visitor/Neutral],B25,Append1[PTS2],"&gt;"&amp;0,Append1[2],"&lt;&gt;"&amp;"OT")</f>
        <v>24</v>
      </c>
      <c r="K25" s="14">
        <f t="array" ref="K25">IFERROR(_xlfn.STDEV.P(IF(Append1[PTS2]&gt;0,IF(Append1[2]&lt;&gt;"OT",IF(Append1[Visitor/Neutral]=Scores!B25,Append1[PTS])))),0)</f>
        <v>12.24737783727149</v>
      </c>
      <c r="L25" s="94">
        <f t="shared" si="0"/>
        <v>113.54347826086956</v>
      </c>
      <c r="M25" s="94">
        <f t="shared" si="1"/>
        <v>106.65217391304348</v>
      </c>
      <c r="N25" s="94">
        <f t="shared" si="2"/>
        <v>11.900880864077077</v>
      </c>
      <c r="O25">
        <f ca="1">COUNTIFS(Append1[Date],"&gt;="&amp;$O$1,Append1[Date],"&lt;"&amp;$P$1,Append1[Home/Neutral],B25,Append1[PTS2],"&gt;"&amp;0,Append1[2],"&lt;&gt;"&amp;"OT")+COUNTIFS(Append1[Date],"&gt;="&amp;$O$1,Append1[Date],"&lt;"&amp;$P$1,Append1[Visitor/Neutral],B25,Append1[PTS2],"&gt;"&amp;0,Append1[2],"&lt;&gt;"&amp;"OT")</f>
        <v>0</v>
      </c>
      <c r="P25" s="3">
        <f t="shared" ca="1" si="3"/>
        <v>0</v>
      </c>
    </row>
    <row r="26" spans="2:16" x14ac:dyDescent="0.25">
      <c r="B26" t="s">
        <v>48</v>
      </c>
      <c r="C26" t="s">
        <v>180</v>
      </c>
      <c r="D26" s="12">
        <f>SUMIFS(Append1[PTS2],Append1[Home/Neutral],B26,Append1[2],"&lt;&gt;"&amp;"OT")</f>
        <v>2961</v>
      </c>
      <c r="E26" s="12">
        <f>SUMIFS(Append1[PTS],Append1[Home/Neutral],B26,Append1[2],"&lt;&gt;"&amp;"OT")</f>
        <v>2989</v>
      </c>
      <c r="F26" s="12">
        <f>COUNTIFS(Append1[Home/Neutral],B26,Append1[PTS2],"&gt;"&amp;0,Append1[2],"&lt;&gt;"&amp;"OT")</f>
        <v>26</v>
      </c>
      <c r="G26" s="12">
        <f t="array" ref="G26">_xlfn.STDEV.P(IF(Append1[PTS2]&gt;0,IF(Append1[2]&lt;&gt;"OT",IF(Append1[Home/Neutral]=Scores!B26,Append1[PTS2]))))</f>
        <v>10.514923179341618</v>
      </c>
      <c r="H26" s="14">
        <f>SUMIFS(Append1[PTS],Append1[Visitor/Neutral],B26,Append1[2],"&lt;&gt;"&amp;"OT")</f>
        <v>2466</v>
      </c>
      <c r="I26" s="14">
        <f>SUMIFS(Append1[PTS2],Append1[Visitor/Neutral],B26,Append1[2],"&lt;&gt;"&amp;"OT")</f>
        <v>2547</v>
      </c>
      <c r="J26" s="14">
        <f>COUNTIFS(Append1[Visitor/Neutral],B26,Append1[PTS2],"&gt;"&amp;0,Append1[2],"&lt;&gt;"&amp;"OT")</f>
        <v>22</v>
      </c>
      <c r="K26" s="14">
        <f t="array" ref="K26">IFERROR(_xlfn.STDEV.P(IF(Append1[PTS2]&gt;0,IF(Append1[2]&lt;&gt;"OT",IF(Append1[Visitor/Neutral]=Scores!B26,Append1[PTS])))),0)</f>
        <v>12.221103546768044</v>
      </c>
      <c r="L26" s="94">
        <f t="shared" si="0"/>
        <v>113.0625</v>
      </c>
      <c r="M26" s="94">
        <f t="shared" si="1"/>
        <v>115.33333333333333</v>
      </c>
      <c r="N26" s="94">
        <f t="shared" si="2"/>
        <v>11.296922514412062</v>
      </c>
      <c r="O26">
        <f ca="1">COUNTIFS(Append1[Date],"&gt;="&amp;$O$1,Append1[Date],"&lt;"&amp;$P$1,Append1[Home/Neutral],B26,Append1[PTS2],"&gt;"&amp;0,Append1[2],"&lt;&gt;"&amp;"OT")+COUNTIFS(Append1[Date],"&gt;="&amp;$O$1,Append1[Date],"&lt;"&amp;$P$1,Append1[Visitor/Neutral],B26,Append1[PTS2],"&gt;"&amp;0,Append1[2],"&lt;&gt;"&amp;"OT")</f>
        <v>0</v>
      </c>
      <c r="P26" s="3">
        <f t="shared" ca="1" si="3"/>
        <v>0</v>
      </c>
    </row>
    <row r="27" spans="2:16" x14ac:dyDescent="0.25">
      <c r="B27" t="s">
        <v>49</v>
      </c>
      <c r="C27" t="s">
        <v>181</v>
      </c>
      <c r="D27" s="12">
        <f>SUMIFS(Append1[PTS2],Append1[Home/Neutral],B27,Append1[2],"&lt;&gt;"&amp;"OT")</f>
        <v>2651</v>
      </c>
      <c r="E27" s="12">
        <f>SUMIFS(Append1[PTS],Append1[Home/Neutral],B27,Append1[2],"&lt;&gt;"&amp;"OT")</f>
        <v>2839</v>
      </c>
      <c r="F27" s="12">
        <f>COUNTIFS(Append1[Home/Neutral],B27,Append1[PTS2],"&gt;"&amp;0,Append1[2],"&lt;&gt;"&amp;"OT")</f>
        <v>25</v>
      </c>
      <c r="G27" s="12">
        <f t="array" ref="G27">_xlfn.STDEV.P(IF(Append1[PTS2]&gt;0,IF(Append1[2]&lt;&gt;"OT",IF(Append1[Home/Neutral]=Scores!B27,Append1[PTS2]))))</f>
        <v>8.5392271313040968</v>
      </c>
      <c r="H27" s="14">
        <f>SUMIFS(Append1[PTS],Append1[Visitor/Neutral],B27,Append1[2],"&lt;&gt;"&amp;"OT")</f>
        <v>2280</v>
      </c>
      <c r="I27" s="14">
        <f>SUMIFS(Append1[PTS2],Append1[Visitor/Neutral],B27,Append1[2],"&lt;&gt;"&amp;"OT")</f>
        <v>2533</v>
      </c>
      <c r="J27" s="14">
        <f>COUNTIFS(Append1[Visitor/Neutral],B27,Append1[PTS2],"&gt;"&amp;0,Append1[2],"&lt;&gt;"&amp;"OT")</f>
        <v>22</v>
      </c>
      <c r="K27" s="14">
        <f t="array" ref="K27">IFERROR(_xlfn.STDEV.P(IF(Append1[PTS2]&gt;0,IF(Append1[2]&lt;&gt;"OT",IF(Append1[Visitor/Neutral]=Scores!B27,Append1[PTS])))),0)</f>
        <v>9.0731645003045536</v>
      </c>
      <c r="L27" s="94">
        <f t="shared" si="0"/>
        <v>104.91489361702128</v>
      </c>
      <c r="M27" s="94">
        <f t="shared" si="1"/>
        <v>114.29787234042553</v>
      </c>
      <c r="N27" s="94">
        <f t="shared" si="2"/>
        <v>8.789155261474523</v>
      </c>
      <c r="O27">
        <f ca="1">COUNTIFS(Append1[Date],"&gt;="&amp;$O$1,Append1[Date],"&lt;"&amp;$P$1,Append1[Home/Neutral],B27,Append1[PTS2],"&gt;"&amp;0,Append1[2],"&lt;&gt;"&amp;"OT")+COUNTIFS(Append1[Date],"&gt;="&amp;$O$1,Append1[Date],"&lt;"&amp;$P$1,Append1[Visitor/Neutral],B27,Append1[PTS2],"&gt;"&amp;0,Append1[2],"&lt;&gt;"&amp;"OT")</f>
        <v>0</v>
      </c>
      <c r="P27" s="3">
        <f t="shared" ca="1" si="3"/>
        <v>0</v>
      </c>
    </row>
    <row r="28" spans="2:16" x14ac:dyDescent="0.25">
      <c r="B28" t="s">
        <v>50</v>
      </c>
      <c r="C28" t="s">
        <v>182</v>
      </c>
      <c r="D28" s="12">
        <f>SUMIFS(Append1[PTS2],Append1[Home/Neutral],B28,Append1[2],"&lt;&gt;"&amp;"OT")</f>
        <v>2610</v>
      </c>
      <c r="E28" s="12">
        <f>SUMIFS(Append1[PTS],Append1[Home/Neutral],B28,Append1[2],"&lt;&gt;"&amp;"OT")</f>
        <v>2486</v>
      </c>
      <c r="F28" s="12">
        <f>COUNTIFS(Append1[Home/Neutral],B28,Append1[PTS2],"&gt;"&amp;0,Append1[2],"&lt;&gt;"&amp;"OT")</f>
        <v>24</v>
      </c>
      <c r="G28" s="12">
        <f t="array" ref="G28">_xlfn.STDEV.P(IF(Append1[PTS2]&gt;0,IF(Append1[2]&lt;&gt;"OT",IF(Append1[Home/Neutral]=Scores!B28,Append1[PTS2]))))</f>
        <v>7.4456363059177155</v>
      </c>
      <c r="H28" s="14">
        <f>SUMIFS(Append1[PTS],Append1[Visitor/Neutral],B28,Append1[2],"&lt;&gt;"&amp;"OT")</f>
        <v>2317</v>
      </c>
      <c r="I28" s="14">
        <f>SUMIFS(Append1[PTS2],Append1[Visitor/Neutral],B28,Append1[2],"&lt;&gt;"&amp;"OT")</f>
        <v>2275</v>
      </c>
      <c r="J28" s="14">
        <f>COUNTIFS(Append1[Visitor/Neutral],B28,Append1[PTS2],"&gt;"&amp;0,Append1[2],"&lt;&gt;"&amp;"OT")</f>
        <v>21</v>
      </c>
      <c r="K28" s="14">
        <f t="array" ref="K28">IFERROR(_xlfn.STDEV.P(IF(Append1[PTS2]&gt;0,IF(Append1[2]&lt;&gt;"OT",IF(Append1[Visitor/Neutral]=Scores!B28,Append1[PTS])))),0)</f>
        <v>12.256517540566824</v>
      </c>
      <c r="L28" s="94">
        <f t="shared" si="0"/>
        <v>109.48888888888889</v>
      </c>
      <c r="M28" s="94">
        <f t="shared" si="1"/>
        <v>105.8</v>
      </c>
      <c r="N28" s="94">
        <f t="shared" si="2"/>
        <v>9.6907142154206305</v>
      </c>
      <c r="O28">
        <f ca="1">COUNTIFS(Append1[Date],"&gt;="&amp;$O$1,Append1[Date],"&lt;"&amp;$P$1,Append1[Home/Neutral],B28,Append1[PTS2],"&gt;"&amp;0,Append1[2],"&lt;&gt;"&amp;"OT")+COUNTIFS(Append1[Date],"&gt;="&amp;$O$1,Append1[Date],"&lt;"&amp;$P$1,Append1[Visitor/Neutral],B28,Append1[PTS2],"&gt;"&amp;0,Append1[2],"&lt;&gt;"&amp;"OT")</f>
        <v>0</v>
      </c>
      <c r="P28" s="3">
        <f t="shared" ca="1" si="3"/>
        <v>0</v>
      </c>
    </row>
    <row r="29" spans="2:16" x14ac:dyDescent="0.25">
      <c r="B29" t="s">
        <v>51</v>
      </c>
      <c r="C29" t="s">
        <v>183</v>
      </c>
      <c r="D29" s="12">
        <f>SUMIFS(Append1[PTS2],Append1[Home/Neutral],B29,Append1[2],"&lt;&gt;"&amp;"OT")</f>
        <v>2213</v>
      </c>
      <c r="E29" s="12">
        <f>SUMIFS(Append1[PTS],Append1[Home/Neutral],B29,Append1[2],"&lt;&gt;"&amp;"OT")</f>
        <v>2101</v>
      </c>
      <c r="F29" s="12">
        <f>COUNTIFS(Append1[Home/Neutral],B29,Append1[PTS2],"&gt;"&amp;0,Append1[2],"&lt;&gt;"&amp;"OT")</f>
        <v>20</v>
      </c>
      <c r="G29" s="12">
        <f t="array" ref="G29">_xlfn.STDEV.P(IF(Append1[PTS2]&gt;0,IF(Append1[2]&lt;&gt;"OT",IF(Append1[Home/Neutral]=Scores!B29,Append1[PTS2]))))</f>
        <v>9.6295119294801221</v>
      </c>
      <c r="H29" s="14">
        <f>SUMIFS(Append1[PTS],Append1[Visitor/Neutral],B29,Append1[2],"&lt;&gt;"&amp;"OT")</f>
        <v>2610</v>
      </c>
      <c r="I29" s="14">
        <f>SUMIFS(Append1[PTS2],Append1[Visitor/Neutral],B29,Append1[2],"&lt;&gt;"&amp;"OT")</f>
        <v>2590</v>
      </c>
      <c r="J29" s="14">
        <f>COUNTIFS(Append1[Visitor/Neutral],B29,Append1[PTS2],"&gt;"&amp;0,Append1[2],"&lt;&gt;"&amp;"OT")</f>
        <v>24</v>
      </c>
      <c r="K29" s="14">
        <f t="array" ref="K29">IFERROR(_xlfn.STDEV.P(IF(Append1[PTS2]&gt;0,IF(Append1[2]&lt;&gt;"OT",IF(Append1[Visitor/Neutral]=Scores!B29,Append1[PTS])))),0)</f>
        <v>10.461237976453839</v>
      </c>
      <c r="L29" s="94">
        <f t="shared" si="0"/>
        <v>109.61363636363636</v>
      </c>
      <c r="M29" s="94">
        <f t="shared" si="1"/>
        <v>106.61363636363636</v>
      </c>
      <c r="N29" s="94">
        <f t="shared" si="2"/>
        <v>10.083180682374877</v>
      </c>
      <c r="O29">
        <f ca="1">COUNTIFS(Append1[Date],"&gt;="&amp;$O$1,Append1[Date],"&lt;"&amp;$P$1,Append1[Home/Neutral],B29,Append1[PTS2],"&gt;"&amp;0,Append1[2],"&lt;&gt;"&amp;"OT")+COUNTIFS(Append1[Date],"&gt;="&amp;$O$1,Append1[Date],"&lt;"&amp;$P$1,Append1[Visitor/Neutral],B29,Append1[PTS2],"&gt;"&amp;0,Append1[2],"&lt;&gt;"&amp;"OT")</f>
        <v>0</v>
      </c>
      <c r="P29" s="3">
        <f t="shared" ca="1" si="3"/>
        <v>0</v>
      </c>
    </row>
    <row r="30" spans="2:16" x14ac:dyDescent="0.25">
      <c r="B30" t="s">
        <v>52</v>
      </c>
      <c r="C30" t="s">
        <v>184</v>
      </c>
      <c r="D30" s="12">
        <f>SUMIFS(Append1[PTS2],Append1[Home/Neutral],B30,Append1[2],"&lt;&gt;"&amp;"OT")</f>
        <v>2649</v>
      </c>
      <c r="E30" s="12">
        <f>SUMIFS(Append1[PTS],Append1[Home/Neutral],B30,Append1[2],"&lt;&gt;"&amp;"OT")</f>
        <v>2735</v>
      </c>
      <c r="F30" s="12">
        <f>COUNTIFS(Append1[Home/Neutral],B30,Append1[PTS2],"&gt;"&amp;0,Append1[2],"&lt;&gt;"&amp;"OT")</f>
        <v>24</v>
      </c>
      <c r="G30" s="12">
        <f t="array" ref="G30">_xlfn.STDEV.P(IF(Append1[PTS2]&gt;0,IF(Append1[2]&lt;&gt;"OT",IF(Append1[Home/Neutral]=Scores!B30,Append1[PTS2]))))</f>
        <v>13.462331707397496</v>
      </c>
      <c r="H30" s="14">
        <f>SUMIFS(Append1[PTS],Append1[Visitor/Neutral],B30,Append1[2],"&lt;&gt;"&amp;"OT")</f>
        <v>2364</v>
      </c>
      <c r="I30" s="14">
        <f>SUMIFS(Append1[PTS2],Append1[Visitor/Neutral],B30,Append1[2],"&lt;&gt;"&amp;"OT")</f>
        <v>2686</v>
      </c>
      <c r="J30" s="14">
        <f>COUNTIFS(Append1[Visitor/Neutral],B30,Append1[PTS2],"&gt;"&amp;0,Append1[2],"&lt;&gt;"&amp;"OT")</f>
        <v>22</v>
      </c>
      <c r="K30" s="14">
        <f t="array" ref="K30">IFERROR(_xlfn.STDEV.P(IF(Append1[PTS2]&gt;0,IF(Append1[2]&lt;&gt;"OT",IF(Append1[Visitor/Neutral]=Scores!B30,Append1[PTS])))),0)</f>
        <v>11.056578760371471</v>
      </c>
      <c r="L30" s="94">
        <f t="shared" si="0"/>
        <v>108.97826086956522</v>
      </c>
      <c r="M30" s="94">
        <f t="shared" si="1"/>
        <v>117.84782608695652</v>
      </c>
      <c r="N30" s="94">
        <f t="shared" si="2"/>
        <v>12.311754210993746</v>
      </c>
      <c r="O30">
        <f ca="1">COUNTIFS(Append1[Date],"&gt;="&amp;$O$1,Append1[Date],"&lt;"&amp;$P$1,Append1[Home/Neutral],B30,Append1[PTS2],"&gt;"&amp;0,Append1[2],"&lt;&gt;"&amp;"OT")+COUNTIFS(Append1[Date],"&gt;="&amp;$O$1,Append1[Date],"&lt;"&amp;$P$1,Append1[Visitor/Neutral],B30,Append1[PTS2],"&gt;"&amp;0,Append1[2],"&lt;&gt;"&amp;"OT")</f>
        <v>0</v>
      </c>
      <c r="P30" s="3">
        <f t="shared" ca="1" si="3"/>
        <v>0</v>
      </c>
    </row>
    <row r="31" spans="2:16" x14ac:dyDescent="0.25">
      <c r="B31" t="s">
        <v>53</v>
      </c>
      <c r="C31" t="s">
        <v>185</v>
      </c>
      <c r="D31" s="12">
        <f>SUMIFS(Append1[PTS2],Append1[Home/Neutral],B31,Append1[2],"&lt;&gt;"&amp;"OT")</f>
        <v>2468</v>
      </c>
      <c r="E31" s="12">
        <f>SUMIFS(Append1[PTS],Append1[Home/Neutral],B31,Append1[2],"&lt;&gt;"&amp;"OT")</f>
        <v>2436</v>
      </c>
      <c r="F31" s="12">
        <f>COUNTIFS(Append1[Home/Neutral],B31,Append1[PTS2],"&gt;"&amp;0,Append1[2],"&lt;&gt;"&amp;"OT")</f>
        <v>24</v>
      </c>
      <c r="G31" s="12">
        <f t="array" ref="G31">_xlfn.STDEV.P(IF(Append1[PTS2]&gt;0,IF(Append1[2]&lt;&gt;"OT",IF(Append1[Home/Neutral]=Scores!B31,Append1[PTS2]))))</f>
        <v>12.023125864580955</v>
      </c>
      <c r="H31" s="14">
        <f>SUMIFS(Append1[PTS],Append1[Visitor/Neutral],B31,Append1[2],"&lt;&gt;"&amp;"OT")</f>
        <v>2498</v>
      </c>
      <c r="I31" s="14">
        <f>SUMIFS(Append1[PTS2],Append1[Visitor/Neutral],B31,Append1[2],"&lt;&gt;"&amp;"OT")</f>
        <v>2590</v>
      </c>
      <c r="J31" s="14">
        <f>COUNTIFS(Append1[Visitor/Neutral],B31,Append1[PTS2],"&gt;"&amp;0,Append1[2],"&lt;&gt;"&amp;"OT")</f>
        <v>24</v>
      </c>
      <c r="K31" s="14">
        <f t="array" ref="K31">IFERROR(_xlfn.STDEV.P(IF(Append1[PTS2]&gt;0,IF(Append1[2]&lt;&gt;"OT",IF(Append1[Visitor/Neutral]=Scores!B31,Append1[PTS])))),0)</f>
        <v>11.324445044043243</v>
      </c>
      <c r="L31" s="94">
        <f t="shared" si="0"/>
        <v>103.45833333333333</v>
      </c>
      <c r="M31" s="94">
        <f t="shared" si="1"/>
        <v>104.70833333333333</v>
      </c>
      <c r="N31" s="94">
        <f t="shared" si="2"/>
        <v>11.673785454312098</v>
      </c>
      <c r="O31">
        <f ca="1">COUNTIFS(Append1[Date],"&gt;="&amp;$O$1,Append1[Date],"&lt;"&amp;$P$1,Append1[Home/Neutral],B31,Append1[PTS2],"&gt;"&amp;0,Append1[2],"&lt;&gt;"&amp;"OT")+COUNTIFS(Append1[Date],"&gt;="&amp;$O$1,Append1[Date],"&lt;"&amp;$P$1,Append1[Visitor/Neutral],B31,Append1[PTS2],"&gt;"&amp;0,Append1[2],"&lt;&gt;"&amp;"OT")</f>
        <v>0</v>
      </c>
      <c r="P31" s="3">
        <f t="shared" ca="1" si="3"/>
        <v>0</v>
      </c>
    </row>
    <row r="32" spans="2:16" x14ac:dyDescent="0.25">
      <c r="B32" t="s">
        <v>54</v>
      </c>
      <c r="C32" t="s">
        <v>192</v>
      </c>
      <c r="D32" s="12">
        <f>SUMIFS(Append1[PTS2],Append1[Home/Neutral],B32,Append1[2],"&lt;&gt;"&amp;"OT")</f>
        <v>2512</v>
      </c>
      <c r="E32" s="12">
        <f>SUMIFS(Append1[PTS],Append1[Home/Neutral],B32,Append1[2],"&lt;&gt;"&amp;"OT")</f>
        <v>2501</v>
      </c>
      <c r="F32" s="12">
        <f>COUNTIFS(Append1[Home/Neutral],B32,Append1[PTS2],"&gt;"&amp;0,Append1[2],"&lt;&gt;"&amp;"OT")</f>
        <v>22</v>
      </c>
      <c r="G32" s="12">
        <f t="array" ref="G32">_xlfn.STDEV.P(IF(Append1[PTS2]&gt;0,IF(Append1[2]&lt;&gt;"OT",IF(Append1[Home/Neutral]=Scores!B32,Append1[PTS2]))))</f>
        <v>10.936329630416413</v>
      </c>
      <c r="H32" s="14">
        <f>SUMIFS(Append1[PTS],Append1[Visitor/Neutral],B32,Append1[2],"&lt;&gt;"&amp;"OT")</f>
        <v>2375</v>
      </c>
      <c r="I32" s="14">
        <f>SUMIFS(Append1[PTS2],Append1[Visitor/Neutral],B32,Append1[2],"&lt;&gt;"&amp;"OT")</f>
        <v>2423</v>
      </c>
      <c r="J32" s="14">
        <f>COUNTIFS(Append1[Visitor/Neutral],B32,Append1[PTS2],"&gt;"&amp;0,Append1[2],"&lt;&gt;"&amp;"OT")</f>
        <v>21</v>
      </c>
      <c r="K32" s="14">
        <f t="array" ref="K32">IFERROR(_xlfn.STDEV.P(IF(Append1[PTS2]&gt;0,IF(Append1[2]&lt;&gt;"OT",IF(Append1[Visitor/Neutral]=Scores!B32,Append1[PTS])))),0)</f>
        <v>12.554281234872152</v>
      </c>
      <c r="L32" s="94">
        <f t="shared" si="0"/>
        <v>113.65116279069767</v>
      </c>
      <c r="M32" s="94">
        <f t="shared" si="1"/>
        <v>114.51162790697674</v>
      </c>
      <c r="N32" s="94">
        <f t="shared" si="2"/>
        <v>11.726492041894797</v>
      </c>
      <c r="O32">
        <f ca="1">COUNTIFS(Append1[Date],"&gt;="&amp;$O$1,Append1[Date],"&lt;"&amp;$P$1,Append1[Home/Neutral],B32,Append1[PTS2],"&gt;"&amp;0,Append1[2],"&lt;&gt;"&amp;"OT")+COUNTIFS(Append1[Date],"&gt;="&amp;$O$1,Append1[Date],"&lt;"&amp;$P$1,Append1[Visitor/Neutral],B32,Append1[PTS2],"&gt;"&amp;0,Append1[2],"&lt;&gt;"&amp;"OT")</f>
        <v>0</v>
      </c>
      <c r="P32" s="3">
        <f t="shared" ca="1" si="3"/>
        <v>0</v>
      </c>
    </row>
  </sheetData>
  <mergeCells count="3">
    <mergeCell ref="D1:F1"/>
    <mergeCell ref="H1:J1"/>
    <mergeCell ref="L1:M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31"/>
  <sheetViews>
    <sheetView workbookViewId="0">
      <selection sqref="A1:J1231"/>
    </sheetView>
  </sheetViews>
  <sheetFormatPr defaultRowHeight="15" x14ac:dyDescent="0.25"/>
  <cols>
    <col min="1" max="1" width="10.7109375" bestFit="1" customWidth="1"/>
    <col min="2" max="2" width="11.28515625" bestFit="1" customWidth="1"/>
    <col min="3" max="3" width="23.85546875" bestFit="1" customWidth="1"/>
    <col min="4" max="4" width="6.42578125" bestFit="1" customWidth="1"/>
    <col min="5" max="5" width="23.85546875" bestFit="1" customWidth="1"/>
    <col min="6" max="6" width="7.42578125" bestFit="1" customWidth="1"/>
    <col min="7" max="7" width="11.140625" bestFit="1" customWidth="1"/>
    <col min="8" max="8" width="4.42578125" bestFit="1" customWidth="1"/>
    <col min="9" max="9" width="10" bestFit="1" customWidth="1"/>
    <col min="10" max="10" width="21.140625" bestFit="1" customWidth="1"/>
  </cols>
  <sheetData>
    <row r="1" spans="1:10" x14ac:dyDescent="0.25">
      <c r="A1" s="1" t="s">
        <v>144</v>
      </c>
      <c r="B1" s="1" t="s">
        <v>145</v>
      </c>
      <c r="C1" s="1" t="s">
        <v>146</v>
      </c>
      <c r="D1" s="1" t="s">
        <v>24</v>
      </c>
      <c r="E1" s="1" t="s">
        <v>147</v>
      </c>
      <c r="F1" s="1" t="s">
        <v>148</v>
      </c>
      <c r="G1" s="1" t="s">
        <v>143</v>
      </c>
      <c r="H1" s="1" t="s">
        <v>85</v>
      </c>
      <c r="I1" s="1" t="s">
        <v>79</v>
      </c>
      <c r="J1" s="1" t="s">
        <v>149</v>
      </c>
    </row>
    <row r="2" spans="1:10" x14ac:dyDescent="0.25">
      <c r="A2" s="2">
        <v>43760</v>
      </c>
      <c r="B2" s="1" t="s">
        <v>150</v>
      </c>
      <c r="C2" s="1" t="s">
        <v>37</v>
      </c>
      <c r="D2" s="1">
        <v>122</v>
      </c>
      <c r="E2" s="1" t="s">
        <v>27</v>
      </c>
      <c r="F2" s="1">
        <v>130</v>
      </c>
      <c r="G2" s="1" t="s">
        <v>151</v>
      </c>
      <c r="H2" s="1" t="s">
        <v>152</v>
      </c>
      <c r="I2" s="1">
        <v>20787</v>
      </c>
      <c r="J2" s="1"/>
    </row>
    <row r="3" spans="1:10" x14ac:dyDescent="0.25">
      <c r="A3" s="2">
        <v>43760</v>
      </c>
      <c r="B3" s="1" t="s">
        <v>153</v>
      </c>
      <c r="C3" s="1" t="s">
        <v>47</v>
      </c>
      <c r="D3" s="1">
        <v>102</v>
      </c>
      <c r="E3" s="1" t="s">
        <v>25</v>
      </c>
      <c r="F3" s="1">
        <v>112</v>
      </c>
      <c r="G3" s="1" t="s">
        <v>151</v>
      </c>
      <c r="H3" s="1"/>
      <c r="I3" s="1">
        <v>19068</v>
      </c>
      <c r="J3" s="1"/>
    </row>
    <row r="4" spans="1:10" x14ac:dyDescent="0.25">
      <c r="A4" s="2">
        <v>43761</v>
      </c>
      <c r="B4" s="1" t="s">
        <v>154</v>
      </c>
      <c r="C4" s="1" t="s">
        <v>31</v>
      </c>
      <c r="D4" s="1">
        <v>125</v>
      </c>
      <c r="E4" s="1" t="s">
        <v>29</v>
      </c>
      <c r="F4" s="1">
        <v>126</v>
      </c>
      <c r="G4" s="1" t="s">
        <v>151</v>
      </c>
      <c r="H4" s="1"/>
      <c r="I4" s="1">
        <v>15424</v>
      </c>
      <c r="J4" s="1"/>
    </row>
    <row r="5" spans="1:10" x14ac:dyDescent="0.25">
      <c r="A5" s="2">
        <v>43761</v>
      </c>
      <c r="B5" s="1" t="s">
        <v>154</v>
      </c>
      <c r="C5" s="1" t="s">
        <v>30</v>
      </c>
      <c r="D5" s="1">
        <v>119</v>
      </c>
      <c r="E5" s="1" t="s">
        <v>51</v>
      </c>
      <c r="F5" s="1">
        <v>110</v>
      </c>
      <c r="G5" s="1" t="s">
        <v>151</v>
      </c>
      <c r="H5" s="1"/>
      <c r="I5" s="1">
        <v>17923</v>
      </c>
      <c r="J5" s="1"/>
    </row>
    <row r="6" spans="1:10" x14ac:dyDescent="0.25">
      <c r="A6" s="2">
        <v>43761</v>
      </c>
      <c r="B6" s="1" t="s">
        <v>154</v>
      </c>
      <c r="C6" s="1" t="s">
        <v>49</v>
      </c>
      <c r="D6" s="1">
        <v>85</v>
      </c>
      <c r="E6" s="1" t="s">
        <v>53</v>
      </c>
      <c r="F6" s="1">
        <v>94</v>
      </c>
      <c r="G6" s="1" t="s">
        <v>151</v>
      </c>
      <c r="H6" s="1"/>
      <c r="I6" s="1">
        <v>18846</v>
      </c>
      <c r="J6" s="1"/>
    </row>
    <row r="7" spans="1:10" x14ac:dyDescent="0.25">
      <c r="A7" s="2">
        <v>43761</v>
      </c>
      <c r="B7" s="1" t="s">
        <v>155</v>
      </c>
      <c r="C7" s="1" t="s">
        <v>42</v>
      </c>
      <c r="D7" s="1">
        <v>127</v>
      </c>
      <c r="E7" s="1" t="s">
        <v>38</v>
      </c>
      <c r="F7" s="1">
        <v>126</v>
      </c>
      <c r="G7" s="1" t="s">
        <v>151</v>
      </c>
      <c r="H7" s="1" t="s">
        <v>152</v>
      </c>
      <c r="I7" s="1">
        <v>17732</v>
      </c>
      <c r="J7" s="1"/>
    </row>
    <row r="8" spans="1:10" x14ac:dyDescent="0.25">
      <c r="A8" s="2">
        <v>43761</v>
      </c>
      <c r="B8" s="1" t="s">
        <v>155</v>
      </c>
      <c r="C8" s="1" t="s">
        <v>48</v>
      </c>
      <c r="D8" s="1">
        <v>101</v>
      </c>
      <c r="E8" s="1" t="s">
        <v>41</v>
      </c>
      <c r="F8" s="1">
        <v>120</v>
      </c>
      <c r="G8" s="1" t="s">
        <v>151</v>
      </c>
      <c r="H8" s="1"/>
      <c r="I8" s="1">
        <v>19600</v>
      </c>
      <c r="J8" s="1"/>
    </row>
    <row r="9" spans="1:10" x14ac:dyDescent="0.25">
      <c r="A9" s="2">
        <v>43761</v>
      </c>
      <c r="B9" s="1" t="s">
        <v>155</v>
      </c>
      <c r="C9" s="1" t="s">
        <v>46</v>
      </c>
      <c r="D9" s="1">
        <v>93</v>
      </c>
      <c r="E9" s="1" t="s">
        <v>45</v>
      </c>
      <c r="F9" s="1">
        <v>107</v>
      </c>
      <c r="G9" s="1" t="s">
        <v>151</v>
      </c>
      <c r="H9" s="1"/>
      <c r="I9" s="1">
        <v>20422</v>
      </c>
      <c r="J9" s="1"/>
    </row>
    <row r="10" spans="1:10" x14ac:dyDescent="0.25">
      <c r="A10" s="2">
        <v>43761</v>
      </c>
      <c r="B10" s="1" t="s">
        <v>156</v>
      </c>
      <c r="C10" s="1" t="s">
        <v>40</v>
      </c>
      <c r="D10" s="1">
        <v>100</v>
      </c>
      <c r="E10" s="1" t="s">
        <v>43</v>
      </c>
      <c r="F10" s="1">
        <v>108</v>
      </c>
      <c r="G10" s="1" t="s">
        <v>151</v>
      </c>
      <c r="H10" s="1"/>
      <c r="I10" s="1">
        <v>19816</v>
      </c>
      <c r="J10" s="1"/>
    </row>
    <row r="11" spans="1:10" x14ac:dyDescent="0.25">
      <c r="A11" s="2">
        <v>43761</v>
      </c>
      <c r="B11" s="1" t="s">
        <v>156</v>
      </c>
      <c r="C11" s="1" t="s">
        <v>35</v>
      </c>
      <c r="D11" s="1">
        <v>111</v>
      </c>
      <c r="E11" s="1" t="s">
        <v>54</v>
      </c>
      <c r="F11" s="1">
        <v>120</v>
      </c>
      <c r="G11" s="1" t="s">
        <v>151</v>
      </c>
      <c r="H11" s="1"/>
      <c r="I11" s="1">
        <v>18354</v>
      </c>
      <c r="J11" s="1"/>
    </row>
    <row r="12" spans="1:10" x14ac:dyDescent="0.25">
      <c r="A12" s="2">
        <v>43761</v>
      </c>
      <c r="B12" s="1" t="s">
        <v>157</v>
      </c>
      <c r="C12" s="1" t="s">
        <v>33</v>
      </c>
      <c r="D12" s="1">
        <v>95</v>
      </c>
      <c r="E12" s="1" t="s">
        <v>34</v>
      </c>
      <c r="F12" s="1">
        <v>100</v>
      </c>
      <c r="G12" s="1" t="s">
        <v>151</v>
      </c>
      <c r="H12" s="1"/>
      <c r="I12" s="1">
        <v>18306</v>
      </c>
      <c r="J12" s="1"/>
    </row>
    <row r="13" spans="1:10" x14ac:dyDescent="0.25">
      <c r="A13" s="2">
        <v>43761</v>
      </c>
      <c r="B13" s="1" t="s">
        <v>158</v>
      </c>
      <c r="C13" s="1" t="s">
        <v>36</v>
      </c>
      <c r="D13" s="1">
        <v>95</v>
      </c>
      <c r="E13" s="1" t="s">
        <v>26</v>
      </c>
      <c r="F13" s="1">
        <v>124</v>
      </c>
      <c r="G13" s="1" t="s">
        <v>151</v>
      </c>
      <c r="H13" s="1"/>
      <c r="I13" s="1">
        <v>18055</v>
      </c>
      <c r="J13" s="1"/>
    </row>
    <row r="14" spans="1:10" x14ac:dyDescent="0.25">
      <c r="A14" s="2">
        <v>43761</v>
      </c>
      <c r="B14" s="1" t="s">
        <v>158</v>
      </c>
      <c r="C14" s="1" t="s">
        <v>50</v>
      </c>
      <c r="D14" s="1">
        <v>108</v>
      </c>
      <c r="E14" s="1" t="s">
        <v>28</v>
      </c>
      <c r="F14" s="1">
        <v>100</v>
      </c>
      <c r="G14" s="1" t="s">
        <v>151</v>
      </c>
      <c r="H14" s="1"/>
      <c r="I14" s="1">
        <v>19991</v>
      </c>
      <c r="J14" s="1"/>
    </row>
    <row r="15" spans="1:10" x14ac:dyDescent="0.25">
      <c r="A15" s="2">
        <v>43762</v>
      </c>
      <c r="B15" s="1" t="s">
        <v>154</v>
      </c>
      <c r="C15" s="1" t="s">
        <v>52</v>
      </c>
      <c r="D15" s="1">
        <v>117</v>
      </c>
      <c r="E15" s="1" t="s">
        <v>30</v>
      </c>
      <c r="F15" s="1">
        <v>100</v>
      </c>
      <c r="G15" s="1" t="s">
        <v>151</v>
      </c>
      <c r="H15" s="1"/>
      <c r="I15" s="1">
        <v>20338</v>
      </c>
      <c r="J15" s="1"/>
    </row>
    <row r="16" spans="1:10" x14ac:dyDescent="0.25">
      <c r="A16" s="2">
        <v>43762</v>
      </c>
      <c r="B16" s="1" t="s">
        <v>150</v>
      </c>
      <c r="C16" s="1" t="s">
        <v>39</v>
      </c>
      <c r="D16" s="1">
        <v>117</v>
      </c>
      <c r="E16" s="1" t="s">
        <v>32</v>
      </c>
      <c r="F16" s="1">
        <v>111</v>
      </c>
      <c r="G16" s="1" t="s">
        <v>151</v>
      </c>
      <c r="H16" s="1"/>
      <c r="I16" s="1">
        <v>18055</v>
      </c>
      <c r="J16" s="1"/>
    </row>
    <row r="17" spans="1:10" x14ac:dyDescent="0.25">
      <c r="A17" s="2">
        <v>43762</v>
      </c>
      <c r="B17" s="1" t="s">
        <v>153</v>
      </c>
      <c r="C17" s="1" t="s">
        <v>25</v>
      </c>
      <c r="D17" s="1">
        <v>141</v>
      </c>
      <c r="E17" s="1" t="s">
        <v>44</v>
      </c>
      <c r="F17" s="1">
        <v>122</v>
      </c>
      <c r="G17" s="1" t="s">
        <v>151</v>
      </c>
      <c r="H17" s="1"/>
      <c r="I17" s="1">
        <v>18064</v>
      </c>
      <c r="J17" s="1"/>
    </row>
    <row r="18" spans="1:10" x14ac:dyDescent="0.25">
      <c r="A18" s="2">
        <v>43763</v>
      </c>
      <c r="B18" s="1" t="s">
        <v>154</v>
      </c>
      <c r="C18" s="1" t="s">
        <v>27</v>
      </c>
      <c r="D18" s="1">
        <v>106</v>
      </c>
      <c r="E18" s="1" t="s">
        <v>46</v>
      </c>
      <c r="F18" s="1">
        <v>112</v>
      </c>
      <c r="G18" s="1" t="s">
        <v>151</v>
      </c>
      <c r="H18" s="1"/>
      <c r="I18" s="1">
        <v>18624</v>
      </c>
      <c r="J18" s="1"/>
    </row>
    <row r="19" spans="1:10" x14ac:dyDescent="0.25">
      <c r="A19" s="2">
        <v>43763</v>
      </c>
      <c r="B19" s="1" t="s">
        <v>154</v>
      </c>
      <c r="C19" s="1" t="s">
        <v>42</v>
      </c>
      <c r="D19" s="1">
        <v>121</v>
      </c>
      <c r="E19" s="1" t="s">
        <v>29</v>
      </c>
      <c r="F19" s="1">
        <v>99</v>
      </c>
      <c r="G19" s="1" t="s">
        <v>151</v>
      </c>
      <c r="H19" s="1"/>
      <c r="I19" s="1">
        <v>14879</v>
      </c>
      <c r="J19" s="1"/>
    </row>
    <row r="20" spans="1:10" x14ac:dyDescent="0.25">
      <c r="A20" s="2">
        <v>43763</v>
      </c>
      <c r="B20" s="1" t="s">
        <v>155</v>
      </c>
      <c r="C20" s="1" t="s">
        <v>35</v>
      </c>
      <c r="D20" s="1">
        <v>109</v>
      </c>
      <c r="E20" s="1" t="s">
        <v>38</v>
      </c>
      <c r="F20" s="1">
        <v>113</v>
      </c>
      <c r="G20" s="1" t="s">
        <v>151</v>
      </c>
      <c r="H20" s="1"/>
      <c r="I20" s="1">
        <v>17732</v>
      </c>
      <c r="J20" s="1"/>
    </row>
    <row r="21" spans="1:10" x14ac:dyDescent="0.25">
      <c r="A21" s="2">
        <v>43763</v>
      </c>
      <c r="B21" s="1" t="s">
        <v>150</v>
      </c>
      <c r="C21" s="1" t="s">
        <v>31</v>
      </c>
      <c r="D21" s="1">
        <v>110</v>
      </c>
      <c r="E21" s="1" t="s">
        <v>48</v>
      </c>
      <c r="F21" s="1">
        <v>102</v>
      </c>
      <c r="G21" s="1" t="s">
        <v>151</v>
      </c>
      <c r="H21" s="1"/>
      <c r="I21" s="1">
        <v>17794</v>
      </c>
      <c r="J21" s="1"/>
    </row>
    <row r="22" spans="1:10" x14ac:dyDescent="0.25">
      <c r="A22" s="2">
        <v>43763</v>
      </c>
      <c r="B22" s="1" t="s">
        <v>150</v>
      </c>
      <c r="C22" s="1" t="s">
        <v>43</v>
      </c>
      <c r="D22" s="1">
        <v>123</v>
      </c>
      <c r="E22" s="1" t="s">
        <v>37</v>
      </c>
      <c r="F22" s="1">
        <v>116</v>
      </c>
      <c r="G22" s="1" t="s">
        <v>151</v>
      </c>
      <c r="H22" s="1"/>
      <c r="I22" s="1">
        <v>17027</v>
      </c>
      <c r="J22" s="1"/>
    </row>
    <row r="23" spans="1:10" x14ac:dyDescent="0.25">
      <c r="A23" s="2">
        <v>43763</v>
      </c>
      <c r="B23" s="1" t="s">
        <v>150</v>
      </c>
      <c r="C23" s="1" t="s">
        <v>40</v>
      </c>
      <c r="D23" s="1">
        <v>97</v>
      </c>
      <c r="E23" s="1" t="s">
        <v>33</v>
      </c>
      <c r="F23" s="1">
        <v>85</v>
      </c>
      <c r="G23" s="1" t="s">
        <v>151</v>
      </c>
      <c r="H23" s="1"/>
      <c r="I23" s="1">
        <v>18203</v>
      </c>
      <c r="J23" s="1"/>
    </row>
    <row r="24" spans="1:10" x14ac:dyDescent="0.25">
      <c r="A24" s="2">
        <v>43763</v>
      </c>
      <c r="B24" s="1" t="s">
        <v>157</v>
      </c>
      <c r="C24" s="1" t="s">
        <v>26</v>
      </c>
      <c r="D24" s="1">
        <v>107</v>
      </c>
      <c r="E24" s="1" t="s">
        <v>50</v>
      </c>
      <c r="F24" s="1">
        <v>108</v>
      </c>
      <c r="G24" s="1" t="s">
        <v>151</v>
      </c>
      <c r="H24" s="1" t="s">
        <v>152</v>
      </c>
      <c r="I24" s="1">
        <v>19557</v>
      </c>
      <c r="J24" s="1"/>
    </row>
    <row r="25" spans="1:10" x14ac:dyDescent="0.25">
      <c r="A25" s="2">
        <v>43763</v>
      </c>
      <c r="B25" s="1" t="s">
        <v>158</v>
      </c>
      <c r="C25" s="1" t="s">
        <v>28</v>
      </c>
      <c r="D25" s="1">
        <v>122</v>
      </c>
      <c r="E25" s="1" t="s">
        <v>36</v>
      </c>
      <c r="F25" s="1">
        <v>112</v>
      </c>
      <c r="G25" s="1" t="s">
        <v>151</v>
      </c>
      <c r="H25" s="1"/>
      <c r="I25" s="1">
        <v>17583</v>
      </c>
      <c r="J25" s="1"/>
    </row>
    <row r="26" spans="1:10" x14ac:dyDescent="0.25">
      <c r="A26" s="2">
        <v>43763</v>
      </c>
      <c r="B26" s="1" t="s">
        <v>153</v>
      </c>
      <c r="C26" s="1" t="s">
        <v>34</v>
      </c>
      <c r="D26" s="1">
        <v>86</v>
      </c>
      <c r="E26" s="1" t="s">
        <v>47</v>
      </c>
      <c r="F26" s="1">
        <v>95</v>
      </c>
      <c r="G26" s="1" t="s">
        <v>151</v>
      </c>
      <c r="H26" s="1"/>
      <c r="I26" s="1">
        <v>18997</v>
      </c>
      <c r="J26" s="1"/>
    </row>
    <row r="27" spans="1:10" x14ac:dyDescent="0.25">
      <c r="A27" s="2">
        <v>43764</v>
      </c>
      <c r="B27" s="1" t="s">
        <v>159</v>
      </c>
      <c r="C27" s="1" t="s">
        <v>41</v>
      </c>
      <c r="D27" s="1">
        <v>131</v>
      </c>
      <c r="E27" s="1" t="s">
        <v>39</v>
      </c>
      <c r="F27" s="1">
        <v>126</v>
      </c>
      <c r="G27" s="1" t="s">
        <v>151</v>
      </c>
      <c r="H27" s="1" t="s">
        <v>152</v>
      </c>
      <c r="I27" s="1">
        <v>17467</v>
      </c>
      <c r="J27" s="1"/>
    </row>
    <row r="28" spans="1:10" x14ac:dyDescent="0.25">
      <c r="A28" s="2">
        <v>43764</v>
      </c>
      <c r="B28" s="1" t="s">
        <v>154</v>
      </c>
      <c r="C28" s="1" t="s">
        <v>45</v>
      </c>
      <c r="D28" s="1">
        <v>117</v>
      </c>
      <c r="E28" s="1" t="s">
        <v>30</v>
      </c>
      <c r="F28" s="1">
        <v>111</v>
      </c>
      <c r="G28" s="1" t="s">
        <v>151</v>
      </c>
      <c r="H28" s="1"/>
      <c r="I28" s="1">
        <v>16207</v>
      </c>
      <c r="J28" s="1"/>
    </row>
    <row r="29" spans="1:10" x14ac:dyDescent="0.25">
      <c r="A29" s="2">
        <v>43764</v>
      </c>
      <c r="B29" s="1" t="s">
        <v>155</v>
      </c>
      <c r="C29" s="1" t="s">
        <v>53</v>
      </c>
      <c r="D29" s="1">
        <v>99</v>
      </c>
      <c r="E29" s="1" t="s">
        <v>52</v>
      </c>
      <c r="F29" s="1">
        <v>103</v>
      </c>
      <c r="G29" s="1" t="s">
        <v>151</v>
      </c>
      <c r="H29" s="1"/>
      <c r="I29" s="1">
        <v>17078</v>
      </c>
      <c r="J29" s="1"/>
    </row>
    <row r="30" spans="1:10" x14ac:dyDescent="0.25">
      <c r="A30" s="2">
        <v>43764</v>
      </c>
      <c r="B30" s="1" t="s">
        <v>155</v>
      </c>
      <c r="C30" s="1" t="s">
        <v>46</v>
      </c>
      <c r="D30" s="1">
        <v>118</v>
      </c>
      <c r="E30" s="1" t="s">
        <v>35</v>
      </c>
      <c r="F30" s="1">
        <v>95</v>
      </c>
      <c r="G30" s="1" t="s">
        <v>151</v>
      </c>
      <c r="H30" s="1"/>
      <c r="I30" s="1">
        <v>19812</v>
      </c>
      <c r="J30" s="1"/>
    </row>
    <row r="31" spans="1:10" x14ac:dyDescent="0.25">
      <c r="A31" s="2">
        <v>43764</v>
      </c>
      <c r="B31" s="1" t="s">
        <v>150</v>
      </c>
      <c r="C31" s="1" t="s">
        <v>27</v>
      </c>
      <c r="D31" s="1">
        <v>108</v>
      </c>
      <c r="E31" s="1" t="s">
        <v>31</v>
      </c>
      <c r="F31" s="1">
        <v>84</v>
      </c>
      <c r="G31" s="1" t="s">
        <v>151</v>
      </c>
      <c r="H31" s="1"/>
      <c r="I31" s="1">
        <v>21498</v>
      </c>
      <c r="J31" s="1"/>
    </row>
    <row r="32" spans="1:10" x14ac:dyDescent="0.25">
      <c r="A32" s="2">
        <v>43764</v>
      </c>
      <c r="B32" s="1" t="s">
        <v>150</v>
      </c>
      <c r="C32" s="1" t="s">
        <v>51</v>
      </c>
      <c r="D32" s="1">
        <v>99</v>
      </c>
      <c r="E32" s="1" t="s">
        <v>49</v>
      </c>
      <c r="F32" s="1">
        <v>110</v>
      </c>
      <c r="G32" s="1" t="s">
        <v>151</v>
      </c>
      <c r="H32" s="1"/>
      <c r="I32" s="1">
        <v>19432</v>
      </c>
      <c r="J32" s="1"/>
    </row>
    <row r="33" spans="1:10" x14ac:dyDescent="0.25">
      <c r="A33" s="2">
        <v>43764</v>
      </c>
      <c r="B33" s="1" t="s">
        <v>150</v>
      </c>
      <c r="C33" s="1" t="s">
        <v>37</v>
      </c>
      <c r="D33" s="1">
        <v>123</v>
      </c>
      <c r="E33" s="1" t="s">
        <v>32</v>
      </c>
      <c r="F33" s="1">
        <v>126</v>
      </c>
      <c r="G33" s="1" t="s">
        <v>151</v>
      </c>
      <c r="H33" s="1"/>
      <c r="I33" s="1">
        <v>18055</v>
      </c>
      <c r="J33" s="1"/>
    </row>
    <row r="34" spans="1:10" x14ac:dyDescent="0.25">
      <c r="A34" s="2">
        <v>43764</v>
      </c>
      <c r="B34" s="1" t="s">
        <v>156</v>
      </c>
      <c r="C34" s="1" t="s">
        <v>40</v>
      </c>
      <c r="D34" s="1">
        <v>122</v>
      </c>
      <c r="E34" s="1" t="s">
        <v>54</v>
      </c>
      <c r="F34" s="1">
        <v>124</v>
      </c>
      <c r="G34" s="1" t="s">
        <v>151</v>
      </c>
      <c r="H34" s="1"/>
      <c r="I34" s="1">
        <v>18354</v>
      </c>
      <c r="J34" s="1"/>
    </row>
    <row r="35" spans="1:10" x14ac:dyDescent="0.25">
      <c r="A35" s="2">
        <v>43764</v>
      </c>
      <c r="B35" s="1" t="s">
        <v>157</v>
      </c>
      <c r="C35" s="1" t="s">
        <v>36</v>
      </c>
      <c r="D35" s="1">
        <v>81</v>
      </c>
      <c r="E35" s="1" t="s">
        <v>34</v>
      </c>
      <c r="F35" s="1">
        <v>113</v>
      </c>
      <c r="G35" s="1" t="s">
        <v>151</v>
      </c>
      <c r="H35" s="1"/>
      <c r="I35" s="1">
        <v>18306</v>
      </c>
      <c r="J35" s="1"/>
    </row>
    <row r="36" spans="1:10" x14ac:dyDescent="0.25">
      <c r="A36" s="2">
        <v>43764</v>
      </c>
      <c r="B36" s="1" t="s">
        <v>158</v>
      </c>
      <c r="C36" s="1" t="s">
        <v>25</v>
      </c>
      <c r="D36" s="1">
        <v>122</v>
      </c>
      <c r="E36" s="1" t="s">
        <v>26</v>
      </c>
      <c r="F36" s="1">
        <v>130</v>
      </c>
      <c r="G36" s="1" t="s">
        <v>151</v>
      </c>
      <c r="H36" s="1"/>
      <c r="I36" s="1">
        <v>15802</v>
      </c>
      <c r="J36" s="1"/>
    </row>
    <row r="37" spans="1:10" x14ac:dyDescent="0.25">
      <c r="A37" s="2">
        <v>43765</v>
      </c>
      <c r="B37" s="1" t="s">
        <v>160</v>
      </c>
      <c r="C37" s="1" t="s">
        <v>44</v>
      </c>
      <c r="D37" s="1">
        <v>92</v>
      </c>
      <c r="E37" s="1" t="s">
        <v>33</v>
      </c>
      <c r="F37" s="1">
        <v>120</v>
      </c>
      <c r="G37" s="1" t="s">
        <v>151</v>
      </c>
      <c r="H37" s="1"/>
      <c r="I37" s="1">
        <v>18203</v>
      </c>
      <c r="J37" s="1"/>
    </row>
    <row r="38" spans="1:10" x14ac:dyDescent="0.25">
      <c r="A38" s="2">
        <v>43765</v>
      </c>
      <c r="B38" s="1" t="s">
        <v>161</v>
      </c>
      <c r="C38" s="1" t="s">
        <v>38</v>
      </c>
      <c r="D38" s="1">
        <v>133</v>
      </c>
      <c r="E38" s="1" t="s">
        <v>48</v>
      </c>
      <c r="F38" s="1">
        <v>134</v>
      </c>
      <c r="G38" s="1" t="s">
        <v>151</v>
      </c>
      <c r="H38" s="1" t="s">
        <v>152</v>
      </c>
      <c r="I38" s="1">
        <v>15517</v>
      </c>
      <c r="J38" s="1"/>
    </row>
    <row r="39" spans="1:10" x14ac:dyDescent="0.25">
      <c r="A39" s="2">
        <v>43765</v>
      </c>
      <c r="B39" s="1" t="s">
        <v>154</v>
      </c>
      <c r="C39" s="1" t="s">
        <v>28</v>
      </c>
      <c r="D39" s="1">
        <v>121</v>
      </c>
      <c r="E39" s="1" t="s">
        <v>43</v>
      </c>
      <c r="F39" s="1">
        <v>119</v>
      </c>
      <c r="G39" s="1" t="s">
        <v>151</v>
      </c>
      <c r="H39" s="1"/>
      <c r="I39" s="1">
        <v>19707</v>
      </c>
      <c r="J39" s="1"/>
    </row>
    <row r="40" spans="1:10" x14ac:dyDescent="0.25">
      <c r="A40" s="2">
        <v>43765</v>
      </c>
      <c r="B40" s="1" t="s">
        <v>154</v>
      </c>
      <c r="C40" s="1" t="s">
        <v>41</v>
      </c>
      <c r="D40" s="1">
        <v>109</v>
      </c>
      <c r="E40" s="1" t="s">
        <v>42</v>
      </c>
      <c r="F40" s="1">
        <v>116</v>
      </c>
      <c r="G40" s="1" t="s">
        <v>151</v>
      </c>
      <c r="H40" s="1"/>
      <c r="I40" s="1">
        <v>17049</v>
      </c>
      <c r="J40" s="1"/>
    </row>
    <row r="41" spans="1:10" x14ac:dyDescent="0.25">
      <c r="A41" s="2">
        <v>43765</v>
      </c>
      <c r="B41" s="1" t="s">
        <v>162</v>
      </c>
      <c r="C41" s="1" t="s">
        <v>29</v>
      </c>
      <c r="D41" s="1">
        <v>101</v>
      </c>
      <c r="E41" s="1" t="s">
        <v>47</v>
      </c>
      <c r="F41" s="1">
        <v>120</v>
      </c>
      <c r="G41" s="1" t="s">
        <v>151</v>
      </c>
      <c r="H41" s="1"/>
      <c r="I41" s="1">
        <v>18997</v>
      </c>
      <c r="J41" s="1"/>
    </row>
    <row r="42" spans="1:10" x14ac:dyDescent="0.25">
      <c r="A42" s="2">
        <v>43766</v>
      </c>
      <c r="B42" s="1" t="s">
        <v>154</v>
      </c>
      <c r="C42" s="1" t="s">
        <v>31</v>
      </c>
      <c r="D42" s="1">
        <v>98</v>
      </c>
      <c r="E42" s="1" t="s">
        <v>35</v>
      </c>
      <c r="F42" s="1">
        <v>105</v>
      </c>
      <c r="G42" s="1" t="s">
        <v>151</v>
      </c>
      <c r="H42" s="1"/>
      <c r="I42" s="1">
        <v>19812</v>
      </c>
      <c r="J42" s="1"/>
    </row>
    <row r="43" spans="1:10" x14ac:dyDescent="0.25">
      <c r="A43" s="2">
        <v>43766</v>
      </c>
      <c r="B43" s="1" t="s">
        <v>154</v>
      </c>
      <c r="C43" s="1" t="s">
        <v>51</v>
      </c>
      <c r="D43" s="1">
        <v>94</v>
      </c>
      <c r="E43" s="1" t="s">
        <v>30</v>
      </c>
      <c r="F43" s="1">
        <v>96</v>
      </c>
      <c r="G43" s="1" t="s">
        <v>151</v>
      </c>
      <c r="H43" s="1"/>
      <c r="I43" s="1">
        <v>13565</v>
      </c>
      <c r="J43" s="1"/>
    </row>
    <row r="44" spans="1:10" x14ac:dyDescent="0.25">
      <c r="A44" s="2">
        <v>43766</v>
      </c>
      <c r="B44" s="1" t="s">
        <v>155</v>
      </c>
      <c r="C44" s="1" t="s">
        <v>53</v>
      </c>
      <c r="D44" s="1">
        <v>95</v>
      </c>
      <c r="E44" s="1" t="s">
        <v>27</v>
      </c>
      <c r="F44" s="1">
        <v>104</v>
      </c>
      <c r="G44" s="1" t="s">
        <v>151</v>
      </c>
      <c r="H44" s="1"/>
      <c r="I44" s="1">
        <v>19800</v>
      </c>
      <c r="J44" s="1"/>
    </row>
    <row r="45" spans="1:10" x14ac:dyDescent="0.25">
      <c r="A45" s="2">
        <v>43766</v>
      </c>
      <c r="B45" s="1" t="s">
        <v>155</v>
      </c>
      <c r="C45" s="1" t="s">
        <v>45</v>
      </c>
      <c r="D45" s="1">
        <v>105</v>
      </c>
      <c r="E45" s="1" t="s">
        <v>52</v>
      </c>
      <c r="F45" s="1">
        <v>103</v>
      </c>
      <c r="G45" s="1" t="s">
        <v>151</v>
      </c>
      <c r="H45" s="1"/>
      <c r="I45" s="1">
        <v>14094</v>
      </c>
      <c r="J45" s="1"/>
    </row>
    <row r="46" spans="1:10" x14ac:dyDescent="0.25">
      <c r="A46" s="2">
        <v>43766</v>
      </c>
      <c r="B46" s="1" t="s">
        <v>150</v>
      </c>
      <c r="C46" s="1" t="s">
        <v>33</v>
      </c>
      <c r="D46" s="1">
        <v>112</v>
      </c>
      <c r="E46" s="1" t="s">
        <v>32</v>
      </c>
      <c r="F46" s="1">
        <v>116</v>
      </c>
      <c r="G46" s="1" t="s">
        <v>151</v>
      </c>
      <c r="H46" s="1"/>
      <c r="I46" s="1">
        <v>18055</v>
      </c>
      <c r="J46" s="1"/>
    </row>
    <row r="47" spans="1:10" x14ac:dyDescent="0.25">
      <c r="A47" s="2">
        <v>43766</v>
      </c>
      <c r="B47" s="1" t="s">
        <v>150</v>
      </c>
      <c r="C47" s="1" t="s">
        <v>49</v>
      </c>
      <c r="D47" s="1">
        <v>112</v>
      </c>
      <c r="E47" s="1" t="s">
        <v>39</v>
      </c>
      <c r="F47" s="1">
        <v>129</v>
      </c>
      <c r="G47" s="1" t="s">
        <v>151</v>
      </c>
      <c r="H47" s="1"/>
      <c r="I47" s="1">
        <v>17385</v>
      </c>
      <c r="J47" s="1"/>
    </row>
    <row r="48" spans="1:10" x14ac:dyDescent="0.25">
      <c r="A48" s="2">
        <v>43766</v>
      </c>
      <c r="B48" s="1" t="s">
        <v>150</v>
      </c>
      <c r="C48" s="1" t="s">
        <v>44</v>
      </c>
      <c r="D48" s="1">
        <v>134</v>
      </c>
      <c r="E48" s="1" t="s">
        <v>37</v>
      </c>
      <c r="F48" s="1">
        <v>123</v>
      </c>
      <c r="G48" s="1" t="s">
        <v>151</v>
      </c>
      <c r="H48" s="1"/>
      <c r="I48" s="1">
        <v>17307</v>
      </c>
      <c r="J48" s="1"/>
    </row>
    <row r="49" spans="1:10" x14ac:dyDescent="0.25">
      <c r="A49" s="2">
        <v>43766</v>
      </c>
      <c r="B49" s="1" t="s">
        <v>156</v>
      </c>
      <c r="C49" s="1" t="s">
        <v>28</v>
      </c>
      <c r="D49" s="1">
        <v>110</v>
      </c>
      <c r="E49" s="1" t="s">
        <v>54</v>
      </c>
      <c r="F49" s="1">
        <v>113</v>
      </c>
      <c r="G49" s="1" t="s">
        <v>151</v>
      </c>
      <c r="H49" s="1"/>
      <c r="I49" s="1">
        <v>18083</v>
      </c>
      <c r="J49" s="1"/>
    </row>
    <row r="50" spans="1:10" x14ac:dyDescent="0.25">
      <c r="A50" s="2">
        <v>43766</v>
      </c>
      <c r="B50" s="1" t="s">
        <v>158</v>
      </c>
      <c r="C50" s="1" t="s">
        <v>34</v>
      </c>
      <c r="D50" s="1">
        <v>96</v>
      </c>
      <c r="E50" s="1" t="s">
        <v>26</v>
      </c>
      <c r="F50" s="1">
        <v>95</v>
      </c>
      <c r="G50" s="1" t="s">
        <v>151</v>
      </c>
      <c r="H50" s="1"/>
      <c r="I50" s="1">
        <v>14805</v>
      </c>
      <c r="J50" s="1"/>
    </row>
    <row r="51" spans="1:10" x14ac:dyDescent="0.25">
      <c r="A51" s="2">
        <v>43766</v>
      </c>
      <c r="B51" s="1" t="s">
        <v>158</v>
      </c>
      <c r="C51" s="1" t="s">
        <v>50</v>
      </c>
      <c r="D51" s="1">
        <v>101</v>
      </c>
      <c r="E51" s="1" t="s">
        <v>36</v>
      </c>
      <c r="F51" s="1">
        <v>94</v>
      </c>
      <c r="G51" s="1" t="s">
        <v>151</v>
      </c>
      <c r="H51" s="1"/>
      <c r="I51" s="1">
        <v>15870</v>
      </c>
      <c r="J51" s="1"/>
    </row>
    <row r="52" spans="1:10" x14ac:dyDescent="0.25">
      <c r="A52" s="2">
        <v>43766</v>
      </c>
      <c r="B52" s="1" t="s">
        <v>153</v>
      </c>
      <c r="C52" s="1" t="s">
        <v>29</v>
      </c>
      <c r="D52" s="1">
        <v>96</v>
      </c>
      <c r="E52" s="1" t="s">
        <v>25</v>
      </c>
      <c r="F52" s="1">
        <v>111</v>
      </c>
      <c r="G52" s="1" t="s">
        <v>151</v>
      </c>
      <c r="H52" s="1"/>
      <c r="I52" s="1">
        <v>19068</v>
      </c>
      <c r="J52" s="1"/>
    </row>
    <row r="53" spans="1:10" x14ac:dyDescent="0.25">
      <c r="A53" s="2">
        <v>43767</v>
      </c>
      <c r="B53" s="1" t="s">
        <v>155</v>
      </c>
      <c r="C53" s="1" t="s">
        <v>52</v>
      </c>
      <c r="D53" s="1">
        <v>97</v>
      </c>
      <c r="E53" s="1" t="s">
        <v>41</v>
      </c>
      <c r="F53" s="1">
        <v>112</v>
      </c>
      <c r="G53" s="1" t="s">
        <v>151</v>
      </c>
      <c r="H53" s="1"/>
      <c r="I53" s="1">
        <v>19600</v>
      </c>
      <c r="J53" s="1"/>
    </row>
    <row r="54" spans="1:10" x14ac:dyDescent="0.25">
      <c r="A54" s="2">
        <v>43767</v>
      </c>
      <c r="B54" s="1" t="s">
        <v>157</v>
      </c>
      <c r="C54" s="1" t="s">
        <v>43</v>
      </c>
      <c r="D54" s="1">
        <v>109</v>
      </c>
      <c r="E54" s="1" t="s">
        <v>50</v>
      </c>
      <c r="F54" s="1">
        <v>106</v>
      </c>
      <c r="G54" s="1" t="s">
        <v>151</v>
      </c>
      <c r="H54" s="1"/>
      <c r="I54" s="1">
        <v>16605</v>
      </c>
      <c r="J54" s="1"/>
    </row>
    <row r="55" spans="1:10" x14ac:dyDescent="0.25">
      <c r="A55" s="2">
        <v>43767</v>
      </c>
      <c r="B55" s="1" t="s">
        <v>153</v>
      </c>
      <c r="C55" s="1" t="s">
        <v>48</v>
      </c>
      <c r="D55" s="1">
        <v>91</v>
      </c>
      <c r="E55" s="1" t="s">
        <v>47</v>
      </c>
      <c r="F55" s="1">
        <v>120</v>
      </c>
      <c r="G55" s="1" t="s">
        <v>151</v>
      </c>
      <c r="H55" s="1"/>
      <c r="I55" s="1">
        <v>18997</v>
      </c>
      <c r="J55" s="1"/>
    </row>
    <row r="56" spans="1:10" x14ac:dyDescent="0.25">
      <c r="A56" s="2">
        <v>43768</v>
      </c>
      <c r="B56" s="1" t="s">
        <v>154</v>
      </c>
      <c r="C56" s="1" t="s">
        <v>31</v>
      </c>
      <c r="D56" s="1">
        <v>111</v>
      </c>
      <c r="E56" s="1" t="s">
        <v>49</v>
      </c>
      <c r="F56" s="1">
        <v>117</v>
      </c>
      <c r="G56" s="1" t="s">
        <v>151</v>
      </c>
      <c r="H56" s="1"/>
      <c r="I56" s="1">
        <v>17595</v>
      </c>
      <c r="J56" s="1"/>
    </row>
    <row r="57" spans="1:10" x14ac:dyDescent="0.25">
      <c r="A57" s="2">
        <v>43768</v>
      </c>
      <c r="B57" s="1" t="s">
        <v>154</v>
      </c>
      <c r="C57" s="1" t="s">
        <v>35</v>
      </c>
      <c r="D57" s="1">
        <v>83</v>
      </c>
      <c r="E57" s="1" t="s">
        <v>53</v>
      </c>
      <c r="F57" s="1">
        <v>95</v>
      </c>
      <c r="G57" s="1" t="s">
        <v>151</v>
      </c>
      <c r="H57" s="1"/>
      <c r="I57" s="1">
        <v>17456</v>
      </c>
      <c r="J57" s="1"/>
    </row>
    <row r="58" spans="1:10" x14ac:dyDescent="0.25">
      <c r="A58" s="2">
        <v>43768</v>
      </c>
      <c r="B58" s="1" t="s">
        <v>154</v>
      </c>
      <c r="C58" s="1" t="s">
        <v>42</v>
      </c>
      <c r="D58" s="1">
        <v>95</v>
      </c>
      <c r="E58" s="1" t="s">
        <v>45</v>
      </c>
      <c r="F58" s="1">
        <v>117</v>
      </c>
      <c r="G58" s="1" t="s">
        <v>151</v>
      </c>
      <c r="H58" s="1"/>
      <c r="I58" s="1">
        <v>20204</v>
      </c>
      <c r="J58" s="1"/>
    </row>
    <row r="59" spans="1:10" x14ac:dyDescent="0.25">
      <c r="A59" s="2">
        <v>43768</v>
      </c>
      <c r="B59" s="1" t="s">
        <v>155</v>
      </c>
      <c r="C59" s="1" t="s">
        <v>39</v>
      </c>
      <c r="D59" s="1">
        <v>105</v>
      </c>
      <c r="E59" s="1" t="s">
        <v>46</v>
      </c>
      <c r="F59" s="1">
        <v>116</v>
      </c>
      <c r="G59" s="1" t="s">
        <v>151</v>
      </c>
      <c r="H59" s="1"/>
      <c r="I59" s="1">
        <v>18624</v>
      </c>
      <c r="J59" s="1"/>
    </row>
    <row r="60" spans="1:10" x14ac:dyDescent="0.25">
      <c r="A60" s="2">
        <v>43768</v>
      </c>
      <c r="B60" s="1" t="s">
        <v>155</v>
      </c>
      <c r="C60" s="1" t="s">
        <v>51</v>
      </c>
      <c r="D60" s="1">
        <v>118</v>
      </c>
      <c r="E60" s="1" t="s">
        <v>38</v>
      </c>
      <c r="F60" s="1">
        <v>108</v>
      </c>
      <c r="G60" s="1" t="s">
        <v>151</v>
      </c>
      <c r="H60" s="1"/>
      <c r="I60" s="1">
        <v>17083</v>
      </c>
      <c r="J60" s="1"/>
    </row>
    <row r="61" spans="1:10" x14ac:dyDescent="0.25">
      <c r="A61" s="2">
        <v>43768</v>
      </c>
      <c r="B61" s="1" t="s">
        <v>155</v>
      </c>
      <c r="C61" s="1" t="s">
        <v>30</v>
      </c>
      <c r="D61" s="1">
        <v>113</v>
      </c>
      <c r="E61" s="1" t="s">
        <v>27</v>
      </c>
      <c r="F61" s="1">
        <v>125</v>
      </c>
      <c r="G61" s="1" t="s">
        <v>151</v>
      </c>
      <c r="H61" s="1"/>
      <c r="I61" s="1">
        <v>19800</v>
      </c>
      <c r="J61" s="1"/>
    </row>
    <row r="62" spans="1:10" x14ac:dyDescent="0.25">
      <c r="A62" s="2">
        <v>43768</v>
      </c>
      <c r="B62" s="1" t="s">
        <v>150</v>
      </c>
      <c r="C62" s="1" t="s">
        <v>28</v>
      </c>
      <c r="D62" s="1">
        <v>102</v>
      </c>
      <c r="E62" s="1" t="s">
        <v>33</v>
      </c>
      <c r="F62" s="1">
        <v>99</v>
      </c>
      <c r="G62" s="1" t="s">
        <v>151</v>
      </c>
      <c r="H62" s="1"/>
      <c r="I62" s="1">
        <v>18203</v>
      </c>
      <c r="J62" s="1"/>
    </row>
    <row r="63" spans="1:10" x14ac:dyDescent="0.25">
      <c r="A63" s="2">
        <v>43768</v>
      </c>
      <c r="B63" s="1" t="s">
        <v>150</v>
      </c>
      <c r="C63" s="1" t="s">
        <v>32</v>
      </c>
      <c r="D63" s="1">
        <v>159</v>
      </c>
      <c r="E63" s="1" t="s">
        <v>40</v>
      </c>
      <c r="F63" s="1">
        <v>158</v>
      </c>
      <c r="G63" s="1" t="s">
        <v>151</v>
      </c>
      <c r="H63" s="1"/>
      <c r="I63" s="1">
        <v>20476</v>
      </c>
      <c r="J63" s="1"/>
    </row>
    <row r="64" spans="1:10" x14ac:dyDescent="0.25">
      <c r="A64" s="2">
        <v>43768</v>
      </c>
      <c r="B64" s="1" t="s">
        <v>158</v>
      </c>
      <c r="C64" s="1" t="s">
        <v>29</v>
      </c>
      <c r="D64" s="1">
        <v>118</v>
      </c>
      <c r="E64" s="1" t="s">
        <v>36</v>
      </c>
      <c r="F64" s="1">
        <v>111</v>
      </c>
      <c r="G64" s="1" t="s">
        <v>151</v>
      </c>
      <c r="H64" s="1"/>
      <c r="I64" s="1">
        <v>15416</v>
      </c>
      <c r="J64" s="1"/>
    </row>
    <row r="65" spans="1:10" x14ac:dyDescent="0.25">
      <c r="A65" s="2">
        <v>43768</v>
      </c>
      <c r="B65" s="1" t="s">
        <v>158</v>
      </c>
      <c r="C65" s="1" t="s">
        <v>25</v>
      </c>
      <c r="D65" s="1">
        <v>96</v>
      </c>
      <c r="E65" s="1" t="s">
        <v>34</v>
      </c>
      <c r="F65" s="1">
        <v>110</v>
      </c>
      <c r="G65" s="1" t="s">
        <v>151</v>
      </c>
      <c r="H65" s="1"/>
      <c r="I65" s="1">
        <v>18306</v>
      </c>
      <c r="J65" s="1"/>
    </row>
    <row r="66" spans="1:10" x14ac:dyDescent="0.25">
      <c r="A66" s="2">
        <v>43768</v>
      </c>
      <c r="B66" s="1" t="s">
        <v>153</v>
      </c>
      <c r="C66" s="1" t="s">
        <v>26</v>
      </c>
      <c r="D66" s="1">
        <v>121</v>
      </c>
      <c r="E66" s="1" t="s">
        <v>44</v>
      </c>
      <c r="F66" s="1">
        <v>110</v>
      </c>
      <c r="G66" s="1" t="s">
        <v>151</v>
      </c>
      <c r="H66" s="1"/>
      <c r="I66" s="1">
        <v>18064</v>
      </c>
      <c r="J66" s="1"/>
    </row>
    <row r="67" spans="1:10" x14ac:dyDescent="0.25">
      <c r="A67" s="2">
        <v>43769</v>
      </c>
      <c r="B67" s="1" t="s">
        <v>154</v>
      </c>
      <c r="C67" s="1" t="s">
        <v>41</v>
      </c>
      <c r="D67" s="1">
        <v>106</v>
      </c>
      <c r="E67" s="1" t="s">
        <v>52</v>
      </c>
      <c r="F67" s="1">
        <v>97</v>
      </c>
      <c r="G67" s="1" t="s">
        <v>151</v>
      </c>
      <c r="H67" s="1"/>
      <c r="I67" s="1">
        <v>16539</v>
      </c>
      <c r="J67" s="1"/>
    </row>
    <row r="68" spans="1:10" x14ac:dyDescent="0.25">
      <c r="A68" s="2">
        <v>43769</v>
      </c>
      <c r="B68" s="1" t="s">
        <v>162</v>
      </c>
      <c r="C68" s="1" t="s">
        <v>50</v>
      </c>
      <c r="D68" s="1">
        <v>107</v>
      </c>
      <c r="E68" s="1" t="s">
        <v>37</v>
      </c>
      <c r="F68" s="1">
        <v>122</v>
      </c>
      <c r="G68" s="1" t="s">
        <v>151</v>
      </c>
      <c r="H68" s="1"/>
      <c r="I68" s="1">
        <v>16613</v>
      </c>
      <c r="J68" s="1"/>
    </row>
    <row r="69" spans="1:10" x14ac:dyDescent="0.25">
      <c r="A69" s="2">
        <v>43769</v>
      </c>
      <c r="B69" s="1" t="s">
        <v>153</v>
      </c>
      <c r="C69" s="1" t="s">
        <v>54</v>
      </c>
      <c r="D69" s="1">
        <v>97</v>
      </c>
      <c r="E69" s="1" t="s">
        <v>25</v>
      </c>
      <c r="F69" s="1">
        <v>103</v>
      </c>
      <c r="G69" s="1" t="s">
        <v>151</v>
      </c>
      <c r="H69" s="1"/>
      <c r="I69" s="1">
        <v>19068</v>
      </c>
      <c r="J69" s="1"/>
    </row>
    <row r="70" spans="1:10" x14ac:dyDescent="0.25">
      <c r="A70" s="2">
        <v>43770</v>
      </c>
      <c r="B70" s="1" t="s">
        <v>154</v>
      </c>
      <c r="C70" s="1" t="s">
        <v>32</v>
      </c>
      <c r="D70" s="1">
        <v>116</v>
      </c>
      <c r="E70" s="1" t="s">
        <v>38</v>
      </c>
      <c r="F70" s="1">
        <v>123</v>
      </c>
      <c r="G70" s="1" t="s">
        <v>151</v>
      </c>
      <c r="H70" s="1"/>
      <c r="I70" s="1">
        <v>17732</v>
      </c>
      <c r="J70" s="1"/>
    </row>
    <row r="71" spans="1:10" x14ac:dyDescent="0.25">
      <c r="A71" s="2">
        <v>43770</v>
      </c>
      <c r="B71" s="1" t="s">
        <v>154</v>
      </c>
      <c r="C71" s="1" t="s">
        <v>49</v>
      </c>
      <c r="D71" s="1">
        <v>95</v>
      </c>
      <c r="E71" s="1" t="s">
        <v>51</v>
      </c>
      <c r="F71" s="1">
        <v>102</v>
      </c>
      <c r="G71" s="1" t="s">
        <v>151</v>
      </c>
      <c r="H71" s="1"/>
      <c r="I71" s="1">
        <v>16079</v>
      </c>
      <c r="J71" s="1"/>
    </row>
    <row r="72" spans="1:10" x14ac:dyDescent="0.25">
      <c r="A72" s="2">
        <v>43770</v>
      </c>
      <c r="B72" s="1" t="s">
        <v>154</v>
      </c>
      <c r="C72" s="1" t="s">
        <v>39</v>
      </c>
      <c r="D72" s="1">
        <v>123</v>
      </c>
      <c r="E72" s="1" t="s">
        <v>53</v>
      </c>
      <c r="F72" s="1">
        <v>91</v>
      </c>
      <c r="G72" s="1" t="s">
        <v>151</v>
      </c>
      <c r="H72" s="1"/>
      <c r="I72" s="1">
        <v>15105</v>
      </c>
      <c r="J72" s="1"/>
    </row>
    <row r="73" spans="1:10" x14ac:dyDescent="0.25">
      <c r="A73" s="2">
        <v>43770</v>
      </c>
      <c r="B73" s="1" t="s">
        <v>155</v>
      </c>
      <c r="C73" s="1" t="s">
        <v>35</v>
      </c>
      <c r="D73" s="1">
        <v>102</v>
      </c>
      <c r="E73" s="1" t="s">
        <v>46</v>
      </c>
      <c r="F73" s="1">
        <v>104</v>
      </c>
      <c r="G73" s="1" t="s">
        <v>151</v>
      </c>
      <c r="H73" s="1"/>
      <c r="I73" s="1">
        <v>18624</v>
      </c>
      <c r="J73" s="1"/>
    </row>
    <row r="74" spans="1:10" x14ac:dyDescent="0.25">
      <c r="A74" s="2">
        <v>43770</v>
      </c>
      <c r="B74" s="1" t="s">
        <v>150</v>
      </c>
      <c r="C74" s="1" t="s">
        <v>30</v>
      </c>
      <c r="D74" s="1">
        <v>106</v>
      </c>
      <c r="E74" s="1" t="s">
        <v>31</v>
      </c>
      <c r="F74" s="1">
        <v>112</v>
      </c>
      <c r="G74" s="1" t="s">
        <v>151</v>
      </c>
      <c r="H74" s="1"/>
      <c r="I74" s="1">
        <v>20671</v>
      </c>
      <c r="J74" s="1"/>
    </row>
    <row r="75" spans="1:10" x14ac:dyDescent="0.25">
      <c r="A75" s="2">
        <v>43770</v>
      </c>
      <c r="B75" s="1" t="s">
        <v>162</v>
      </c>
      <c r="C75" s="1" t="s">
        <v>47</v>
      </c>
      <c r="D75" s="1">
        <v>119</v>
      </c>
      <c r="E75" s="1" t="s">
        <v>43</v>
      </c>
      <c r="F75" s="1">
        <v>110</v>
      </c>
      <c r="G75" s="1" t="s">
        <v>151</v>
      </c>
      <c r="H75" s="1" t="s">
        <v>152</v>
      </c>
      <c r="I75" s="1">
        <v>20358</v>
      </c>
      <c r="J75" s="1"/>
    </row>
    <row r="76" spans="1:10" x14ac:dyDescent="0.25">
      <c r="A76" s="2">
        <v>43770</v>
      </c>
      <c r="B76" s="1" t="s">
        <v>158</v>
      </c>
      <c r="C76" s="1" t="s">
        <v>34</v>
      </c>
      <c r="D76" s="1">
        <v>101</v>
      </c>
      <c r="E76" s="1" t="s">
        <v>36</v>
      </c>
      <c r="F76" s="1">
        <v>102</v>
      </c>
      <c r="G76" s="1" t="s">
        <v>151</v>
      </c>
      <c r="H76" s="1"/>
      <c r="I76" s="1">
        <v>16273</v>
      </c>
      <c r="J76" s="1"/>
    </row>
    <row r="77" spans="1:10" x14ac:dyDescent="0.25">
      <c r="A77" s="2">
        <v>43770</v>
      </c>
      <c r="B77" s="1" t="s">
        <v>153</v>
      </c>
      <c r="C77" s="1" t="s">
        <v>54</v>
      </c>
      <c r="D77" s="1">
        <v>127</v>
      </c>
      <c r="E77" s="1" t="s">
        <v>44</v>
      </c>
      <c r="F77" s="1">
        <v>110</v>
      </c>
      <c r="G77" s="1" t="s">
        <v>151</v>
      </c>
      <c r="H77" s="1"/>
      <c r="I77" s="1">
        <v>18064</v>
      </c>
      <c r="J77" s="1"/>
    </row>
    <row r="78" spans="1:10" x14ac:dyDescent="0.25">
      <c r="A78" s="2">
        <v>43771</v>
      </c>
      <c r="B78" s="1" t="s">
        <v>159</v>
      </c>
      <c r="C78" s="1" t="s">
        <v>37</v>
      </c>
      <c r="D78" s="1">
        <v>104</v>
      </c>
      <c r="E78" s="1" t="s">
        <v>33</v>
      </c>
      <c r="F78" s="1">
        <v>115</v>
      </c>
      <c r="G78" s="1" t="s">
        <v>151</v>
      </c>
      <c r="H78" s="1"/>
      <c r="I78" s="1">
        <v>18203</v>
      </c>
      <c r="J78" s="1"/>
    </row>
    <row r="79" spans="1:10" x14ac:dyDescent="0.25">
      <c r="A79" s="2">
        <v>43771</v>
      </c>
      <c r="B79" s="1" t="s">
        <v>154</v>
      </c>
      <c r="C79" s="1" t="s">
        <v>38</v>
      </c>
      <c r="D79" s="1">
        <v>109</v>
      </c>
      <c r="E79" s="1" t="s">
        <v>30</v>
      </c>
      <c r="F79" s="1">
        <v>113</v>
      </c>
      <c r="G79" s="1" t="s">
        <v>151</v>
      </c>
      <c r="H79" s="1"/>
      <c r="I79" s="1">
        <v>17222</v>
      </c>
      <c r="J79" s="1"/>
    </row>
    <row r="80" spans="1:10" x14ac:dyDescent="0.25">
      <c r="A80" s="2">
        <v>43771</v>
      </c>
      <c r="B80" s="1" t="s">
        <v>154</v>
      </c>
      <c r="C80" s="1" t="s">
        <v>50</v>
      </c>
      <c r="D80" s="1">
        <v>91</v>
      </c>
      <c r="E80" s="1" t="s">
        <v>53</v>
      </c>
      <c r="F80" s="1">
        <v>87</v>
      </c>
      <c r="G80" s="1" t="s">
        <v>151</v>
      </c>
      <c r="H80" s="1"/>
      <c r="I80" s="1">
        <v>17025</v>
      </c>
      <c r="J80" s="1"/>
    </row>
    <row r="81" spans="1:10" x14ac:dyDescent="0.25">
      <c r="A81" s="2">
        <v>43771</v>
      </c>
      <c r="B81" s="1" t="s">
        <v>150</v>
      </c>
      <c r="C81" s="1" t="s">
        <v>26</v>
      </c>
      <c r="D81" s="1">
        <v>114</v>
      </c>
      <c r="E81" s="1" t="s">
        <v>48</v>
      </c>
      <c r="F81" s="1">
        <v>105</v>
      </c>
      <c r="G81" s="1" t="s">
        <v>151</v>
      </c>
      <c r="H81" s="1"/>
      <c r="I81" s="1">
        <v>14144</v>
      </c>
      <c r="J81" s="1"/>
    </row>
    <row r="82" spans="1:10" x14ac:dyDescent="0.25">
      <c r="A82" s="2">
        <v>43771</v>
      </c>
      <c r="B82" s="1" t="s">
        <v>150</v>
      </c>
      <c r="C82" s="1" t="s">
        <v>27</v>
      </c>
      <c r="D82" s="1">
        <v>105</v>
      </c>
      <c r="E82" s="1" t="s">
        <v>39</v>
      </c>
      <c r="F82" s="1">
        <v>115</v>
      </c>
      <c r="G82" s="1" t="s">
        <v>151</v>
      </c>
      <c r="H82" s="1"/>
      <c r="I82" s="1">
        <v>17637</v>
      </c>
      <c r="J82" s="1"/>
    </row>
    <row r="83" spans="1:10" x14ac:dyDescent="0.25">
      <c r="A83" s="2">
        <v>43771</v>
      </c>
      <c r="B83" s="1" t="s">
        <v>150</v>
      </c>
      <c r="C83" s="1" t="s">
        <v>42</v>
      </c>
      <c r="D83" s="1">
        <v>131</v>
      </c>
      <c r="E83" s="1" t="s">
        <v>40</v>
      </c>
      <c r="F83" s="1">
        <v>109</v>
      </c>
      <c r="G83" s="1" t="s">
        <v>151</v>
      </c>
      <c r="H83" s="1"/>
      <c r="I83" s="1">
        <v>15150</v>
      </c>
      <c r="J83" s="1"/>
    </row>
    <row r="84" spans="1:10" x14ac:dyDescent="0.25">
      <c r="A84" s="2">
        <v>43771</v>
      </c>
      <c r="B84" s="1" t="s">
        <v>156</v>
      </c>
      <c r="C84" s="1" t="s">
        <v>29</v>
      </c>
      <c r="D84" s="1">
        <v>93</v>
      </c>
      <c r="E84" s="1" t="s">
        <v>44</v>
      </c>
      <c r="F84" s="1">
        <v>87</v>
      </c>
      <c r="G84" s="1" t="s">
        <v>151</v>
      </c>
      <c r="H84" s="1"/>
      <c r="I84" s="1">
        <v>18064</v>
      </c>
      <c r="J84" s="1"/>
    </row>
    <row r="85" spans="1:10" x14ac:dyDescent="0.25">
      <c r="A85" s="2">
        <v>43771</v>
      </c>
      <c r="B85" s="1" t="s">
        <v>158</v>
      </c>
      <c r="C85" s="1" t="s">
        <v>45</v>
      </c>
      <c r="D85" s="1">
        <v>129</v>
      </c>
      <c r="E85" s="1" t="s">
        <v>28</v>
      </c>
      <c r="F85" s="1">
        <v>128</v>
      </c>
      <c r="G85" s="1" t="s">
        <v>151</v>
      </c>
      <c r="H85" s="1"/>
      <c r="I85" s="1">
        <v>19669</v>
      </c>
      <c r="J85" s="1"/>
    </row>
    <row r="86" spans="1:10" x14ac:dyDescent="0.25">
      <c r="A86" s="2">
        <v>43772</v>
      </c>
      <c r="B86" s="1" t="s">
        <v>159</v>
      </c>
      <c r="C86" s="1" t="s">
        <v>31</v>
      </c>
      <c r="D86" s="1">
        <v>95</v>
      </c>
      <c r="E86" s="1" t="s">
        <v>51</v>
      </c>
      <c r="F86" s="1">
        <v>108</v>
      </c>
      <c r="G86" s="1" t="s">
        <v>151</v>
      </c>
      <c r="H86" s="1"/>
      <c r="I86" s="1">
        <v>17073</v>
      </c>
      <c r="J86" s="1"/>
    </row>
    <row r="87" spans="1:10" x14ac:dyDescent="0.25">
      <c r="A87" s="2">
        <v>43772</v>
      </c>
      <c r="B87" s="1" t="s">
        <v>161</v>
      </c>
      <c r="C87" s="1" t="s">
        <v>32</v>
      </c>
      <c r="D87" s="1">
        <v>100</v>
      </c>
      <c r="E87" s="1" t="s">
        <v>41</v>
      </c>
      <c r="F87" s="1">
        <v>129</v>
      </c>
      <c r="G87" s="1" t="s">
        <v>151</v>
      </c>
      <c r="H87" s="1"/>
      <c r="I87" s="1">
        <v>19724</v>
      </c>
      <c r="J87" s="1"/>
    </row>
    <row r="88" spans="1:10" x14ac:dyDescent="0.25">
      <c r="A88" s="2">
        <v>43772</v>
      </c>
      <c r="B88" s="1" t="s">
        <v>161</v>
      </c>
      <c r="C88" s="1" t="s">
        <v>36</v>
      </c>
      <c r="D88" s="1">
        <v>113</v>
      </c>
      <c r="E88" s="1" t="s">
        <v>35</v>
      </c>
      <c r="F88" s="1">
        <v>92</v>
      </c>
      <c r="G88" s="1" t="s">
        <v>151</v>
      </c>
      <c r="H88" s="1"/>
      <c r="I88" s="1">
        <v>19812</v>
      </c>
      <c r="J88" s="1"/>
    </row>
    <row r="89" spans="1:10" x14ac:dyDescent="0.25">
      <c r="A89" s="2">
        <v>43772</v>
      </c>
      <c r="B89" s="1" t="s">
        <v>154</v>
      </c>
      <c r="C89" s="1" t="s">
        <v>47</v>
      </c>
      <c r="D89" s="1">
        <v>103</v>
      </c>
      <c r="E89" s="1" t="s">
        <v>54</v>
      </c>
      <c r="F89" s="1">
        <v>96</v>
      </c>
      <c r="G89" s="1" t="s">
        <v>151</v>
      </c>
      <c r="H89" s="1"/>
      <c r="I89" s="1">
        <v>18610</v>
      </c>
      <c r="J89" s="1"/>
    </row>
    <row r="90" spans="1:10" x14ac:dyDescent="0.25">
      <c r="A90" s="2">
        <v>43772</v>
      </c>
      <c r="B90" s="1" t="s">
        <v>155</v>
      </c>
      <c r="C90" s="1" t="s">
        <v>43</v>
      </c>
      <c r="D90" s="1">
        <v>131</v>
      </c>
      <c r="E90" s="1" t="s">
        <v>49</v>
      </c>
      <c r="F90" s="1">
        <v>111</v>
      </c>
      <c r="G90" s="1" t="s">
        <v>151</v>
      </c>
      <c r="H90" s="1"/>
      <c r="I90" s="1">
        <v>18078</v>
      </c>
      <c r="J90" s="1"/>
    </row>
    <row r="91" spans="1:10" x14ac:dyDescent="0.25">
      <c r="A91" s="2">
        <v>43772</v>
      </c>
      <c r="B91" s="1" t="s">
        <v>157</v>
      </c>
      <c r="C91" s="1" t="s">
        <v>34</v>
      </c>
      <c r="D91" s="1">
        <v>94</v>
      </c>
      <c r="E91" s="1" t="s">
        <v>25</v>
      </c>
      <c r="F91" s="1">
        <v>105</v>
      </c>
      <c r="G91" s="1" t="s">
        <v>151</v>
      </c>
      <c r="H91" s="1"/>
      <c r="I91" s="1">
        <v>19068</v>
      </c>
      <c r="J91" s="1"/>
    </row>
    <row r="92" spans="1:10" x14ac:dyDescent="0.25">
      <c r="A92" s="2">
        <v>43773</v>
      </c>
      <c r="B92" s="1" t="s">
        <v>154</v>
      </c>
      <c r="C92" s="1" t="s">
        <v>30</v>
      </c>
      <c r="D92" s="1">
        <v>99</v>
      </c>
      <c r="E92" s="1" t="s">
        <v>40</v>
      </c>
      <c r="F92" s="1">
        <v>115</v>
      </c>
      <c r="G92" s="1" t="s">
        <v>151</v>
      </c>
      <c r="H92" s="1"/>
      <c r="I92" s="1">
        <v>13052</v>
      </c>
      <c r="J92" s="1"/>
    </row>
    <row r="93" spans="1:10" x14ac:dyDescent="0.25">
      <c r="A93" s="2">
        <v>43773</v>
      </c>
      <c r="B93" s="1" t="s">
        <v>155</v>
      </c>
      <c r="C93" s="1" t="s">
        <v>37</v>
      </c>
      <c r="D93" s="1">
        <v>125</v>
      </c>
      <c r="E93" s="1" t="s">
        <v>38</v>
      </c>
      <c r="F93" s="1">
        <v>135</v>
      </c>
      <c r="G93" s="1" t="s">
        <v>151</v>
      </c>
      <c r="H93" s="1"/>
      <c r="I93" s="1">
        <v>17194</v>
      </c>
      <c r="J93" s="1"/>
    </row>
    <row r="94" spans="1:10" x14ac:dyDescent="0.25">
      <c r="A94" s="2">
        <v>43773</v>
      </c>
      <c r="B94" s="1" t="s">
        <v>150</v>
      </c>
      <c r="C94" s="1" t="s">
        <v>32</v>
      </c>
      <c r="D94" s="1">
        <v>107</v>
      </c>
      <c r="E94" s="1" t="s">
        <v>48</v>
      </c>
      <c r="F94" s="1">
        <v>100</v>
      </c>
      <c r="G94" s="1" t="s">
        <v>151</v>
      </c>
      <c r="H94" s="1"/>
      <c r="I94" s="1">
        <v>14197</v>
      </c>
      <c r="J94" s="1"/>
    </row>
    <row r="95" spans="1:10" x14ac:dyDescent="0.25">
      <c r="A95" s="2">
        <v>43773</v>
      </c>
      <c r="B95" s="1" t="s">
        <v>150</v>
      </c>
      <c r="C95" s="1" t="s">
        <v>39</v>
      </c>
      <c r="D95" s="1">
        <v>134</v>
      </c>
      <c r="E95" s="1" t="s">
        <v>42</v>
      </c>
      <c r="F95" s="1">
        <v>106</v>
      </c>
      <c r="G95" s="1" t="s">
        <v>151</v>
      </c>
      <c r="H95" s="1"/>
      <c r="I95" s="1">
        <v>16271</v>
      </c>
      <c r="J95" s="1"/>
    </row>
    <row r="96" spans="1:10" x14ac:dyDescent="0.25">
      <c r="A96" s="2">
        <v>43773</v>
      </c>
      <c r="B96" s="1" t="s">
        <v>157</v>
      </c>
      <c r="C96" s="1" t="s">
        <v>45</v>
      </c>
      <c r="D96" s="1">
        <v>109</v>
      </c>
      <c r="E96" s="1" t="s">
        <v>26</v>
      </c>
      <c r="F96" s="1">
        <v>114</v>
      </c>
      <c r="G96" s="1" t="s">
        <v>151</v>
      </c>
      <c r="H96" s="1"/>
      <c r="I96" s="1">
        <v>14285</v>
      </c>
      <c r="J96" s="1"/>
    </row>
    <row r="97" spans="1:10" x14ac:dyDescent="0.25">
      <c r="A97" s="2">
        <v>43773</v>
      </c>
      <c r="B97" s="1" t="s">
        <v>153</v>
      </c>
      <c r="C97" s="1" t="s">
        <v>28</v>
      </c>
      <c r="D97" s="1">
        <v>118</v>
      </c>
      <c r="E97" s="1" t="s">
        <v>44</v>
      </c>
      <c r="F97" s="1">
        <v>127</v>
      </c>
      <c r="G97" s="1" t="s">
        <v>151</v>
      </c>
      <c r="H97" s="1"/>
      <c r="I97" s="1">
        <v>18064</v>
      </c>
      <c r="J97" s="1"/>
    </row>
    <row r="98" spans="1:10" x14ac:dyDescent="0.25">
      <c r="A98" s="2">
        <v>43774</v>
      </c>
      <c r="B98" s="1" t="s">
        <v>154</v>
      </c>
      <c r="C98" s="1" t="s">
        <v>51</v>
      </c>
      <c r="D98" s="1">
        <v>120</v>
      </c>
      <c r="E98" s="1" t="s">
        <v>29</v>
      </c>
      <c r="F98" s="1">
        <v>122</v>
      </c>
      <c r="G98" s="1" t="s">
        <v>151</v>
      </c>
      <c r="H98" s="1" t="s">
        <v>152</v>
      </c>
      <c r="I98" s="1">
        <v>13341</v>
      </c>
      <c r="J98" s="1"/>
    </row>
    <row r="99" spans="1:10" x14ac:dyDescent="0.25">
      <c r="A99" s="2">
        <v>43774</v>
      </c>
      <c r="B99" s="1" t="s">
        <v>154</v>
      </c>
      <c r="C99" s="1" t="s">
        <v>46</v>
      </c>
      <c r="D99" s="1">
        <v>119</v>
      </c>
      <c r="E99" s="1" t="s">
        <v>49</v>
      </c>
      <c r="F99" s="1">
        <v>113</v>
      </c>
      <c r="G99" s="1" t="s">
        <v>151</v>
      </c>
      <c r="H99" s="1"/>
      <c r="I99" s="1">
        <v>17709</v>
      </c>
      <c r="J99" s="1"/>
    </row>
    <row r="100" spans="1:10" x14ac:dyDescent="0.25">
      <c r="A100" s="2">
        <v>43774</v>
      </c>
      <c r="B100" s="1" t="s">
        <v>155</v>
      </c>
      <c r="C100" s="1" t="s">
        <v>54</v>
      </c>
      <c r="D100" s="1">
        <v>100</v>
      </c>
      <c r="E100" s="1" t="s">
        <v>52</v>
      </c>
      <c r="F100" s="1">
        <v>108</v>
      </c>
      <c r="G100" s="1" t="s">
        <v>151</v>
      </c>
      <c r="H100" s="1"/>
      <c r="I100" s="1">
        <v>14025</v>
      </c>
      <c r="J100" s="1"/>
    </row>
    <row r="101" spans="1:10" x14ac:dyDescent="0.25">
      <c r="A101" s="2">
        <v>43774</v>
      </c>
      <c r="B101" s="1" t="s">
        <v>150</v>
      </c>
      <c r="C101" s="1" t="s">
        <v>47</v>
      </c>
      <c r="D101" s="1">
        <v>118</v>
      </c>
      <c r="E101" s="1" t="s">
        <v>31</v>
      </c>
      <c r="F101" s="1">
        <v>112</v>
      </c>
      <c r="G101" s="1" t="s">
        <v>151</v>
      </c>
      <c r="H101" s="1"/>
      <c r="I101" s="1">
        <v>21193</v>
      </c>
      <c r="J101" s="1"/>
    </row>
    <row r="102" spans="1:10" x14ac:dyDescent="0.25">
      <c r="A102" s="2">
        <v>43774</v>
      </c>
      <c r="B102" s="1" t="s">
        <v>150</v>
      </c>
      <c r="C102" s="1" t="s">
        <v>53</v>
      </c>
      <c r="D102" s="1">
        <v>94</v>
      </c>
      <c r="E102" s="1" t="s">
        <v>33</v>
      </c>
      <c r="F102" s="1">
        <v>102</v>
      </c>
      <c r="G102" s="1" t="s">
        <v>151</v>
      </c>
      <c r="H102" s="1"/>
      <c r="I102" s="1">
        <v>18203</v>
      </c>
      <c r="J102" s="1"/>
    </row>
    <row r="103" spans="1:10" x14ac:dyDescent="0.25">
      <c r="A103" s="2">
        <v>43774</v>
      </c>
      <c r="B103" s="1" t="s">
        <v>157</v>
      </c>
      <c r="C103" s="1" t="s">
        <v>41</v>
      </c>
      <c r="D103" s="1">
        <v>89</v>
      </c>
      <c r="E103" s="1" t="s">
        <v>50</v>
      </c>
      <c r="F103" s="1">
        <v>109</v>
      </c>
      <c r="G103" s="1" t="s">
        <v>151</v>
      </c>
      <c r="H103" s="1"/>
      <c r="I103" s="1">
        <v>18010</v>
      </c>
      <c r="J103" s="1"/>
    </row>
    <row r="104" spans="1:10" x14ac:dyDescent="0.25">
      <c r="A104" s="2">
        <v>43775</v>
      </c>
      <c r="B104" s="1" t="s">
        <v>154</v>
      </c>
      <c r="C104" s="1" t="s">
        <v>35</v>
      </c>
      <c r="D104" s="1">
        <v>102</v>
      </c>
      <c r="E104" s="1" t="s">
        <v>30</v>
      </c>
      <c r="F104" s="1">
        <v>122</v>
      </c>
      <c r="G104" s="1" t="s">
        <v>151</v>
      </c>
      <c r="H104" s="1"/>
      <c r="I104" s="1">
        <v>15463</v>
      </c>
      <c r="J104" s="1"/>
    </row>
    <row r="105" spans="1:10" x14ac:dyDescent="0.25">
      <c r="A105" s="2">
        <v>43775</v>
      </c>
      <c r="B105" s="1" t="s">
        <v>154</v>
      </c>
      <c r="C105" s="1" t="s">
        <v>40</v>
      </c>
      <c r="D105" s="1">
        <v>106</v>
      </c>
      <c r="E105" s="1" t="s">
        <v>51</v>
      </c>
      <c r="F105" s="1">
        <v>121</v>
      </c>
      <c r="G105" s="1" t="s">
        <v>151</v>
      </c>
      <c r="H105" s="1"/>
      <c r="I105" s="1">
        <v>16171</v>
      </c>
      <c r="J105" s="1"/>
    </row>
    <row r="106" spans="1:10" x14ac:dyDescent="0.25">
      <c r="A106" s="2">
        <v>43775</v>
      </c>
      <c r="B106" s="1" t="s">
        <v>155</v>
      </c>
      <c r="C106" s="1" t="s">
        <v>31</v>
      </c>
      <c r="D106" s="1">
        <v>113</v>
      </c>
      <c r="E106" s="1" t="s">
        <v>52</v>
      </c>
      <c r="F106" s="1">
        <v>93</v>
      </c>
      <c r="G106" s="1" t="s">
        <v>151</v>
      </c>
      <c r="H106" s="1"/>
      <c r="I106" s="1">
        <v>15049</v>
      </c>
      <c r="J106" s="1"/>
    </row>
    <row r="107" spans="1:10" x14ac:dyDescent="0.25">
      <c r="A107" s="2">
        <v>43775</v>
      </c>
      <c r="B107" s="1" t="s">
        <v>155</v>
      </c>
      <c r="C107" s="1" t="s">
        <v>44</v>
      </c>
      <c r="D107" s="1">
        <v>112</v>
      </c>
      <c r="E107" s="1" t="s">
        <v>32</v>
      </c>
      <c r="F107" s="1">
        <v>129</v>
      </c>
      <c r="G107" s="1" t="s">
        <v>151</v>
      </c>
      <c r="H107" s="1"/>
      <c r="I107" s="1">
        <v>18055</v>
      </c>
      <c r="J107" s="1"/>
    </row>
    <row r="108" spans="1:10" x14ac:dyDescent="0.25">
      <c r="A108" s="2">
        <v>43775</v>
      </c>
      <c r="B108" s="1" t="s">
        <v>155</v>
      </c>
      <c r="C108" s="1" t="s">
        <v>36</v>
      </c>
      <c r="D108" s="1">
        <v>120</v>
      </c>
      <c r="E108" s="1" t="s">
        <v>27</v>
      </c>
      <c r="F108" s="1">
        <v>124</v>
      </c>
      <c r="G108" s="1" t="s">
        <v>151</v>
      </c>
      <c r="H108" s="1"/>
      <c r="I108" s="1">
        <v>19800</v>
      </c>
      <c r="J108" s="1"/>
    </row>
    <row r="109" spans="1:10" x14ac:dyDescent="0.25">
      <c r="A109" s="2">
        <v>43775</v>
      </c>
      <c r="B109" s="1" t="s">
        <v>150</v>
      </c>
      <c r="C109" s="1" t="s">
        <v>42</v>
      </c>
      <c r="D109" s="1">
        <v>121</v>
      </c>
      <c r="E109" s="1" t="s">
        <v>48</v>
      </c>
      <c r="F109" s="1">
        <v>137</v>
      </c>
      <c r="G109" s="1" t="s">
        <v>151</v>
      </c>
      <c r="H109" s="1"/>
      <c r="I109" s="1">
        <v>13503</v>
      </c>
      <c r="J109" s="1"/>
    </row>
    <row r="110" spans="1:10" x14ac:dyDescent="0.25">
      <c r="A110" s="2">
        <v>43775</v>
      </c>
      <c r="B110" s="1" t="s">
        <v>156</v>
      </c>
      <c r="C110" s="1" t="s">
        <v>53</v>
      </c>
      <c r="D110" s="1">
        <v>106</v>
      </c>
      <c r="E110" s="1" t="s">
        <v>43</v>
      </c>
      <c r="F110" s="1">
        <v>107</v>
      </c>
      <c r="G110" s="1" t="s">
        <v>151</v>
      </c>
      <c r="H110" s="1"/>
      <c r="I110" s="1">
        <v>19487</v>
      </c>
      <c r="J110" s="1"/>
    </row>
    <row r="111" spans="1:10" x14ac:dyDescent="0.25">
      <c r="A111" s="2">
        <v>43775</v>
      </c>
      <c r="B111" s="1" t="s">
        <v>157</v>
      </c>
      <c r="C111" s="1" t="s">
        <v>45</v>
      </c>
      <c r="D111" s="1">
        <v>104</v>
      </c>
      <c r="E111" s="1" t="s">
        <v>34</v>
      </c>
      <c r="F111" s="1">
        <v>106</v>
      </c>
      <c r="G111" s="1" t="s">
        <v>151</v>
      </c>
      <c r="H111" s="1"/>
      <c r="I111" s="1">
        <v>18306</v>
      </c>
      <c r="J111" s="1"/>
    </row>
    <row r="112" spans="1:10" x14ac:dyDescent="0.25">
      <c r="A112" s="2">
        <v>43775</v>
      </c>
      <c r="B112" s="1" t="s">
        <v>158</v>
      </c>
      <c r="C112" s="1" t="s">
        <v>39</v>
      </c>
      <c r="D112" s="1">
        <v>129</v>
      </c>
      <c r="E112" s="1" t="s">
        <v>25</v>
      </c>
      <c r="F112" s="1">
        <v>124</v>
      </c>
      <c r="G112" s="1" t="s">
        <v>151</v>
      </c>
      <c r="H112" s="1"/>
      <c r="I112" s="1">
        <v>19068</v>
      </c>
      <c r="J112" s="1"/>
    </row>
    <row r="113" spans="1:10" x14ac:dyDescent="0.25">
      <c r="A113" s="2">
        <v>43776</v>
      </c>
      <c r="B113" s="1" t="s">
        <v>150</v>
      </c>
      <c r="C113" s="1" t="s">
        <v>46</v>
      </c>
      <c r="D113" s="1">
        <v>108</v>
      </c>
      <c r="E113" s="1" t="s">
        <v>29</v>
      </c>
      <c r="F113" s="1">
        <v>87</v>
      </c>
      <c r="G113" s="1" t="s">
        <v>151</v>
      </c>
      <c r="H113" s="1"/>
      <c r="I113" s="1">
        <v>18487</v>
      </c>
      <c r="J113" s="1"/>
    </row>
    <row r="114" spans="1:10" x14ac:dyDescent="0.25">
      <c r="A114" s="2">
        <v>43776</v>
      </c>
      <c r="B114" s="1" t="s">
        <v>156</v>
      </c>
      <c r="C114" s="1" t="s">
        <v>33</v>
      </c>
      <c r="D114" s="1">
        <v>112</v>
      </c>
      <c r="E114" s="1" t="s">
        <v>54</v>
      </c>
      <c r="F114" s="1">
        <v>121</v>
      </c>
      <c r="G114" s="1" t="s">
        <v>151</v>
      </c>
      <c r="H114" s="1"/>
      <c r="I114" s="1">
        <v>18354</v>
      </c>
      <c r="J114" s="1"/>
    </row>
    <row r="115" spans="1:10" x14ac:dyDescent="0.25">
      <c r="A115" s="2">
        <v>43776</v>
      </c>
      <c r="B115" s="1" t="s">
        <v>157</v>
      </c>
      <c r="C115" s="1" t="s">
        <v>41</v>
      </c>
      <c r="D115" s="1">
        <v>124</v>
      </c>
      <c r="E115" s="1" t="s">
        <v>26</v>
      </c>
      <c r="F115" s="1">
        <v>108</v>
      </c>
      <c r="G115" s="1" t="s">
        <v>151</v>
      </c>
      <c r="H115" s="1"/>
      <c r="I115" s="1">
        <v>15498</v>
      </c>
      <c r="J115" s="1"/>
    </row>
    <row r="116" spans="1:10" x14ac:dyDescent="0.25">
      <c r="A116" s="2">
        <v>43776</v>
      </c>
      <c r="B116" s="1" t="s">
        <v>153</v>
      </c>
      <c r="C116" s="1" t="s">
        <v>28</v>
      </c>
      <c r="D116" s="1">
        <v>101</v>
      </c>
      <c r="E116" s="1" t="s">
        <v>25</v>
      </c>
      <c r="F116" s="1">
        <v>107</v>
      </c>
      <c r="G116" s="1" t="s">
        <v>151</v>
      </c>
      <c r="H116" s="1"/>
      <c r="I116" s="1">
        <v>19068</v>
      </c>
      <c r="J116" s="1"/>
    </row>
    <row r="117" spans="1:10" x14ac:dyDescent="0.25">
      <c r="A117" s="2">
        <v>43777</v>
      </c>
      <c r="B117" s="1" t="s">
        <v>154</v>
      </c>
      <c r="C117" s="1" t="s">
        <v>30</v>
      </c>
      <c r="D117" s="1">
        <v>106</v>
      </c>
      <c r="E117" s="1" t="s">
        <v>51</v>
      </c>
      <c r="F117" s="1">
        <v>112</v>
      </c>
      <c r="G117" s="1" t="s">
        <v>151</v>
      </c>
      <c r="H117" s="1"/>
      <c r="I117" s="1">
        <v>15544</v>
      </c>
      <c r="J117" s="1"/>
    </row>
    <row r="118" spans="1:10" x14ac:dyDescent="0.25">
      <c r="A118" s="2">
        <v>43777</v>
      </c>
      <c r="B118" s="1" t="s">
        <v>154</v>
      </c>
      <c r="C118" s="1" t="s">
        <v>48</v>
      </c>
      <c r="D118" s="1">
        <v>86</v>
      </c>
      <c r="E118" s="1" t="s">
        <v>53</v>
      </c>
      <c r="F118" s="1">
        <v>118</v>
      </c>
      <c r="G118" s="1" t="s">
        <v>151</v>
      </c>
      <c r="H118" s="1"/>
      <c r="I118" s="1">
        <v>17021</v>
      </c>
      <c r="J118" s="1"/>
    </row>
    <row r="119" spans="1:10" x14ac:dyDescent="0.25">
      <c r="A119" s="2">
        <v>43777</v>
      </c>
      <c r="B119" s="1" t="s">
        <v>154</v>
      </c>
      <c r="C119" s="1" t="s">
        <v>49</v>
      </c>
      <c r="D119" s="1">
        <v>113</v>
      </c>
      <c r="E119" s="1" t="s">
        <v>40</v>
      </c>
      <c r="F119" s="1">
        <v>100</v>
      </c>
      <c r="G119" s="1" t="s">
        <v>151</v>
      </c>
      <c r="H119" s="1"/>
      <c r="I119" s="1">
        <v>16946</v>
      </c>
      <c r="J119" s="1"/>
    </row>
    <row r="120" spans="1:10" x14ac:dyDescent="0.25">
      <c r="A120" s="2">
        <v>43777</v>
      </c>
      <c r="B120" s="1" t="s">
        <v>155</v>
      </c>
      <c r="C120" s="1" t="s">
        <v>36</v>
      </c>
      <c r="D120" s="1">
        <v>121</v>
      </c>
      <c r="E120" s="1" t="s">
        <v>52</v>
      </c>
      <c r="F120" s="1">
        <v>109</v>
      </c>
      <c r="G120" s="1" t="s">
        <v>151</v>
      </c>
      <c r="H120" s="1"/>
      <c r="I120" s="1">
        <v>16447</v>
      </c>
      <c r="J120" s="1"/>
    </row>
    <row r="121" spans="1:10" x14ac:dyDescent="0.25">
      <c r="A121" s="2">
        <v>43777</v>
      </c>
      <c r="B121" s="1" t="s">
        <v>150</v>
      </c>
      <c r="C121" s="1" t="s">
        <v>44</v>
      </c>
      <c r="D121" s="1">
        <v>119</v>
      </c>
      <c r="E121" s="1" t="s">
        <v>42</v>
      </c>
      <c r="F121" s="1">
        <v>125</v>
      </c>
      <c r="G121" s="1" t="s">
        <v>151</v>
      </c>
      <c r="H121" s="1" t="s">
        <v>152</v>
      </c>
      <c r="I121" s="1">
        <v>15647</v>
      </c>
      <c r="J121" s="1"/>
    </row>
    <row r="122" spans="1:10" x14ac:dyDescent="0.25">
      <c r="A122" s="2">
        <v>43777</v>
      </c>
      <c r="B122" s="1" t="s">
        <v>150</v>
      </c>
      <c r="C122" s="1" t="s">
        <v>27</v>
      </c>
      <c r="D122" s="1">
        <v>122</v>
      </c>
      <c r="E122" s="1" t="s">
        <v>37</v>
      </c>
      <c r="F122" s="1">
        <v>104</v>
      </c>
      <c r="G122" s="1" t="s">
        <v>151</v>
      </c>
      <c r="H122" s="1"/>
      <c r="I122" s="1">
        <v>16337</v>
      </c>
      <c r="J122" s="1"/>
    </row>
    <row r="123" spans="1:10" x14ac:dyDescent="0.25">
      <c r="A123" s="2">
        <v>43777</v>
      </c>
      <c r="B123" s="1" t="s">
        <v>156</v>
      </c>
      <c r="C123" s="1" t="s">
        <v>35</v>
      </c>
      <c r="D123" s="1">
        <v>106</v>
      </c>
      <c r="E123" s="1" t="s">
        <v>43</v>
      </c>
      <c r="F123" s="1">
        <v>102</v>
      </c>
      <c r="G123" s="1" t="s">
        <v>151</v>
      </c>
      <c r="H123" s="1"/>
      <c r="I123" s="1">
        <v>20257</v>
      </c>
      <c r="J123" s="1"/>
    </row>
    <row r="124" spans="1:10" x14ac:dyDescent="0.25">
      <c r="A124" s="2">
        <v>43777</v>
      </c>
      <c r="B124" s="1" t="s">
        <v>157</v>
      </c>
      <c r="C124" s="1" t="s">
        <v>45</v>
      </c>
      <c r="D124" s="1">
        <v>97</v>
      </c>
      <c r="E124" s="1" t="s">
        <v>50</v>
      </c>
      <c r="F124" s="1">
        <v>100</v>
      </c>
      <c r="G124" s="1" t="s">
        <v>151</v>
      </c>
      <c r="H124" s="1"/>
      <c r="I124" s="1">
        <v>19520</v>
      </c>
      <c r="J124" s="1"/>
    </row>
    <row r="125" spans="1:10" x14ac:dyDescent="0.25">
      <c r="A125" s="2">
        <v>43777</v>
      </c>
      <c r="B125" s="1" t="s">
        <v>157</v>
      </c>
      <c r="C125" s="1" t="s">
        <v>39</v>
      </c>
      <c r="D125" s="1">
        <v>100</v>
      </c>
      <c r="E125" s="1" t="s">
        <v>34</v>
      </c>
      <c r="F125" s="1">
        <v>103</v>
      </c>
      <c r="G125" s="1" t="s">
        <v>151</v>
      </c>
      <c r="H125" s="1"/>
      <c r="I125" s="1">
        <v>18306</v>
      </c>
      <c r="J125" s="1"/>
    </row>
    <row r="126" spans="1:10" x14ac:dyDescent="0.25">
      <c r="A126" s="2">
        <v>43777</v>
      </c>
      <c r="B126" s="1" t="s">
        <v>158</v>
      </c>
      <c r="C126" s="1" t="s">
        <v>38</v>
      </c>
      <c r="D126" s="1">
        <v>119</v>
      </c>
      <c r="E126" s="1" t="s">
        <v>28</v>
      </c>
      <c r="F126" s="1">
        <v>115</v>
      </c>
      <c r="G126" s="1" t="s">
        <v>151</v>
      </c>
      <c r="H126" s="1"/>
      <c r="I126" s="1">
        <v>20089</v>
      </c>
      <c r="J126" s="1"/>
    </row>
    <row r="127" spans="1:10" x14ac:dyDescent="0.25">
      <c r="A127" s="2">
        <v>43777</v>
      </c>
      <c r="B127" s="1" t="s">
        <v>153</v>
      </c>
      <c r="C127" s="1" t="s">
        <v>41</v>
      </c>
      <c r="D127" s="1">
        <v>80</v>
      </c>
      <c r="E127" s="1" t="s">
        <v>47</v>
      </c>
      <c r="F127" s="1">
        <v>95</v>
      </c>
      <c r="G127" s="1" t="s">
        <v>151</v>
      </c>
      <c r="H127" s="1"/>
      <c r="I127" s="1">
        <v>18997</v>
      </c>
      <c r="J127" s="1"/>
    </row>
    <row r="128" spans="1:10" x14ac:dyDescent="0.25">
      <c r="A128" s="2">
        <v>43778</v>
      </c>
      <c r="B128" s="1" t="s">
        <v>159</v>
      </c>
      <c r="C128" s="1" t="s">
        <v>46</v>
      </c>
      <c r="D128" s="1">
        <v>135</v>
      </c>
      <c r="E128" s="1" t="s">
        <v>54</v>
      </c>
      <c r="F128" s="1">
        <v>115</v>
      </c>
      <c r="G128" s="1" t="s">
        <v>151</v>
      </c>
      <c r="H128" s="1"/>
      <c r="I128" s="1">
        <v>18354</v>
      </c>
      <c r="J128" s="1"/>
    </row>
    <row r="129" spans="1:10" x14ac:dyDescent="0.25">
      <c r="A129" s="2">
        <v>43778</v>
      </c>
      <c r="B129" s="1" t="s">
        <v>154</v>
      </c>
      <c r="C129" s="1" t="s">
        <v>37</v>
      </c>
      <c r="D129" s="1">
        <v>115</v>
      </c>
      <c r="E129" s="1" t="s">
        <v>29</v>
      </c>
      <c r="F129" s="1">
        <v>110</v>
      </c>
      <c r="G129" s="1" t="s">
        <v>151</v>
      </c>
      <c r="H129" s="1"/>
      <c r="I129" s="1">
        <v>18513</v>
      </c>
      <c r="J129" s="1"/>
    </row>
    <row r="130" spans="1:10" x14ac:dyDescent="0.25">
      <c r="A130" s="2">
        <v>43778</v>
      </c>
      <c r="B130" s="1" t="s">
        <v>150</v>
      </c>
      <c r="C130" s="1" t="s">
        <v>32</v>
      </c>
      <c r="D130" s="1">
        <v>117</v>
      </c>
      <c r="E130" s="1" t="s">
        <v>31</v>
      </c>
      <c r="F130" s="1">
        <v>94</v>
      </c>
      <c r="G130" s="1" t="s">
        <v>151</v>
      </c>
      <c r="H130" s="1"/>
      <c r="I130" s="1">
        <v>20482</v>
      </c>
      <c r="J130" s="1"/>
    </row>
    <row r="131" spans="1:10" x14ac:dyDescent="0.25">
      <c r="A131" s="2">
        <v>43778</v>
      </c>
      <c r="B131" s="1" t="s">
        <v>150</v>
      </c>
      <c r="C131" s="1" t="s">
        <v>43</v>
      </c>
      <c r="D131" s="1">
        <v>138</v>
      </c>
      <c r="E131" s="1" t="s">
        <v>48</v>
      </c>
      <c r="F131" s="1">
        <v>122</v>
      </c>
      <c r="G131" s="1" t="s">
        <v>151</v>
      </c>
      <c r="H131" s="1"/>
      <c r="I131" s="1">
        <v>15753</v>
      </c>
      <c r="J131" s="1"/>
    </row>
    <row r="132" spans="1:10" x14ac:dyDescent="0.25">
      <c r="A132" s="2">
        <v>43778</v>
      </c>
      <c r="B132" s="1" t="s">
        <v>150</v>
      </c>
      <c r="C132" s="1" t="s">
        <v>44</v>
      </c>
      <c r="D132" s="1">
        <v>108</v>
      </c>
      <c r="E132" s="1" t="s">
        <v>33</v>
      </c>
      <c r="F132" s="1">
        <v>114</v>
      </c>
      <c r="G132" s="1" t="s">
        <v>151</v>
      </c>
      <c r="H132" s="1"/>
      <c r="I132" s="1">
        <v>18203</v>
      </c>
      <c r="J132" s="1"/>
    </row>
    <row r="133" spans="1:10" x14ac:dyDescent="0.25">
      <c r="A133" s="2">
        <v>43779</v>
      </c>
      <c r="B133" s="1" t="s">
        <v>160</v>
      </c>
      <c r="C133" s="1" t="s">
        <v>50</v>
      </c>
      <c r="D133" s="1">
        <v>100</v>
      </c>
      <c r="E133" s="1" t="s">
        <v>42</v>
      </c>
      <c r="F133" s="1">
        <v>98</v>
      </c>
      <c r="G133" s="1" t="s">
        <v>151</v>
      </c>
      <c r="H133" s="1" t="s">
        <v>152</v>
      </c>
      <c r="I133" s="1">
        <v>13553</v>
      </c>
      <c r="J133" s="1"/>
    </row>
    <row r="134" spans="1:10" x14ac:dyDescent="0.25">
      <c r="A134" s="2">
        <v>43779</v>
      </c>
      <c r="B134" s="1" t="s">
        <v>161</v>
      </c>
      <c r="C134" s="1" t="s">
        <v>51</v>
      </c>
      <c r="D134" s="1">
        <v>109</v>
      </c>
      <c r="E134" s="1" t="s">
        <v>53</v>
      </c>
      <c r="F134" s="1">
        <v>102</v>
      </c>
      <c r="G134" s="1" t="s">
        <v>151</v>
      </c>
      <c r="H134" s="1"/>
      <c r="I134" s="1">
        <v>17118</v>
      </c>
      <c r="J134" s="1"/>
    </row>
    <row r="135" spans="1:10" x14ac:dyDescent="0.25">
      <c r="A135" s="2">
        <v>43779</v>
      </c>
      <c r="B135" s="1" t="s">
        <v>161</v>
      </c>
      <c r="C135" s="1" t="s">
        <v>29</v>
      </c>
      <c r="D135" s="1">
        <v>106</v>
      </c>
      <c r="E135" s="1" t="s">
        <v>45</v>
      </c>
      <c r="F135" s="1">
        <v>114</v>
      </c>
      <c r="G135" s="1" t="s">
        <v>151</v>
      </c>
      <c r="H135" s="1"/>
      <c r="I135" s="1">
        <v>20311</v>
      </c>
      <c r="J135" s="1"/>
    </row>
    <row r="136" spans="1:10" x14ac:dyDescent="0.25">
      <c r="A136" s="2">
        <v>43779</v>
      </c>
      <c r="B136" s="1" t="s">
        <v>154</v>
      </c>
      <c r="C136" s="1" t="s">
        <v>39</v>
      </c>
      <c r="D136" s="1">
        <v>121</v>
      </c>
      <c r="E136" s="1" t="s">
        <v>33</v>
      </c>
      <c r="F136" s="1">
        <v>119</v>
      </c>
      <c r="G136" s="1" t="s">
        <v>151</v>
      </c>
      <c r="H136" s="1"/>
      <c r="I136" s="1">
        <v>18203</v>
      </c>
      <c r="J136" s="1"/>
    </row>
    <row r="137" spans="1:10" x14ac:dyDescent="0.25">
      <c r="A137" s="2">
        <v>43779</v>
      </c>
      <c r="B137" s="1" t="s">
        <v>155</v>
      </c>
      <c r="C137" s="1" t="s">
        <v>49</v>
      </c>
      <c r="D137" s="1">
        <v>108</v>
      </c>
      <c r="E137" s="1" t="s">
        <v>35</v>
      </c>
      <c r="F137" s="1">
        <v>87</v>
      </c>
      <c r="G137" s="1" t="s">
        <v>151</v>
      </c>
      <c r="H137" s="1"/>
      <c r="I137" s="1">
        <v>19812</v>
      </c>
      <c r="J137" s="1"/>
    </row>
    <row r="138" spans="1:10" x14ac:dyDescent="0.25">
      <c r="A138" s="2">
        <v>43779</v>
      </c>
      <c r="B138" s="1" t="s">
        <v>150</v>
      </c>
      <c r="C138" s="1" t="s">
        <v>38</v>
      </c>
      <c r="D138" s="1">
        <v>112</v>
      </c>
      <c r="E138" s="1" t="s">
        <v>26</v>
      </c>
      <c r="F138" s="1">
        <v>138</v>
      </c>
      <c r="G138" s="1" t="s">
        <v>151</v>
      </c>
      <c r="H138" s="1"/>
      <c r="I138" s="1">
        <v>17290</v>
      </c>
      <c r="J138" s="1"/>
    </row>
    <row r="139" spans="1:10" x14ac:dyDescent="0.25">
      <c r="A139" s="2">
        <v>43779</v>
      </c>
      <c r="B139" s="1" t="s">
        <v>157</v>
      </c>
      <c r="C139" s="1" t="s">
        <v>52</v>
      </c>
      <c r="D139" s="1">
        <v>113</v>
      </c>
      <c r="E139" s="1" t="s">
        <v>28</v>
      </c>
      <c r="F139" s="1">
        <v>124</v>
      </c>
      <c r="G139" s="1" t="s">
        <v>151</v>
      </c>
      <c r="H139" s="1" t="s">
        <v>152</v>
      </c>
      <c r="I139" s="1">
        <v>20041</v>
      </c>
      <c r="J139" s="1"/>
    </row>
    <row r="140" spans="1:10" x14ac:dyDescent="0.25">
      <c r="A140" s="2">
        <v>43779</v>
      </c>
      <c r="B140" s="1" t="s">
        <v>162</v>
      </c>
      <c r="C140" s="1" t="s">
        <v>27</v>
      </c>
      <c r="D140" s="1">
        <v>113</v>
      </c>
      <c r="E140" s="1" t="s">
        <v>47</v>
      </c>
      <c r="F140" s="1">
        <v>104</v>
      </c>
      <c r="G140" s="1" t="s">
        <v>151</v>
      </c>
      <c r="H140" s="1"/>
      <c r="I140" s="1">
        <v>18997</v>
      </c>
      <c r="J140" s="1"/>
    </row>
    <row r="141" spans="1:10" x14ac:dyDescent="0.25">
      <c r="A141" s="2">
        <v>43780</v>
      </c>
      <c r="B141" s="1" t="s">
        <v>154</v>
      </c>
      <c r="C141" s="1" t="s">
        <v>42</v>
      </c>
      <c r="D141" s="1">
        <v>120</v>
      </c>
      <c r="E141" s="1" t="s">
        <v>30</v>
      </c>
      <c r="F141" s="1">
        <v>114</v>
      </c>
      <c r="G141" s="1" t="s">
        <v>151</v>
      </c>
      <c r="H141" s="1"/>
      <c r="I141" s="1">
        <v>12526</v>
      </c>
      <c r="J141" s="1"/>
    </row>
    <row r="142" spans="1:10" x14ac:dyDescent="0.25">
      <c r="A142" s="2">
        <v>43780</v>
      </c>
      <c r="B142" s="1" t="s">
        <v>155</v>
      </c>
      <c r="C142" s="1" t="s">
        <v>43</v>
      </c>
      <c r="D142" s="1">
        <v>106</v>
      </c>
      <c r="E142" s="1" t="s">
        <v>46</v>
      </c>
      <c r="F142" s="1">
        <v>116</v>
      </c>
      <c r="G142" s="1" t="s">
        <v>151</v>
      </c>
      <c r="H142" s="1"/>
      <c r="I142" s="1">
        <v>18624</v>
      </c>
      <c r="J142" s="1"/>
    </row>
    <row r="143" spans="1:10" x14ac:dyDescent="0.25">
      <c r="A143" s="2">
        <v>43780</v>
      </c>
      <c r="B143" s="1" t="s">
        <v>155</v>
      </c>
      <c r="C143" s="1" t="s">
        <v>48</v>
      </c>
      <c r="D143" s="1">
        <v>113</v>
      </c>
      <c r="E143" s="1" t="s">
        <v>54</v>
      </c>
      <c r="F143" s="1">
        <v>109</v>
      </c>
      <c r="G143" s="1" t="s">
        <v>151</v>
      </c>
      <c r="H143" s="1"/>
      <c r="I143" s="1">
        <v>18627</v>
      </c>
      <c r="J143" s="1"/>
    </row>
    <row r="144" spans="1:10" x14ac:dyDescent="0.25">
      <c r="A144" s="2">
        <v>43780</v>
      </c>
      <c r="B144" s="1" t="s">
        <v>150</v>
      </c>
      <c r="C144" s="1" t="s">
        <v>32</v>
      </c>
      <c r="D144" s="1">
        <v>122</v>
      </c>
      <c r="E144" s="1" t="s">
        <v>37</v>
      </c>
      <c r="F144" s="1">
        <v>116</v>
      </c>
      <c r="G144" s="1" t="s">
        <v>151</v>
      </c>
      <c r="H144" s="1"/>
      <c r="I144" s="1">
        <v>16695</v>
      </c>
      <c r="J144" s="1"/>
    </row>
    <row r="145" spans="1:10" x14ac:dyDescent="0.25">
      <c r="A145" s="2">
        <v>43780</v>
      </c>
      <c r="B145" s="1" t="s">
        <v>153</v>
      </c>
      <c r="C145" s="1" t="s">
        <v>34</v>
      </c>
      <c r="D145" s="1">
        <v>122</v>
      </c>
      <c r="E145" s="1" t="s">
        <v>44</v>
      </c>
      <c r="F145" s="1">
        <v>108</v>
      </c>
      <c r="G145" s="1" t="s">
        <v>151</v>
      </c>
      <c r="H145" s="1"/>
      <c r="I145" s="1">
        <v>18064</v>
      </c>
      <c r="J145" s="1"/>
    </row>
    <row r="146" spans="1:10" x14ac:dyDescent="0.25">
      <c r="A146" s="2">
        <v>43780</v>
      </c>
      <c r="B146" s="1" t="s">
        <v>153</v>
      </c>
      <c r="C146" s="1" t="s">
        <v>27</v>
      </c>
      <c r="D146" s="1">
        <v>88</v>
      </c>
      <c r="E146" s="1" t="s">
        <v>25</v>
      </c>
      <c r="F146" s="1">
        <v>98</v>
      </c>
      <c r="G146" s="1" t="s">
        <v>151</v>
      </c>
      <c r="H146" s="1"/>
      <c r="I146" s="1">
        <v>19068</v>
      </c>
      <c r="J146" s="1"/>
    </row>
    <row r="147" spans="1:10" x14ac:dyDescent="0.25">
      <c r="A147" s="2">
        <v>43781</v>
      </c>
      <c r="B147" s="1" t="s">
        <v>154</v>
      </c>
      <c r="C147" s="1" t="s">
        <v>33</v>
      </c>
      <c r="D147" s="1">
        <v>85</v>
      </c>
      <c r="E147" s="1" t="s">
        <v>51</v>
      </c>
      <c r="F147" s="1">
        <v>111</v>
      </c>
      <c r="G147" s="1" t="s">
        <v>151</v>
      </c>
      <c r="H147" s="1"/>
      <c r="I147" s="1">
        <v>15838</v>
      </c>
      <c r="J147" s="1"/>
    </row>
    <row r="148" spans="1:10" x14ac:dyDescent="0.25">
      <c r="A148" s="2">
        <v>43781</v>
      </c>
      <c r="B148" s="1" t="s">
        <v>154</v>
      </c>
      <c r="C148" s="1" t="s">
        <v>49</v>
      </c>
      <c r="D148" s="1">
        <v>97</v>
      </c>
      <c r="E148" s="1" t="s">
        <v>45</v>
      </c>
      <c r="F148" s="1">
        <v>98</v>
      </c>
      <c r="G148" s="1" t="s">
        <v>151</v>
      </c>
      <c r="H148" s="1"/>
      <c r="I148" s="1">
        <v>20294</v>
      </c>
      <c r="J148" s="1"/>
    </row>
    <row r="149" spans="1:10" x14ac:dyDescent="0.25">
      <c r="A149" s="2">
        <v>43781</v>
      </c>
      <c r="B149" s="1" t="s">
        <v>155</v>
      </c>
      <c r="C149" s="1" t="s">
        <v>30</v>
      </c>
      <c r="D149" s="1">
        <v>108</v>
      </c>
      <c r="E149" s="1" t="s">
        <v>41</v>
      </c>
      <c r="F149" s="1">
        <v>117</v>
      </c>
      <c r="G149" s="1" t="s">
        <v>151</v>
      </c>
      <c r="H149" s="1"/>
      <c r="I149" s="1">
        <v>19600</v>
      </c>
      <c r="J149" s="1"/>
    </row>
    <row r="150" spans="1:10" x14ac:dyDescent="0.25">
      <c r="A150" s="2">
        <v>43781</v>
      </c>
      <c r="B150" s="1" t="s">
        <v>150</v>
      </c>
      <c r="C150" s="1" t="s">
        <v>35</v>
      </c>
      <c r="D150" s="1">
        <v>102</v>
      </c>
      <c r="E150" s="1" t="s">
        <v>31</v>
      </c>
      <c r="F150" s="1">
        <v>120</v>
      </c>
      <c r="G150" s="1" t="s">
        <v>151</v>
      </c>
      <c r="H150" s="1"/>
      <c r="I150" s="1">
        <v>18668</v>
      </c>
      <c r="J150" s="1"/>
    </row>
    <row r="151" spans="1:10" x14ac:dyDescent="0.25">
      <c r="A151" s="2">
        <v>43781</v>
      </c>
      <c r="B151" s="1" t="s">
        <v>157</v>
      </c>
      <c r="C151" s="1" t="s">
        <v>52</v>
      </c>
      <c r="D151" s="1">
        <v>125</v>
      </c>
      <c r="E151" s="1" t="s">
        <v>50</v>
      </c>
      <c r="F151" s="1">
        <v>121</v>
      </c>
      <c r="G151" s="1" t="s">
        <v>151</v>
      </c>
      <c r="H151" s="1"/>
      <c r="I151" s="1">
        <v>18327</v>
      </c>
      <c r="J151" s="1"/>
    </row>
    <row r="152" spans="1:10" x14ac:dyDescent="0.25">
      <c r="A152" s="2">
        <v>43781</v>
      </c>
      <c r="B152" s="1" t="s">
        <v>157</v>
      </c>
      <c r="C152" s="1" t="s">
        <v>47</v>
      </c>
      <c r="D152" s="1">
        <v>123</v>
      </c>
      <c r="E152" s="1" t="s">
        <v>26</v>
      </c>
      <c r="F152" s="1">
        <v>115</v>
      </c>
      <c r="G152" s="1" t="s">
        <v>151</v>
      </c>
      <c r="H152" s="1"/>
      <c r="I152" s="1">
        <v>18055</v>
      </c>
      <c r="J152" s="1"/>
    </row>
    <row r="153" spans="1:10" x14ac:dyDescent="0.25">
      <c r="A153" s="2">
        <v>43781</v>
      </c>
      <c r="B153" s="1" t="s">
        <v>157</v>
      </c>
      <c r="C153" s="1" t="s">
        <v>38</v>
      </c>
      <c r="D153" s="1">
        <v>114</v>
      </c>
      <c r="E153" s="1" t="s">
        <v>34</v>
      </c>
      <c r="F153" s="1">
        <v>119</v>
      </c>
      <c r="G153" s="1" t="s">
        <v>151</v>
      </c>
      <c r="H153" s="1"/>
      <c r="I153" s="1">
        <v>18306</v>
      </c>
      <c r="J153" s="1"/>
    </row>
    <row r="154" spans="1:10" x14ac:dyDescent="0.25">
      <c r="A154" s="2">
        <v>43781</v>
      </c>
      <c r="B154" s="1" t="s">
        <v>158</v>
      </c>
      <c r="C154" s="1" t="s">
        <v>28</v>
      </c>
      <c r="D154" s="1">
        <v>99</v>
      </c>
      <c r="E154" s="1" t="s">
        <v>36</v>
      </c>
      <c r="F154" s="1">
        <v>107</v>
      </c>
      <c r="G154" s="1" t="s">
        <v>151</v>
      </c>
      <c r="H154" s="1"/>
      <c r="I154" s="1">
        <v>16358</v>
      </c>
      <c r="J154" s="1"/>
    </row>
    <row r="155" spans="1:10" x14ac:dyDescent="0.25">
      <c r="A155" s="2">
        <v>43782</v>
      </c>
      <c r="B155" s="1" t="s">
        <v>154</v>
      </c>
      <c r="C155" s="1" t="s">
        <v>48</v>
      </c>
      <c r="D155" s="1">
        <v>119</v>
      </c>
      <c r="E155" s="1" t="s">
        <v>29</v>
      </c>
      <c r="F155" s="1">
        <v>117</v>
      </c>
      <c r="G155" s="1" t="s">
        <v>151</v>
      </c>
      <c r="H155" s="1"/>
      <c r="I155" s="1">
        <v>13155</v>
      </c>
      <c r="J155" s="1"/>
    </row>
    <row r="156" spans="1:10" x14ac:dyDescent="0.25">
      <c r="A156" s="2">
        <v>43782</v>
      </c>
      <c r="B156" s="1" t="s">
        <v>154</v>
      </c>
      <c r="C156" s="1" t="s">
        <v>45</v>
      </c>
      <c r="D156" s="1">
        <v>97</v>
      </c>
      <c r="E156" s="1" t="s">
        <v>53</v>
      </c>
      <c r="F156" s="1">
        <v>112</v>
      </c>
      <c r="G156" s="1" t="s">
        <v>151</v>
      </c>
      <c r="H156" s="1"/>
      <c r="I156" s="1">
        <v>15113</v>
      </c>
      <c r="J156" s="1"/>
    </row>
    <row r="157" spans="1:10" x14ac:dyDescent="0.25">
      <c r="A157" s="2">
        <v>43782</v>
      </c>
      <c r="B157" s="1" t="s">
        <v>155</v>
      </c>
      <c r="C157" s="1" t="s">
        <v>40</v>
      </c>
      <c r="D157" s="1">
        <v>133</v>
      </c>
      <c r="E157" s="1" t="s">
        <v>46</v>
      </c>
      <c r="F157" s="1">
        <v>140</v>
      </c>
      <c r="G157" s="1" t="s">
        <v>151</v>
      </c>
      <c r="H157" s="1"/>
      <c r="I157" s="1">
        <v>19156</v>
      </c>
      <c r="J157" s="1"/>
    </row>
    <row r="158" spans="1:10" x14ac:dyDescent="0.25">
      <c r="A158" s="2">
        <v>43782</v>
      </c>
      <c r="B158" s="1" t="s">
        <v>155</v>
      </c>
      <c r="C158" s="1" t="s">
        <v>25</v>
      </c>
      <c r="D158" s="1">
        <v>93</v>
      </c>
      <c r="E158" s="1" t="s">
        <v>32</v>
      </c>
      <c r="F158" s="1">
        <v>102</v>
      </c>
      <c r="G158" s="1" t="s">
        <v>151</v>
      </c>
      <c r="H158" s="1"/>
      <c r="I158" s="1">
        <v>18055</v>
      </c>
      <c r="J158" s="1"/>
    </row>
    <row r="159" spans="1:10" x14ac:dyDescent="0.25">
      <c r="A159" s="2">
        <v>43782</v>
      </c>
      <c r="B159" s="1" t="s">
        <v>150</v>
      </c>
      <c r="C159" s="1" t="s">
        <v>54</v>
      </c>
      <c r="D159" s="1">
        <v>114</v>
      </c>
      <c r="E159" s="1" t="s">
        <v>42</v>
      </c>
      <c r="F159" s="1">
        <v>129</v>
      </c>
      <c r="G159" s="1" t="s">
        <v>151</v>
      </c>
      <c r="H159" s="1"/>
      <c r="I159" s="1">
        <v>11581</v>
      </c>
      <c r="J159" s="1"/>
    </row>
    <row r="160" spans="1:10" x14ac:dyDescent="0.25">
      <c r="A160" s="2">
        <v>43782</v>
      </c>
      <c r="B160" s="1" t="s">
        <v>158</v>
      </c>
      <c r="C160" s="1" t="s">
        <v>44</v>
      </c>
      <c r="D160" s="1">
        <v>94</v>
      </c>
      <c r="E160" s="1" t="s">
        <v>47</v>
      </c>
      <c r="F160" s="1">
        <v>120</v>
      </c>
      <c r="G160" s="1" t="s">
        <v>151</v>
      </c>
      <c r="H160" s="1"/>
      <c r="I160" s="1">
        <v>18997</v>
      </c>
      <c r="J160" s="1"/>
    </row>
    <row r="161" spans="1:10" x14ac:dyDescent="0.25">
      <c r="A161" s="2">
        <v>43782</v>
      </c>
      <c r="B161" s="1" t="s">
        <v>158</v>
      </c>
      <c r="C161" s="1" t="s">
        <v>27</v>
      </c>
      <c r="D161" s="1">
        <v>114</v>
      </c>
      <c r="E161" s="1" t="s">
        <v>28</v>
      </c>
      <c r="F161" s="1">
        <v>106</v>
      </c>
      <c r="G161" s="1" t="s">
        <v>151</v>
      </c>
      <c r="H161" s="1"/>
      <c r="I161" s="1">
        <v>19544</v>
      </c>
      <c r="J161" s="1"/>
    </row>
    <row r="162" spans="1:10" x14ac:dyDescent="0.25">
      <c r="A162" s="2">
        <v>43783</v>
      </c>
      <c r="B162" s="1" t="s">
        <v>161</v>
      </c>
      <c r="C162" s="1" t="s">
        <v>41</v>
      </c>
      <c r="D162" s="1">
        <v>108</v>
      </c>
      <c r="E162" s="1" t="s">
        <v>49</v>
      </c>
      <c r="F162" s="1">
        <v>97</v>
      </c>
      <c r="G162" s="1" t="s">
        <v>151</v>
      </c>
      <c r="H162" s="1"/>
      <c r="I162" s="1">
        <v>17374</v>
      </c>
      <c r="J162" s="1"/>
    </row>
    <row r="163" spans="1:10" x14ac:dyDescent="0.25">
      <c r="A163" s="2">
        <v>43783</v>
      </c>
      <c r="B163" s="1" t="s">
        <v>150</v>
      </c>
      <c r="C163" s="1" t="s">
        <v>31</v>
      </c>
      <c r="D163" s="1">
        <v>115</v>
      </c>
      <c r="E163" s="1" t="s">
        <v>39</v>
      </c>
      <c r="F163" s="1">
        <v>124</v>
      </c>
      <c r="G163" s="1" t="s">
        <v>151</v>
      </c>
      <c r="H163" s="1"/>
      <c r="I163" s="1">
        <v>17627</v>
      </c>
      <c r="J163" s="1"/>
    </row>
    <row r="164" spans="1:10" x14ac:dyDescent="0.25">
      <c r="A164" s="2">
        <v>43783</v>
      </c>
      <c r="B164" s="1" t="s">
        <v>150</v>
      </c>
      <c r="C164" s="1" t="s">
        <v>25</v>
      </c>
      <c r="D164" s="1">
        <v>127</v>
      </c>
      <c r="E164" s="1" t="s">
        <v>37</v>
      </c>
      <c r="F164" s="1">
        <v>132</v>
      </c>
      <c r="G164" s="1" t="s">
        <v>151</v>
      </c>
      <c r="H164" s="1"/>
      <c r="I164" s="1">
        <v>17147</v>
      </c>
      <c r="J164" s="1"/>
    </row>
    <row r="165" spans="1:10" x14ac:dyDescent="0.25">
      <c r="A165" s="2">
        <v>43783</v>
      </c>
      <c r="B165" s="1" t="s">
        <v>150</v>
      </c>
      <c r="C165" s="1" t="s">
        <v>43</v>
      </c>
      <c r="D165" s="1">
        <v>103</v>
      </c>
      <c r="E165" s="1" t="s">
        <v>35</v>
      </c>
      <c r="F165" s="1">
        <v>106</v>
      </c>
      <c r="G165" s="1" t="s">
        <v>151</v>
      </c>
      <c r="H165" s="1"/>
      <c r="I165" s="1">
        <v>19812</v>
      </c>
      <c r="J165" s="1"/>
    </row>
    <row r="166" spans="1:10" x14ac:dyDescent="0.25">
      <c r="A166" s="2">
        <v>43783</v>
      </c>
      <c r="B166" s="1" t="s">
        <v>157</v>
      </c>
      <c r="C166" s="1" t="s">
        <v>52</v>
      </c>
      <c r="D166" s="1">
        <v>112</v>
      </c>
      <c r="E166" s="1" t="s">
        <v>26</v>
      </c>
      <c r="F166" s="1">
        <v>128</v>
      </c>
      <c r="G166" s="1" t="s">
        <v>151</v>
      </c>
      <c r="H166" s="1"/>
      <c r="I166" s="1">
        <v>15143</v>
      </c>
      <c r="J166" s="1"/>
    </row>
    <row r="167" spans="1:10" x14ac:dyDescent="0.25">
      <c r="A167" s="2">
        <v>43783</v>
      </c>
      <c r="B167" s="1" t="s">
        <v>153</v>
      </c>
      <c r="C167" s="1" t="s">
        <v>38</v>
      </c>
      <c r="D167" s="1">
        <v>93</v>
      </c>
      <c r="E167" s="1" t="s">
        <v>50</v>
      </c>
      <c r="F167" s="1">
        <v>101</v>
      </c>
      <c r="G167" s="1" t="s">
        <v>151</v>
      </c>
      <c r="H167" s="1"/>
      <c r="I167" s="1">
        <v>18394</v>
      </c>
      <c r="J167" s="1"/>
    </row>
    <row r="168" spans="1:10" x14ac:dyDescent="0.25">
      <c r="A168" s="2">
        <v>43784</v>
      </c>
      <c r="B168" s="1" t="s">
        <v>154</v>
      </c>
      <c r="C168" s="1" t="s">
        <v>30</v>
      </c>
      <c r="D168" s="1">
        <v>106</v>
      </c>
      <c r="E168" s="1" t="s">
        <v>29</v>
      </c>
      <c r="F168" s="1">
        <v>109</v>
      </c>
      <c r="G168" s="1" t="s">
        <v>151</v>
      </c>
      <c r="H168" s="1"/>
      <c r="I168" s="1">
        <v>16778</v>
      </c>
      <c r="J168" s="1"/>
    </row>
    <row r="169" spans="1:10" x14ac:dyDescent="0.25">
      <c r="A169" s="2">
        <v>43784</v>
      </c>
      <c r="B169" s="1" t="s">
        <v>154</v>
      </c>
      <c r="C169" s="1" t="s">
        <v>54</v>
      </c>
      <c r="D169" s="1">
        <v>109</v>
      </c>
      <c r="E169" s="1" t="s">
        <v>53</v>
      </c>
      <c r="F169" s="1">
        <v>111</v>
      </c>
      <c r="G169" s="1" t="s">
        <v>151</v>
      </c>
      <c r="H169" s="1"/>
      <c r="I169" s="1">
        <v>16296</v>
      </c>
      <c r="J169" s="1"/>
    </row>
    <row r="170" spans="1:10" x14ac:dyDescent="0.25">
      <c r="A170" s="2">
        <v>43784</v>
      </c>
      <c r="B170" s="1" t="s">
        <v>150</v>
      </c>
      <c r="C170" s="1" t="s">
        <v>51</v>
      </c>
      <c r="D170" s="1">
        <v>102</v>
      </c>
      <c r="E170" s="1" t="s">
        <v>32</v>
      </c>
      <c r="F170" s="1">
        <v>111</v>
      </c>
      <c r="G170" s="1" t="s">
        <v>151</v>
      </c>
      <c r="H170" s="1"/>
      <c r="I170" s="1">
        <v>18055</v>
      </c>
      <c r="J170" s="1"/>
    </row>
    <row r="171" spans="1:10" x14ac:dyDescent="0.25">
      <c r="A171" s="2">
        <v>43784</v>
      </c>
      <c r="B171" s="1" t="s">
        <v>150</v>
      </c>
      <c r="C171" s="1" t="s">
        <v>34</v>
      </c>
      <c r="D171" s="1">
        <v>106</v>
      </c>
      <c r="E171" s="1" t="s">
        <v>48</v>
      </c>
      <c r="F171" s="1">
        <v>107</v>
      </c>
      <c r="G171" s="1" t="s">
        <v>151</v>
      </c>
      <c r="H171" s="1"/>
      <c r="I171" s="1">
        <v>16422</v>
      </c>
      <c r="J171" s="1"/>
    </row>
    <row r="172" spans="1:10" x14ac:dyDescent="0.25">
      <c r="A172" s="2">
        <v>43784</v>
      </c>
      <c r="B172" s="1" t="s">
        <v>150</v>
      </c>
      <c r="C172" s="1" t="s">
        <v>40</v>
      </c>
      <c r="D172" s="1">
        <v>137</v>
      </c>
      <c r="E172" s="1" t="s">
        <v>42</v>
      </c>
      <c r="F172" s="1">
        <v>116</v>
      </c>
      <c r="G172" s="1" t="s">
        <v>151</v>
      </c>
      <c r="H172" s="1"/>
      <c r="I172" s="1">
        <v>12716</v>
      </c>
      <c r="J172" s="1"/>
    </row>
    <row r="173" spans="1:10" x14ac:dyDescent="0.25">
      <c r="A173" s="2">
        <v>43784</v>
      </c>
      <c r="B173" s="1" t="s">
        <v>150</v>
      </c>
      <c r="C173" s="1" t="s">
        <v>45</v>
      </c>
      <c r="D173" s="1">
        <v>119</v>
      </c>
      <c r="E173" s="1" t="s">
        <v>33</v>
      </c>
      <c r="F173" s="1">
        <v>127</v>
      </c>
      <c r="G173" s="1" t="s">
        <v>151</v>
      </c>
      <c r="H173" s="1" t="s">
        <v>152</v>
      </c>
      <c r="I173" s="1">
        <v>18203</v>
      </c>
      <c r="J173" s="1"/>
    </row>
    <row r="174" spans="1:10" x14ac:dyDescent="0.25">
      <c r="A174" s="2">
        <v>43784</v>
      </c>
      <c r="B174" s="1" t="s">
        <v>153</v>
      </c>
      <c r="C174" s="1" t="s">
        <v>46</v>
      </c>
      <c r="D174" s="1">
        <v>105</v>
      </c>
      <c r="E174" s="1" t="s">
        <v>44</v>
      </c>
      <c r="F174" s="1">
        <v>100</v>
      </c>
      <c r="G174" s="1" t="s">
        <v>151</v>
      </c>
      <c r="H174" s="1"/>
      <c r="I174" s="1">
        <v>18064</v>
      </c>
      <c r="J174" s="1"/>
    </row>
    <row r="175" spans="1:10" x14ac:dyDescent="0.25">
      <c r="A175" s="2">
        <v>43784</v>
      </c>
      <c r="B175" s="1" t="s">
        <v>153</v>
      </c>
      <c r="C175" s="1" t="s">
        <v>36</v>
      </c>
      <c r="D175" s="1">
        <v>97</v>
      </c>
      <c r="E175" s="1" t="s">
        <v>47</v>
      </c>
      <c r="F175" s="1">
        <v>99</v>
      </c>
      <c r="G175" s="1" t="s">
        <v>151</v>
      </c>
      <c r="H175" s="1"/>
      <c r="I175" s="1">
        <v>18997</v>
      </c>
      <c r="J175" s="1"/>
    </row>
    <row r="176" spans="1:10" x14ac:dyDescent="0.25">
      <c r="A176" s="2">
        <v>43785</v>
      </c>
      <c r="B176" s="1" t="s">
        <v>161</v>
      </c>
      <c r="C176" s="1" t="s">
        <v>38</v>
      </c>
      <c r="D176" s="1">
        <v>117</v>
      </c>
      <c r="E176" s="1" t="s">
        <v>31</v>
      </c>
      <c r="F176" s="1">
        <v>111</v>
      </c>
      <c r="G176" s="1" t="s">
        <v>151</v>
      </c>
      <c r="H176" s="1"/>
      <c r="I176" s="1">
        <v>19148</v>
      </c>
      <c r="J176" s="1"/>
    </row>
    <row r="177" spans="1:10" x14ac:dyDescent="0.25">
      <c r="A177" s="2">
        <v>43785</v>
      </c>
      <c r="B177" s="1" t="s">
        <v>154</v>
      </c>
      <c r="C177" s="1" t="s">
        <v>39</v>
      </c>
      <c r="D177" s="1">
        <v>102</v>
      </c>
      <c r="E177" s="1" t="s">
        <v>51</v>
      </c>
      <c r="F177" s="1">
        <v>83</v>
      </c>
      <c r="G177" s="1" t="s">
        <v>151</v>
      </c>
      <c r="H177" s="1"/>
      <c r="I177" s="1">
        <v>17024</v>
      </c>
      <c r="J177" s="1"/>
    </row>
    <row r="178" spans="1:10" x14ac:dyDescent="0.25">
      <c r="A178" s="2">
        <v>43785</v>
      </c>
      <c r="B178" s="1" t="s">
        <v>155</v>
      </c>
      <c r="C178" s="1" t="s">
        <v>29</v>
      </c>
      <c r="D178" s="1">
        <v>103</v>
      </c>
      <c r="E178" s="1" t="s">
        <v>35</v>
      </c>
      <c r="F178" s="1">
        <v>102</v>
      </c>
      <c r="G178" s="1" t="s">
        <v>151</v>
      </c>
      <c r="H178" s="1"/>
      <c r="I178" s="1">
        <v>19401</v>
      </c>
      <c r="J178" s="1"/>
    </row>
    <row r="179" spans="1:10" x14ac:dyDescent="0.25">
      <c r="A179" s="2">
        <v>43785</v>
      </c>
      <c r="B179" s="1" t="s">
        <v>150</v>
      </c>
      <c r="C179" s="1" t="s">
        <v>37</v>
      </c>
      <c r="D179" s="1">
        <v>94</v>
      </c>
      <c r="E179" s="1" t="s">
        <v>41</v>
      </c>
      <c r="F179" s="1">
        <v>109</v>
      </c>
      <c r="G179" s="1" t="s">
        <v>151</v>
      </c>
      <c r="H179" s="1"/>
      <c r="I179" s="1">
        <v>19600</v>
      </c>
      <c r="J179" s="1"/>
    </row>
    <row r="180" spans="1:10" x14ac:dyDescent="0.25">
      <c r="A180" s="2">
        <v>43785</v>
      </c>
      <c r="B180" s="1" t="s">
        <v>150</v>
      </c>
      <c r="C180" s="1" t="s">
        <v>32</v>
      </c>
      <c r="D180" s="1">
        <v>125</v>
      </c>
      <c r="E180" s="1" t="s">
        <v>42</v>
      </c>
      <c r="F180" s="1">
        <v>105</v>
      </c>
      <c r="G180" s="1" t="s">
        <v>151</v>
      </c>
      <c r="H180" s="1"/>
      <c r="I180" s="1">
        <v>18978</v>
      </c>
      <c r="J180" s="1"/>
    </row>
    <row r="181" spans="1:10" x14ac:dyDescent="0.25">
      <c r="A181" s="2">
        <v>43785</v>
      </c>
      <c r="B181" s="1" t="s">
        <v>156</v>
      </c>
      <c r="C181" s="1" t="s">
        <v>27</v>
      </c>
      <c r="D181" s="1">
        <v>102</v>
      </c>
      <c r="E181" s="1" t="s">
        <v>43</v>
      </c>
      <c r="F181" s="1">
        <v>110</v>
      </c>
      <c r="G181" s="1" t="s">
        <v>151</v>
      </c>
      <c r="H181" s="1"/>
      <c r="I181" s="1">
        <v>19926</v>
      </c>
      <c r="J181" s="1"/>
    </row>
    <row r="182" spans="1:10" x14ac:dyDescent="0.25">
      <c r="A182" s="2">
        <v>43785</v>
      </c>
      <c r="B182" s="1" t="s">
        <v>156</v>
      </c>
      <c r="C182" s="1" t="s">
        <v>28</v>
      </c>
      <c r="D182" s="1">
        <v>121</v>
      </c>
      <c r="E182" s="1" t="s">
        <v>54</v>
      </c>
      <c r="F182" s="1">
        <v>116</v>
      </c>
      <c r="G182" s="1" t="s">
        <v>151</v>
      </c>
      <c r="H182" s="1"/>
      <c r="I182" s="1">
        <v>18534</v>
      </c>
      <c r="J182" s="1"/>
    </row>
    <row r="183" spans="1:10" x14ac:dyDescent="0.25">
      <c r="A183" s="2">
        <v>43785</v>
      </c>
      <c r="B183" s="1" t="s">
        <v>153</v>
      </c>
      <c r="C183" s="1" t="s">
        <v>52</v>
      </c>
      <c r="D183" s="1">
        <v>101</v>
      </c>
      <c r="E183" s="1" t="s">
        <v>25</v>
      </c>
      <c r="F183" s="1">
        <v>150</v>
      </c>
      <c r="G183" s="1" t="s">
        <v>151</v>
      </c>
      <c r="H183" s="1"/>
      <c r="I183" s="1">
        <v>19068</v>
      </c>
      <c r="J183" s="1"/>
    </row>
    <row r="184" spans="1:10" x14ac:dyDescent="0.25">
      <c r="A184" s="2">
        <v>43786</v>
      </c>
      <c r="B184" s="1" t="s">
        <v>261</v>
      </c>
      <c r="C184" s="1" t="s">
        <v>45</v>
      </c>
      <c r="D184" s="1">
        <v>114</v>
      </c>
      <c r="E184" s="1" t="s">
        <v>49</v>
      </c>
      <c r="F184" s="1">
        <v>95</v>
      </c>
      <c r="G184" s="1" t="s">
        <v>151</v>
      </c>
      <c r="H184" s="1"/>
      <c r="I184" s="1">
        <v>19432</v>
      </c>
      <c r="J184" s="1"/>
    </row>
    <row r="185" spans="1:10" x14ac:dyDescent="0.25">
      <c r="A185" s="2">
        <v>43786</v>
      </c>
      <c r="B185" s="1" t="s">
        <v>160</v>
      </c>
      <c r="C185" s="1" t="s">
        <v>46</v>
      </c>
      <c r="D185" s="1">
        <v>99</v>
      </c>
      <c r="E185" s="1" t="s">
        <v>36</v>
      </c>
      <c r="F185" s="1">
        <v>100</v>
      </c>
      <c r="G185" s="1" t="s">
        <v>151</v>
      </c>
      <c r="H185" s="1"/>
      <c r="I185" s="1">
        <v>16633</v>
      </c>
      <c r="J185" s="1"/>
    </row>
    <row r="186" spans="1:10" x14ac:dyDescent="0.25">
      <c r="A186" s="2">
        <v>43786</v>
      </c>
      <c r="B186" s="1" t="s">
        <v>161</v>
      </c>
      <c r="C186" s="1" t="s">
        <v>50</v>
      </c>
      <c r="D186" s="1">
        <v>131</v>
      </c>
      <c r="E186" s="1" t="s">
        <v>48</v>
      </c>
      <c r="F186" s="1">
        <v>114</v>
      </c>
      <c r="G186" s="1" t="s">
        <v>151</v>
      </c>
      <c r="H186" s="1"/>
      <c r="I186" s="1">
        <v>14227</v>
      </c>
      <c r="J186" s="1"/>
    </row>
    <row r="187" spans="1:10" x14ac:dyDescent="0.25">
      <c r="A187" s="2">
        <v>43786</v>
      </c>
      <c r="B187" s="1" t="s">
        <v>161</v>
      </c>
      <c r="C187" s="1" t="s">
        <v>40</v>
      </c>
      <c r="D187" s="1">
        <v>121</v>
      </c>
      <c r="E187" s="1" t="s">
        <v>53</v>
      </c>
      <c r="F187" s="1">
        <v>125</v>
      </c>
      <c r="G187" s="1" t="s">
        <v>151</v>
      </c>
      <c r="H187" s="1"/>
      <c r="I187" s="1">
        <v>16344</v>
      </c>
      <c r="J187" s="1"/>
    </row>
    <row r="188" spans="1:10" x14ac:dyDescent="0.25">
      <c r="A188" s="2">
        <v>43786</v>
      </c>
      <c r="B188" s="1" t="s">
        <v>154</v>
      </c>
      <c r="C188" s="1" t="s">
        <v>44</v>
      </c>
      <c r="D188" s="1">
        <v>100</v>
      </c>
      <c r="E188" s="1" t="s">
        <v>37</v>
      </c>
      <c r="F188" s="1">
        <v>108</v>
      </c>
      <c r="G188" s="1" t="s">
        <v>151</v>
      </c>
      <c r="H188" s="1"/>
      <c r="I188" s="1">
        <v>16812</v>
      </c>
      <c r="J188" s="1"/>
    </row>
    <row r="189" spans="1:10" x14ac:dyDescent="0.25">
      <c r="A189" s="2">
        <v>43786</v>
      </c>
      <c r="B189" s="1" t="s">
        <v>162</v>
      </c>
      <c r="C189" s="1" t="s">
        <v>52</v>
      </c>
      <c r="D189" s="1">
        <v>101</v>
      </c>
      <c r="E189" s="1" t="s">
        <v>47</v>
      </c>
      <c r="F189" s="1">
        <v>122</v>
      </c>
      <c r="G189" s="1" t="s">
        <v>151</v>
      </c>
      <c r="H189" s="1"/>
      <c r="I189" s="1">
        <v>18997</v>
      </c>
      <c r="J189" s="1"/>
    </row>
    <row r="190" spans="1:10" x14ac:dyDescent="0.25">
      <c r="A190" s="2">
        <v>43787</v>
      </c>
      <c r="B190" s="1" t="s">
        <v>154</v>
      </c>
      <c r="C190" s="1" t="s">
        <v>49</v>
      </c>
      <c r="D190" s="1">
        <v>105</v>
      </c>
      <c r="E190" s="1" t="s">
        <v>35</v>
      </c>
      <c r="F190" s="1">
        <v>123</v>
      </c>
      <c r="G190" s="1" t="s">
        <v>151</v>
      </c>
      <c r="H190" s="1"/>
      <c r="I190" s="1">
        <v>17097</v>
      </c>
      <c r="J190" s="1"/>
    </row>
    <row r="191" spans="1:10" x14ac:dyDescent="0.25">
      <c r="A191" s="2">
        <v>43787</v>
      </c>
      <c r="B191" s="1" t="s">
        <v>155</v>
      </c>
      <c r="C191" s="1" t="s">
        <v>51</v>
      </c>
      <c r="D191" s="1">
        <v>115</v>
      </c>
      <c r="E191" s="1" t="s">
        <v>38</v>
      </c>
      <c r="F191" s="1">
        <v>86</v>
      </c>
      <c r="G191" s="1" t="s">
        <v>151</v>
      </c>
      <c r="H191" s="1"/>
      <c r="I191" s="1">
        <v>14140</v>
      </c>
      <c r="J191" s="1"/>
    </row>
    <row r="192" spans="1:10" x14ac:dyDescent="0.25">
      <c r="A192" s="2">
        <v>43787</v>
      </c>
      <c r="B192" s="1" t="s">
        <v>155</v>
      </c>
      <c r="C192" s="1" t="s">
        <v>29</v>
      </c>
      <c r="D192" s="1">
        <v>96</v>
      </c>
      <c r="E192" s="1" t="s">
        <v>27</v>
      </c>
      <c r="F192" s="1">
        <v>132</v>
      </c>
      <c r="G192" s="1" t="s">
        <v>151</v>
      </c>
      <c r="H192" s="1"/>
      <c r="I192" s="1">
        <v>19800</v>
      </c>
      <c r="J192" s="1"/>
    </row>
    <row r="193" spans="1:10" x14ac:dyDescent="0.25">
      <c r="A193" s="2">
        <v>43787</v>
      </c>
      <c r="B193" s="1" t="s">
        <v>150</v>
      </c>
      <c r="C193" s="1" t="s">
        <v>39</v>
      </c>
      <c r="D193" s="1">
        <v>115</v>
      </c>
      <c r="E193" s="1" t="s">
        <v>31</v>
      </c>
      <c r="F193" s="1">
        <v>101</v>
      </c>
      <c r="G193" s="1" t="s">
        <v>151</v>
      </c>
      <c r="H193" s="1"/>
      <c r="I193" s="1">
        <v>17565</v>
      </c>
      <c r="J193" s="1"/>
    </row>
    <row r="194" spans="1:10" x14ac:dyDescent="0.25">
      <c r="A194" s="2">
        <v>43787</v>
      </c>
      <c r="B194" s="1" t="s">
        <v>150</v>
      </c>
      <c r="C194" s="1" t="s">
        <v>28</v>
      </c>
      <c r="D194" s="1">
        <v>108</v>
      </c>
      <c r="E194" s="1" t="s">
        <v>32</v>
      </c>
      <c r="F194" s="1">
        <v>132</v>
      </c>
      <c r="G194" s="1" t="s">
        <v>151</v>
      </c>
      <c r="H194" s="1"/>
      <c r="I194" s="1">
        <v>18055</v>
      </c>
      <c r="J194" s="1"/>
    </row>
    <row r="195" spans="1:10" x14ac:dyDescent="0.25">
      <c r="A195" s="2">
        <v>43787</v>
      </c>
      <c r="B195" s="1" t="s">
        <v>156</v>
      </c>
      <c r="C195" s="1" t="s">
        <v>54</v>
      </c>
      <c r="D195" s="1">
        <v>110</v>
      </c>
      <c r="E195" s="1" t="s">
        <v>43</v>
      </c>
      <c r="F195" s="1">
        <v>117</v>
      </c>
      <c r="G195" s="1" t="s">
        <v>151</v>
      </c>
      <c r="H195" s="1"/>
      <c r="I195" s="1">
        <v>19637</v>
      </c>
      <c r="J195" s="1"/>
    </row>
    <row r="196" spans="1:10" x14ac:dyDescent="0.25">
      <c r="A196" s="2">
        <v>43787</v>
      </c>
      <c r="B196" s="1" t="s">
        <v>157</v>
      </c>
      <c r="C196" s="1" t="s">
        <v>46</v>
      </c>
      <c r="D196" s="1">
        <v>99</v>
      </c>
      <c r="E196" s="1" t="s">
        <v>26</v>
      </c>
      <c r="F196" s="1">
        <v>85</v>
      </c>
      <c r="G196" s="1" t="s">
        <v>151</v>
      </c>
      <c r="H196" s="1"/>
      <c r="I196" s="1">
        <v>15193</v>
      </c>
      <c r="J196" s="1"/>
    </row>
    <row r="197" spans="1:10" x14ac:dyDescent="0.25">
      <c r="A197" s="2">
        <v>43787</v>
      </c>
      <c r="B197" s="1" t="s">
        <v>157</v>
      </c>
      <c r="C197" s="1" t="s">
        <v>42</v>
      </c>
      <c r="D197" s="1">
        <v>112</v>
      </c>
      <c r="E197" s="1" t="s">
        <v>34</v>
      </c>
      <c r="F197" s="1">
        <v>102</v>
      </c>
      <c r="G197" s="1" t="s">
        <v>151</v>
      </c>
      <c r="H197" s="1"/>
      <c r="I197" s="1">
        <v>18306</v>
      </c>
      <c r="J197" s="1"/>
    </row>
    <row r="198" spans="1:10" x14ac:dyDescent="0.25">
      <c r="A198" s="2">
        <v>43787</v>
      </c>
      <c r="B198" s="1" t="s">
        <v>153</v>
      </c>
      <c r="C198" s="1" t="s">
        <v>33</v>
      </c>
      <c r="D198" s="1">
        <v>88</v>
      </c>
      <c r="E198" s="1" t="s">
        <v>25</v>
      </c>
      <c r="F198" s="1">
        <v>90</v>
      </c>
      <c r="G198" s="1" t="s">
        <v>151</v>
      </c>
      <c r="H198" s="1"/>
      <c r="I198" s="1">
        <v>19068</v>
      </c>
      <c r="J198" s="1"/>
    </row>
    <row r="199" spans="1:10" x14ac:dyDescent="0.25">
      <c r="A199" s="2">
        <v>43788</v>
      </c>
      <c r="B199" s="1" t="s">
        <v>150</v>
      </c>
      <c r="C199" s="1" t="s">
        <v>44</v>
      </c>
      <c r="D199" s="1">
        <v>114</v>
      </c>
      <c r="E199" s="1" t="s">
        <v>48</v>
      </c>
      <c r="F199" s="1">
        <v>95</v>
      </c>
      <c r="G199" s="1" t="s">
        <v>151</v>
      </c>
      <c r="H199" s="1"/>
      <c r="I199" s="1">
        <v>14511</v>
      </c>
      <c r="J199" s="1"/>
    </row>
    <row r="200" spans="1:10" x14ac:dyDescent="0.25">
      <c r="A200" s="2">
        <v>43788</v>
      </c>
      <c r="B200" s="1" t="s">
        <v>150</v>
      </c>
      <c r="C200" s="1" t="s">
        <v>28</v>
      </c>
      <c r="D200" s="1">
        <v>104</v>
      </c>
      <c r="E200" s="1" t="s">
        <v>37</v>
      </c>
      <c r="F200" s="1">
        <v>115</v>
      </c>
      <c r="G200" s="1" t="s">
        <v>151</v>
      </c>
      <c r="H200" s="1"/>
      <c r="I200" s="1">
        <v>15021</v>
      </c>
      <c r="J200" s="1"/>
    </row>
    <row r="201" spans="1:10" x14ac:dyDescent="0.25">
      <c r="A201" s="2">
        <v>43788</v>
      </c>
      <c r="B201" s="1" t="s">
        <v>158</v>
      </c>
      <c r="C201" s="1" t="s">
        <v>26</v>
      </c>
      <c r="D201" s="1">
        <v>116</v>
      </c>
      <c r="E201" s="1" t="s">
        <v>36</v>
      </c>
      <c r="F201" s="1">
        <v>120</v>
      </c>
      <c r="G201" s="1" t="s">
        <v>151</v>
      </c>
      <c r="H201" s="1"/>
      <c r="I201" s="1">
        <v>16732</v>
      </c>
      <c r="J201" s="1"/>
    </row>
    <row r="202" spans="1:10" x14ac:dyDescent="0.25">
      <c r="A202" s="2">
        <v>43788</v>
      </c>
      <c r="B202" s="1" t="s">
        <v>153</v>
      </c>
      <c r="C202" s="1" t="s">
        <v>33</v>
      </c>
      <c r="D202" s="1">
        <v>107</v>
      </c>
      <c r="E202" s="1" t="s">
        <v>47</v>
      </c>
      <c r="F202" s="1">
        <v>112</v>
      </c>
      <c r="G202" s="1" t="s">
        <v>151</v>
      </c>
      <c r="H202" s="1"/>
      <c r="I202" s="1">
        <v>18997</v>
      </c>
      <c r="J202" s="1"/>
    </row>
    <row r="203" spans="1:10" x14ac:dyDescent="0.25">
      <c r="A203" s="2">
        <v>43789</v>
      </c>
      <c r="B203" s="1" t="s">
        <v>154</v>
      </c>
      <c r="C203" s="1" t="s">
        <v>35</v>
      </c>
      <c r="D203" s="1">
        <v>104</v>
      </c>
      <c r="E203" s="1" t="s">
        <v>45</v>
      </c>
      <c r="F203" s="1">
        <v>109</v>
      </c>
      <c r="G203" s="1" t="s">
        <v>151</v>
      </c>
      <c r="H203" s="1"/>
      <c r="I203" s="1">
        <v>20384</v>
      </c>
      <c r="J203" s="1"/>
    </row>
    <row r="204" spans="1:10" x14ac:dyDescent="0.25">
      <c r="A204" s="2">
        <v>43789</v>
      </c>
      <c r="B204" s="1" t="s">
        <v>154</v>
      </c>
      <c r="C204" s="1" t="s">
        <v>54</v>
      </c>
      <c r="D204" s="1">
        <v>132</v>
      </c>
      <c r="E204" s="1" t="s">
        <v>40</v>
      </c>
      <c r="F204" s="1">
        <v>138</v>
      </c>
      <c r="G204" s="1" t="s">
        <v>151</v>
      </c>
      <c r="H204" s="1"/>
      <c r="I204" s="1">
        <v>14579</v>
      </c>
      <c r="J204" s="1"/>
    </row>
    <row r="205" spans="1:10" x14ac:dyDescent="0.25">
      <c r="A205" s="2">
        <v>43789</v>
      </c>
      <c r="B205" s="1" t="s">
        <v>155</v>
      </c>
      <c r="C205" s="1" t="s">
        <v>39</v>
      </c>
      <c r="D205" s="1">
        <v>135</v>
      </c>
      <c r="E205" s="1" t="s">
        <v>52</v>
      </c>
      <c r="F205" s="1">
        <v>127</v>
      </c>
      <c r="G205" s="1" t="s">
        <v>151</v>
      </c>
      <c r="H205" s="1"/>
      <c r="I205" s="1">
        <v>16441</v>
      </c>
      <c r="J205" s="1"/>
    </row>
    <row r="206" spans="1:10" x14ac:dyDescent="0.25">
      <c r="A206" s="2">
        <v>43789</v>
      </c>
      <c r="B206" s="1" t="s">
        <v>155</v>
      </c>
      <c r="C206" s="1" t="s">
        <v>29</v>
      </c>
      <c r="D206" s="1">
        <v>91</v>
      </c>
      <c r="E206" s="1" t="s">
        <v>38</v>
      </c>
      <c r="F206" s="1">
        <v>101</v>
      </c>
      <c r="G206" s="1" t="s">
        <v>151</v>
      </c>
      <c r="H206" s="1"/>
      <c r="I206" s="1">
        <v>14011</v>
      </c>
      <c r="J206" s="1"/>
    </row>
    <row r="207" spans="1:10" x14ac:dyDescent="0.25">
      <c r="A207" s="2">
        <v>43789</v>
      </c>
      <c r="B207" s="1" t="s">
        <v>155</v>
      </c>
      <c r="C207" s="1" t="s">
        <v>44</v>
      </c>
      <c r="D207" s="1">
        <v>94</v>
      </c>
      <c r="E207" s="1" t="s">
        <v>43</v>
      </c>
      <c r="F207" s="1">
        <v>142</v>
      </c>
      <c r="G207" s="1" t="s">
        <v>151</v>
      </c>
      <c r="H207" s="1"/>
      <c r="I207" s="1">
        <v>19569</v>
      </c>
      <c r="J207" s="1"/>
    </row>
    <row r="208" spans="1:10" x14ac:dyDescent="0.25">
      <c r="A208" s="2">
        <v>43789</v>
      </c>
      <c r="B208" s="1" t="s">
        <v>155</v>
      </c>
      <c r="C208" s="1" t="s">
        <v>49</v>
      </c>
      <c r="D208" s="1">
        <v>100</v>
      </c>
      <c r="E208" s="1" t="s">
        <v>41</v>
      </c>
      <c r="F208" s="1">
        <v>124</v>
      </c>
      <c r="G208" s="1" t="s">
        <v>151</v>
      </c>
      <c r="H208" s="1"/>
      <c r="I208" s="1">
        <v>19600</v>
      </c>
      <c r="J208" s="1"/>
    </row>
    <row r="209" spans="1:10" x14ac:dyDescent="0.25">
      <c r="A209" s="2">
        <v>43789</v>
      </c>
      <c r="B209" s="1" t="s">
        <v>155</v>
      </c>
      <c r="C209" s="1" t="s">
        <v>53</v>
      </c>
      <c r="D209" s="1">
        <v>97</v>
      </c>
      <c r="E209" s="1" t="s">
        <v>27</v>
      </c>
      <c r="F209" s="1">
        <v>113</v>
      </c>
      <c r="G209" s="1" t="s">
        <v>151</v>
      </c>
      <c r="H209" s="1"/>
      <c r="I209" s="1">
        <v>19800</v>
      </c>
      <c r="J209" s="1"/>
    </row>
    <row r="210" spans="1:10" x14ac:dyDescent="0.25">
      <c r="A210" s="2">
        <v>43789</v>
      </c>
      <c r="B210" s="1" t="s">
        <v>150</v>
      </c>
      <c r="C210" s="1" t="s">
        <v>30</v>
      </c>
      <c r="D210" s="1">
        <v>89</v>
      </c>
      <c r="E210" s="1" t="s">
        <v>31</v>
      </c>
      <c r="F210" s="1">
        <v>109</v>
      </c>
      <c r="G210" s="1" t="s">
        <v>151</v>
      </c>
      <c r="H210" s="1"/>
      <c r="I210" s="1">
        <v>18119</v>
      </c>
      <c r="J210" s="1"/>
    </row>
    <row r="211" spans="1:10" x14ac:dyDescent="0.25">
      <c r="A211" s="2">
        <v>43789</v>
      </c>
      <c r="B211" s="1" t="s">
        <v>150</v>
      </c>
      <c r="C211" s="1" t="s">
        <v>34</v>
      </c>
      <c r="D211" s="1">
        <v>103</v>
      </c>
      <c r="E211" s="1" t="s">
        <v>42</v>
      </c>
      <c r="F211" s="1">
        <v>95</v>
      </c>
      <c r="G211" s="1" t="s">
        <v>151</v>
      </c>
      <c r="H211" s="1"/>
      <c r="I211" s="1">
        <v>13177</v>
      </c>
      <c r="J211" s="1"/>
    </row>
    <row r="212" spans="1:10" x14ac:dyDescent="0.25">
      <c r="A212" s="2">
        <v>43789</v>
      </c>
      <c r="B212" s="1" t="s">
        <v>157</v>
      </c>
      <c r="C212" s="1" t="s">
        <v>32</v>
      </c>
      <c r="D212" s="1">
        <v>95</v>
      </c>
      <c r="E212" s="1" t="s">
        <v>50</v>
      </c>
      <c r="F212" s="1">
        <v>105</v>
      </c>
      <c r="G212" s="1" t="s">
        <v>151</v>
      </c>
      <c r="H212" s="1"/>
      <c r="I212" s="1">
        <v>17778</v>
      </c>
      <c r="J212" s="1"/>
    </row>
    <row r="213" spans="1:10" x14ac:dyDescent="0.25">
      <c r="A213" s="2">
        <v>43789</v>
      </c>
      <c r="B213" s="1" t="s">
        <v>158</v>
      </c>
      <c r="C213" s="1" t="s">
        <v>46</v>
      </c>
      <c r="D213" s="1">
        <v>104</v>
      </c>
      <c r="E213" s="1" t="s">
        <v>25</v>
      </c>
      <c r="F213" s="1">
        <v>107</v>
      </c>
      <c r="G213" s="1" t="s">
        <v>151</v>
      </c>
      <c r="H213" s="1" t="s">
        <v>152</v>
      </c>
      <c r="I213" s="1">
        <v>19068</v>
      </c>
      <c r="J213" s="1"/>
    </row>
    <row r="214" spans="1:10" x14ac:dyDescent="0.25">
      <c r="A214" s="2">
        <v>43790</v>
      </c>
      <c r="B214" s="1" t="s">
        <v>150</v>
      </c>
      <c r="C214" s="1" t="s">
        <v>28</v>
      </c>
      <c r="D214" s="1">
        <v>129</v>
      </c>
      <c r="E214" s="1" t="s">
        <v>39</v>
      </c>
      <c r="F214" s="1">
        <v>137</v>
      </c>
      <c r="G214" s="1" t="s">
        <v>151</v>
      </c>
      <c r="H214" s="1"/>
      <c r="I214" s="1">
        <v>17385</v>
      </c>
      <c r="J214" s="1"/>
    </row>
    <row r="215" spans="1:10" x14ac:dyDescent="0.25">
      <c r="A215" s="2">
        <v>43790</v>
      </c>
      <c r="B215" s="1" t="s">
        <v>153</v>
      </c>
      <c r="C215" s="1" t="s">
        <v>37</v>
      </c>
      <c r="D215" s="1">
        <v>124</v>
      </c>
      <c r="E215" s="1" t="s">
        <v>26</v>
      </c>
      <c r="F215" s="1">
        <v>121</v>
      </c>
      <c r="G215" s="1" t="s">
        <v>151</v>
      </c>
      <c r="H215" s="1"/>
      <c r="I215" s="1">
        <v>13903</v>
      </c>
      <c r="J215" s="1"/>
    </row>
    <row r="216" spans="1:10" x14ac:dyDescent="0.25">
      <c r="A216" s="2">
        <v>43791</v>
      </c>
      <c r="B216" s="1" t="s">
        <v>154</v>
      </c>
      <c r="C216" s="1" t="s">
        <v>52</v>
      </c>
      <c r="D216" s="1">
        <v>103</v>
      </c>
      <c r="E216" s="1" t="s">
        <v>30</v>
      </c>
      <c r="F216" s="1">
        <v>128</v>
      </c>
      <c r="G216" s="1" t="s">
        <v>151</v>
      </c>
      <c r="H216" s="1"/>
      <c r="I216" s="1">
        <v>15399</v>
      </c>
      <c r="J216" s="1"/>
    </row>
    <row r="217" spans="1:10" x14ac:dyDescent="0.25">
      <c r="A217" s="2">
        <v>43791</v>
      </c>
      <c r="B217" s="1" t="s">
        <v>154</v>
      </c>
      <c r="C217" s="1" t="s">
        <v>29</v>
      </c>
      <c r="D217" s="1">
        <v>118</v>
      </c>
      <c r="E217" s="1" t="s">
        <v>40</v>
      </c>
      <c r="F217" s="1">
        <v>125</v>
      </c>
      <c r="G217" s="1" t="s">
        <v>151</v>
      </c>
      <c r="H217" s="1"/>
      <c r="I217" s="1">
        <v>15053</v>
      </c>
      <c r="J217" s="1"/>
    </row>
    <row r="218" spans="1:10" x14ac:dyDescent="0.25">
      <c r="A218" s="2">
        <v>43791</v>
      </c>
      <c r="B218" s="1" t="s">
        <v>155</v>
      </c>
      <c r="C218" s="1" t="s">
        <v>36</v>
      </c>
      <c r="D218" s="1">
        <v>97</v>
      </c>
      <c r="E218" s="1" t="s">
        <v>38</v>
      </c>
      <c r="F218" s="1">
        <v>116</v>
      </c>
      <c r="G218" s="1" t="s">
        <v>151</v>
      </c>
      <c r="H218" s="1"/>
      <c r="I218" s="1">
        <v>15619</v>
      </c>
      <c r="J218" s="1"/>
    </row>
    <row r="219" spans="1:10" x14ac:dyDescent="0.25">
      <c r="A219" s="2">
        <v>43791</v>
      </c>
      <c r="B219" s="1" t="s">
        <v>150</v>
      </c>
      <c r="C219" s="1" t="s">
        <v>41</v>
      </c>
      <c r="D219" s="1">
        <v>116</v>
      </c>
      <c r="E219" s="1" t="s">
        <v>31</v>
      </c>
      <c r="F219" s="1">
        <v>108</v>
      </c>
      <c r="G219" s="1" t="s">
        <v>151</v>
      </c>
      <c r="H219" s="1"/>
      <c r="I219" s="1">
        <v>18953</v>
      </c>
      <c r="J219" s="1"/>
    </row>
    <row r="220" spans="1:10" x14ac:dyDescent="0.25">
      <c r="A220" s="2">
        <v>43791</v>
      </c>
      <c r="B220" s="1" t="s">
        <v>150</v>
      </c>
      <c r="C220" s="1" t="s">
        <v>47</v>
      </c>
      <c r="D220" s="1">
        <v>130</v>
      </c>
      <c r="E220" s="1" t="s">
        <v>33</v>
      </c>
      <c r="F220" s="1">
        <v>127</v>
      </c>
      <c r="G220" s="1" t="s">
        <v>151</v>
      </c>
      <c r="H220" s="1"/>
      <c r="I220" s="1">
        <v>18203</v>
      </c>
      <c r="J220" s="1"/>
    </row>
    <row r="221" spans="1:10" x14ac:dyDescent="0.25">
      <c r="A221" s="2">
        <v>43791</v>
      </c>
      <c r="B221" s="1" t="s">
        <v>150</v>
      </c>
      <c r="C221" s="1" t="s">
        <v>54</v>
      </c>
      <c r="D221" s="1">
        <v>104</v>
      </c>
      <c r="E221" s="1" t="s">
        <v>45</v>
      </c>
      <c r="F221" s="1">
        <v>115</v>
      </c>
      <c r="G221" s="1" t="s">
        <v>151</v>
      </c>
      <c r="H221" s="1"/>
      <c r="I221" s="1">
        <v>20927</v>
      </c>
      <c r="J221" s="1"/>
    </row>
    <row r="222" spans="1:10" x14ac:dyDescent="0.25">
      <c r="A222" s="2">
        <v>43791</v>
      </c>
      <c r="B222" s="1" t="s">
        <v>156</v>
      </c>
      <c r="C222" s="1" t="s">
        <v>49</v>
      </c>
      <c r="D222" s="1">
        <v>101</v>
      </c>
      <c r="E222" s="1" t="s">
        <v>43</v>
      </c>
      <c r="F222" s="1">
        <v>143</v>
      </c>
      <c r="G222" s="1" t="s">
        <v>151</v>
      </c>
      <c r="H222" s="1"/>
      <c r="I222" s="1">
        <v>19639</v>
      </c>
      <c r="J222" s="1"/>
    </row>
    <row r="223" spans="1:10" x14ac:dyDescent="0.25">
      <c r="A223" s="2">
        <v>43791</v>
      </c>
      <c r="B223" s="1" t="s">
        <v>157</v>
      </c>
      <c r="C223" s="1" t="s">
        <v>46</v>
      </c>
      <c r="D223" s="1">
        <v>92</v>
      </c>
      <c r="E223" s="1" t="s">
        <v>50</v>
      </c>
      <c r="F223" s="1">
        <v>96</v>
      </c>
      <c r="G223" s="1" t="s">
        <v>151</v>
      </c>
      <c r="H223" s="1"/>
      <c r="I223" s="1">
        <v>19520</v>
      </c>
      <c r="J223" s="1"/>
    </row>
    <row r="224" spans="1:10" x14ac:dyDescent="0.25">
      <c r="A224" s="2">
        <v>43791</v>
      </c>
      <c r="B224" s="1" t="s">
        <v>157</v>
      </c>
      <c r="C224" s="1" t="s">
        <v>44</v>
      </c>
      <c r="D224" s="1">
        <v>109</v>
      </c>
      <c r="E224" s="1" t="s">
        <v>34</v>
      </c>
      <c r="F224" s="1">
        <v>113</v>
      </c>
      <c r="G224" s="1" t="s">
        <v>151</v>
      </c>
      <c r="H224" s="1"/>
      <c r="I224" s="1">
        <v>18306</v>
      </c>
      <c r="J224" s="1"/>
    </row>
    <row r="225" spans="1:10" x14ac:dyDescent="0.25">
      <c r="A225" s="2">
        <v>43791</v>
      </c>
      <c r="B225" s="1" t="s">
        <v>153</v>
      </c>
      <c r="C225" s="1" t="s">
        <v>32</v>
      </c>
      <c r="D225" s="1">
        <v>119</v>
      </c>
      <c r="E225" s="1" t="s">
        <v>25</v>
      </c>
      <c r="F225" s="1">
        <v>122</v>
      </c>
      <c r="G225" s="1" t="s">
        <v>151</v>
      </c>
      <c r="H225" s="1"/>
      <c r="I225" s="1">
        <v>19068</v>
      </c>
      <c r="J225" s="1"/>
    </row>
    <row r="226" spans="1:10" x14ac:dyDescent="0.25">
      <c r="A226" s="2">
        <v>43792</v>
      </c>
      <c r="B226" s="1" t="s">
        <v>159</v>
      </c>
      <c r="C226" s="1" t="s">
        <v>26</v>
      </c>
      <c r="D226" s="1">
        <v>100</v>
      </c>
      <c r="E226" s="1" t="s">
        <v>42</v>
      </c>
      <c r="F226" s="1">
        <v>98</v>
      </c>
      <c r="G226" s="1" t="s">
        <v>151</v>
      </c>
      <c r="H226" s="1"/>
      <c r="I226" s="1">
        <v>17362</v>
      </c>
      <c r="J226" s="1"/>
    </row>
    <row r="227" spans="1:10" x14ac:dyDescent="0.25">
      <c r="A227" s="2">
        <v>43792</v>
      </c>
      <c r="B227" s="1" t="s">
        <v>154</v>
      </c>
      <c r="C227" s="1" t="s">
        <v>31</v>
      </c>
      <c r="D227" s="1">
        <v>116</v>
      </c>
      <c r="E227" s="1" t="s">
        <v>29</v>
      </c>
      <c r="F227" s="1">
        <v>115</v>
      </c>
      <c r="G227" s="1" t="s">
        <v>151</v>
      </c>
      <c r="H227" s="1"/>
      <c r="I227" s="1">
        <v>17891</v>
      </c>
      <c r="J227" s="1"/>
    </row>
    <row r="228" spans="1:10" x14ac:dyDescent="0.25">
      <c r="A228" s="2">
        <v>43792</v>
      </c>
      <c r="B228" s="1" t="s">
        <v>154</v>
      </c>
      <c r="C228" s="1" t="s">
        <v>53</v>
      </c>
      <c r="D228" s="1">
        <v>106</v>
      </c>
      <c r="E228" s="1" t="s">
        <v>51</v>
      </c>
      <c r="F228" s="1">
        <v>111</v>
      </c>
      <c r="G228" s="1" t="s">
        <v>151</v>
      </c>
      <c r="H228" s="1"/>
      <c r="I228" s="1">
        <v>16446</v>
      </c>
      <c r="J228" s="1"/>
    </row>
    <row r="229" spans="1:10" x14ac:dyDescent="0.25">
      <c r="A229" s="2">
        <v>43792</v>
      </c>
      <c r="B229" s="1" t="s">
        <v>155</v>
      </c>
      <c r="C229" s="1" t="s">
        <v>27</v>
      </c>
      <c r="D229" s="1">
        <v>119</v>
      </c>
      <c r="E229" s="1" t="s">
        <v>52</v>
      </c>
      <c r="F229" s="1">
        <v>116</v>
      </c>
      <c r="G229" s="1" t="s">
        <v>151</v>
      </c>
      <c r="H229" s="1"/>
      <c r="I229" s="1">
        <v>16931</v>
      </c>
      <c r="J229" s="1"/>
    </row>
    <row r="230" spans="1:10" x14ac:dyDescent="0.25">
      <c r="A230" s="2">
        <v>43792</v>
      </c>
      <c r="B230" s="1" t="s">
        <v>155</v>
      </c>
      <c r="C230" s="1" t="s">
        <v>54</v>
      </c>
      <c r="D230" s="1">
        <v>111</v>
      </c>
      <c r="E230" s="1" t="s">
        <v>35</v>
      </c>
      <c r="F230" s="1">
        <v>104</v>
      </c>
      <c r="G230" s="1" t="s">
        <v>151</v>
      </c>
      <c r="H230" s="1"/>
      <c r="I230" s="1">
        <v>19320</v>
      </c>
      <c r="J230" s="1"/>
    </row>
    <row r="231" spans="1:10" x14ac:dyDescent="0.25">
      <c r="A231" s="2">
        <v>43792</v>
      </c>
      <c r="B231" s="1" t="s">
        <v>155</v>
      </c>
      <c r="C231" s="1" t="s">
        <v>41</v>
      </c>
      <c r="D231" s="1">
        <v>86</v>
      </c>
      <c r="E231" s="1" t="s">
        <v>45</v>
      </c>
      <c r="F231" s="1">
        <v>113</v>
      </c>
      <c r="G231" s="1" t="s">
        <v>151</v>
      </c>
      <c r="H231" s="1"/>
      <c r="I231" s="1">
        <v>21017</v>
      </c>
      <c r="J231" s="1"/>
    </row>
    <row r="232" spans="1:10" x14ac:dyDescent="0.25">
      <c r="A232" s="2">
        <v>43792</v>
      </c>
      <c r="B232" s="1" t="s">
        <v>150</v>
      </c>
      <c r="C232" s="1" t="s">
        <v>28</v>
      </c>
      <c r="D232" s="1">
        <v>104</v>
      </c>
      <c r="E232" s="1" t="s">
        <v>49</v>
      </c>
      <c r="F232" s="1">
        <v>110</v>
      </c>
      <c r="G232" s="1" t="s">
        <v>151</v>
      </c>
      <c r="H232" s="1"/>
      <c r="I232" s="1">
        <v>19432</v>
      </c>
      <c r="J232" s="1"/>
    </row>
    <row r="233" spans="1:10" x14ac:dyDescent="0.25">
      <c r="A233" s="2">
        <v>43792</v>
      </c>
      <c r="B233" s="1" t="s">
        <v>150</v>
      </c>
      <c r="C233" s="1" t="s">
        <v>47</v>
      </c>
      <c r="D233" s="1">
        <v>109</v>
      </c>
      <c r="E233" s="1" t="s">
        <v>48</v>
      </c>
      <c r="F233" s="1">
        <v>108</v>
      </c>
      <c r="G233" s="1" t="s">
        <v>151</v>
      </c>
      <c r="H233" s="1"/>
      <c r="I233" s="1">
        <v>17794</v>
      </c>
      <c r="J233" s="1"/>
    </row>
    <row r="234" spans="1:10" x14ac:dyDescent="0.25">
      <c r="A234" s="2">
        <v>43792</v>
      </c>
      <c r="B234" s="1" t="s">
        <v>156</v>
      </c>
      <c r="C234" s="1" t="s">
        <v>30</v>
      </c>
      <c r="D234" s="1">
        <v>90</v>
      </c>
      <c r="E234" s="1" t="s">
        <v>39</v>
      </c>
      <c r="F234" s="1">
        <v>104</v>
      </c>
      <c r="G234" s="1" t="s">
        <v>151</v>
      </c>
      <c r="H234" s="1"/>
      <c r="I234" s="1">
        <v>17585</v>
      </c>
      <c r="J234" s="1"/>
    </row>
    <row r="235" spans="1:10" x14ac:dyDescent="0.25">
      <c r="A235" s="2">
        <v>43792</v>
      </c>
      <c r="B235" s="1" t="s">
        <v>157</v>
      </c>
      <c r="C235" s="1" t="s">
        <v>37</v>
      </c>
      <c r="D235" s="1">
        <v>120</v>
      </c>
      <c r="E235" s="1" t="s">
        <v>34</v>
      </c>
      <c r="F235" s="1">
        <v>128</v>
      </c>
      <c r="G235" s="1" t="s">
        <v>151</v>
      </c>
      <c r="H235" s="1"/>
      <c r="I235" s="1">
        <v>18306</v>
      </c>
      <c r="J235" s="1"/>
    </row>
    <row r="236" spans="1:10" x14ac:dyDescent="0.25">
      <c r="A236" s="2">
        <v>43793</v>
      </c>
      <c r="B236" s="1" t="s">
        <v>160</v>
      </c>
      <c r="C236" s="1" t="s">
        <v>43</v>
      </c>
      <c r="D236" s="1">
        <v>137</v>
      </c>
      <c r="E236" s="1" t="s">
        <v>32</v>
      </c>
      <c r="F236" s="1">
        <v>123</v>
      </c>
      <c r="G236" s="1" t="s">
        <v>151</v>
      </c>
      <c r="H236" s="1"/>
      <c r="I236" s="1">
        <v>18055</v>
      </c>
      <c r="J236" s="1"/>
    </row>
    <row r="237" spans="1:10" x14ac:dyDescent="0.25">
      <c r="A237" s="2">
        <v>43793</v>
      </c>
      <c r="B237" s="1" t="s">
        <v>161</v>
      </c>
      <c r="C237" s="1" t="s">
        <v>38</v>
      </c>
      <c r="D237" s="1">
        <v>103</v>
      </c>
      <c r="E237" s="1" t="s">
        <v>35</v>
      </c>
      <c r="F237" s="1">
        <v>101</v>
      </c>
      <c r="G237" s="1" t="s">
        <v>151</v>
      </c>
      <c r="H237" s="1"/>
      <c r="I237" s="1">
        <v>18770</v>
      </c>
      <c r="J237" s="1"/>
    </row>
    <row r="238" spans="1:10" x14ac:dyDescent="0.25">
      <c r="A238" s="2">
        <v>43793</v>
      </c>
      <c r="B238" s="1" t="s">
        <v>161</v>
      </c>
      <c r="C238" s="1" t="s">
        <v>36</v>
      </c>
      <c r="D238" s="1">
        <v>113</v>
      </c>
      <c r="E238" s="1" t="s">
        <v>40</v>
      </c>
      <c r="F238" s="1">
        <v>106</v>
      </c>
      <c r="G238" s="1" t="s">
        <v>151</v>
      </c>
      <c r="H238" s="1"/>
      <c r="I238" s="1">
        <v>15885</v>
      </c>
      <c r="J238" s="1"/>
    </row>
    <row r="239" spans="1:10" x14ac:dyDescent="0.25">
      <c r="A239" s="2">
        <v>43793</v>
      </c>
      <c r="B239" s="1" t="s">
        <v>150</v>
      </c>
      <c r="C239" s="1" t="s">
        <v>26</v>
      </c>
      <c r="D239" s="1">
        <v>104</v>
      </c>
      <c r="E239" s="1" t="s">
        <v>50</v>
      </c>
      <c r="F239" s="1">
        <v>116</v>
      </c>
      <c r="G239" s="1" t="s">
        <v>151</v>
      </c>
      <c r="H239" s="1"/>
      <c r="I239" s="1">
        <v>19520</v>
      </c>
      <c r="J239" s="1"/>
    </row>
    <row r="240" spans="1:10" x14ac:dyDescent="0.25">
      <c r="A240" s="2">
        <v>43793</v>
      </c>
      <c r="B240" s="1" t="s">
        <v>157</v>
      </c>
      <c r="C240" s="1" t="s">
        <v>37</v>
      </c>
      <c r="D240" s="1">
        <v>109</v>
      </c>
      <c r="E240" s="1" t="s">
        <v>25</v>
      </c>
      <c r="F240" s="1">
        <v>134</v>
      </c>
      <c r="G240" s="1" t="s">
        <v>151</v>
      </c>
      <c r="H240" s="1"/>
      <c r="I240" s="1">
        <v>19068</v>
      </c>
      <c r="J240" s="1"/>
    </row>
    <row r="241" spans="1:10" x14ac:dyDescent="0.25">
      <c r="A241" s="2">
        <v>43794</v>
      </c>
      <c r="B241" s="1" t="s">
        <v>154</v>
      </c>
      <c r="C241" s="1" t="s">
        <v>38</v>
      </c>
      <c r="D241" s="1">
        <v>108</v>
      </c>
      <c r="E241" s="1" t="s">
        <v>49</v>
      </c>
      <c r="F241" s="1">
        <v>106</v>
      </c>
      <c r="G241" s="1" t="s">
        <v>151</v>
      </c>
      <c r="H241" s="1"/>
      <c r="I241" s="1">
        <v>17143</v>
      </c>
      <c r="J241" s="1"/>
    </row>
    <row r="242" spans="1:10" x14ac:dyDescent="0.25">
      <c r="A242" s="2">
        <v>43794</v>
      </c>
      <c r="B242" s="1" t="s">
        <v>154</v>
      </c>
      <c r="C242" s="1" t="s">
        <v>53</v>
      </c>
      <c r="D242" s="1">
        <v>88</v>
      </c>
      <c r="E242" s="1" t="s">
        <v>30</v>
      </c>
      <c r="F242" s="1">
        <v>103</v>
      </c>
      <c r="G242" s="1" t="s">
        <v>151</v>
      </c>
      <c r="H242" s="1"/>
      <c r="I242" s="1">
        <v>14695</v>
      </c>
      <c r="J242" s="1"/>
    </row>
    <row r="243" spans="1:10" x14ac:dyDescent="0.25">
      <c r="A243" s="2">
        <v>43794</v>
      </c>
      <c r="B243" s="1" t="s">
        <v>154</v>
      </c>
      <c r="C243" s="1" t="s">
        <v>48</v>
      </c>
      <c r="D243" s="1">
        <v>114</v>
      </c>
      <c r="E243" s="1" t="s">
        <v>51</v>
      </c>
      <c r="F243" s="1">
        <v>126</v>
      </c>
      <c r="G243" s="1" t="s">
        <v>151</v>
      </c>
      <c r="H243" s="1"/>
      <c r="I243" s="1">
        <v>15141</v>
      </c>
      <c r="J243" s="1"/>
    </row>
    <row r="244" spans="1:10" x14ac:dyDescent="0.25">
      <c r="A244" s="2">
        <v>43794</v>
      </c>
      <c r="B244" s="1" t="s">
        <v>155</v>
      </c>
      <c r="C244" s="1" t="s">
        <v>42</v>
      </c>
      <c r="D244" s="1">
        <v>125</v>
      </c>
      <c r="E244" s="1" t="s">
        <v>52</v>
      </c>
      <c r="F244" s="1">
        <v>113</v>
      </c>
      <c r="G244" s="1" t="s">
        <v>151</v>
      </c>
      <c r="H244" s="1"/>
      <c r="I244" s="1">
        <v>16218</v>
      </c>
      <c r="J244" s="1"/>
    </row>
    <row r="245" spans="1:10" x14ac:dyDescent="0.25">
      <c r="A245" s="2">
        <v>43794</v>
      </c>
      <c r="B245" s="1" t="s">
        <v>155</v>
      </c>
      <c r="C245" s="1" t="s">
        <v>36</v>
      </c>
      <c r="D245" s="1">
        <v>102</v>
      </c>
      <c r="E245" s="1" t="s">
        <v>46</v>
      </c>
      <c r="F245" s="1">
        <v>103</v>
      </c>
      <c r="G245" s="1" t="s">
        <v>151</v>
      </c>
      <c r="H245" s="1"/>
      <c r="I245" s="1">
        <v>19156</v>
      </c>
      <c r="J245" s="1"/>
    </row>
    <row r="246" spans="1:10" x14ac:dyDescent="0.25">
      <c r="A246" s="2">
        <v>43794</v>
      </c>
      <c r="B246" s="1" t="s">
        <v>155</v>
      </c>
      <c r="C246" s="1" t="s">
        <v>29</v>
      </c>
      <c r="D246" s="1">
        <v>100</v>
      </c>
      <c r="E246" s="1" t="s">
        <v>41</v>
      </c>
      <c r="F246" s="1">
        <v>117</v>
      </c>
      <c r="G246" s="1" t="s">
        <v>151</v>
      </c>
      <c r="H246" s="1"/>
      <c r="I246" s="1">
        <v>19600</v>
      </c>
      <c r="J246" s="1"/>
    </row>
    <row r="247" spans="1:10" x14ac:dyDescent="0.25">
      <c r="A247" s="2">
        <v>43794</v>
      </c>
      <c r="B247" s="1" t="s">
        <v>155</v>
      </c>
      <c r="C247" s="1" t="s">
        <v>45</v>
      </c>
      <c r="D247" s="1">
        <v>96</v>
      </c>
      <c r="E247" s="1" t="s">
        <v>27</v>
      </c>
      <c r="F247" s="1">
        <v>101</v>
      </c>
      <c r="G247" s="1" t="s">
        <v>151</v>
      </c>
      <c r="H247" s="1"/>
      <c r="I247" s="1">
        <v>19800</v>
      </c>
      <c r="J247" s="1"/>
    </row>
    <row r="248" spans="1:10" x14ac:dyDescent="0.25">
      <c r="A248" s="2">
        <v>43794</v>
      </c>
      <c r="B248" s="1" t="s">
        <v>150</v>
      </c>
      <c r="C248" s="1" t="s">
        <v>28</v>
      </c>
      <c r="D248" s="1">
        <v>117</v>
      </c>
      <c r="E248" s="1" t="s">
        <v>31</v>
      </c>
      <c r="F248" s="1">
        <v>94</v>
      </c>
      <c r="G248" s="1" t="s">
        <v>151</v>
      </c>
      <c r="H248" s="1"/>
      <c r="I248" s="1">
        <v>18776</v>
      </c>
      <c r="J248" s="1"/>
    </row>
    <row r="249" spans="1:10" x14ac:dyDescent="0.25">
      <c r="A249" s="2">
        <v>43794</v>
      </c>
      <c r="B249" s="1" t="s">
        <v>150</v>
      </c>
      <c r="C249" s="1" t="s">
        <v>34</v>
      </c>
      <c r="D249" s="1">
        <v>118</v>
      </c>
      <c r="E249" s="1" t="s">
        <v>39</v>
      </c>
      <c r="F249" s="1">
        <v>122</v>
      </c>
      <c r="G249" s="1" t="s">
        <v>151</v>
      </c>
      <c r="H249" s="1"/>
      <c r="I249" s="1">
        <v>17385</v>
      </c>
      <c r="J249" s="1"/>
    </row>
    <row r="250" spans="1:10" x14ac:dyDescent="0.25">
      <c r="A250" s="2">
        <v>43794</v>
      </c>
      <c r="B250" s="1" t="s">
        <v>156</v>
      </c>
      <c r="C250" s="1" t="s">
        <v>47</v>
      </c>
      <c r="D250" s="1">
        <v>114</v>
      </c>
      <c r="E250" s="1" t="s">
        <v>54</v>
      </c>
      <c r="F250" s="1">
        <v>104</v>
      </c>
      <c r="G250" s="1" t="s">
        <v>151</v>
      </c>
      <c r="H250" s="1"/>
      <c r="I250" s="1">
        <v>18498</v>
      </c>
      <c r="J250" s="1"/>
    </row>
    <row r="251" spans="1:10" x14ac:dyDescent="0.25">
      <c r="A251" s="2">
        <v>43794</v>
      </c>
      <c r="B251" s="1" t="s">
        <v>153</v>
      </c>
      <c r="C251" s="1" t="s">
        <v>33</v>
      </c>
      <c r="D251" s="1">
        <v>100</v>
      </c>
      <c r="E251" s="1" t="s">
        <v>44</v>
      </c>
      <c r="F251" s="1">
        <v>97</v>
      </c>
      <c r="G251" s="1" t="s">
        <v>151</v>
      </c>
      <c r="H251" s="1"/>
      <c r="I251" s="1">
        <v>18064</v>
      </c>
      <c r="J251" s="1"/>
    </row>
    <row r="252" spans="1:10" x14ac:dyDescent="0.25">
      <c r="A252" s="2">
        <v>43795</v>
      </c>
      <c r="B252" s="1" t="s">
        <v>156</v>
      </c>
      <c r="C252" s="1" t="s">
        <v>25</v>
      </c>
      <c r="D252" s="1">
        <v>114</v>
      </c>
      <c r="E252" s="1" t="s">
        <v>43</v>
      </c>
      <c r="F252" s="1">
        <v>99</v>
      </c>
      <c r="G252" s="1" t="s">
        <v>151</v>
      </c>
      <c r="H252" s="1"/>
      <c r="I252" s="1">
        <v>20407</v>
      </c>
      <c r="J252" s="1"/>
    </row>
    <row r="253" spans="1:10" x14ac:dyDescent="0.25">
      <c r="A253" s="2">
        <v>43795</v>
      </c>
      <c r="B253" s="1" t="s">
        <v>157</v>
      </c>
      <c r="C253" s="1" t="s">
        <v>40</v>
      </c>
      <c r="D253" s="1">
        <v>104</v>
      </c>
      <c r="E253" s="1" t="s">
        <v>50</v>
      </c>
      <c r="F253" s="1">
        <v>117</v>
      </c>
      <c r="G253" s="1" t="s">
        <v>151</v>
      </c>
      <c r="H253" s="1"/>
      <c r="I253" s="1">
        <v>18673</v>
      </c>
      <c r="J253" s="1"/>
    </row>
    <row r="254" spans="1:10" x14ac:dyDescent="0.25">
      <c r="A254" s="2">
        <v>43796</v>
      </c>
      <c r="B254" s="1" t="s">
        <v>154</v>
      </c>
      <c r="C254" s="1" t="s">
        <v>38</v>
      </c>
      <c r="D254" s="1">
        <v>110</v>
      </c>
      <c r="E254" s="1" t="s">
        <v>46</v>
      </c>
      <c r="F254" s="1">
        <v>121</v>
      </c>
      <c r="G254" s="1" t="s">
        <v>151</v>
      </c>
      <c r="H254" s="1"/>
      <c r="I254" s="1">
        <v>19156</v>
      </c>
      <c r="J254" s="1"/>
    </row>
    <row r="255" spans="1:10" x14ac:dyDescent="0.25">
      <c r="A255" s="2">
        <v>43796</v>
      </c>
      <c r="B255" s="1" t="s">
        <v>154</v>
      </c>
      <c r="C255" s="1" t="s">
        <v>30</v>
      </c>
      <c r="D255" s="1">
        <v>101</v>
      </c>
      <c r="E255" s="1" t="s">
        <v>29</v>
      </c>
      <c r="F255" s="1">
        <v>102</v>
      </c>
      <c r="G255" s="1" t="s">
        <v>151</v>
      </c>
      <c r="H255" s="1"/>
      <c r="I255" s="1">
        <v>15535</v>
      </c>
      <c r="J255" s="1"/>
    </row>
    <row r="256" spans="1:10" x14ac:dyDescent="0.25">
      <c r="A256" s="2">
        <v>43796</v>
      </c>
      <c r="B256" s="1" t="s">
        <v>154</v>
      </c>
      <c r="C256" s="1" t="s">
        <v>53</v>
      </c>
      <c r="D256" s="1">
        <v>116</v>
      </c>
      <c r="E256" s="1" t="s">
        <v>49</v>
      </c>
      <c r="F256" s="1">
        <v>104</v>
      </c>
      <c r="G256" s="1" t="s">
        <v>151</v>
      </c>
      <c r="H256" s="1"/>
      <c r="I256" s="1">
        <v>17712</v>
      </c>
      <c r="J256" s="1"/>
    </row>
    <row r="257" spans="1:10" x14ac:dyDescent="0.25">
      <c r="A257" s="2">
        <v>43796</v>
      </c>
      <c r="B257" s="1" t="s">
        <v>154</v>
      </c>
      <c r="C257" s="1" t="s">
        <v>34</v>
      </c>
      <c r="D257" s="1">
        <v>102</v>
      </c>
      <c r="E257" s="1" t="s">
        <v>51</v>
      </c>
      <c r="F257" s="1">
        <v>121</v>
      </c>
      <c r="G257" s="1" t="s">
        <v>151</v>
      </c>
      <c r="H257" s="1"/>
      <c r="I257" s="1">
        <v>17027</v>
      </c>
      <c r="J257" s="1"/>
    </row>
    <row r="258" spans="1:10" x14ac:dyDescent="0.25">
      <c r="A258" s="2">
        <v>43796</v>
      </c>
      <c r="B258" s="1" t="s">
        <v>154</v>
      </c>
      <c r="C258" s="1" t="s">
        <v>36</v>
      </c>
      <c r="D258" s="1">
        <v>91</v>
      </c>
      <c r="E258" s="1" t="s">
        <v>45</v>
      </c>
      <c r="F258" s="1">
        <v>97</v>
      </c>
      <c r="G258" s="1" t="s">
        <v>151</v>
      </c>
      <c r="H258" s="1"/>
      <c r="I258" s="1">
        <v>20592</v>
      </c>
      <c r="J258" s="1"/>
    </row>
    <row r="259" spans="1:10" x14ac:dyDescent="0.25">
      <c r="A259" s="2">
        <v>43796</v>
      </c>
      <c r="B259" s="1" t="s">
        <v>155</v>
      </c>
      <c r="C259" s="1" t="s">
        <v>35</v>
      </c>
      <c r="D259" s="1">
        <v>98</v>
      </c>
      <c r="E259" s="1" t="s">
        <v>27</v>
      </c>
      <c r="F259" s="1">
        <v>126</v>
      </c>
      <c r="G259" s="1" t="s">
        <v>151</v>
      </c>
      <c r="H259" s="1"/>
      <c r="I259" s="1">
        <v>19800</v>
      </c>
      <c r="J259" s="1"/>
    </row>
    <row r="260" spans="1:10" x14ac:dyDescent="0.25">
      <c r="A260" s="2">
        <v>43796</v>
      </c>
      <c r="B260" s="1" t="s">
        <v>150</v>
      </c>
      <c r="C260" s="1" t="s">
        <v>41</v>
      </c>
      <c r="D260" s="1">
        <v>108</v>
      </c>
      <c r="E260" s="1" t="s">
        <v>32</v>
      </c>
      <c r="F260" s="1">
        <v>117</v>
      </c>
      <c r="G260" s="1" t="s">
        <v>151</v>
      </c>
      <c r="H260" s="1"/>
      <c r="I260" s="1">
        <v>18055</v>
      </c>
      <c r="J260" s="1"/>
    </row>
    <row r="261" spans="1:10" x14ac:dyDescent="0.25">
      <c r="A261" s="2">
        <v>43796</v>
      </c>
      <c r="B261" s="1" t="s">
        <v>150</v>
      </c>
      <c r="C261" s="1" t="s">
        <v>25</v>
      </c>
      <c r="D261" s="1">
        <v>121</v>
      </c>
      <c r="E261" s="1" t="s">
        <v>48</v>
      </c>
      <c r="F261" s="1">
        <v>119</v>
      </c>
      <c r="G261" s="1" t="s">
        <v>151</v>
      </c>
      <c r="H261" s="1"/>
      <c r="I261" s="1">
        <v>16721</v>
      </c>
      <c r="J261" s="1"/>
    </row>
    <row r="262" spans="1:10" x14ac:dyDescent="0.25">
      <c r="A262" s="2">
        <v>43796</v>
      </c>
      <c r="B262" s="1" t="s">
        <v>150</v>
      </c>
      <c r="C262" s="1" t="s">
        <v>52</v>
      </c>
      <c r="D262" s="1">
        <v>102</v>
      </c>
      <c r="E262" s="1" t="s">
        <v>39</v>
      </c>
      <c r="F262" s="1">
        <v>111</v>
      </c>
      <c r="G262" s="1" t="s">
        <v>151</v>
      </c>
      <c r="H262" s="1"/>
      <c r="I262" s="1">
        <v>17525</v>
      </c>
      <c r="J262" s="1"/>
    </row>
    <row r="263" spans="1:10" x14ac:dyDescent="0.25">
      <c r="A263" s="2">
        <v>43796</v>
      </c>
      <c r="B263" s="1" t="s">
        <v>156</v>
      </c>
      <c r="C263" s="1" t="s">
        <v>42</v>
      </c>
      <c r="D263" s="1">
        <v>113</v>
      </c>
      <c r="E263" s="1" t="s">
        <v>54</v>
      </c>
      <c r="F263" s="1">
        <v>101</v>
      </c>
      <c r="G263" s="1" t="s">
        <v>151</v>
      </c>
      <c r="H263" s="1"/>
      <c r="I263" s="1">
        <v>18354</v>
      </c>
      <c r="J263" s="1"/>
    </row>
    <row r="264" spans="1:10" x14ac:dyDescent="0.25">
      <c r="A264" s="2">
        <v>43796</v>
      </c>
      <c r="B264" s="1" t="s">
        <v>157</v>
      </c>
      <c r="C264" s="1" t="s">
        <v>40</v>
      </c>
      <c r="D264" s="1">
        <v>140</v>
      </c>
      <c r="E264" s="1" t="s">
        <v>26</v>
      </c>
      <c r="F264" s="1">
        <v>132</v>
      </c>
      <c r="G264" s="1" t="s">
        <v>151</v>
      </c>
      <c r="H264" s="1"/>
      <c r="I264" s="1">
        <v>14123</v>
      </c>
      <c r="J264" s="1"/>
    </row>
    <row r="265" spans="1:10" x14ac:dyDescent="0.25">
      <c r="A265" s="2">
        <v>43796</v>
      </c>
      <c r="B265" s="1" t="s">
        <v>162</v>
      </c>
      <c r="C265" s="1" t="s">
        <v>47</v>
      </c>
      <c r="D265" s="1">
        <v>114</v>
      </c>
      <c r="E265" s="1" t="s">
        <v>37</v>
      </c>
      <c r="F265" s="1">
        <v>110</v>
      </c>
      <c r="G265" s="1" t="s">
        <v>151</v>
      </c>
      <c r="H265" s="1"/>
      <c r="I265" s="1">
        <v>18626</v>
      </c>
      <c r="J265" s="1"/>
    </row>
    <row r="266" spans="1:10" x14ac:dyDescent="0.25">
      <c r="A266" s="2">
        <v>43796</v>
      </c>
      <c r="B266" s="1" t="s">
        <v>158</v>
      </c>
      <c r="C266" s="1" t="s">
        <v>33</v>
      </c>
      <c r="D266" s="1">
        <v>119</v>
      </c>
      <c r="E266" s="1" t="s">
        <v>28</v>
      </c>
      <c r="F266" s="1">
        <v>136</v>
      </c>
      <c r="G266" s="1" t="s">
        <v>151</v>
      </c>
      <c r="H266" s="1"/>
      <c r="I266" s="1">
        <v>19870</v>
      </c>
      <c r="J266" s="1"/>
    </row>
    <row r="267" spans="1:10" x14ac:dyDescent="0.25">
      <c r="A267" s="2">
        <v>43796</v>
      </c>
      <c r="B267" s="1" t="s">
        <v>153</v>
      </c>
      <c r="C267" s="1" t="s">
        <v>31</v>
      </c>
      <c r="D267" s="1">
        <v>90</v>
      </c>
      <c r="E267" s="1" t="s">
        <v>44</v>
      </c>
      <c r="F267" s="1">
        <v>104</v>
      </c>
      <c r="G267" s="1" t="s">
        <v>151</v>
      </c>
      <c r="H267" s="1"/>
      <c r="I267" s="1">
        <v>18064</v>
      </c>
      <c r="J267" s="1"/>
    </row>
    <row r="268" spans="1:10" x14ac:dyDescent="0.25">
      <c r="A268" s="2">
        <v>43798</v>
      </c>
      <c r="B268" s="1" t="s">
        <v>262</v>
      </c>
      <c r="C268" s="1" t="s">
        <v>46</v>
      </c>
      <c r="D268" s="1">
        <v>107</v>
      </c>
      <c r="E268" s="1" t="s">
        <v>38</v>
      </c>
      <c r="F268" s="1">
        <v>112</v>
      </c>
      <c r="G268" s="1" t="s">
        <v>151</v>
      </c>
      <c r="H268" s="1"/>
      <c r="I268" s="1">
        <v>17732</v>
      </c>
      <c r="J268" s="1"/>
    </row>
    <row r="269" spans="1:10" x14ac:dyDescent="0.25">
      <c r="A269" s="2">
        <v>43798</v>
      </c>
      <c r="B269" s="1" t="s">
        <v>154</v>
      </c>
      <c r="C269" s="1" t="s">
        <v>29</v>
      </c>
      <c r="D269" s="1">
        <v>110</v>
      </c>
      <c r="E269" s="1" t="s">
        <v>30</v>
      </c>
      <c r="F269" s="1">
        <v>107</v>
      </c>
      <c r="G269" s="1" t="s">
        <v>151</v>
      </c>
      <c r="H269" s="1"/>
      <c r="I269" s="1">
        <v>15006</v>
      </c>
      <c r="J269" s="1"/>
    </row>
    <row r="270" spans="1:10" x14ac:dyDescent="0.25">
      <c r="A270" s="2">
        <v>43798</v>
      </c>
      <c r="B270" s="1" t="s">
        <v>154</v>
      </c>
      <c r="C270" s="1" t="s">
        <v>27</v>
      </c>
      <c r="D270" s="1">
        <v>90</v>
      </c>
      <c r="E270" s="1" t="s">
        <v>53</v>
      </c>
      <c r="F270" s="1">
        <v>83</v>
      </c>
      <c r="G270" s="1" t="s">
        <v>151</v>
      </c>
      <c r="H270" s="1"/>
      <c r="I270" s="1">
        <v>17014</v>
      </c>
      <c r="J270" s="1"/>
    </row>
    <row r="271" spans="1:10" x14ac:dyDescent="0.25">
      <c r="A271" s="2">
        <v>43798</v>
      </c>
      <c r="B271" s="1" t="s">
        <v>155</v>
      </c>
      <c r="C271" s="1" t="s">
        <v>39</v>
      </c>
      <c r="D271" s="1">
        <v>119</v>
      </c>
      <c r="E271" s="1" t="s">
        <v>49</v>
      </c>
      <c r="F271" s="1">
        <v>110</v>
      </c>
      <c r="G271" s="1" t="s">
        <v>151</v>
      </c>
      <c r="H271" s="1"/>
      <c r="I271" s="1">
        <v>19432</v>
      </c>
      <c r="J271" s="1"/>
    </row>
    <row r="272" spans="1:10" x14ac:dyDescent="0.25">
      <c r="A272" s="2">
        <v>43798</v>
      </c>
      <c r="B272" s="1" t="s">
        <v>155</v>
      </c>
      <c r="C272" s="1" t="s">
        <v>45</v>
      </c>
      <c r="D272" s="1">
        <v>101</v>
      </c>
      <c r="E272" s="1" t="s">
        <v>35</v>
      </c>
      <c r="F272" s="1">
        <v>95</v>
      </c>
      <c r="G272" s="1" t="s">
        <v>151</v>
      </c>
      <c r="H272" s="1"/>
      <c r="I272" s="1">
        <v>18109</v>
      </c>
      <c r="J272" s="1"/>
    </row>
    <row r="273" spans="1:10" x14ac:dyDescent="0.25">
      <c r="A273" s="2">
        <v>43798</v>
      </c>
      <c r="B273" s="1" t="s">
        <v>150</v>
      </c>
      <c r="C273" s="1" t="s">
        <v>52</v>
      </c>
      <c r="D273" s="1">
        <v>104</v>
      </c>
      <c r="E273" s="1" t="s">
        <v>51</v>
      </c>
      <c r="F273" s="1">
        <v>105</v>
      </c>
      <c r="G273" s="1" t="s">
        <v>151</v>
      </c>
      <c r="H273" s="1" t="s">
        <v>152</v>
      </c>
      <c r="I273" s="1">
        <v>15827</v>
      </c>
      <c r="J273" s="1"/>
    </row>
    <row r="274" spans="1:10" x14ac:dyDescent="0.25">
      <c r="A274" s="2">
        <v>43798</v>
      </c>
      <c r="B274" s="1" t="s">
        <v>150</v>
      </c>
      <c r="C274" s="1" t="s">
        <v>34</v>
      </c>
      <c r="D274" s="1">
        <v>103</v>
      </c>
      <c r="E274" s="1" t="s">
        <v>48</v>
      </c>
      <c r="F274" s="1">
        <v>94</v>
      </c>
      <c r="G274" s="1" t="s">
        <v>151</v>
      </c>
      <c r="H274" s="1"/>
      <c r="I274" s="1">
        <v>16605</v>
      </c>
      <c r="J274" s="1"/>
    </row>
    <row r="275" spans="1:10" x14ac:dyDescent="0.25">
      <c r="A275" s="2">
        <v>43798</v>
      </c>
      <c r="B275" s="1" t="s">
        <v>150</v>
      </c>
      <c r="C275" s="1" t="s">
        <v>44</v>
      </c>
      <c r="D275" s="1">
        <v>105</v>
      </c>
      <c r="E275" s="1" t="s">
        <v>41</v>
      </c>
      <c r="F275" s="1">
        <v>122</v>
      </c>
      <c r="G275" s="1" t="s">
        <v>151</v>
      </c>
      <c r="H275" s="1"/>
      <c r="I275" s="1">
        <v>19600</v>
      </c>
      <c r="J275" s="1"/>
    </row>
    <row r="276" spans="1:10" x14ac:dyDescent="0.25">
      <c r="A276" s="2">
        <v>43798</v>
      </c>
      <c r="B276" s="1" t="s">
        <v>150</v>
      </c>
      <c r="C276" s="1" t="s">
        <v>37</v>
      </c>
      <c r="D276" s="1">
        <v>104</v>
      </c>
      <c r="E276" s="1" t="s">
        <v>33</v>
      </c>
      <c r="F276" s="1">
        <v>109</v>
      </c>
      <c r="G276" s="1" t="s">
        <v>151</v>
      </c>
      <c r="H276" s="1"/>
      <c r="I276" s="1">
        <v>18203</v>
      </c>
      <c r="J276" s="1"/>
    </row>
    <row r="277" spans="1:10" x14ac:dyDescent="0.25">
      <c r="A277" s="2">
        <v>43798</v>
      </c>
      <c r="B277" s="1" t="s">
        <v>156</v>
      </c>
      <c r="C277" s="1" t="s">
        <v>25</v>
      </c>
      <c r="D277" s="1">
        <v>97</v>
      </c>
      <c r="E277" s="1" t="s">
        <v>54</v>
      </c>
      <c r="F277" s="1">
        <v>107</v>
      </c>
      <c r="G277" s="1" t="s">
        <v>151</v>
      </c>
      <c r="H277" s="1"/>
      <c r="I277" s="1">
        <v>18354</v>
      </c>
      <c r="J277" s="1"/>
    </row>
    <row r="278" spans="1:10" x14ac:dyDescent="0.25">
      <c r="A278" s="2">
        <v>43798</v>
      </c>
      <c r="B278" s="1" t="s">
        <v>157</v>
      </c>
      <c r="C278" s="1" t="s">
        <v>43</v>
      </c>
      <c r="D278" s="1">
        <v>120</v>
      </c>
      <c r="E278" s="1" t="s">
        <v>26</v>
      </c>
      <c r="F278" s="1">
        <v>113</v>
      </c>
      <c r="G278" s="1" t="s">
        <v>151</v>
      </c>
      <c r="H278" s="1"/>
      <c r="I278" s="1">
        <v>18055</v>
      </c>
      <c r="J278" s="1"/>
    </row>
    <row r="279" spans="1:10" x14ac:dyDescent="0.25">
      <c r="A279" s="2">
        <v>43798</v>
      </c>
      <c r="B279" s="1" t="s">
        <v>158</v>
      </c>
      <c r="C279" s="1" t="s">
        <v>31</v>
      </c>
      <c r="D279" s="1">
        <v>103</v>
      </c>
      <c r="E279" s="1" t="s">
        <v>28</v>
      </c>
      <c r="F279" s="1">
        <v>107</v>
      </c>
      <c r="G279" s="1" t="s">
        <v>151</v>
      </c>
      <c r="H279" s="1"/>
      <c r="I279" s="1">
        <v>20139</v>
      </c>
      <c r="J279" s="1"/>
    </row>
    <row r="280" spans="1:10" x14ac:dyDescent="0.25">
      <c r="A280" s="2">
        <v>43798</v>
      </c>
      <c r="B280" s="1" t="s">
        <v>153</v>
      </c>
      <c r="C280" s="1" t="s">
        <v>40</v>
      </c>
      <c r="D280" s="1">
        <v>103</v>
      </c>
      <c r="E280" s="1" t="s">
        <v>47</v>
      </c>
      <c r="F280" s="1">
        <v>125</v>
      </c>
      <c r="G280" s="1" t="s">
        <v>151</v>
      </c>
      <c r="H280" s="1"/>
      <c r="I280" s="1">
        <v>18997</v>
      </c>
      <c r="J280" s="1"/>
    </row>
    <row r="281" spans="1:10" x14ac:dyDescent="0.25">
      <c r="A281" s="2">
        <v>43799</v>
      </c>
      <c r="B281" s="1" t="s">
        <v>159</v>
      </c>
      <c r="C281" s="1" t="s">
        <v>50</v>
      </c>
      <c r="D281" s="1">
        <v>97</v>
      </c>
      <c r="E281" s="1" t="s">
        <v>36</v>
      </c>
      <c r="F281" s="1">
        <v>100</v>
      </c>
      <c r="G281" s="1" t="s">
        <v>151</v>
      </c>
      <c r="H281" s="1" t="s">
        <v>152</v>
      </c>
      <c r="I281" s="1">
        <v>17583</v>
      </c>
      <c r="J281" s="1"/>
    </row>
    <row r="282" spans="1:10" x14ac:dyDescent="0.25">
      <c r="A282" s="2">
        <v>43799</v>
      </c>
      <c r="B282" s="1" t="s">
        <v>154</v>
      </c>
      <c r="C282" s="1" t="s">
        <v>51</v>
      </c>
      <c r="D282" s="1">
        <v>116</v>
      </c>
      <c r="E282" s="1" t="s">
        <v>45</v>
      </c>
      <c r="F282" s="1">
        <v>119</v>
      </c>
      <c r="G282" s="1" t="s">
        <v>151</v>
      </c>
      <c r="H282" s="1"/>
      <c r="I282" s="1">
        <v>20517</v>
      </c>
      <c r="J282" s="1"/>
    </row>
    <row r="283" spans="1:10" x14ac:dyDescent="0.25">
      <c r="A283" s="2">
        <v>43799</v>
      </c>
      <c r="B283" s="1" t="s">
        <v>150</v>
      </c>
      <c r="C283" s="1" t="s">
        <v>52</v>
      </c>
      <c r="D283" s="1">
        <v>111</v>
      </c>
      <c r="E283" s="1" t="s">
        <v>32</v>
      </c>
      <c r="F283" s="1">
        <v>158</v>
      </c>
      <c r="G283" s="1" t="s">
        <v>151</v>
      </c>
      <c r="H283" s="1"/>
      <c r="I283" s="1">
        <v>18055</v>
      </c>
      <c r="J283" s="1"/>
    </row>
    <row r="284" spans="1:10" x14ac:dyDescent="0.25">
      <c r="A284" s="2">
        <v>43799</v>
      </c>
      <c r="B284" s="1" t="s">
        <v>150</v>
      </c>
      <c r="C284" s="1" t="s">
        <v>29</v>
      </c>
      <c r="D284" s="1">
        <v>96</v>
      </c>
      <c r="E284" s="1" t="s">
        <v>39</v>
      </c>
      <c r="F284" s="1">
        <v>137</v>
      </c>
      <c r="G284" s="1" t="s">
        <v>151</v>
      </c>
      <c r="H284" s="1"/>
      <c r="I284" s="1">
        <v>17550</v>
      </c>
      <c r="J284" s="1"/>
    </row>
    <row r="285" spans="1:10" x14ac:dyDescent="0.25">
      <c r="A285" s="2">
        <v>43800</v>
      </c>
      <c r="B285" s="1" t="s">
        <v>261</v>
      </c>
      <c r="C285" s="1" t="s">
        <v>41</v>
      </c>
      <c r="D285" s="1">
        <v>109</v>
      </c>
      <c r="E285" s="1" t="s">
        <v>38</v>
      </c>
      <c r="F285" s="1">
        <v>106</v>
      </c>
      <c r="G285" s="1" t="s">
        <v>151</v>
      </c>
      <c r="H285" s="1"/>
      <c r="I285" s="1">
        <v>17026</v>
      </c>
      <c r="J285" s="1"/>
    </row>
    <row r="286" spans="1:10" x14ac:dyDescent="0.25">
      <c r="A286" s="2">
        <v>43800</v>
      </c>
      <c r="B286" s="1" t="s">
        <v>160</v>
      </c>
      <c r="C286" s="1" t="s">
        <v>48</v>
      </c>
      <c r="D286" s="1">
        <v>115</v>
      </c>
      <c r="E286" s="1" t="s">
        <v>42</v>
      </c>
      <c r="F286" s="1">
        <v>107</v>
      </c>
      <c r="G286" s="1" t="s">
        <v>151</v>
      </c>
      <c r="H286" s="1"/>
      <c r="I286" s="1">
        <v>12276</v>
      </c>
      <c r="J286" s="1"/>
    </row>
    <row r="287" spans="1:10" x14ac:dyDescent="0.25">
      <c r="A287" s="2">
        <v>43800</v>
      </c>
      <c r="B287" s="1" t="s">
        <v>160</v>
      </c>
      <c r="C287" s="1" t="s">
        <v>46</v>
      </c>
      <c r="D287" s="1">
        <v>113</v>
      </c>
      <c r="E287" s="1" t="s">
        <v>35</v>
      </c>
      <c r="F287" s="1">
        <v>104</v>
      </c>
      <c r="G287" s="1" t="s">
        <v>151</v>
      </c>
      <c r="H287" s="1"/>
      <c r="I287" s="1">
        <v>18005</v>
      </c>
      <c r="J287" s="1"/>
    </row>
    <row r="288" spans="1:10" x14ac:dyDescent="0.25">
      <c r="A288" s="2">
        <v>43800</v>
      </c>
      <c r="B288" s="1" t="s">
        <v>819</v>
      </c>
      <c r="C288" s="1" t="s">
        <v>43</v>
      </c>
      <c r="D288" s="1">
        <v>114</v>
      </c>
      <c r="E288" s="1" t="s">
        <v>47</v>
      </c>
      <c r="F288" s="1">
        <v>100</v>
      </c>
      <c r="G288" s="1" t="s">
        <v>151</v>
      </c>
      <c r="H288" s="1"/>
      <c r="I288" s="1">
        <v>18997</v>
      </c>
      <c r="J288" s="1"/>
    </row>
    <row r="289" spans="1:10" x14ac:dyDescent="0.25">
      <c r="A289" s="2">
        <v>43800</v>
      </c>
      <c r="B289" s="1" t="s">
        <v>159</v>
      </c>
      <c r="C289" s="1" t="s">
        <v>54</v>
      </c>
      <c r="D289" s="1">
        <v>98</v>
      </c>
      <c r="E289" s="1" t="s">
        <v>30</v>
      </c>
      <c r="F289" s="1">
        <v>132</v>
      </c>
      <c r="G289" s="1" t="s">
        <v>151</v>
      </c>
      <c r="H289" s="1"/>
      <c r="I289" s="1">
        <v>14270</v>
      </c>
      <c r="J289" s="1"/>
    </row>
    <row r="290" spans="1:10" x14ac:dyDescent="0.25">
      <c r="A290" s="2">
        <v>43800</v>
      </c>
      <c r="B290" s="1" t="s">
        <v>159</v>
      </c>
      <c r="C290" s="1" t="s">
        <v>33</v>
      </c>
      <c r="D290" s="1">
        <v>107</v>
      </c>
      <c r="E290" s="1" t="s">
        <v>37</v>
      </c>
      <c r="F290" s="1">
        <v>104</v>
      </c>
      <c r="G290" s="1" t="s">
        <v>151</v>
      </c>
      <c r="H290" s="1"/>
      <c r="I290" s="1">
        <v>15427</v>
      </c>
      <c r="J290" s="1"/>
    </row>
    <row r="291" spans="1:10" x14ac:dyDescent="0.25">
      <c r="A291" s="2">
        <v>43800</v>
      </c>
      <c r="B291" s="1" t="s">
        <v>161</v>
      </c>
      <c r="C291" s="1" t="s">
        <v>44</v>
      </c>
      <c r="D291" s="1">
        <v>96</v>
      </c>
      <c r="E291" s="1" t="s">
        <v>53</v>
      </c>
      <c r="F291" s="1">
        <v>100</v>
      </c>
      <c r="G291" s="1" t="s">
        <v>151</v>
      </c>
      <c r="H291" s="1"/>
      <c r="I291" s="1">
        <v>15052</v>
      </c>
      <c r="J291" s="1"/>
    </row>
    <row r="292" spans="1:10" x14ac:dyDescent="0.25">
      <c r="A292" s="2">
        <v>43800</v>
      </c>
      <c r="B292" s="1" t="s">
        <v>161</v>
      </c>
      <c r="C292" s="1" t="s">
        <v>34</v>
      </c>
      <c r="D292" s="1">
        <v>110</v>
      </c>
      <c r="E292" s="1" t="s">
        <v>27</v>
      </c>
      <c r="F292" s="1">
        <v>130</v>
      </c>
      <c r="G292" s="1" t="s">
        <v>151</v>
      </c>
      <c r="H292" s="1"/>
      <c r="I292" s="1">
        <v>18132</v>
      </c>
      <c r="J292" s="1"/>
    </row>
    <row r="293" spans="1:10" x14ac:dyDescent="0.25">
      <c r="A293" s="2">
        <v>43800</v>
      </c>
      <c r="B293" s="1" t="s">
        <v>153</v>
      </c>
      <c r="C293" s="1" t="s">
        <v>40</v>
      </c>
      <c r="D293" s="1">
        <v>125</v>
      </c>
      <c r="E293" s="1" t="s">
        <v>25</v>
      </c>
      <c r="F293" s="1">
        <v>150</v>
      </c>
      <c r="G293" s="1" t="s">
        <v>151</v>
      </c>
      <c r="H293" s="1"/>
      <c r="I293" s="1">
        <v>19068</v>
      </c>
      <c r="J293" s="1"/>
    </row>
    <row r="294" spans="1:10" x14ac:dyDescent="0.25">
      <c r="A294" s="2">
        <v>43801</v>
      </c>
      <c r="B294" s="1" t="s">
        <v>154</v>
      </c>
      <c r="C294" s="1" t="s">
        <v>26</v>
      </c>
      <c r="D294" s="1">
        <v>109</v>
      </c>
      <c r="E294" s="1" t="s">
        <v>29</v>
      </c>
      <c r="F294" s="1">
        <v>104</v>
      </c>
      <c r="G294" s="1" t="s">
        <v>151</v>
      </c>
      <c r="H294" s="1"/>
      <c r="I294" s="1">
        <v>11221</v>
      </c>
      <c r="J294" s="1"/>
    </row>
    <row r="295" spans="1:10" x14ac:dyDescent="0.25">
      <c r="A295" s="2">
        <v>43801</v>
      </c>
      <c r="B295" s="1" t="s">
        <v>154</v>
      </c>
      <c r="C295" s="1" t="s">
        <v>34</v>
      </c>
      <c r="D295" s="1">
        <v>94</v>
      </c>
      <c r="E295" s="1" t="s">
        <v>45</v>
      </c>
      <c r="F295" s="1">
        <v>103</v>
      </c>
      <c r="G295" s="1" t="s">
        <v>151</v>
      </c>
      <c r="H295" s="1"/>
      <c r="I295" s="1">
        <v>20208</v>
      </c>
      <c r="J295" s="1"/>
    </row>
    <row r="296" spans="1:10" x14ac:dyDescent="0.25">
      <c r="A296" s="2">
        <v>43801</v>
      </c>
      <c r="B296" s="1" t="s">
        <v>155</v>
      </c>
      <c r="C296" s="1" t="s">
        <v>44</v>
      </c>
      <c r="D296" s="1">
        <v>79</v>
      </c>
      <c r="E296" s="1" t="s">
        <v>52</v>
      </c>
      <c r="F296" s="1">
        <v>104</v>
      </c>
      <c r="G296" s="1" t="s">
        <v>151</v>
      </c>
      <c r="H296" s="1"/>
      <c r="I296" s="1">
        <v>14278</v>
      </c>
      <c r="J296" s="1"/>
    </row>
    <row r="297" spans="1:10" x14ac:dyDescent="0.25">
      <c r="A297" s="2">
        <v>43801</v>
      </c>
      <c r="B297" s="1" t="s">
        <v>150</v>
      </c>
      <c r="C297" s="1" t="s">
        <v>51</v>
      </c>
      <c r="D297" s="1">
        <v>117</v>
      </c>
      <c r="E297" s="1" t="s">
        <v>48</v>
      </c>
      <c r="F297" s="1">
        <v>104</v>
      </c>
      <c r="G297" s="1" t="s">
        <v>151</v>
      </c>
      <c r="H297" s="1"/>
      <c r="I297" s="1">
        <v>11919</v>
      </c>
      <c r="J297" s="1"/>
    </row>
    <row r="298" spans="1:10" x14ac:dyDescent="0.25">
      <c r="A298" s="2">
        <v>43801</v>
      </c>
      <c r="B298" s="1" t="s">
        <v>150</v>
      </c>
      <c r="C298" s="1" t="s">
        <v>35</v>
      </c>
      <c r="D298" s="1">
        <v>88</v>
      </c>
      <c r="E298" s="1" t="s">
        <v>39</v>
      </c>
      <c r="F298" s="1">
        <v>132</v>
      </c>
      <c r="G298" s="1" t="s">
        <v>151</v>
      </c>
      <c r="H298" s="1"/>
      <c r="I298" s="1">
        <v>17385</v>
      </c>
      <c r="J298" s="1"/>
    </row>
    <row r="299" spans="1:10" x14ac:dyDescent="0.25">
      <c r="A299" s="2">
        <v>43801</v>
      </c>
      <c r="B299" s="1" t="s">
        <v>158</v>
      </c>
      <c r="C299" s="1" t="s">
        <v>31</v>
      </c>
      <c r="D299" s="1">
        <v>113</v>
      </c>
      <c r="E299" s="1" t="s">
        <v>36</v>
      </c>
      <c r="F299" s="1">
        <v>106</v>
      </c>
      <c r="G299" s="1" t="s">
        <v>151</v>
      </c>
      <c r="H299" s="1"/>
      <c r="I299" s="1">
        <v>17257</v>
      </c>
      <c r="J299" s="1"/>
    </row>
    <row r="300" spans="1:10" x14ac:dyDescent="0.25">
      <c r="A300" s="2">
        <v>43802</v>
      </c>
      <c r="B300" s="1" t="s">
        <v>154</v>
      </c>
      <c r="C300" s="1" t="s">
        <v>30</v>
      </c>
      <c r="D300" s="1">
        <v>127</v>
      </c>
      <c r="E300" s="1" t="s">
        <v>49</v>
      </c>
      <c r="F300" s="1">
        <v>94</v>
      </c>
      <c r="G300" s="1" t="s">
        <v>151</v>
      </c>
      <c r="H300" s="1"/>
      <c r="I300" s="1">
        <v>17504</v>
      </c>
      <c r="J300" s="1"/>
    </row>
    <row r="301" spans="1:10" x14ac:dyDescent="0.25">
      <c r="A301" s="2">
        <v>43802</v>
      </c>
      <c r="B301" s="1" t="s">
        <v>154</v>
      </c>
      <c r="C301" s="1" t="s">
        <v>53</v>
      </c>
      <c r="D301" s="1">
        <v>127</v>
      </c>
      <c r="E301" s="1" t="s">
        <v>40</v>
      </c>
      <c r="F301" s="1">
        <v>120</v>
      </c>
      <c r="G301" s="1" t="s">
        <v>151</v>
      </c>
      <c r="H301" s="1"/>
      <c r="I301" s="1">
        <v>13159</v>
      </c>
      <c r="J301" s="1"/>
    </row>
    <row r="302" spans="1:10" x14ac:dyDescent="0.25">
      <c r="A302" s="2">
        <v>43802</v>
      </c>
      <c r="B302" s="1" t="s">
        <v>155</v>
      </c>
      <c r="C302" s="1" t="s">
        <v>43</v>
      </c>
      <c r="D302" s="1">
        <v>118</v>
      </c>
      <c r="E302" s="1" t="s">
        <v>37</v>
      </c>
      <c r="F302" s="1">
        <v>97</v>
      </c>
      <c r="G302" s="1" t="s">
        <v>151</v>
      </c>
      <c r="H302" s="1"/>
      <c r="I302" s="1">
        <v>14664</v>
      </c>
      <c r="J302" s="1"/>
    </row>
    <row r="303" spans="1:10" x14ac:dyDescent="0.25">
      <c r="A303" s="2">
        <v>43802</v>
      </c>
      <c r="B303" s="1" t="s">
        <v>155</v>
      </c>
      <c r="C303" s="1" t="s">
        <v>41</v>
      </c>
      <c r="D303" s="1">
        <v>121</v>
      </c>
      <c r="E303" s="1" t="s">
        <v>27</v>
      </c>
      <c r="F303" s="1">
        <v>110</v>
      </c>
      <c r="G303" s="1" t="s">
        <v>151</v>
      </c>
      <c r="H303" s="1" t="s">
        <v>152</v>
      </c>
      <c r="I303" s="1">
        <v>19800</v>
      </c>
      <c r="J303" s="1"/>
    </row>
    <row r="304" spans="1:10" x14ac:dyDescent="0.25">
      <c r="A304" s="2">
        <v>43802</v>
      </c>
      <c r="B304" s="1" t="s">
        <v>156</v>
      </c>
      <c r="C304" s="1" t="s">
        <v>32</v>
      </c>
      <c r="D304" s="1">
        <v>133</v>
      </c>
      <c r="E304" s="1" t="s">
        <v>54</v>
      </c>
      <c r="F304" s="1">
        <v>135</v>
      </c>
      <c r="G304" s="1" t="s">
        <v>151</v>
      </c>
      <c r="H304" s="1" t="s">
        <v>820</v>
      </c>
      <c r="I304" s="1">
        <v>18354</v>
      </c>
      <c r="J304" s="1"/>
    </row>
    <row r="305" spans="1:10" x14ac:dyDescent="0.25">
      <c r="A305" s="2">
        <v>43802</v>
      </c>
      <c r="B305" s="1" t="s">
        <v>157</v>
      </c>
      <c r="C305" s="1" t="s">
        <v>47</v>
      </c>
      <c r="D305" s="1">
        <v>105</v>
      </c>
      <c r="E305" s="1" t="s">
        <v>50</v>
      </c>
      <c r="F305" s="1">
        <v>96</v>
      </c>
      <c r="G305" s="1" t="s">
        <v>151</v>
      </c>
      <c r="H305" s="1"/>
      <c r="I305" s="1">
        <v>19658</v>
      </c>
      <c r="J305" s="1"/>
    </row>
    <row r="306" spans="1:10" x14ac:dyDescent="0.25">
      <c r="A306" s="2">
        <v>43802</v>
      </c>
      <c r="B306" s="1" t="s">
        <v>158</v>
      </c>
      <c r="C306" s="1" t="s">
        <v>28</v>
      </c>
      <c r="D306" s="1">
        <v>97</v>
      </c>
      <c r="E306" s="1" t="s">
        <v>25</v>
      </c>
      <c r="F306" s="1">
        <v>117</v>
      </c>
      <c r="G306" s="1" t="s">
        <v>151</v>
      </c>
      <c r="H306" s="1"/>
      <c r="I306" s="1">
        <v>19068</v>
      </c>
      <c r="J306" s="1"/>
    </row>
    <row r="307" spans="1:10" x14ac:dyDescent="0.25">
      <c r="A307" s="2">
        <v>43803</v>
      </c>
      <c r="B307" s="1" t="s">
        <v>154</v>
      </c>
      <c r="C307" s="1" t="s">
        <v>44</v>
      </c>
      <c r="D307" s="1">
        <v>91</v>
      </c>
      <c r="E307" s="1" t="s">
        <v>29</v>
      </c>
      <c r="F307" s="1">
        <v>106</v>
      </c>
      <c r="G307" s="1" t="s">
        <v>151</v>
      </c>
      <c r="H307" s="1"/>
      <c r="I307" s="1">
        <v>14355</v>
      </c>
      <c r="J307" s="1"/>
    </row>
    <row r="308" spans="1:10" x14ac:dyDescent="0.25">
      <c r="A308" s="2">
        <v>43803</v>
      </c>
      <c r="B308" s="1" t="s">
        <v>154</v>
      </c>
      <c r="C308" s="1" t="s">
        <v>39</v>
      </c>
      <c r="D308" s="1">
        <v>127</v>
      </c>
      <c r="E308" s="1" t="s">
        <v>30</v>
      </c>
      <c r="F308" s="1">
        <v>103</v>
      </c>
      <c r="G308" s="1" t="s">
        <v>151</v>
      </c>
      <c r="H308" s="1"/>
      <c r="I308" s="1">
        <v>15742</v>
      </c>
      <c r="J308" s="1"/>
    </row>
    <row r="309" spans="1:10" x14ac:dyDescent="0.25">
      <c r="A309" s="2">
        <v>43803</v>
      </c>
      <c r="B309" s="1" t="s">
        <v>154</v>
      </c>
      <c r="C309" s="1" t="s">
        <v>26</v>
      </c>
      <c r="D309" s="1">
        <v>114</v>
      </c>
      <c r="E309" s="1" t="s">
        <v>53</v>
      </c>
      <c r="F309" s="1">
        <v>128</v>
      </c>
      <c r="G309" s="1" t="s">
        <v>151</v>
      </c>
      <c r="H309" s="1"/>
      <c r="I309" s="1">
        <v>15176</v>
      </c>
      <c r="J309" s="1"/>
    </row>
    <row r="310" spans="1:10" x14ac:dyDescent="0.25">
      <c r="A310" s="2">
        <v>43803</v>
      </c>
      <c r="B310" s="1" t="s">
        <v>155</v>
      </c>
      <c r="C310" s="1" t="s">
        <v>38</v>
      </c>
      <c r="D310" s="1">
        <v>130</v>
      </c>
      <c r="E310" s="1" t="s">
        <v>52</v>
      </c>
      <c r="F310" s="1">
        <v>118</v>
      </c>
      <c r="G310" s="1" t="s">
        <v>151</v>
      </c>
      <c r="H310" s="1"/>
      <c r="I310" s="1">
        <v>15694</v>
      </c>
      <c r="J310" s="1"/>
    </row>
    <row r="311" spans="1:10" x14ac:dyDescent="0.25">
      <c r="A311" s="2">
        <v>43803</v>
      </c>
      <c r="B311" s="1" t="s">
        <v>155</v>
      </c>
      <c r="C311" s="1" t="s">
        <v>41</v>
      </c>
      <c r="D311" s="1">
        <v>93</v>
      </c>
      <c r="E311" s="1" t="s">
        <v>46</v>
      </c>
      <c r="F311" s="1">
        <v>112</v>
      </c>
      <c r="G311" s="1" t="s">
        <v>151</v>
      </c>
      <c r="H311" s="1"/>
      <c r="I311" s="1">
        <v>19156</v>
      </c>
      <c r="J311" s="1"/>
    </row>
    <row r="312" spans="1:10" x14ac:dyDescent="0.25">
      <c r="A312" s="2">
        <v>43803</v>
      </c>
      <c r="B312" s="1" t="s">
        <v>150</v>
      </c>
      <c r="C312" s="1" t="s">
        <v>48</v>
      </c>
      <c r="D312" s="1">
        <v>99</v>
      </c>
      <c r="E312" s="1" t="s">
        <v>31</v>
      </c>
      <c r="F312" s="1">
        <v>106</v>
      </c>
      <c r="G312" s="1" t="s">
        <v>151</v>
      </c>
      <c r="H312" s="1"/>
      <c r="I312" s="1">
        <v>15017</v>
      </c>
      <c r="J312" s="1"/>
    </row>
    <row r="313" spans="1:10" x14ac:dyDescent="0.25">
      <c r="A313" s="2">
        <v>43803</v>
      </c>
      <c r="B313" s="1" t="s">
        <v>150</v>
      </c>
      <c r="C313" s="1" t="s">
        <v>51</v>
      </c>
      <c r="D313" s="1">
        <v>107</v>
      </c>
      <c r="E313" s="1" t="s">
        <v>33</v>
      </c>
      <c r="F313" s="1">
        <v>100</v>
      </c>
      <c r="G313" s="1" t="s">
        <v>151</v>
      </c>
      <c r="H313" s="1"/>
      <c r="I313" s="1">
        <v>18203</v>
      </c>
      <c r="J313" s="1"/>
    </row>
    <row r="314" spans="1:10" x14ac:dyDescent="0.25">
      <c r="A314" s="2">
        <v>43803</v>
      </c>
      <c r="B314" s="1" t="s">
        <v>156</v>
      </c>
      <c r="C314" s="1" t="s">
        <v>42</v>
      </c>
      <c r="D314" s="1">
        <v>114</v>
      </c>
      <c r="E314" s="1" t="s">
        <v>43</v>
      </c>
      <c r="F314" s="1">
        <v>121</v>
      </c>
      <c r="G314" s="1" t="s">
        <v>151</v>
      </c>
      <c r="H314" s="1"/>
      <c r="I314" s="1">
        <v>19671</v>
      </c>
      <c r="J314" s="1"/>
    </row>
    <row r="315" spans="1:10" x14ac:dyDescent="0.25">
      <c r="A315" s="2">
        <v>43803</v>
      </c>
      <c r="B315" s="1" t="s">
        <v>157</v>
      </c>
      <c r="C315" s="1" t="s">
        <v>47</v>
      </c>
      <c r="D315" s="1">
        <v>121</v>
      </c>
      <c r="E315" s="1" t="s">
        <v>34</v>
      </c>
      <c r="F315" s="1">
        <v>96</v>
      </c>
      <c r="G315" s="1" t="s">
        <v>151</v>
      </c>
      <c r="H315" s="1"/>
      <c r="I315" s="1">
        <v>18306</v>
      </c>
      <c r="J315" s="1"/>
    </row>
    <row r="316" spans="1:10" x14ac:dyDescent="0.25">
      <c r="A316" s="2">
        <v>43803</v>
      </c>
      <c r="B316" s="1" t="s">
        <v>158</v>
      </c>
      <c r="C316" s="1" t="s">
        <v>36</v>
      </c>
      <c r="D316" s="1">
        <v>116</v>
      </c>
      <c r="E316" s="1" t="s">
        <v>28</v>
      </c>
      <c r="F316" s="1">
        <v>127</v>
      </c>
      <c r="G316" s="1" t="s">
        <v>151</v>
      </c>
      <c r="H316" s="1"/>
      <c r="I316" s="1">
        <v>19393</v>
      </c>
      <c r="J316" s="1"/>
    </row>
    <row r="317" spans="1:10" x14ac:dyDescent="0.25">
      <c r="A317" s="2">
        <v>43804</v>
      </c>
      <c r="B317" s="1" t="s">
        <v>154</v>
      </c>
      <c r="C317" s="1" t="s">
        <v>45</v>
      </c>
      <c r="D317" s="1">
        <v>113</v>
      </c>
      <c r="E317" s="1" t="s">
        <v>40</v>
      </c>
      <c r="F317" s="1">
        <v>119</v>
      </c>
      <c r="G317" s="1" t="s">
        <v>151</v>
      </c>
      <c r="H317" s="1"/>
      <c r="I317" s="1">
        <v>16554</v>
      </c>
      <c r="J317" s="1"/>
    </row>
    <row r="318" spans="1:10" x14ac:dyDescent="0.25">
      <c r="A318" s="2">
        <v>43804</v>
      </c>
      <c r="B318" s="1" t="s">
        <v>155</v>
      </c>
      <c r="C318" s="1" t="s">
        <v>50</v>
      </c>
      <c r="D318" s="1">
        <v>129</v>
      </c>
      <c r="E318" s="1" t="s">
        <v>35</v>
      </c>
      <c r="F318" s="1">
        <v>92</v>
      </c>
      <c r="G318" s="1" t="s">
        <v>151</v>
      </c>
      <c r="H318" s="1"/>
      <c r="I318" s="1">
        <v>18171</v>
      </c>
      <c r="J318" s="1"/>
    </row>
    <row r="319" spans="1:10" x14ac:dyDescent="0.25">
      <c r="A319" s="2">
        <v>43804</v>
      </c>
      <c r="B319" s="1" t="s">
        <v>155</v>
      </c>
      <c r="C319" s="1" t="s">
        <v>32</v>
      </c>
      <c r="D319" s="1">
        <v>119</v>
      </c>
      <c r="E319" s="1" t="s">
        <v>27</v>
      </c>
      <c r="F319" s="1">
        <v>109</v>
      </c>
      <c r="G319" s="1" t="s">
        <v>151</v>
      </c>
      <c r="H319" s="1"/>
      <c r="I319" s="1">
        <v>19800</v>
      </c>
      <c r="J319" s="1"/>
    </row>
    <row r="320" spans="1:10" x14ac:dyDescent="0.25">
      <c r="A320" s="2">
        <v>43804</v>
      </c>
      <c r="B320" s="1" t="s">
        <v>150</v>
      </c>
      <c r="C320" s="1" t="s">
        <v>26</v>
      </c>
      <c r="D320" s="1">
        <v>139</v>
      </c>
      <c r="E320" s="1" t="s">
        <v>37</v>
      </c>
      <c r="F320" s="1">
        <v>132</v>
      </c>
      <c r="G320" s="1" t="s">
        <v>151</v>
      </c>
      <c r="H320" s="1" t="s">
        <v>152</v>
      </c>
      <c r="I320" s="1">
        <v>15607</v>
      </c>
      <c r="J320" s="1"/>
    </row>
    <row r="321" spans="1:10" x14ac:dyDescent="0.25">
      <c r="A321" s="2">
        <v>43805</v>
      </c>
      <c r="B321" s="1" t="s">
        <v>154</v>
      </c>
      <c r="C321" s="1" t="s">
        <v>38</v>
      </c>
      <c r="D321" s="1">
        <v>111</v>
      </c>
      <c r="E321" s="1" t="s">
        <v>29</v>
      </c>
      <c r="F321" s="1">
        <v>104</v>
      </c>
      <c r="G321" s="1" t="s">
        <v>151</v>
      </c>
      <c r="H321" s="1"/>
      <c r="I321" s="1">
        <v>15075</v>
      </c>
      <c r="J321" s="1"/>
    </row>
    <row r="322" spans="1:10" x14ac:dyDescent="0.25">
      <c r="A322" s="2">
        <v>43805</v>
      </c>
      <c r="B322" s="1" t="s">
        <v>154</v>
      </c>
      <c r="C322" s="1" t="s">
        <v>53</v>
      </c>
      <c r="D322" s="1">
        <v>93</v>
      </c>
      <c r="E322" s="1" t="s">
        <v>49</v>
      </c>
      <c r="F322" s="1">
        <v>87</v>
      </c>
      <c r="G322" s="1" t="s">
        <v>151</v>
      </c>
      <c r="H322" s="1"/>
      <c r="I322" s="1">
        <v>18446</v>
      </c>
      <c r="J322" s="1"/>
    </row>
    <row r="323" spans="1:10" x14ac:dyDescent="0.25">
      <c r="A323" s="2">
        <v>43805</v>
      </c>
      <c r="B323" s="1" t="s">
        <v>154</v>
      </c>
      <c r="C323" s="1" t="s">
        <v>51</v>
      </c>
      <c r="D323" s="1">
        <v>101</v>
      </c>
      <c r="E323" s="1" t="s">
        <v>30</v>
      </c>
      <c r="F323" s="1">
        <v>108</v>
      </c>
      <c r="G323" s="1" t="s">
        <v>151</v>
      </c>
      <c r="H323" s="1"/>
      <c r="I323" s="1">
        <v>14894</v>
      </c>
      <c r="J323" s="1"/>
    </row>
    <row r="324" spans="1:10" x14ac:dyDescent="0.25">
      <c r="A324" s="2">
        <v>43805</v>
      </c>
      <c r="B324" s="1" t="s">
        <v>150</v>
      </c>
      <c r="C324" s="1" t="s">
        <v>50</v>
      </c>
      <c r="D324" s="1">
        <v>95</v>
      </c>
      <c r="E324" s="1" t="s">
        <v>46</v>
      </c>
      <c r="F324" s="1">
        <v>108</v>
      </c>
      <c r="G324" s="1" t="s">
        <v>151</v>
      </c>
      <c r="H324" s="1"/>
      <c r="I324" s="1">
        <v>19156</v>
      </c>
      <c r="J324" s="1"/>
    </row>
    <row r="325" spans="1:10" x14ac:dyDescent="0.25">
      <c r="A325" s="2">
        <v>43805</v>
      </c>
      <c r="B325" s="1" t="s">
        <v>150</v>
      </c>
      <c r="C325" s="1" t="s">
        <v>44</v>
      </c>
      <c r="D325" s="1">
        <v>100</v>
      </c>
      <c r="E325" s="1" t="s">
        <v>31</v>
      </c>
      <c r="F325" s="1">
        <v>98</v>
      </c>
      <c r="G325" s="1" t="s">
        <v>151</v>
      </c>
      <c r="H325" s="1"/>
      <c r="I325" s="1">
        <v>18841</v>
      </c>
      <c r="J325" s="1"/>
    </row>
    <row r="326" spans="1:10" x14ac:dyDescent="0.25">
      <c r="A326" s="2">
        <v>43805</v>
      </c>
      <c r="B326" s="1" t="s">
        <v>150</v>
      </c>
      <c r="C326" s="1" t="s">
        <v>40</v>
      </c>
      <c r="D326" s="1">
        <v>103</v>
      </c>
      <c r="E326" s="1" t="s">
        <v>41</v>
      </c>
      <c r="F326" s="1">
        <v>112</v>
      </c>
      <c r="G326" s="1" t="s">
        <v>151</v>
      </c>
      <c r="H326" s="1"/>
      <c r="I326" s="1">
        <v>19600</v>
      </c>
      <c r="J326" s="1"/>
    </row>
    <row r="327" spans="1:10" x14ac:dyDescent="0.25">
      <c r="A327" s="2">
        <v>43805</v>
      </c>
      <c r="B327" s="1" t="s">
        <v>150</v>
      </c>
      <c r="C327" s="1" t="s">
        <v>42</v>
      </c>
      <c r="D327" s="1">
        <v>127</v>
      </c>
      <c r="E327" s="1" t="s">
        <v>33</v>
      </c>
      <c r="F327" s="1">
        <v>139</v>
      </c>
      <c r="G327" s="1" t="s">
        <v>151</v>
      </c>
      <c r="H327" s="1" t="s">
        <v>152</v>
      </c>
      <c r="I327" s="1">
        <v>18203</v>
      </c>
      <c r="J327" s="1"/>
    </row>
    <row r="328" spans="1:10" x14ac:dyDescent="0.25">
      <c r="A328" s="2">
        <v>43805</v>
      </c>
      <c r="B328" s="1" t="s">
        <v>156</v>
      </c>
      <c r="C328" s="1" t="s">
        <v>25</v>
      </c>
      <c r="D328" s="1">
        <v>91</v>
      </c>
      <c r="E328" s="1" t="s">
        <v>39</v>
      </c>
      <c r="F328" s="1">
        <v>119</v>
      </c>
      <c r="G328" s="1" t="s">
        <v>151</v>
      </c>
      <c r="H328" s="1"/>
      <c r="I328" s="1">
        <v>17732</v>
      </c>
      <c r="J328" s="1"/>
    </row>
    <row r="329" spans="1:10" x14ac:dyDescent="0.25">
      <c r="A329" s="2">
        <v>43805</v>
      </c>
      <c r="B329" s="1" t="s">
        <v>156</v>
      </c>
      <c r="C329" s="1" t="s">
        <v>36</v>
      </c>
      <c r="D329" s="1">
        <v>104</v>
      </c>
      <c r="E329" s="1" t="s">
        <v>54</v>
      </c>
      <c r="F329" s="1">
        <v>105</v>
      </c>
      <c r="G329" s="1" t="s">
        <v>151</v>
      </c>
      <c r="H329" s="1" t="s">
        <v>152</v>
      </c>
      <c r="I329" s="1">
        <v>18354</v>
      </c>
      <c r="J329" s="1"/>
    </row>
    <row r="330" spans="1:10" x14ac:dyDescent="0.25">
      <c r="A330" s="2">
        <v>43805</v>
      </c>
      <c r="B330" s="1" t="s">
        <v>153</v>
      </c>
      <c r="C330" s="1" t="s">
        <v>47</v>
      </c>
      <c r="D330" s="1">
        <v>136</v>
      </c>
      <c r="E330" s="1" t="s">
        <v>28</v>
      </c>
      <c r="F330" s="1">
        <v>113</v>
      </c>
      <c r="G330" s="1" t="s">
        <v>151</v>
      </c>
      <c r="H330" s="1"/>
      <c r="I330" s="1">
        <v>19912</v>
      </c>
      <c r="J330" s="1"/>
    </row>
    <row r="331" spans="1:10" x14ac:dyDescent="0.25">
      <c r="A331" s="2">
        <v>43806</v>
      </c>
      <c r="B331" s="1" t="s">
        <v>821</v>
      </c>
      <c r="C331" s="1" t="s">
        <v>37</v>
      </c>
      <c r="D331" s="1">
        <v>84</v>
      </c>
      <c r="E331" s="1" t="s">
        <v>43</v>
      </c>
      <c r="F331" s="1">
        <v>130</v>
      </c>
      <c r="G331" s="1" t="s">
        <v>151</v>
      </c>
      <c r="H331" s="1"/>
      <c r="I331" s="1">
        <v>19456</v>
      </c>
      <c r="J331" s="1"/>
    </row>
    <row r="332" spans="1:10" x14ac:dyDescent="0.25">
      <c r="A332" s="2">
        <v>43806</v>
      </c>
      <c r="B332" s="1" t="s">
        <v>155</v>
      </c>
      <c r="C332" s="1" t="s">
        <v>51</v>
      </c>
      <c r="D332" s="1">
        <v>104</v>
      </c>
      <c r="E332" s="1" t="s">
        <v>35</v>
      </c>
      <c r="F332" s="1">
        <v>103</v>
      </c>
      <c r="G332" s="1" t="s">
        <v>151</v>
      </c>
      <c r="H332" s="1"/>
      <c r="I332" s="1">
        <v>19110</v>
      </c>
      <c r="J332" s="1"/>
    </row>
    <row r="333" spans="1:10" x14ac:dyDescent="0.25">
      <c r="A333" s="2">
        <v>43806</v>
      </c>
      <c r="B333" s="1" t="s">
        <v>155</v>
      </c>
      <c r="C333" s="1" t="s">
        <v>49</v>
      </c>
      <c r="D333" s="1">
        <v>94</v>
      </c>
      <c r="E333" s="1" t="s">
        <v>45</v>
      </c>
      <c r="F333" s="1">
        <v>141</v>
      </c>
      <c r="G333" s="1" t="s">
        <v>151</v>
      </c>
      <c r="H333" s="1"/>
      <c r="I333" s="1">
        <v>20844</v>
      </c>
      <c r="J333" s="1"/>
    </row>
    <row r="334" spans="1:10" x14ac:dyDescent="0.25">
      <c r="A334" s="2">
        <v>43806</v>
      </c>
      <c r="B334" s="1" t="s">
        <v>150</v>
      </c>
      <c r="C334" s="1" t="s">
        <v>26</v>
      </c>
      <c r="D334" s="1">
        <v>109</v>
      </c>
      <c r="E334" s="1" t="s">
        <v>32</v>
      </c>
      <c r="F334" s="1">
        <v>115</v>
      </c>
      <c r="G334" s="1" t="s">
        <v>151</v>
      </c>
      <c r="H334" s="1"/>
      <c r="I334" s="1">
        <v>18055</v>
      </c>
      <c r="J334" s="1"/>
    </row>
    <row r="335" spans="1:10" x14ac:dyDescent="0.25">
      <c r="A335" s="2">
        <v>43806</v>
      </c>
      <c r="B335" s="1" t="s">
        <v>158</v>
      </c>
      <c r="C335" s="1" t="s">
        <v>48</v>
      </c>
      <c r="D335" s="1">
        <v>112</v>
      </c>
      <c r="E335" s="1" t="s">
        <v>34</v>
      </c>
      <c r="F335" s="1">
        <v>126</v>
      </c>
      <c r="G335" s="1" t="s">
        <v>151</v>
      </c>
      <c r="H335" s="1"/>
      <c r="I335" s="1">
        <v>18306</v>
      </c>
      <c r="J335" s="1"/>
    </row>
    <row r="336" spans="1:10" x14ac:dyDescent="0.25">
      <c r="A336" s="2">
        <v>43807</v>
      </c>
      <c r="B336" s="1" t="s">
        <v>261</v>
      </c>
      <c r="C336" s="1" t="s">
        <v>50</v>
      </c>
      <c r="D336" s="1">
        <v>102</v>
      </c>
      <c r="E336" s="1" t="s">
        <v>38</v>
      </c>
      <c r="F336" s="1">
        <v>105</v>
      </c>
      <c r="G336" s="1" t="s">
        <v>151</v>
      </c>
      <c r="H336" s="1"/>
      <c r="I336" s="1">
        <v>16679</v>
      </c>
      <c r="J336" s="1"/>
    </row>
    <row r="337" spans="1:10" x14ac:dyDescent="0.25">
      <c r="A337" s="2">
        <v>43807</v>
      </c>
      <c r="B337" s="1" t="s">
        <v>159</v>
      </c>
      <c r="C337" s="1" t="s">
        <v>52</v>
      </c>
      <c r="D337" s="1">
        <v>122</v>
      </c>
      <c r="E337" s="1" t="s">
        <v>29</v>
      </c>
      <c r="F337" s="1">
        <v>107</v>
      </c>
      <c r="G337" s="1" t="s">
        <v>151</v>
      </c>
      <c r="H337" s="1"/>
      <c r="I337" s="1">
        <v>15489</v>
      </c>
      <c r="J337" s="1"/>
    </row>
    <row r="338" spans="1:10" x14ac:dyDescent="0.25">
      <c r="A338" s="2">
        <v>43807</v>
      </c>
      <c r="B338" s="1" t="s">
        <v>161</v>
      </c>
      <c r="C338" s="1" t="s">
        <v>31</v>
      </c>
      <c r="D338" s="1">
        <v>105</v>
      </c>
      <c r="E338" s="1" t="s">
        <v>41</v>
      </c>
      <c r="F338" s="1">
        <v>110</v>
      </c>
      <c r="G338" s="1" t="s">
        <v>151</v>
      </c>
      <c r="H338" s="1" t="s">
        <v>152</v>
      </c>
      <c r="I338" s="1">
        <v>19600</v>
      </c>
      <c r="J338" s="1"/>
    </row>
    <row r="339" spans="1:10" x14ac:dyDescent="0.25">
      <c r="A339" s="2">
        <v>43807</v>
      </c>
      <c r="B339" s="1" t="s">
        <v>161</v>
      </c>
      <c r="C339" s="1" t="s">
        <v>27</v>
      </c>
      <c r="D339" s="1">
        <v>104</v>
      </c>
      <c r="E339" s="1" t="s">
        <v>45</v>
      </c>
      <c r="F339" s="1">
        <v>110</v>
      </c>
      <c r="G339" s="1" t="s">
        <v>151</v>
      </c>
      <c r="H339" s="1"/>
      <c r="I339" s="1">
        <v>20313</v>
      </c>
      <c r="J339" s="1"/>
    </row>
    <row r="340" spans="1:10" x14ac:dyDescent="0.25">
      <c r="A340" s="2">
        <v>43807</v>
      </c>
      <c r="B340" s="1" t="s">
        <v>161</v>
      </c>
      <c r="C340" s="1" t="s">
        <v>25</v>
      </c>
      <c r="D340" s="1">
        <v>135</v>
      </c>
      <c r="E340" s="1" t="s">
        <v>40</v>
      </c>
      <c r="F340" s="1">
        <v>119</v>
      </c>
      <c r="G340" s="1" t="s">
        <v>151</v>
      </c>
      <c r="H340" s="1"/>
      <c r="I340" s="1">
        <v>15946</v>
      </c>
      <c r="J340" s="1"/>
    </row>
    <row r="341" spans="1:10" x14ac:dyDescent="0.25">
      <c r="A341" s="2">
        <v>43807</v>
      </c>
      <c r="B341" s="1" t="s">
        <v>154</v>
      </c>
      <c r="C341" s="1" t="s">
        <v>36</v>
      </c>
      <c r="D341" s="1">
        <v>110</v>
      </c>
      <c r="E341" s="1" t="s">
        <v>43</v>
      </c>
      <c r="F341" s="1">
        <v>106</v>
      </c>
      <c r="G341" s="1" t="s">
        <v>151</v>
      </c>
      <c r="H341" s="1"/>
      <c r="I341" s="1">
        <v>19566</v>
      </c>
      <c r="J341" s="1"/>
    </row>
    <row r="342" spans="1:10" x14ac:dyDescent="0.25">
      <c r="A342" s="2">
        <v>43807</v>
      </c>
      <c r="B342" s="1" t="s">
        <v>157</v>
      </c>
      <c r="C342" s="1" t="s">
        <v>33</v>
      </c>
      <c r="D342" s="1">
        <v>108</v>
      </c>
      <c r="E342" s="1" t="s">
        <v>28</v>
      </c>
      <c r="F342" s="1">
        <v>96</v>
      </c>
      <c r="G342" s="1" t="s">
        <v>151</v>
      </c>
      <c r="H342" s="1"/>
      <c r="I342" s="1">
        <v>19393</v>
      </c>
      <c r="J342" s="1"/>
    </row>
    <row r="343" spans="1:10" x14ac:dyDescent="0.25">
      <c r="A343" s="2">
        <v>43807</v>
      </c>
      <c r="B343" s="1" t="s">
        <v>162</v>
      </c>
      <c r="C343" s="1" t="s">
        <v>42</v>
      </c>
      <c r="D343" s="1">
        <v>125</v>
      </c>
      <c r="E343" s="1" t="s">
        <v>47</v>
      </c>
      <c r="F343" s="1">
        <v>142</v>
      </c>
      <c r="G343" s="1" t="s">
        <v>151</v>
      </c>
      <c r="H343" s="1"/>
      <c r="I343" s="1">
        <v>18997</v>
      </c>
      <c r="J343" s="1"/>
    </row>
    <row r="344" spans="1:10" x14ac:dyDescent="0.25">
      <c r="A344" s="2">
        <v>43808</v>
      </c>
      <c r="B344" s="1" t="s">
        <v>154</v>
      </c>
      <c r="C344" s="1" t="s">
        <v>25</v>
      </c>
      <c r="D344" s="1">
        <v>110</v>
      </c>
      <c r="E344" s="1" t="s">
        <v>51</v>
      </c>
      <c r="F344" s="1">
        <v>99</v>
      </c>
      <c r="G344" s="1" t="s">
        <v>151</v>
      </c>
      <c r="H344" s="1"/>
      <c r="I344" s="1">
        <v>14644</v>
      </c>
      <c r="J344" s="1"/>
    </row>
    <row r="345" spans="1:10" x14ac:dyDescent="0.25">
      <c r="A345" s="2">
        <v>43808</v>
      </c>
      <c r="B345" s="1" t="s">
        <v>155</v>
      </c>
      <c r="C345" s="1" t="s">
        <v>49</v>
      </c>
      <c r="D345" s="1">
        <v>88</v>
      </c>
      <c r="E345" s="1" t="s">
        <v>46</v>
      </c>
      <c r="F345" s="1">
        <v>110</v>
      </c>
      <c r="G345" s="1" t="s">
        <v>151</v>
      </c>
      <c r="H345" s="1"/>
      <c r="I345" s="1">
        <v>19156</v>
      </c>
      <c r="J345" s="1"/>
    </row>
    <row r="346" spans="1:10" x14ac:dyDescent="0.25">
      <c r="A346" s="2">
        <v>43808</v>
      </c>
      <c r="B346" s="1" t="s">
        <v>150</v>
      </c>
      <c r="C346" s="1" t="s">
        <v>27</v>
      </c>
      <c r="D346" s="1">
        <v>93</v>
      </c>
      <c r="E346" s="1" t="s">
        <v>31</v>
      </c>
      <c r="F346" s="1">
        <v>92</v>
      </c>
      <c r="G346" s="1" t="s">
        <v>151</v>
      </c>
      <c r="H346" s="1"/>
      <c r="I346" s="1">
        <v>14775</v>
      </c>
      <c r="J346" s="1"/>
    </row>
    <row r="347" spans="1:10" x14ac:dyDescent="0.25">
      <c r="A347" s="2">
        <v>43808</v>
      </c>
      <c r="B347" s="1" t="s">
        <v>150</v>
      </c>
      <c r="C347" s="1" t="s">
        <v>36</v>
      </c>
      <c r="D347" s="1">
        <v>119</v>
      </c>
      <c r="E347" s="1" t="s">
        <v>32</v>
      </c>
      <c r="F347" s="1">
        <v>118</v>
      </c>
      <c r="G347" s="1" t="s">
        <v>151</v>
      </c>
      <c r="H347" s="1"/>
      <c r="I347" s="1">
        <v>18055</v>
      </c>
      <c r="J347" s="1"/>
    </row>
    <row r="348" spans="1:10" x14ac:dyDescent="0.25">
      <c r="A348" s="2">
        <v>43808</v>
      </c>
      <c r="B348" s="1" t="s">
        <v>150</v>
      </c>
      <c r="C348" s="1" t="s">
        <v>53</v>
      </c>
      <c r="D348" s="1">
        <v>101</v>
      </c>
      <c r="E348" s="1" t="s">
        <v>39</v>
      </c>
      <c r="F348" s="1">
        <v>110</v>
      </c>
      <c r="G348" s="1" t="s">
        <v>151</v>
      </c>
      <c r="H348" s="1"/>
      <c r="I348" s="1">
        <v>17385</v>
      </c>
      <c r="J348" s="1"/>
    </row>
    <row r="349" spans="1:10" x14ac:dyDescent="0.25">
      <c r="A349" s="2">
        <v>43808</v>
      </c>
      <c r="B349" s="1" t="s">
        <v>150</v>
      </c>
      <c r="C349" s="1" t="s">
        <v>30</v>
      </c>
      <c r="D349" s="1">
        <v>105</v>
      </c>
      <c r="E349" s="1" t="s">
        <v>37</v>
      </c>
      <c r="F349" s="1">
        <v>103</v>
      </c>
      <c r="G349" s="1" t="s">
        <v>151</v>
      </c>
      <c r="H349" s="1"/>
      <c r="I349" s="1">
        <v>13694</v>
      </c>
      <c r="J349" s="1"/>
    </row>
    <row r="350" spans="1:10" x14ac:dyDescent="0.25">
      <c r="A350" s="2">
        <v>43808</v>
      </c>
      <c r="B350" s="1" t="s">
        <v>157</v>
      </c>
      <c r="C350" s="1" t="s">
        <v>42</v>
      </c>
      <c r="D350" s="1">
        <v>109</v>
      </c>
      <c r="E350" s="1" t="s">
        <v>26</v>
      </c>
      <c r="F350" s="1">
        <v>125</v>
      </c>
      <c r="G350" s="1" t="s">
        <v>151</v>
      </c>
      <c r="H350" s="1"/>
      <c r="I350" s="1">
        <v>13230</v>
      </c>
      <c r="J350" s="1"/>
    </row>
    <row r="351" spans="1:10" x14ac:dyDescent="0.25">
      <c r="A351" s="2">
        <v>43808</v>
      </c>
      <c r="B351" s="1" t="s">
        <v>157</v>
      </c>
      <c r="C351" s="1" t="s">
        <v>33</v>
      </c>
      <c r="D351" s="1">
        <v>104</v>
      </c>
      <c r="E351" s="1" t="s">
        <v>34</v>
      </c>
      <c r="F351" s="1">
        <v>90</v>
      </c>
      <c r="G351" s="1" t="s">
        <v>151</v>
      </c>
      <c r="H351" s="1"/>
      <c r="I351" s="1">
        <v>18306</v>
      </c>
      <c r="J351" s="1"/>
    </row>
    <row r="352" spans="1:10" x14ac:dyDescent="0.25">
      <c r="A352" s="2">
        <v>43808</v>
      </c>
      <c r="B352" s="1" t="s">
        <v>153</v>
      </c>
      <c r="C352" s="1" t="s">
        <v>48</v>
      </c>
      <c r="D352" s="1">
        <v>110</v>
      </c>
      <c r="E352" s="1" t="s">
        <v>44</v>
      </c>
      <c r="F352" s="1">
        <v>102</v>
      </c>
      <c r="G352" s="1" t="s">
        <v>151</v>
      </c>
      <c r="H352" s="1"/>
      <c r="I352" s="1">
        <v>18064</v>
      </c>
      <c r="J352" s="1"/>
    </row>
    <row r="353" spans="1:10" x14ac:dyDescent="0.25">
      <c r="A353" s="2">
        <v>43809</v>
      </c>
      <c r="B353" s="1" t="s">
        <v>154</v>
      </c>
      <c r="C353" s="1" t="s">
        <v>40</v>
      </c>
      <c r="D353" s="1">
        <v>107</v>
      </c>
      <c r="E353" s="1" t="s">
        <v>29</v>
      </c>
      <c r="F353" s="1">
        <v>114</v>
      </c>
      <c r="G353" s="1" t="s">
        <v>151</v>
      </c>
      <c r="H353" s="1"/>
      <c r="I353" s="1">
        <v>10626</v>
      </c>
      <c r="J353" s="1"/>
    </row>
    <row r="354" spans="1:10" x14ac:dyDescent="0.25">
      <c r="A354" s="2">
        <v>43809</v>
      </c>
      <c r="B354" s="1" t="s">
        <v>150</v>
      </c>
      <c r="C354" s="1" t="s">
        <v>52</v>
      </c>
      <c r="D354" s="1">
        <v>121</v>
      </c>
      <c r="E354" s="1" t="s">
        <v>41</v>
      </c>
      <c r="F354" s="1">
        <v>135</v>
      </c>
      <c r="G354" s="1" t="s">
        <v>151</v>
      </c>
      <c r="H354" s="1" t="s">
        <v>152</v>
      </c>
      <c r="I354" s="1">
        <v>19600</v>
      </c>
      <c r="J354" s="1"/>
    </row>
    <row r="355" spans="1:10" x14ac:dyDescent="0.25">
      <c r="A355" s="2">
        <v>43809</v>
      </c>
      <c r="B355" s="1" t="s">
        <v>150</v>
      </c>
      <c r="C355" s="1" t="s">
        <v>50</v>
      </c>
      <c r="D355" s="1">
        <v>92</v>
      </c>
      <c r="E355" s="1" t="s">
        <v>45</v>
      </c>
      <c r="F355" s="1">
        <v>97</v>
      </c>
      <c r="G355" s="1" t="s">
        <v>151</v>
      </c>
      <c r="H355" s="1"/>
      <c r="I355" s="1">
        <v>20591</v>
      </c>
      <c r="J355" s="1"/>
    </row>
    <row r="356" spans="1:10" x14ac:dyDescent="0.25">
      <c r="A356" s="2">
        <v>43809</v>
      </c>
      <c r="B356" s="1" t="s">
        <v>158</v>
      </c>
      <c r="C356" s="1" t="s">
        <v>35</v>
      </c>
      <c r="D356" s="1">
        <v>87</v>
      </c>
      <c r="E356" s="1" t="s">
        <v>28</v>
      </c>
      <c r="F356" s="1">
        <v>115</v>
      </c>
      <c r="G356" s="1" t="s">
        <v>151</v>
      </c>
      <c r="H356" s="1"/>
      <c r="I356" s="1">
        <v>19393</v>
      </c>
      <c r="J356" s="1"/>
    </row>
    <row r="357" spans="1:10" x14ac:dyDescent="0.25">
      <c r="A357" s="2">
        <v>43810</v>
      </c>
      <c r="B357" s="1" t="s">
        <v>154</v>
      </c>
      <c r="C357" s="1" t="s">
        <v>32</v>
      </c>
      <c r="D357" s="1">
        <v>116</v>
      </c>
      <c r="E357" s="1" t="s">
        <v>49</v>
      </c>
      <c r="F357" s="1">
        <v>110</v>
      </c>
      <c r="G357" s="1" t="s">
        <v>151</v>
      </c>
      <c r="H357" s="1"/>
      <c r="I357" s="1">
        <v>17122</v>
      </c>
      <c r="J357" s="1"/>
    </row>
    <row r="358" spans="1:10" x14ac:dyDescent="0.25">
      <c r="A358" s="2">
        <v>43810</v>
      </c>
      <c r="B358" s="1" t="s">
        <v>154</v>
      </c>
      <c r="C358" s="1" t="s">
        <v>46</v>
      </c>
      <c r="D358" s="1">
        <v>117</v>
      </c>
      <c r="E358" s="1" t="s">
        <v>51</v>
      </c>
      <c r="F358" s="1">
        <v>122</v>
      </c>
      <c r="G358" s="1" t="s">
        <v>151</v>
      </c>
      <c r="H358" s="1"/>
      <c r="I358" s="1">
        <v>15637</v>
      </c>
      <c r="J358" s="1"/>
    </row>
    <row r="359" spans="1:10" x14ac:dyDescent="0.25">
      <c r="A359" s="2">
        <v>43810</v>
      </c>
      <c r="B359" s="1" t="s">
        <v>154</v>
      </c>
      <c r="C359" s="1" t="s">
        <v>47</v>
      </c>
      <c r="D359" s="1">
        <v>96</v>
      </c>
      <c r="E359" s="1" t="s">
        <v>53</v>
      </c>
      <c r="F359" s="1">
        <v>87</v>
      </c>
      <c r="G359" s="1" t="s">
        <v>151</v>
      </c>
      <c r="H359" s="1"/>
      <c r="I359" s="1">
        <v>18846</v>
      </c>
      <c r="J359" s="1"/>
    </row>
    <row r="360" spans="1:10" x14ac:dyDescent="0.25">
      <c r="A360" s="2">
        <v>43810</v>
      </c>
      <c r="B360" s="1" t="s">
        <v>154</v>
      </c>
      <c r="C360" s="1" t="s">
        <v>25</v>
      </c>
      <c r="D360" s="1">
        <v>112</v>
      </c>
      <c r="E360" s="1" t="s">
        <v>27</v>
      </c>
      <c r="F360" s="1">
        <v>92</v>
      </c>
      <c r="G360" s="1" t="s">
        <v>151</v>
      </c>
      <c r="H360" s="1"/>
      <c r="I360" s="1">
        <v>20144</v>
      </c>
      <c r="J360" s="1"/>
    </row>
    <row r="361" spans="1:10" x14ac:dyDescent="0.25">
      <c r="A361" s="2">
        <v>43810</v>
      </c>
      <c r="B361" s="1" t="s">
        <v>155</v>
      </c>
      <c r="C361" s="1" t="s">
        <v>29</v>
      </c>
      <c r="D361" s="1">
        <v>113</v>
      </c>
      <c r="E361" s="1" t="s">
        <v>38</v>
      </c>
      <c r="F361" s="1">
        <v>108</v>
      </c>
      <c r="G361" s="1" t="s">
        <v>151</v>
      </c>
      <c r="H361" s="1"/>
      <c r="I361" s="1">
        <v>15631</v>
      </c>
      <c r="J361" s="1"/>
    </row>
    <row r="362" spans="1:10" x14ac:dyDescent="0.25">
      <c r="A362" s="2">
        <v>43810</v>
      </c>
      <c r="B362" s="1" t="s">
        <v>150</v>
      </c>
      <c r="C362" s="1" t="s">
        <v>52</v>
      </c>
      <c r="D362" s="1">
        <v>102</v>
      </c>
      <c r="E362" s="1" t="s">
        <v>31</v>
      </c>
      <c r="F362" s="1">
        <v>136</v>
      </c>
      <c r="G362" s="1" t="s">
        <v>151</v>
      </c>
      <c r="H362" s="1"/>
      <c r="I362" s="1">
        <v>15084</v>
      </c>
      <c r="J362" s="1"/>
    </row>
    <row r="363" spans="1:10" x14ac:dyDescent="0.25">
      <c r="A363" s="2">
        <v>43810</v>
      </c>
      <c r="B363" s="1" t="s">
        <v>150</v>
      </c>
      <c r="C363" s="1" t="s">
        <v>34</v>
      </c>
      <c r="D363" s="1">
        <v>127</v>
      </c>
      <c r="E363" s="1" t="s">
        <v>42</v>
      </c>
      <c r="F363" s="1">
        <v>116</v>
      </c>
      <c r="G363" s="1" t="s">
        <v>151</v>
      </c>
      <c r="H363" s="1"/>
      <c r="I363" s="1">
        <v>12369</v>
      </c>
      <c r="J363" s="1"/>
    </row>
    <row r="364" spans="1:10" x14ac:dyDescent="0.25">
      <c r="A364" s="2">
        <v>43810</v>
      </c>
      <c r="B364" s="1" t="s">
        <v>157</v>
      </c>
      <c r="C364" s="1" t="s">
        <v>48</v>
      </c>
      <c r="D364" s="1">
        <v>115</v>
      </c>
      <c r="E364" s="1" t="s">
        <v>26</v>
      </c>
      <c r="F364" s="1">
        <v>108</v>
      </c>
      <c r="G364" s="1" t="s">
        <v>151</v>
      </c>
      <c r="H364" s="1"/>
      <c r="I364" s="1">
        <v>12254</v>
      </c>
      <c r="J364" s="1"/>
    </row>
    <row r="365" spans="1:10" x14ac:dyDescent="0.25">
      <c r="A365" s="2">
        <v>43810</v>
      </c>
      <c r="B365" s="1" t="s">
        <v>162</v>
      </c>
      <c r="C365" s="1" t="s">
        <v>37</v>
      </c>
      <c r="D365" s="1">
        <v>112</v>
      </c>
      <c r="E365" s="1" t="s">
        <v>39</v>
      </c>
      <c r="F365" s="1">
        <v>127</v>
      </c>
      <c r="G365" s="1" t="s">
        <v>151</v>
      </c>
      <c r="H365" s="1"/>
      <c r="I365" s="1">
        <v>17385</v>
      </c>
      <c r="J365" s="1"/>
    </row>
    <row r="366" spans="1:10" x14ac:dyDescent="0.25">
      <c r="A366" s="2">
        <v>43810</v>
      </c>
      <c r="B366" s="1" t="s">
        <v>158</v>
      </c>
      <c r="C366" s="1" t="s">
        <v>33</v>
      </c>
      <c r="D366" s="1">
        <v>93</v>
      </c>
      <c r="E366" s="1" t="s">
        <v>36</v>
      </c>
      <c r="F366" s="1">
        <v>94</v>
      </c>
      <c r="G366" s="1" t="s">
        <v>151</v>
      </c>
      <c r="H366" s="1"/>
      <c r="I366" s="1">
        <v>16723</v>
      </c>
      <c r="J366" s="1"/>
    </row>
    <row r="367" spans="1:10" x14ac:dyDescent="0.25">
      <c r="A367" s="2">
        <v>43810</v>
      </c>
      <c r="B367" s="1" t="s">
        <v>153</v>
      </c>
      <c r="C367" s="1" t="s">
        <v>35</v>
      </c>
      <c r="D367" s="1">
        <v>124</v>
      </c>
      <c r="E367" s="1" t="s">
        <v>44</v>
      </c>
      <c r="F367" s="1">
        <v>122</v>
      </c>
      <c r="G367" s="1" t="s">
        <v>151</v>
      </c>
      <c r="H367" s="1" t="s">
        <v>152</v>
      </c>
      <c r="I367" s="1">
        <v>18064</v>
      </c>
      <c r="J367" s="1"/>
    </row>
    <row r="368" spans="1:10" x14ac:dyDescent="0.25">
      <c r="A368" s="2">
        <v>43811</v>
      </c>
      <c r="B368" s="1" t="s">
        <v>150</v>
      </c>
      <c r="C368" s="1" t="s">
        <v>45</v>
      </c>
      <c r="D368" s="1">
        <v>115</v>
      </c>
      <c r="E368" s="1" t="s">
        <v>46</v>
      </c>
      <c r="F368" s="1">
        <v>109</v>
      </c>
      <c r="G368" s="1" t="s">
        <v>151</v>
      </c>
      <c r="H368" s="1"/>
      <c r="I368" s="1">
        <v>19156</v>
      </c>
      <c r="J368" s="1"/>
    </row>
    <row r="369" spans="1:10" x14ac:dyDescent="0.25">
      <c r="A369" s="2">
        <v>43811</v>
      </c>
      <c r="B369" s="1" t="s">
        <v>156</v>
      </c>
      <c r="C369" s="1" t="s">
        <v>49</v>
      </c>
      <c r="D369" s="1">
        <v>117</v>
      </c>
      <c r="E369" s="1" t="s">
        <v>54</v>
      </c>
      <c r="F369" s="1">
        <v>109</v>
      </c>
      <c r="G369" s="1" t="s">
        <v>151</v>
      </c>
      <c r="H369" s="1" t="s">
        <v>152</v>
      </c>
      <c r="I369" s="1">
        <v>18354</v>
      </c>
      <c r="J369" s="1"/>
    </row>
    <row r="370" spans="1:10" x14ac:dyDescent="0.25">
      <c r="A370" s="2">
        <v>43811</v>
      </c>
      <c r="B370" s="1" t="s">
        <v>157</v>
      </c>
      <c r="C370" s="1" t="s">
        <v>43</v>
      </c>
      <c r="D370" s="1">
        <v>122</v>
      </c>
      <c r="E370" s="1" t="s">
        <v>30</v>
      </c>
      <c r="F370" s="1">
        <v>111</v>
      </c>
      <c r="G370" s="1" t="s">
        <v>151</v>
      </c>
      <c r="H370" s="1"/>
      <c r="I370" s="1">
        <v>20064</v>
      </c>
      <c r="J370" s="1" t="s">
        <v>822</v>
      </c>
    </row>
    <row r="371" spans="1:10" x14ac:dyDescent="0.25">
      <c r="A371" s="2">
        <v>43811</v>
      </c>
      <c r="B371" s="1" t="s">
        <v>153</v>
      </c>
      <c r="C371" s="1" t="s">
        <v>28</v>
      </c>
      <c r="D371" s="1">
        <v>99</v>
      </c>
      <c r="E371" s="1" t="s">
        <v>50</v>
      </c>
      <c r="F371" s="1">
        <v>114</v>
      </c>
      <c r="G371" s="1" t="s">
        <v>151</v>
      </c>
      <c r="H371" s="1"/>
      <c r="I371" s="1">
        <v>18828</v>
      </c>
      <c r="J371" s="1"/>
    </row>
    <row r="372" spans="1:10" x14ac:dyDescent="0.25">
      <c r="A372" s="2">
        <v>43812</v>
      </c>
      <c r="B372" s="1" t="s">
        <v>154</v>
      </c>
      <c r="C372" s="1" t="s">
        <v>47</v>
      </c>
      <c r="D372" s="1">
        <v>113</v>
      </c>
      <c r="E372" s="1" t="s">
        <v>41</v>
      </c>
      <c r="F372" s="1">
        <v>110</v>
      </c>
      <c r="G372" s="1" t="s">
        <v>151</v>
      </c>
      <c r="H372" s="1"/>
      <c r="I372" s="1">
        <v>20013</v>
      </c>
      <c r="J372" s="1"/>
    </row>
    <row r="373" spans="1:10" x14ac:dyDescent="0.25">
      <c r="A373" s="2">
        <v>43812</v>
      </c>
      <c r="B373" s="1" t="s">
        <v>154</v>
      </c>
      <c r="C373" s="1" t="s">
        <v>32</v>
      </c>
      <c r="D373" s="1">
        <v>130</v>
      </c>
      <c r="E373" s="1" t="s">
        <v>53</v>
      </c>
      <c r="F373" s="1">
        <v>107</v>
      </c>
      <c r="G373" s="1" t="s">
        <v>151</v>
      </c>
      <c r="H373" s="1"/>
      <c r="I373" s="1">
        <v>16335</v>
      </c>
      <c r="J373" s="1"/>
    </row>
    <row r="374" spans="1:10" x14ac:dyDescent="0.25">
      <c r="A374" s="2">
        <v>43812</v>
      </c>
      <c r="B374" s="1" t="s">
        <v>154</v>
      </c>
      <c r="C374" s="1" t="s">
        <v>37</v>
      </c>
      <c r="D374" s="1">
        <v>109</v>
      </c>
      <c r="E374" s="1" t="s">
        <v>45</v>
      </c>
      <c r="F374" s="1">
        <v>116</v>
      </c>
      <c r="G374" s="1" t="s">
        <v>151</v>
      </c>
      <c r="H374" s="1"/>
      <c r="I374" s="1">
        <v>20620</v>
      </c>
      <c r="J374" s="1"/>
    </row>
    <row r="375" spans="1:10" x14ac:dyDescent="0.25">
      <c r="A375" s="2">
        <v>43812</v>
      </c>
      <c r="B375" s="1" t="s">
        <v>155</v>
      </c>
      <c r="C375" s="1" t="s">
        <v>51</v>
      </c>
      <c r="D375" s="1">
        <v>110</v>
      </c>
      <c r="E375" s="1" t="s">
        <v>52</v>
      </c>
      <c r="F375" s="1">
        <v>100</v>
      </c>
      <c r="G375" s="1" t="s">
        <v>151</v>
      </c>
      <c r="H375" s="1"/>
      <c r="I375" s="1">
        <v>15121</v>
      </c>
      <c r="J375" s="1"/>
    </row>
    <row r="376" spans="1:10" x14ac:dyDescent="0.25">
      <c r="A376" s="2">
        <v>43812</v>
      </c>
      <c r="B376" s="1" t="s">
        <v>150</v>
      </c>
      <c r="C376" s="1" t="s">
        <v>29</v>
      </c>
      <c r="D376" s="1">
        <v>83</v>
      </c>
      <c r="E376" s="1" t="s">
        <v>31</v>
      </c>
      <c r="F376" s="1">
        <v>73</v>
      </c>
      <c r="G376" s="1" t="s">
        <v>151</v>
      </c>
      <c r="H376" s="1"/>
      <c r="I376" s="1">
        <v>18377</v>
      </c>
      <c r="J376" s="1"/>
    </row>
    <row r="377" spans="1:10" x14ac:dyDescent="0.25">
      <c r="A377" s="2">
        <v>43812</v>
      </c>
      <c r="B377" s="1" t="s">
        <v>150</v>
      </c>
      <c r="C377" s="1" t="s">
        <v>39</v>
      </c>
      <c r="D377" s="1">
        <v>127</v>
      </c>
      <c r="E377" s="1" t="s">
        <v>48</v>
      </c>
      <c r="F377" s="1">
        <v>114</v>
      </c>
      <c r="G377" s="1" t="s">
        <v>151</v>
      </c>
      <c r="H377" s="1"/>
      <c r="I377" s="1">
        <v>16109</v>
      </c>
      <c r="J377" s="1"/>
    </row>
    <row r="378" spans="1:10" x14ac:dyDescent="0.25">
      <c r="A378" s="2">
        <v>43812</v>
      </c>
      <c r="B378" s="1" t="s">
        <v>157</v>
      </c>
      <c r="C378" s="1" t="s">
        <v>44</v>
      </c>
      <c r="D378" s="1">
        <v>106</v>
      </c>
      <c r="E378" s="1" t="s">
        <v>34</v>
      </c>
      <c r="F378" s="1">
        <v>114</v>
      </c>
      <c r="G378" s="1" t="s">
        <v>151</v>
      </c>
      <c r="H378" s="1"/>
      <c r="I378" s="1">
        <v>18306</v>
      </c>
      <c r="J378" s="1"/>
    </row>
    <row r="379" spans="1:10" x14ac:dyDescent="0.25">
      <c r="A379" s="2">
        <v>43812</v>
      </c>
      <c r="B379" s="1" t="s">
        <v>162</v>
      </c>
      <c r="C379" s="1" t="s">
        <v>25</v>
      </c>
      <c r="D379" s="1">
        <v>124</v>
      </c>
      <c r="E379" s="1" t="s">
        <v>42</v>
      </c>
      <c r="F379" s="1">
        <v>117</v>
      </c>
      <c r="G379" s="1" t="s">
        <v>151</v>
      </c>
      <c r="H379" s="1"/>
      <c r="I379" s="1">
        <v>17585</v>
      </c>
      <c r="J379" s="1"/>
    </row>
    <row r="380" spans="1:10" x14ac:dyDescent="0.25">
      <c r="A380" s="2">
        <v>43812</v>
      </c>
      <c r="B380" s="1" t="s">
        <v>158</v>
      </c>
      <c r="C380" s="1" t="s">
        <v>35</v>
      </c>
      <c r="D380" s="1">
        <v>103</v>
      </c>
      <c r="E380" s="1" t="s">
        <v>36</v>
      </c>
      <c r="F380" s="1">
        <v>101</v>
      </c>
      <c r="G380" s="1" t="s">
        <v>151</v>
      </c>
      <c r="H380" s="1"/>
      <c r="I380" s="1">
        <v>17583</v>
      </c>
      <c r="J380" s="1"/>
    </row>
    <row r="381" spans="1:10" x14ac:dyDescent="0.25">
      <c r="A381" s="2">
        <v>43813</v>
      </c>
      <c r="B381" s="1" t="s">
        <v>159</v>
      </c>
      <c r="C381" s="1" t="s">
        <v>54</v>
      </c>
      <c r="D381" s="1">
        <v>121</v>
      </c>
      <c r="E381" s="1" t="s">
        <v>26</v>
      </c>
      <c r="F381" s="1">
        <v>119</v>
      </c>
      <c r="G381" s="1" t="s">
        <v>151</v>
      </c>
      <c r="H381" s="1" t="s">
        <v>152</v>
      </c>
      <c r="I381" s="1">
        <v>20013</v>
      </c>
      <c r="J381" s="1" t="s">
        <v>822</v>
      </c>
    </row>
    <row r="382" spans="1:10" x14ac:dyDescent="0.25">
      <c r="A382" s="2">
        <v>43813</v>
      </c>
      <c r="B382" s="1" t="s">
        <v>155</v>
      </c>
      <c r="C382" s="1" t="s">
        <v>38</v>
      </c>
      <c r="D382" s="1">
        <v>102</v>
      </c>
      <c r="E382" s="1" t="s">
        <v>27</v>
      </c>
      <c r="F382" s="1">
        <v>110</v>
      </c>
      <c r="G382" s="1" t="s">
        <v>151</v>
      </c>
      <c r="H382" s="1"/>
      <c r="I382" s="1">
        <v>19800</v>
      </c>
      <c r="J382" s="1"/>
    </row>
    <row r="383" spans="1:10" x14ac:dyDescent="0.25">
      <c r="A383" s="2">
        <v>43813</v>
      </c>
      <c r="B383" s="1" t="s">
        <v>150</v>
      </c>
      <c r="C383" s="1" t="s">
        <v>25</v>
      </c>
      <c r="D383" s="1">
        <v>106</v>
      </c>
      <c r="E383" s="1" t="s">
        <v>31</v>
      </c>
      <c r="F383" s="1">
        <v>109</v>
      </c>
      <c r="G383" s="1" t="s">
        <v>151</v>
      </c>
      <c r="H383" s="1"/>
      <c r="I383" s="1">
        <v>18426</v>
      </c>
      <c r="J383" s="1"/>
    </row>
    <row r="384" spans="1:10" x14ac:dyDescent="0.25">
      <c r="A384" s="2">
        <v>43813</v>
      </c>
      <c r="B384" s="1" t="s">
        <v>150</v>
      </c>
      <c r="C384" s="1" t="s">
        <v>40</v>
      </c>
      <c r="D384" s="1">
        <v>111</v>
      </c>
      <c r="E384" s="1" t="s">
        <v>48</v>
      </c>
      <c r="F384" s="1">
        <v>128</v>
      </c>
      <c r="G384" s="1" t="s">
        <v>151</v>
      </c>
      <c r="H384" s="1"/>
      <c r="I384" s="1">
        <v>15631</v>
      </c>
      <c r="J384" s="1"/>
    </row>
    <row r="385" spans="1:10" x14ac:dyDescent="0.25">
      <c r="A385" s="2">
        <v>43813</v>
      </c>
      <c r="B385" s="1" t="s">
        <v>156</v>
      </c>
      <c r="C385" s="1" t="s">
        <v>41</v>
      </c>
      <c r="D385" s="1">
        <v>122</v>
      </c>
      <c r="E385" s="1" t="s">
        <v>43</v>
      </c>
      <c r="F385" s="1">
        <v>118</v>
      </c>
      <c r="G385" s="1" t="s">
        <v>151</v>
      </c>
      <c r="H385" s="1" t="s">
        <v>152</v>
      </c>
      <c r="I385" s="1">
        <v>20333</v>
      </c>
      <c r="J385" s="1"/>
    </row>
    <row r="386" spans="1:10" x14ac:dyDescent="0.25">
      <c r="A386" s="2">
        <v>43813</v>
      </c>
      <c r="B386" s="1" t="s">
        <v>156</v>
      </c>
      <c r="C386" s="1" t="s">
        <v>49</v>
      </c>
      <c r="D386" s="1">
        <v>108</v>
      </c>
      <c r="E386" s="1" t="s">
        <v>39</v>
      </c>
      <c r="F386" s="1">
        <v>125</v>
      </c>
      <c r="G386" s="1" t="s">
        <v>151</v>
      </c>
      <c r="H386" s="1"/>
      <c r="I386" s="1">
        <v>17481</v>
      </c>
      <c r="J386" s="1"/>
    </row>
    <row r="387" spans="1:10" x14ac:dyDescent="0.25">
      <c r="A387" s="2">
        <v>43813</v>
      </c>
      <c r="B387" s="1" t="s">
        <v>157</v>
      </c>
      <c r="C387" s="1" t="s">
        <v>33</v>
      </c>
      <c r="D387" s="1">
        <v>102</v>
      </c>
      <c r="E387" s="1" t="s">
        <v>50</v>
      </c>
      <c r="F387" s="1">
        <v>110</v>
      </c>
      <c r="G387" s="1" t="s">
        <v>151</v>
      </c>
      <c r="H387" s="1"/>
      <c r="I387" s="1">
        <v>19520</v>
      </c>
      <c r="J387" s="1"/>
    </row>
    <row r="388" spans="1:10" x14ac:dyDescent="0.25">
      <c r="A388" s="2">
        <v>43813</v>
      </c>
      <c r="B388" s="1" t="s">
        <v>157</v>
      </c>
      <c r="C388" s="1" t="s">
        <v>30</v>
      </c>
      <c r="D388" s="1">
        <v>115</v>
      </c>
      <c r="E388" s="1" t="s">
        <v>32</v>
      </c>
      <c r="F388" s="1">
        <v>107</v>
      </c>
      <c r="G388" s="1" t="s">
        <v>151</v>
      </c>
      <c r="H388" s="1"/>
      <c r="I388" s="1">
        <v>18055</v>
      </c>
      <c r="J388" s="1"/>
    </row>
    <row r="389" spans="1:10" x14ac:dyDescent="0.25">
      <c r="A389" s="2">
        <v>43814</v>
      </c>
      <c r="B389" s="1" t="s">
        <v>160</v>
      </c>
      <c r="C389" s="1" t="s">
        <v>53</v>
      </c>
      <c r="D389" s="1">
        <v>130</v>
      </c>
      <c r="E389" s="1" t="s">
        <v>37</v>
      </c>
      <c r="F389" s="1">
        <v>119</v>
      </c>
      <c r="G389" s="1" t="s">
        <v>151</v>
      </c>
      <c r="H389" s="1"/>
      <c r="I389" s="1">
        <v>15388</v>
      </c>
      <c r="J389" s="1"/>
    </row>
    <row r="390" spans="1:10" x14ac:dyDescent="0.25">
      <c r="A390" s="2">
        <v>43814</v>
      </c>
      <c r="B390" s="1" t="s">
        <v>159</v>
      </c>
      <c r="C390" s="1" t="s">
        <v>29</v>
      </c>
      <c r="D390" s="1">
        <v>85</v>
      </c>
      <c r="E390" s="1" t="s">
        <v>51</v>
      </c>
      <c r="F390" s="1">
        <v>107</v>
      </c>
      <c r="G390" s="1" t="s">
        <v>151</v>
      </c>
      <c r="H390" s="1"/>
      <c r="I390" s="1">
        <v>16061</v>
      </c>
      <c r="J390" s="1"/>
    </row>
    <row r="391" spans="1:10" x14ac:dyDescent="0.25">
      <c r="A391" s="2">
        <v>43814</v>
      </c>
      <c r="B391" s="1" t="s">
        <v>161</v>
      </c>
      <c r="C391" s="1" t="s">
        <v>47</v>
      </c>
      <c r="D391" s="1">
        <v>101</v>
      </c>
      <c r="E391" s="1" t="s">
        <v>52</v>
      </c>
      <c r="F391" s="1">
        <v>96</v>
      </c>
      <c r="G391" s="1" t="s">
        <v>151</v>
      </c>
      <c r="H391" s="1"/>
      <c r="I391" s="1">
        <v>16962</v>
      </c>
      <c r="J391" s="1"/>
    </row>
    <row r="392" spans="1:10" x14ac:dyDescent="0.25">
      <c r="A392" s="2">
        <v>43814</v>
      </c>
      <c r="B392" s="1" t="s">
        <v>161</v>
      </c>
      <c r="C392" s="1" t="s">
        <v>45</v>
      </c>
      <c r="D392" s="1">
        <v>89</v>
      </c>
      <c r="E392" s="1" t="s">
        <v>38</v>
      </c>
      <c r="F392" s="1">
        <v>109</v>
      </c>
      <c r="G392" s="1" t="s">
        <v>151</v>
      </c>
      <c r="H392" s="1"/>
      <c r="I392" s="1">
        <v>17732</v>
      </c>
      <c r="J392" s="1"/>
    </row>
    <row r="393" spans="1:10" x14ac:dyDescent="0.25">
      <c r="A393" s="2">
        <v>43814</v>
      </c>
      <c r="B393" s="1" t="s">
        <v>150</v>
      </c>
      <c r="C393" s="1" t="s">
        <v>35</v>
      </c>
      <c r="D393" s="1">
        <v>105</v>
      </c>
      <c r="E393" s="1" t="s">
        <v>50</v>
      </c>
      <c r="F393" s="1">
        <v>111</v>
      </c>
      <c r="G393" s="1" t="s">
        <v>151</v>
      </c>
      <c r="H393" s="1"/>
      <c r="I393" s="1">
        <v>18867</v>
      </c>
      <c r="J393" s="1"/>
    </row>
    <row r="394" spans="1:10" x14ac:dyDescent="0.25">
      <c r="A394" s="2">
        <v>43814</v>
      </c>
      <c r="B394" s="1" t="s">
        <v>156</v>
      </c>
      <c r="C394" s="1" t="s">
        <v>36</v>
      </c>
      <c r="D394" s="1">
        <v>100</v>
      </c>
      <c r="E394" s="1" t="s">
        <v>44</v>
      </c>
      <c r="F394" s="1">
        <v>79</v>
      </c>
      <c r="G394" s="1" t="s">
        <v>151</v>
      </c>
      <c r="H394" s="1"/>
      <c r="I394" s="1">
        <v>18064</v>
      </c>
      <c r="J394" s="1"/>
    </row>
    <row r="395" spans="1:10" x14ac:dyDescent="0.25">
      <c r="A395" s="2">
        <v>43815</v>
      </c>
      <c r="B395" s="1" t="s">
        <v>154</v>
      </c>
      <c r="C395" s="1" t="s">
        <v>40</v>
      </c>
      <c r="D395" s="1">
        <v>133</v>
      </c>
      <c r="E395" s="1" t="s">
        <v>30</v>
      </c>
      <c r="F395" s="1">
        <v>119</v>
      </c>
      <c r="G395" s="1" t="s">
        <v>151</v>
      </c>
      <c r="H395" s="1"/>
      <c r="I395" s="1">
        <v>14632</v>
      </c>
      <c r="J395" s="1"/>
    </row>
    <row r="396" spans="1:10" x14ac:dyDescent="0.25">
      <c r="A396" s="2">
        <v>43815</v>
      </c>
      <c r="B396" s="1" t="s">
        <v>155</v>
      </c>
      <c r="C396" s="1" t="s">
        <v>49</v>
      </c>
      <c r="D396" s="1">
        <v>113</v>
      </c>
      <c r="E396" s="1" t="s">
        <v>27</v>
      </c>
      <c r="F396" s="1">
        <v>133</v>
      </c>
      <c r="G396" s="1" t="s">
        <v>151</v>
      </c>
      <c r="H396" s="1"/>
      <c r="I396" s="1">
        <v>19800</v>
      </c>
      <c r="J396" s="1"/>
    </row>
    <row r="397" spans="1:10" x14ac:dyDescent="0.25">
      <c r="A397" s="2">
        <v>43815</v>
      </c>
      <c r="B397" s="1" t="s">
        <v>150</v>
      </c>
      <c r="C397" s="1" t="s">
        <v>54</v>
      </c>
      <c r="D397" s="1">
        <v>107</v>
      </c>
      <c r="E397" s="1" t="s">
        <v>32</v>
      </c>
      <c r="F397" s="1">
        <v>109</v>
      </c>
      <c r="G397" s="1" t="s">
        <v>151</v>
      </c>
      <c r="H397" s="1"/>
      <c r="I397" s="1">
        <v>18055</v>
      </c>
      <c r="J397" s="1"/>
    </row>
    <row r="398" spans="1:10" x14ac:dyDescent="0.25">
      <c r="A398" s="2">
        <v>43815</v>
      </c>
      <c r="B398" s="1" t="s">
        <v>150</v>
      </c>
      <c r="C398" s="1" t="s">
        <v>41</v>
      </c>
      <c r="D398" s="1">
        <v>111</v>
      </c>
      <c r="E398" s="1" t="s">
        <v>48</v>
      </c>
      <c r="F398" s="1">
        <v>118</v>
      </c>
      <c r="G398" s="1" t="s">
        <v>151</v>
      </c>
      <c r="H398" s="1"/>
      <c r="I398" s="1">
        <v>14021</v>
      </c>
      <c r="J398" s="1"/>
    </row>
    <row r="399" spans="1:10" x14ac:dyDescent="0.25">
      <c r="A399" s="2">
        <v>43815</v>
      </c>
      <c r="B399" s="1" t="s">
        <v>150</v>
      </c>
      <c r="C399" s="1" t="s">
        <v>43</v>
      </c>
      <c r="D399" s="1">
        <v>120</v>
      </c>
      <c r="E399" s="1" t="s">
        <v>39</v>
      </c>
      <c r="F399" s="1">
        <v>116</v>
      </c>
      <c r="G399" s="1" t="s">
        <v>151</v>
      </c>
      <c r="H399" s="1"/>
      <c r="I399" s="1">
        <v>17727</v>
      </c>
      <c r="J399" s="1"/>
    </row>
    <row r="400" spans="1:10" x14ac:dyDescent="0.25">
      <c r="A400" s="2">
        <v>43815</v>
      </c>
      <c r="B400" s="1" t="s">
        <v>150</v>
      </c>
      <c r="C400" s="1" t="s">
        <v>31</v>
      </c>
      <c r="D400" s="1">
        <v>106</v>
      </c>
      <c r="E400" s="1" t="s">
        <v>33</v>
      </c>
      <c r="F400" s="1">
        <v>109</v>
      </c>
      <c r="G400" s="1" t="s">
        <v>151</v>
      </c>
      <c r="H400" s="1"/>
      <c r="I400" s="1">
        <v>18203</v>
      </c>
      <c r="J400" s="1"/>
    </row>
    <row r="401" spans="1:10" x14ac:dyDescent="0.25">
      <c r="A401" s="2">
        <v>43815</v>
      </c>
      <c r="B401" s="1" t="s">
        <v>157</v>
      </c>
      <c r="C401" s="1" t="s">
        <v>28</v>
      </c>
      <c r="D401" s="1">
        <v>111</v>
      </c>
      <c r="E401" s="1" t="s">
        <v>26</v>
      </c>
      <c r="F401" s="1">
        <v>110</v>
      </c>
      <c r="G401" s="1" t="s">
        <v>151</v>
      </c>
      <c r="H401" s="1"/>
      <c r="I401" s="1">
        <v>14193</v>
      </c>
      <c r="J401" s="1"/>
    </row>
    <row r="402" spans="1:10" x14ac:dyDescent="0.25">
      <c r="A402" s="2">
        <v>43816</v>
      </c>
      <c r="B402" s="1" t="s">
        <v>154</v>
      </c>
      <c r="C402" s="1" t="s">
        <v>36</v>
      </c>
      <c r="D402" s="1">
        <v>102</v>
      </c>
      <c r="E402" s="1" t="s">
        <v>29</v>
      </c>
      <c r="F402" s="1">
        <v>110</v>
      </c>
      <c r="G402" s="1" t="s">
        <v>151</v>
      </c>
      <c r="H402" s="1"/>
      <c r="I402" s="1">
        <v>13229</v>
      </c>
      <c r="J402" s="1"/>
    </row>
    <row r="403" spans="1:10" x14ac:dyDescent="0.25">
      <c r="A403" s="2">
        <v>43816</v>
      </c>
      <c r="B403" s="1" t="s">
        <v>154</v>
      </c>
      <c r="C403" s="1" t="s">
        <v>47</v>
      </c>
      <c r="D403" s="1">
        <v>102</v>
      </c>
      <c r="E403" s="1" t="s">
        <v>51</v>
      </c>
      <c r="F403" s="1">
        <v>105</v>
      </c>
      <c r="G403" s="1" t="s">
        <v>151</v>
      </c>
      <c r="H403" s="1"/>
      <c r="I403" s="1">
        <v>17923</v>
      </c>
      <c r="J403" s="1"/>
    </row>
    <row r="404" spans="1:10" x14ac:dyDescent="0.25">
      <c r="A404" s="2">
        <v>43816</v>
      </c>
      <c r="B404" s="1" t="s">
        <v>155</v>
      </c>
      <c r="C404" s="1" t="s">
        <v>52</v>
      </c>
      <c r="D404" s="1">
        <v>120</v>
      </c>
      <c r="E404" s="1" t="s">
        <v>35</v>
      </c>
      <c r="F404" s="1">
        <v>143</v>
      </c>
      <c r="G404" s="1" t="s">
        <v>151</v>
      </c>
      <c r="H404" s="1"/>
      <c r="I404" s="1">
        <v>18268</v>
      </c>
      <c r="J404" s="1"/>
    </row>
    <row r="405" spans="1:10" x14ac:dyDescent="0.25">
      <c r="A405" s="2">
        <v>43816</v>
      </c>
      <c r="B405" s="1" t="s">
        <v>150</v>
      </c>
      <c r="C405" s="1" t="s">
        <v>38</v>
      </c>
      <c r="D405" s="1">
        <v>108</v>
      </c>
      <c r="E405" s="1" t="s">
        <v>37</v>
      </c>
      <c r="F405" s="1">
        <v>101</v>
      </c>
      <c r="G405" s="1" t="s">
        <v>151</v>
      </c>
      <c r="H405" s="1" t="s">
        <v>152</v>
      </c>
      <c r="I405" s="1">
        <v>15177</v>
      </c>
      <c r="J405" s="1"/>
    </row>
    <row r="406" spans="1:10" x14ac:dyDescent="0.25">
      <c r="A406" s="2">
        <v>43816</v>
      </c>
      <c r="B406" s="1" t="s">
        <v>157</v>
      </c>
      <c r="C406" s="1" t="s">
        <v>53</v>
      </c>
      <c r="D406" s="1">
        <v>102</v>
      </c>
      <c r="E406" s="1" t="s">
        <v>34</v>
      </c>
      <c r="F406" s="1">
        <v>109</v>
      </c>
      <c r="G406" s="1" t="s">
        <v>151</v>
      </c>
      <c r="H406" s="1"/>
      <c r="I406" s="1">
        <v>18306</v>
      </c>
      <c r="J406" s="1"/>
    </row>
    <row r="407" spans="1:10" x14ac:dyDescent="0.25">
      <c r="A407" s="2">
        <v>43816</v>
      </c>
      <c r="B407" s="1" t="s">
        <v>153</v>
      </c>
      <c r="C407" s="1" t="s">
        <v>26</v>
      </c>
      <c r="D407" s="1">
        <v>99</v>
      </c>
      <c r="E407" s="1" t="s">
        <v>25</v>
      </c>
      <c r="F407" s="1">
        <v>120</v>
      </c>
      <c r="G407" s="1" t="s">
        <v>151</v>
      </c>
      <c r="H407" s="1"/>
      <c r="I407" s="1">
        <v>19068</v>
      </c>
      <c r="J407" s="1"/>
    </row>
    <row r="408" spans="1:10" x14ac:dyDescent="0.25">
      <c r="A408" s="2">
        <v>43817</v>
      </c>
      <c r="B408" s="1" t="s">
        <v>154</v>
      </c>
      <c r="C408" s="1" t="s">
        <v>29</v>
      </c>
      <c r="D408" s="1">
        <v>98</v>
      </c>
      <c r="E408" s="1" t="s">
        <v>49</v>
      </c>
      <c r="F408" s="1">
        <v>100</v>
      </c>
      <c r="G408" s="1" t="s">
        <v>151</v>
      </c>
      <c r="H408" s="1"/>
      <c r="I408" s="1">
        <v>17023</v>
      </c>
      <c r="J408" s="1"/>
    </row>
    <row r="409" spans="1:10" x14ac:dyDescent="0.25">
      <c r="A409" s="2">
        <v>43817</v>
      </c>
      <c r="B409" s="1" t="s">
        <v>154</v>
      </c>
      <c r="C409" s="1" t="s">
        <v>27</v>
      </c>
      <c r="D409" s="1">
        <v>112</v>
      </c>
      <c r="E409" s="1" t="s">
        <v>30</v>
      </c>
      <c r="F409" s="1">
        <v>99</v>
      </c>
      <c r="G409" s="1" t="s">
        <v>151</v>
      </c>
      <c r="H409" s="1"/>
      <c r="I409" s="1">
        <v>15319</v>
      </c>
      <c r="J409" s="1"/>
    </row>
    <row r="410" spans="1:10" x14ac:dyDescent="0.25">
      <c r="A410" s="2">
        <v>43817</v>
      </c>
      <c r="B410" s="1" t="s">
        <v>154</v>
      </c>
      <c r="C410" s="1" t="s">
        <v>41</v>
      </c>
      <c r="D410" s="1">
        <v>108</v>
      </c>
      <c r="E410" s="1" t="s">
        <v>45</v>
      </c>
      <c r="F410" s="1">
        <v>104</v>
      </c>
      <c r="G410" s="1" t="s">
        <v>151</v>
      </c>
      <c r="H410" s="1"/>
      <c r="I410" s="1">
        <v>20715</v>
      </c>
      <c r="J410" s="1"/>
    </row>
    <row r="411" spans="1:10" x14ac:dyDescent="0.25">
      <c r="A411" s="2">
        <v>43817</v>
      </c>
      <c r="B411" s="1" t="s">
        <v>154</v>
      </c>
      <c r="C411" s="1" t="s">
        <v>31</v>
      </c>
      <c r="D411" s="1">
        <v>110</v>
      </c>
      <c r="E411" s="1" t="s">
        <v>40</v>
      </c>
      <c r="F411" s="1">
        <v>109</v>
      </c>
      <c r="G411" s="1" t="s">
        <v>151</v>
      </c>
      <c r="H411" s="1" t="s">
        <v>152</v>
      </c>
      <c r="I411" s="1">
        <v>14987</v>
      </c>
      <c r="J411" s="1"/>
    </row>
    <row r="412" spans="1:10" x14ac:dyDescent="0.25">
      <c r="A412" s="2">
        <v>43817</v>
      </c>
      <c r="B412" s="1" t="s">
        <v>150</v>
      </c>
      <c r="C412" s="1" t="s">
        <v>37</v>
      </c>
      <c r="D412" s="1">
        <v>107</v>
      </c>
      <c r="E412" s="1" t="s">
        <v>42</v>
      </c>
      <c r="F412" s="1">
        <v>99</v>
      </c>
      <c r="G412" s="1" t="s">
        <v>151</v>
      </c>
      <c r="H412" s="1"/>
      <c r="I412" s="1">
        <v>12490</v>
      </c>
      <c r="J412" s="1"/>
    </row>
    <row r="413" spans="1:10" x14ac:dyDescent="0.25">
      <c r="A413" s="2">
        <v>43817</v>
      </c>
      <c r="B413" s="1" t="s">
        <v>150</v>
      </c>
      <c r="C413" s="1" t="s">
        <v>48</v>
      </c>
      <c r="D413" s="1">
        <v>122</v>
      </c>
      <c r="E413" s="1" t="s">
        <v>33</v>
      </c>
      <c r="F413" s="1">
        <v>126</v>
      </c>
      <c r="G413" s="1" t="s">
        <v>151</v>
      </c>
      <c r="H413" s="1"/>
      <c r="I413" s="1">
        <v>18203</v>
      </c>
      <c r="J413" s="1"/>
    </row>
    <row r="414" spans="1:10" x14ac:dyDescent="0.25">
      <c r="A414" s="2">
        <v>43817</v>
      </c>
      <c r="B414" s="1" t="s">
        <v>157</v>
      </c>
      <c r="C414" s="1" t="s">
        <v>53</v>
      </c>
      <c r="D414" s="1">
        <v>104</v>
      </c>
      <c r="E414" s="1" t="s">
        <v>50</v>
      </c>
      <c r="F414" s="1">
        <v>113</v>
      </c>
      <c r="G414" s="1" t="s">
        <v>151</v>
      </c>
      <c r="H414" s="1"/>
      <c r="I414" s="1">
        <v>18182</v>
      </c>
      <c r="J414" s="1"/>
    </row>
    <row r="415" spans="1:10" x14ac:dyDescent="0.25">
      <c r="A415" s="2">
        <v>43817</v>
      </c>
      <c r="B415" s="1" t="s">
        <v>162</v>
      </c>
      <c r="C415" s="1" t="s">
        <v>46</v>
      </c>
      <c r="D415" s="1">
        <v>109</v>
      </c>
      <c r="E415" s="1" t="s">
        <v>43</v>
      </c>
      <c r="F415" s="1">
        <v>103</v>
      </c>
      <c r="G415" s="1" t="s">
        <v>151</v>
      </c>
      <c r="H415" s="1"/>
      <c r="I415" s="1">
        <v>20181</v>
      </c>
      <c r="J415" s="1"/>
    </row>
    <row r="416" spans="1:10" x14ac:dyDescent="0.25">
      <c r="A416" s="2">
        <v>43817</v>
      </c>
      <c r="B416" s="1" t="s">
        <v>158</v>
      </c>
      <c r="C416" s="1" t="s">
        <v>44</v>
      </c>
      <c r="D416" s="1">
        <v>112</v>
      </c>
      <c r="E416" s="1" t="s">
        <v>28</v>
      </c>
      <c r="F416" s="1">
        <v>122</v>
      </c>
      <c r="G416" s="1" t="s">
        <v>151</v>
      </c>
      <c r="H416" s="1"/>
      <c r="I416" s="1">
        <v>19393</v>
      </c>
      <c r="J416" s="1"/>
    </row>
    <row r="417" spans="1:10" x14ac:dyDescent="0.25">
      <c r="A417" s="2">
        <v>43818</v>
      </c>
      <c r="B417" s="1" t="s">
        <v>155</v>
      </c>
      <c r="C417" s="1" t="s">
        <v>34</v>
      </c>
      <c r="D417" s="1">
        <v>111</v>
      </c>
      <c r="E417" s="1" t="s">
        <v>52</v>
      </c>
      <c r="F417" s="1">
        <v>106</v>
      </c>
      <c r="G417" s="1" t="s">
        <v>151</v>
      </c>
      <c r="H417" s="1"/>
      <c r="I417" s="1">
        <v>16739</v>
      </c>
      <c r="J417" s="1"/>
    </row>
    <row r="418" spans="1:10" x14ac:dyDescent="0.25">
      <c r="A418" s="2">
        <v>43818</v>
      </c>
      <c r="B418" s="1" t="s">
        <v>150</v>
      </c>
      <c r="C418" s="1" t="s">
        <v>47</v>
      </c>
      <c r="D418" s="1">
        <v>104</v>
      </c>
      <c r="E418" s="1" t="s">
        <v>39</v>
      </c>
      <c r="F418" s="1">
        <v>111</v>
      </c>
      <c r="G418" s="1" t="s">
        <v>151</v>
      </c>
      <c r="H418" s="1"/>
      <c r="I418" s="1">
        <v>18051</v>
      </c>
      <c r="J418" s="1"/>
    </row>
    <row r="419" spans="1:10" x14ac:dyDescent="0.25">
      <c r="A419" s="2">
        <v>43818</v>
      </c>
      <c r="B419" s="1" t="s">
        <v>156</v>
      </c>
      <c r="C419" s="1" t="s">
        <v>38</v>
      </c>
      <c r="D419" s="1">
        <v>105</v>
      </c>
      <c r="E419" s="1" t="s">
        <v>54</v>
      </c>
      <c r="F419" s="1">
        <v>118</v>
      </c>
      <c r="G419" s="1" t="s">
        <v>151</v>
      </c>
      <c r="H419" s="1"/>
      <c r="I419" s="1">
        <v>18354</v>
      </c>
      <c r="J419" s="1"/>
    </row>
    <row r="420" spans="1:10" x14ac:dyDescent="0.25">
      <c r="A420" s="2">
        <v>43818</v>
      </c>
      <c r="B420" s="1" t="s">
        <v>153</v>
      </c>
      <c r="C420" s="1" t="s">
        <v>32</v>
      </c>
      <c r="D420" s="1">
        <v>122</v>
      </c>
      <c r="E420" s="1" t="s">
        <v>25</v>
      </c>
      <c r="F420" s="1">
        <v>117</v>
      </c>
      <c r="G420" s="1" t="s">
        <v>151</v>
      </c>
      <c r="H420" s="1"/>
      <c r="I420" s="1">
        <v>19068</v>
      </c>
      <c r="J420" s="1"/>
    </row>
    <row r="421" spans="1:10" x14ac:dyDescent="0.25">
      <c r="A421" s="2">
        <v>43819</v>
      </c>
      <c r="B421" s="1" t="s">
        <v>154</v>
      </c>
      <c r="C421" s="1" t="s">
        <v>48</v>
      </c>
      <c r="D421" s="1">
        <v>107</v>
      </c>
      <c r="E421" s="1" t="s">
        <v>49</v>
      </c>
      <c r="F421" s="1">
        <v>114</v>
      </c>
      <c r="G421" s="1" t="s">
        <v>151</v>
      </c>
      <c r="H421" s="1"/>
      <c r="I421" s="1">
        <v>19432</v>
      </c>
      <c r="J421" s="1"/>
    </row>
    <row r="422" spans="1:10" x14ac:dyDescent="0.25">
      <c r="A422" s="2">
        <v>43819</v>
      </c>
      <c r="B422" s="1" t="s">
        <v>154</v>
      </c>
      <c r="C422" s="1" t="s">
        <v>36</v>
      </c>
      <c r="D422" s="1">
        <v>105</v>
      </c>
      <c r="E422" s="1" t="s">
        <v>51</v>
      </c>
      <c r="F422" s="1">
        <v>119</v>
      </c>
      <c r="G422" s="1" t="s">
        <v>151</v>
      </c>
      <c r="H422" s="1"/>
      <c r="I422" s="1">
        <v>14649</v>
      </c>
      <c r="J422" s="1"/>
    </row>
    <row r="423" spans="1:10" x14ac:dyDescent="0.25">
      <c r="A423" s="2">
        <v>43819</v>
      </c>
      <c r="B423" s="1" t="s">
        <v>155</v>
      </c>
      <c r="C423" s="1" t="s">
        <v>30</v>
      </c>
      <c r="D423" s="1">
        <v>93</v>
      </c>
      <c r="E423" s="1" t="s">
        <v>46</v>
      </c>
      <c r="F423" s="1">
        <v>114</v>
      </c>
      <c r="G423" s="1" t="s">
        <v>151</v>
      </c>
      <c r="H423" s="1"/>
      <c r="I423" s="1">
        <v>19156</v>
      </c>
      <c r="J423" s="1"/>
    </row>
    <row r="424" spans="1:10" x14ac:dyDescent="0.25">
      <c r="A424" s="2">
        <v>43819</v>
      </c>
      <c r="B424" s="1" t="s">
        <v>155</v>
      </c>
      <c r="C424" s="1" t="s">
        <v>40</v>
      </c>
      <c r="D424" s="1">
        <v>118</v>
      </c>
      <c r="E424" s="1" t="s">
        <v>27</v>
      </c>
      <c r="F424" s="1">
        <v>122</v>
      </c>
      <c r="G424" s="1" t="s">
        <v>151</v>
      </c>
      <c r="H424" s="1"/>
      <c r="I424" s="1">
        <v>19800</v>
      </c>
      <c r="J424" s="1"/>
    </row>
    <row r="425" spans="1:10" x14ac:dyDescent="0.25">
      <c r="A425" s="2">
        <v>43819</v>
      </c>
      <c r="B425" s="1" t="s">
        <v>150</v>
      </c>
      <c r="C425" s="1" t="s">
        <v>35</v>
      </c>
      <c r="D425" s="1">
        <v>114</v>
      </c>
      <c r="E425" s="1" t="s">
        <v>41</v>
      </c>
      <c r="F425" s="1">
        <v>129</v>
      </c>
      <c r="G425" s="1" t="s">
        <v>151</v>
      </c>
      <c r="H425" s="1"/>
      <c r="I425" s="1">
        <v>19704</v>
      </c>
      <c r="J425" s="1"/>
    </row>
    <row r="426" spans="1:10" x14ac:dyDescent="0.25">
      <c r="A426" s="2">
        <v>43819</v>
      </c>
      <c r="B426" s="1" t="s">
        <v>150</v>
      </c>
      <c r="C426" s="1" t="s">
        <v>26</v>
      </c>
      <c r="D426" s="1">
        <v>108</v>
      </c>
      <c r="E426" s="1" t="s">
        <v>33</v>
      </c>
      <c r="F426" s="1">
        <v>126</v>
      </c>
      <c r="G426" s="1" t="s">
        <v>151</v>
      </c>
      <c r="H426" s="1"/>
      <c r="I426" s="1">
        <v>18203</v>
      </c>
      <c r="J426" s="1"/>
    </row>
    <row r="427" spans="1:10" x14ac:dyDescent="0.25">
      <c r="A427" s="2">
        <v>43819</v>
      </c>
      <c r="B427" s="1" t="s">
        <v>150</v>
      </c>
      <c r="C427" s="1" t="s">
        <v>43</v>
      </c>
      <c r="D427" s="1">
        <v>117</v>
      </c>
      <c r="E427" s="1" t="s">
        <v>45</v>
      </c>
      <c r="F427" s="1">
        <v>98</v>
      </c>
      <c r="G427" s="1" t="s">
        <v>151</v>
      </c>
      <c r="H427" s="1"/>
      <c r="I427" s="1">
        <v>20778</v>
      </c>
      <c r="J427" s="1"/>
    </row>
    <row r="428" spans="1:10" x14ac:dyDescent="0.25">
      <c r="A428" s="2">
        <v>43819</v>
      </c>
      <c r="B428" s="1" t="s">
        <v>157</v>
      </c>
      <c r="C428" s="1" t="s">
        <v>42</v>
      </c>
      <c r="D428" s="1">
        <v>100</v>
      </c>
      <c r="E428" s="1" t="s">
        <v>50</v>
      </c>
      <c r="F428" s="1">
        <v>109</v>
      </c>
      <c r="G428" s="1" t="s">
        <v>151</v>
      </c>
      <c r="H428" s="1"/>
      <c r="I428" s="1">
        <v>19520</v>
      </c>
      <c r="J428" s="1"/>
    </row>
    <row r="429" spans="1:10" x14ac:dyDescent="0.25">
      <c r="A429" s="2">
        <v>43819</v>
      </c>
      <c r="B429" s="1" t="s">
        <v>158</v>
      </c>
      <c r="C429" s="1" t="s">
        <v>53</v>
      </c>
      <c r="D429" s="1">
        <v>103</v>
      </c>
      <c r="E429" s="1" t="s">
        <v>28</v>
      </c>
      <c r="F429" s="1">
        <v>118</v>
      </c>
      <c r="G429" s="1" t="s">
        <v>151</v>
      </c>
      <c r="H429" s="1"/>
      <c r="I429" s="1">
        <v>19393</v>
      </c>
      <c r="J429" s="1"/>
    </row>
    <row r="430" spans="1:10" x14ac:dyDescent="0.25">
      <c r="A430" s="2">
        <v>43819</v>
      </c>
      <c r="B430" s="1" t="s">
        <v>153</v>
      </c>
      <c r="C430" s="1" t="s">
        <v>37</v>
      </c>
      <c r="D430" s="1">
        <v>102</v>
      </c>
      <c r="E430" s="1" t="s">
        <v>44</v>
      </c>
      <c r="F430" s="1">
        <v>106</v>
      </c>
      <c r="G430" s="1" t="s">
        <v>151</v>
      </c>
      <c r="H430" s="1"/>
      <c r="I430" s="1">
        <v>18064</v>
      </c>
      <c r="J430" s="1"/>
    </row>
    <row r="431" spans="1:10" x14ac:dyDescent="0.25">
      <c r="A431" s="2">
        <v>43820</v>
      </c>
      <c r="B431" s="1" t="s">
        <v>159</v>
      </c>
      <c r="C431" s="1" t="s">
        <v>34</v>
      </c>
      <c r="D431" s="1">
        <v>114</v>
      </c>
      <c r="E431" s="1" t="s">
        <v>29</v>
      </c>
      <c r="F431" s="1">
        <v>107</v>
      </c>
      <c r="G431" s="1" t="s">
        <v>151</v>
      </c>
      <c r="H431" s="1"/>
      <c r="I431" s="1">
        <v>16187</v>
      </c>
      <c r="J431" s="1"/>
    </row>
    <row r="432" spans="1:10" x14ac:dyDescent="0.25">
      <c r="A432" s="2">
        <v>43820</v>
      </c>
      <c r="B432" s="1" t="s">
        <v>161</v>
      </c>
      <c r="C432" s="1" t="s">
        <v>52</v>
      </c>
      <c r="D432" s="1">
        <v>112</v>
      </c>
      <c r="E432" s="1" t="s">
        <v>38</v>
      </c>
      <c r="F432" s="1">
        <v>122</v>
      </c>
      <c r="G432" s="1" t="s">
        <v>151</v>
      </c>
      <c r="H432" s="1"/>
      <c r="I432" s="1">
        <v>16496</v>
      </c>
      <c r="J432" s="1"/>
    </row>
    <row r="433" spans="1:10" x14ac:dyDescent="0.25">
      <c r="A433" s="2">
        <v>43820</v>
      </c>
      <c r="B433" s="1" t="s">
        <v>154</v>
      </c>
      <c r="C433" s="1" t="s">
        <v>31</v>
      </c>
      <c r="D433" s="1">
        <v>119</v>
      </c>
      <c r="E433" s="1" t="s">
        <v>30</v>
      </c>
      <c r="F433" s="1">
        <v>107</v>
      </c>
      <c r="G433" s="1" t="s">
        <v>151</v>
      </c>
      <c r="H433" s="1"/>
      <c r="I433" s="1">
        <v>15948</v>
      </c>
      <c r="J433" s="1"/>
    </row>
    <row r="434" spans="1:10" x14ac:dyDescent="0.25">
      <c r="A434" s="2">
        <v>43820</v>
      </c>
      <c r="B434" s="1" t="s">
        <v>154</v>
      </c>
      <c r="C434" s="1" t="s">
        <v>40</v>
      </c>
      <c r="D434" s="1">
        <v>108</v>
      </c>
      <c r="E434" s="1" t="s">
        <v>45</v>
      </c>
      <c r="F434" s="1">
        <v>125</v>
      </c>
      <c r="G434" s="1" t="s">
        <v>151</v>
      </c>
      <c r="H434" s="1"/>
      <c r="I434" s="1">
        <v>20529</v>
      </c>
      <c r="J434" s="1"/>
    </row>
    <row r="435" spans="1:10" x14ac:dyDescent="0.25">
      <c r="A435" s="2">
        <v>43820</v>
      </c>
      <c r="B435" s="1" t="s">
        <v>155</v>
      </c>
      <c r="C435" s="1" t="s">
        <v>39</v>
      </c>
      <c r="D435" s="1">
        <v>123</v>
      </c>
      <c r="E435" s="1" t="s">
        <v>35</v>
      </c>
      <c r="F435" s="1">
        <v>102</v>
      </c>
      <c r="G435" s="1" t="s">
        <v>151</v>
      </c>
      <c r="H435" s="1"/>
      <c r="I435" s="1">
        <v>18124</v>
      </c>
      <c r="J435" s="1"/>
    </row>
    <row r="436" spans="1:10" x14ac:dyDescent="0.25">
      <c r="A436" s="2">
        <v>43820</v>
      </c>
      <c r="B436" s="1" t="s">
        <v>150</v>
      </c>
      <c r="C436" s="1" t="s">
        <v>36</v>
      </c>
      <c r="D436" s="1">
        <v>115</v>
      </c>
      <c r="E436" s="1" t="s">
        <v>48</v>
      </c>
      <c r="F436" s="1">
        <v>119</v>
      </c>
      <c r="G436" s="1" t="s">
        <v>151</v>
      </c>
      <c r="H436" s="1"/>
      <c r="I436" s="1">
        <v>15603</v>
      </c>
      <c r="J436" s="1"/>
    </row>
    <row r="437" spans="1:10" x14ac:dyDescent="0.25">
      <c r="A437" s="2">
        <v>43820</v>
      </c>
      <c r="B437" s="1" t="s">
        <v>156</v>
      </c>
      <c r="C437" s="1" t="s">
        <v>25</v>
      </c>
      <c r="D437" s="1">
        <v>134</v>
      </c>
      <c r="E437" s="1" t="s">
        <v>54</v>
      </c>
      <c r="F437" s="1">
        <v>109</v>
      </c>
      <c r="G437" s="1" t="s">
        <v>151</v>
      </c>
      <c r="H437" s="1"/>
      <c r="I437" s="1">
        <v>18354</v>
      </c>
      <c r="J437" s="1"/>
    </row>
    <row r="438" spans="1:10" x14ac:dyDescent="0.25">
      <c r="A438" s="2">
        <v>43820</v>
      </c>
      <c r="B438" s="1" t="s">
        <v>157</v>
      </c>
      <c r="C438" s="1" t="s">
        <v>32</v>
      </c>
      <c r="D438" s="1">
        <v>139</v>
      </c>
      <c r="E438" s="1" t="s">
        <v>26</v>
      </c>
      <c r="F438" s="1">
        <v>125</v>
      </c>
      <c r="G438" s="1" t="s">
        <v>151</v>
      </c>
      <c r="H438" s="1"/>
      <c r="I438" s="1">
        <v>16061</v>
      </c>
      <c r="J438" s="1"/>
    </row>
    <row r="439" spans="1:10" x14ac:dyDescent="0.25">
      <c r="A439" s="2">
        <v>43820</v>
      </c>
      <c r="B439" s="1" t="s">
        <v>158</v>
      </c>
      <c r="C439" s="1" t="s">
        <v>42</v>
      </c>
      <c r="D439" s="1">
        <v>106</v>
      </c>
      <c r="E439" s="1" t="s">
        <v>28</v>
      </c>
      <c r="F439" s="1">
        <v>113</v>
      </c>
      <c r="G439" s="1" t="s">
        <v>151</v>
      </c>
      <c r="H439" s="1"/>
      <c r="I439" s="1">
        <v>19393</v>
      </c>
      <c r="J439" s="1"/>
    </row>
    <row r="440" spans="1:10" x14ac:dyDescent="0.25">
      <c r="A440" s="2">
        <v>43821</v>
      </c>
      <c r="B440" s="1" t="s">
        <v>160</v>
      </c>
      <c r="C440" s="1" t="s">
        <v>43</v>
      </c>
      <c r="D440" s="1">
        <v>107</v>
      </c>
      <c r="E440" s="1" t="s">
        <v>27</v>
      </c>
      <c r="F440" s="1">
        <v>110</v>
      </c>
      <c r="G440" s="1" t="s">
        <v>151</v>
      </c>
      <c r="H440" s="1"/>
      <c r="I440" s="1">
        <v>19800</v>
      </c>
      <c r="J440" s="1"/>
    </row>
    <row r="441" spans="1:10" x14ac:dyDescent="0.25">
      <c r="A441" s="2">
        <v>43821</v>
      </c>
      <c r="B441" s="1" t="s">
        <v>161</v>
      </c>
      <c r="C441" s="1" t="s">
        <v>29</v>
      </c>
      <c r="D441" s="1">
        <v>93</v>
      </c>
      <c r="E441" s="1" t="s">
        <v>46</v>
      </c>
      <c r="F441" s="1">
        <v>119</v>
      </c>
      <c r="G441" s="1" t="s">
        <v>151</v>
      </c>
      <c r="H441" s="1"/>
      <c r="I441" s="1">
        <v>19156</v>
      </c>
      <c r="J441" s="1"/>
    </row>
    <row r="442" spans="1:10" x14ac:dyDescent="0.25">
      <c r="A442" s="2">
        <v>43821</v>
      </c>
      <c r="B442" s="1" t="s">
        <v>154</v>
      </c>
      <c r="C442" s="1" t="s">
        <v>51</v>
      </c>
      <c r="D442" s="1">
        <v>89</v>
      </c>
      <c r="E442" s="1" t="s">
        <v>39</v>
      </c>
      <c r="F442" s="1">
        <v>117</v>
      </c>
      <c r="G442" s="1" t="s">
        <v>151</v>
      </c>
      <c r="H442" s="1"/>
      <c r="I442" s="1">
        <v>18029</v>
      </c>
      <c r="J442" s="1"/>
    </row>
    <row r="443" spans="1:10" x14ac:dyDescent="0.25">
      <c r="A443" s="2">
        <v>43821</v>
      </c>
      <c r="B443" s="1" t="s">
        <v>154</v>
      </c>
      <c r="C443" s="1" t="s">
        <v>25</v>
      </c>
      <c r="D443" s="1">
        <v>112</v>
      </c>
      <c r="E443" s="1" t="s">
        <v>33</v>
      </c>
      <c r="F443" s="1">
        <v>118</v>
      </c>
      <c r="G443" s="1" t="s">
        <v>151</v>
      </c>
      <c r="H443" s="1"/>
      <c r="I443" s="1">
        <v>18203</v>
      </c>
      <c r="J443" s="1"/>
    </row>
    <row r="444" spans="1:10" x14ac:dyDescent="0.25">
      <c r="A444" s="2">
        <v>43821</v>
      </c>
      <c r="B444" s="1" t="s">
        <v>162</v>
      </c>
      <c r="C444" s="1" t="s">
        <v>50</v>
      </c>
      <c r="D444" s="1">
        <v>128</v>
      </c>
      <c r="E444" s="1" t="s">
        <v>47</v>
      </c>
      <c r="F444" s="1">
        <v>104</v>
      </c>
      <c r="G444" s="1" t="s">
        <v>151</v>
      </c>
      <c r="H444" s="1"/>
      <c r="I444" s="1">
        <v>18997</v>
      </c>
      <c r="J444" s="1"/>
    </row>
    <row r="445" spans="1:10" x14ac:dyDescent="0.25">
      <c r="A445" s="2">
        <v>43822</v>
      </c>
      <c r="B445" s="1" t="s">
        <v>154</v>
      </c>
      <c r="C445" s="1" t="s">
        <v>52</v>
      </c>
      <c r="D445" s="1">
        <v>118</v>
      </c>
      <c r="E445" s="1" t="s">
        <v>49</v>
      </c>
      <c r="F445" s="1">
        <v>121</v>
      </c>
      <c r="G445" s="1" t="s">
        <v>151</v>
      </c>
      <c r="H445" s="1"/>
      <c r="I445" s="1">
        <v>18007</v>
      </c>
      <c r="J445" s="1"/>
    </row>
    <row r="446" spans="1:10" x14ac:dyDescent="0.25">
      <c r="A446" s="2">
        <v>43822</v>
      </c>
      <c r="B446" s="1" t="s">
        <v>154</v>
      </c>
      <c r="C446" s="1" t="s">
        <v>45</v>
      </c>
      <c r="D446" s="1">
        <v>125</v>
      </c>
      <c r="E446" s="1" t="s">
        <v>30</v>
      </c>
      <c r="F446" s="1">
        <v>109</v>
      </c>
      <c r="G446" s="1" t="s">
        <v>151</v>
      </c>
      <c r="H446" s="1"/>
      <c r="I446" s="1">
        <v>16476</v>
      </c>
      <c r="J446" s="1"/>
    </row>
    <row r="447" spans="1:10" x14ac:dyDescent="0.25">
      <c r="A447" s="2">
        <v>43822</v>
      </c>
      <c r="B447" s="1" t="s">
        <v>154</v>
      </c>
      <c r="C447" s="1" t="s">
        <v>27</v>
      </c>
      <c r="D447" s="1">
        <v>115</v>
      </c>
      <c r="E447" s="1" t="s">
        <v>51</v>
      </c>
      <c r="F447" s="1">
        <v>120</v>
      </c>
      <c r="G447" s="1" t="s">
        <v>151</v>
      </c>
      <c r="H447" s="1" t="s">
        <v>152</v>
      </c>
      <c r="I447" s="1">
        <v>17164</v>
      </c>
      <c r="J447" s="1"/>
    </row>
    <row r="448" spans="1:10" x14ac:dyDescent="0.25">
      <c r="A448" s="2">
        <v>43822</v>
      </c>
      <c r="B448" s="1" t="s">
        <v>154</v>
      </c>
      <c r="C448" s="1" t="s">
        <v>40</v>
      </c>
      <c r="D448" s="1">
        <v>121</v>
      </c>
      <c r="E448" s="1" t="s">
        <v>35</v>
      </c>
      <c r="F448" s="1">
        <v>115</v>
      </c>
      <c r="G448" s="1" t="s">
        <v>151</v>
      </c>
      <c r="H448" s="1"/>
      <c r="I448" s="1">
        <v>19413</v>
      </c>
      <c r="J448" s="1"/>
    </row>
    <row r="449" spans="1:10" x14ac:dyDescent="0.25">
      <c r="A449" s="2">
        <v>43822</v>
      </c>
      <c r="B449" s="1" t="s">
        <v>154</v>
      </c>
      <c r="C449" s="1" t="s">
        <v>31</v>
      </c>
      <c r="D449" s="1">
        <v>95</v>
      </c>
      <c r="E449" s="1" t="s">
        <v>53</v>
      </c>
      <c r="F449" s="1">
        <v>103</v>
      </c>
      <c r="G449" s="1" t="s">
        <v>151</v>
      </c>
      <c r="H449" s="1"/>
      <c r="I449" s="1">
        <v>18846</v>
      </c>
      <c r="J449" s="1"/>
    </row>
    <row r="450" spans="1:10" x14ac:dyDescent="0.25">
      <c r="A450" s="2">
        <v>43822</v>
      </c>
      <c r="B450" s="1" t="s">
        <v>155</v>
      </c>
      <c r="C450" s="1" t="s">
        <v>34</v>
      </c>
      <c r="D450" s="1">
        <v>104</v>
      </c>
      <c r="E450" s="1" t="s">
        <v>41</v>
      </c>
      <c r="F450" s="1">
        <v>107</v>
      </c>
      <c r="G450" s="1" t="s">
        <v>151</v>
      </c>
      <c r="H450" s="1"/>
      <c r="I450" s="1">
        <v>19890</v>
      </c>
      <c r="J450" s="1"/>
    </row>
    <row r="451" spans="1:10" x14ac:dyDescent="0.25">
      <c r="A451" s="2">
        <v>43822</v>
      </c>
      <c r="B451" s="1" t="s">
        <v>150</v>
      </c>
      <c r="C451" s="1" t="s">
        <v>54</v>
      </c>
      <c r="D451" s="1">
        <v>145</v>
      </c>
      <c r="E451" s="1" t="s">
        <v>48</v>
      </c>
      <c r="F451" s="1">
        <v>115</v>
      </c>
      <c r="G451" s="1" t="s">
        <v>151</v>
      </c>
      <c r="H451" s="1"/>
      <c r="I451" s="1">
        <v>16776</v>
      </c>
      <c r="J451" s="1"/>
    </row>
    <row r="452" spans="1:10" x14ac:dyDescent="0.25">
      <c r="A452" s="2">
        <v>43822</v>
      </c>
      <c r="B452" s="1" t="s">
        <v>157</v>
      </c>
      <c r="C452" s="1" t="s">
        <v>50</v>
      </c>
      <c r="D452" s="1">
        <v>113</v>
      </c>
      <c r="E452" s="1" t="s">
        <v>26</v>
      </c>
      <c r="F452" s="1">
        <v>111</v>
      </c>
      <c r="G452" s="1" t="s">
        <v>151</v>
      </c>
      <c r="H452" s="1"/>
      <c r="I452" s="1">
        <v>16041</v>
      </c>
      <c r="J452" s="1"/>
    </row>
    <row r="453" spans="1:10" x14ac:dyDescent="0.25">
      <c r="A453" s="2">
        <v>43822</v>
      </c>
      <c r="B453" s="1" t="s">
        <v>158</v>
      </c>
      <c r="C453" s="1" t="s">
        <v>37</v>
      </c>
      <c r="D453" s="1">
        <v>102</v>
      </c>
      <c r="E453" s="1" t="s">
        <v>28</v>
      </c>
      <c r="F453" s="1">
        <v>94</v>
      </c>
      <c r="G453" s="1" t="s">
        <v>151</v>
      </c>
      <c r="H453" s="1"/>
      <c r="I453" s="1">
        <v>19499</v>
      </c>
      <c r="J453" s="1"/>
    </row>
    <row r="454" spans="1:10" x14ac:dyDescent="0.25">
      <c r="A454" s="2">
        <v>43822</v>
      </c>
      <c r="B454" s="1" t="s">
        <v>158</v>
      </c>
      <c r="C454" s="1" t="s">
        <v>32</v>
      </c>
      <c r="D454" s="1">
        <v>113</v>
      </c>
      <c r="E454" s="1" t="s">
        <v>36</v>
      </c>
      <c r="F454" s="1">
        <v>104</v>
      </c>
      <c r="G454" s="1" t="s">
        <v>151</v>
      </c>
      <c r="H454" s="1"/>
      <c r="I454" s="1">
        <v>17583</v>
      </c>
      <c r="J454" s="1"/>
    </row>
    <row r="455" spans="1:10" x14ac:dyDescent="0.25">
      <c r="A455" s="2">
        <v>43822</v>
      </c>
      <c r="B455" s="1" t="s">
        <v>153</v>
      </c>
      <c r="C455" s="1" t="s">
        <v>42</v>
      </c>
      <c r="D455" s="1">
        <v>104</v>
      </c>
      <c r="E455" s="1" t="s">
        <v>44</v>
      </c>
      <c r="F455" s="1">
        <v>113</v>
      </c>
      <c r="G455" s="1" t="s">
        <v>151</v>
      </c>
      <c r="H455" s="1"/>
      <c r="I455" s="1">
        <v>18064</v>
      </c>
      <c r="J455" s="1"/>
    </row>
    <row r="456" spans="1:10" x14ac:dyDescent="0.25">
      <c r="A456" s="2">
        <v>43824</v>
      </c>
      <c r="B456" s="1" t="s">
        <v>262</v>
      </c>
      <c r="C456" s="1" t="s">
        <v>46</v>
      </c>
      <c r="D456" s="1">
        <v>118</v>
      </c>
      <c r="E456" s="1" t="s">
        <v>27</v>
      </c>
      <c r="F456" s="1">
        <v>102</v>
      </c>
      <c r="G456" s="1" t="s">
        <v>151</v>
      </c>
      <c r="H456" s="1"/>
      <c r="I456" s="1">
        <v>19800</v>
      </c>
      <c r="J456" s="1"/>
    </row>
    <row r="457" spans="1:10" x14ac:dyDescent="0.25">
      <c r="A457" s="2">
        <v>43824</v>
      </c>
      <c r="B457" s="1" t="s">
        <v>823</v>
      </c>
      <c r="C457" s="1" t="s">
        <v>39</v>
      </c>
      <c r="D457" s="1">
        <v>109</v>
      </c>
      <c r="E457" s="1" t="s">
        <v>45</v>
      </c>
      <c r="F457" s="1">
        <v>121</v>
      </c>
      <c r="G457" s="1" t="s">
        <v>151</v>
      </c>
      <c r="H457" s="1"/>
      <c r="I457" s="1">
        <v>21028</v>
      </c>
      <c r="J457" s="1"/>
    </row>
    <row r="458" spans="1:10" x14ac:dyDescent="0.25">
      <c r="A458" s="2">
        <v>43824</v>
      </c>
      <c r="B458" s="1" t="s">
        <v>159</v>
      </c>
      <c r="C458" s="1" t="s">
        <v>32</v>
      </c>
      <c r="D458" s="1">
        <v>104</v>
      </c>
      <c r="E458" s="1" t="s">
        <v>44</v>
      </c>
      <c r="F458" s="1">
        <v>116</v>
      </c>
      <c r="G458" s="1" t="s">
        <v>151</v>
      </c>
      <c r="H458" s="1"/>
      <c r="I458" s="1">
        <v>18064</v>
      </c>
      <c r="J458" s="1"/>
    </row>
    <row r="459" spans="1:10" x14ac:dyDescent="0.25">
      <c r="A459" s="2">
        <v>43824</v>
      </c>
      <c r="B459" s="1" t="s">
        <v>150</v>
      </c>
      <c r="C459" s="1" t="s">
        <v>25</v>
      </c>
      <c r="D459" s="1">
        <v>111</v>
      </c>
      <c r="E459" s="1" t="s">
        <v>47</v>
      </c>
      <c r="F459" s="1">
        <v>106</v>
      </c>
      <c r="G459" s="1" t="s">
        <v>151</v>
      </c>
      <c r="H459" s="1"/>
      <c r="I459" s="1">
        <v>18997</v>
      </c>
      <c r="J459" s="1"/>
    </row>
    <row r="460" spans="1:10" x14ac:dyDescent="0.25">
      <c r="A460" s="2">
        <v>43824</v>
      </c>
      <c r="B460" s="1" t="s">
        <v>153</v>
      </c>
      <c r="C460" s="1" t="s">
        <v>37</v>
      </c>
      <c r="D460" s="1">
        <v>112</v>
      </c>
      <c r="E460" s="1" t="s">
        <v>50</v>
      </c>
      <c r="F460" s="1">
        <v>100</v>
      </c>
      <c r="G460" s="1" t="s">
        <v>151</v>
      </c>
      <c r="H460" s="1"/>
      <c r="I460" s="1">
        <v>19520</v>
      </c>
      <c r="J460" s="1"/>
    </row>
    <row r="461" spans="1:10" x14ac:dyDescent="0.25">
      <c r="A461" s="2">
        <v>43825</v>
      </c>
      <c r="B461" s="1" t="s">
        <v>154</v>
      </c>
      <c r="C461" s="1" t="s">
        <v>40</v>
      </c>
      <c r="D461" s="1">
        <v>102</v>
      </c>
      <c r="E461" s="1" t="s">
        <v>30</v>
      </c>
      <c r="F461" s="1">
        <v>132</v>
      </c>
      <c r="G461" s="1" t="s">
        <v>151</v>
      </c>
      <c r="H461" s="1"/>
      <c r="I461" s="1">
        <v>17188</v>
      </c>
      <c r="J461" s="1"/>
    </row>
    <row r="462" spans="1:10" x14ac:dyDescent="0.25">
      <c r="A462" s="2">
        <v>43825</v>
      </c>
      <c r="B462" s="1" t="s">
        <v>155</v>
      </c>
      <c r="C462" s="1" t="s">
        <v>35</v>
      </c>
      <c r="D462" s="1">
        <v>94</v>
      </c>
      <c r="E462" s="1" t="s">
        <v>38</v>
      </c>
      <c r="F462" s="1">
        <v>82</v>
      </c>
      <c r="G462" s="1" t="s">
        <v>151</v>
      </c>
      <c r="H462" s="1"/>
      <c r="I462" s="1">
        <v>17732</v>
      </c>
      <c r="J462" s="1"/>
    </row>
    <row r="463" spans="1:10" x14ac:dyDescent="0.25">
      <c r="A463" s="2">
        <v>43825</v>
      </c>
      <c r="B463" s="1" t="s">
        <v>150</v>
      </c>
      <c r="C463" s="1" t="s">
        <v>54</v>
      </c>
      <c r="D463" s="1">
        <v>98</v>
      </c>
      <c r="E463" s="1" t="s">
        <v>43</v>
      </c>
      <c r="F463" s="1">
        <v>102</v>
      </c>
      <c r="G463" s="1" t="s">
        <v>151</v>
      </c>
      <c r="H463" s="1"/>
      <c r="I463" s="1">
        <v>20427</v>
      </c>
      <c r="J463" s="1"/>
    </row>
    <row r="464" spans="1:10" x14ac:dyDescent="0.25">
      <c r="A464" s="2">
        <v>43825</v>
      </c>
      <c r="B464" s="1" t="s">
        <v>150</v>
      </c>
      <c r="C464" s="1" t="s">
        <v>48</v>
      </c>
      <c r="D464" s="1">
        <v>110</v>
      </c>
      <c r="E464" s="1" t="s">
        <v>33</v>
      </c>
      <c r="F464" s="1">
        <v>97</v>
      </c>
      <c r="G464" s="1" t="s">
        <v>151</v>
      </c>
      <c r="H464" s="1"/>
      <c r="I464" s="1">
        <v>18203</v>
      </c>
      <c r="J464" s="1"/>
    </row>
    <row r="465" spans="1:10" x14ac:dyDescent="0.25">
      <c r="A465" s="2">
        <v>43825</v>
      </c>
      <c r="B465" s="1" t="s">
        <v>158</v>
      </c>
      <c r="C465" s="1" t="s">
        <v>42</v>
      </c>
      <c r="D465" s="1">
        <v>105</v>
      </c>
      <c r="E465" s="1" t="s">
        <v>36</v>
      </c>
      <c r="F465" s="1">
        <v>104</v>
      </c>
      <c r="G465" s="1" t="s">
        <v>151</v>
      </c>
      <c r="H465" s="1" t="s">
        <v>820</v>
      </c>
      <c r="I465" s="1">
        <v>17583</v>
      </c>
      <c r="J465" s="1"/>
    </row>
    <row r="466" spans="1:10" x14ac:dyDescent="0.25">
      <c r="A466" s="2">
        <v>43825</v>
      </c>
      <c r="B466" s="1" t="s">
        <v>153</v>
      </c>
      <c r="C466" s="1" t="s">
        <v>28</v>
      </c>
      <c r="D466" s="1">
        <v>115</v>
      </c>
      <c r="E466" s="1" t="s">
        <v>34</v>
      </c>
      <c r="F466" s="1">
        <v>121</v>
      </c>
      <c r="G466" s="1" t="s">
        <v>151</v>
      </c>
      <c r="H466" s="1"/>
      <c r="I466" s="1">
        <v>18306</v>
      </c>
      <c r="J466" s="1"/>
    </row>
    <row r="467" spans="1:10" x14ac:dyDescent="0.25">
      <c r="A467" s="2">
        <v>43826</v>
      </c>
      <c r="B467" s="1" t="s">
        <v>819</v>
      </c>
      <c r="C467" s="1" t="s">
        <v>49</v>
      </c>
      <c r="D467" s="1">
        <v>117</v>
      </c>
      <c r="E467" s="1" t="s">
        <v>46</v>
      </c>
      <c r="F467" s="1">
        <v>129</v>
      </c>
      <c r="G467" s="1" t="s">
        <v>151</v>
      </c>
      <c r="H467" s="1"/>
      <c r="I467" s="1">
        <v>19156</v>
      </c>
      <c r="J467" s="1"/>
    </row>
    <row r="468" spans="1:10" x14ac:dyDescent="0.25">
      <c r="A468" s="2">
        <v>43826</v>
      </c>
      <c r="B468" s="1" t="s">
        <v>154</v>
      </c>
      <c r="C468" s="1" t="s">
        <v>33</v>
      </c>
      <c r="D468" s="1">
        <v>104</v>
      </c>
      <c r="E468" s="1" t="s">
        <v>29</v>
      </c>
      <c r="F468" s="1">
        <v>102</v>
      </c>
      <c r="G468" s="1" t="s">
        <v>151</v>
      </c>
      <c r="H468" s="1" t="s">
        <v>152</v>
      </c>
      <c r="I468" s="1">
        <v>18418</v>
      </c>
      <c r="J468" s="1"/>
    </row>
    <row r="469" spans="1:10" x14ac:dyDescent="0.25">
      <c r="A469" s="2">
        <v>43826</v>
      </c>
      <c r="B469" s="1" t="s">
        <v>154</v>
      </c>
      <c r="C469" s="1" t="s">
        <v>45</v>
      </c>
      <c r="D469" s="1">
        <v>97</v>
      </c>
      <c r="E469" s="1" t="s">
        <v>53</v>
      </c>
      <c r="F469" s="1">
        <v>98</v>
      </c>
      <c r="G469" s="1" t="s">
        <v>151</v>
      </c>
      <c r="H469" s="1"/>
      <c r="I469" s="1">
        <v>17311</v>
      </c>
      <c r="J469" s="1"/>
    </row>
    <row r="470" spans="1:10" x14ac:dyDescent="0.25">
      <c r="A470" s="2">
        <v>43826</v>
      </c>
      <c r="B470" s="1" t="s">
        <v>155</v>
      </c>
      <c r="C470" s="1" t="s">
        <v>39</v>
      </c>
      <c r="D470" s="1">
        <v>112</v>
      </c>
      <c r="E470" s="1" t="s">
        <v>52</v>
      </c>
      <c r="F470" s="1">
        <v>86</v>
      </c>
      <c r="G470" s="1" t="s">
        <v>151</v>
      </c>
      <c r="H470" s="1"/>
      <c r="I470" s="1">
        <v>17358</v>
      </c>
      <c r="J470" s="1"/>
    </row>
    <row r="471" spans="1:10" x14ac:dyDescent="0.25">
      <c r="A471" s="2">
        <v>43826</v>
      </c>
      <c r="B471" s="1" t="s">
        <v>150</v>
      </c>
      <c r="C471" s="1" t="s">
        <v>51</v>
      </c>
      <c r="D471" s="1">
        <v>112</v>
      </c>
      <c r="E471" s="1" t="s">
        <v>41</v>
      </c>
      <c r="F471" s="1">
        <v>113</v>
      </c>
      <c r="G471" s="1" t="s">
        <v>151</v>
      </c>
      <c r="H471" s="1"/>
      <c r="I471" s="1">
        <v>19767</v>
      </c>
      <c r="J471" s="1"/>
    </row>
    <row r="472" spans="1:10" x14ac:dyDescent="0.25">
      <c r="A472" s="2">
        <v>43826</v>
      </c>
      <c r="B472" s="1" t="s">
        <v>153</v>
      </c>
      <c r="C472" s="1" t="s">
        <v>26</v>
      </c>
      <c r="D472" s="1">
        <v>96</v>
      </c>
      <c r="E472" s="1" t="s">
        <v>44</v>
      </c>
      <c r="F472" s="1">
        <v>105</v>
      </c>
      <c r="G472" s="1" t="s">
        <v>151</v>
      </c>
      <c r="H472" s="1"/>
      <c r="I472" s="1">
        <v>18064</v>
      </c>
      <c r="J472" s="1"/>
    </row>
    <row r="473" spans="1:10" x14ac:dyDescent="0.25">
      <c r="A473" s="2">
        <v>43827</v>
      </c>
      <c r="B473" s="1" t="s">
        <v>159</v>
      </c>
      <c r="C473" s="1" t="s">
        <v>48</v>
      </c>
      <c r="D473" s="1">
        <v>110</v>
      </c>
      <c r="E473" s="1" t="s">
        <v>50</v>
      </c>
      <c r="F473" s="1">
        <v>119</v>
      </c>
      <c r="G473" s="1" t="s">
        <v>151</v>
      </c>
      <c r="H473" s="1"/>
      <c r="I473" s="1">
        <v>19697</v>
      </c>
      <c r="J473" s="1"/>
    </row>
    <row r="474" spans="1:10" x14ac:dyDescent="0.25">
      <c r="A474" s="2">
        <v>43827</v>
      </c>
      <c r="B474" s="1" t="s">
        <v>154</v>
      </c>
      <c r="C474" s="1" t="s">
        <v>27</v>
      </c>
      <c r="D474" s="1">
        <v>113</v>
      </c>
      <c r="E474" s="1" t="s">
        <v>46</v>
      </c>
      <c r="F474" s="1">
        <v>97</v>
      </c>
      <c r="G474" s="1" t="s">
        <v>151</v>
      </c>
      <c r="H474" s="1"/>
      <c r="I474" s="1">
        <v>19156</v>
      </c>
      <c r="J474" s="1"/>
    </row>
    <row r="475" spans="1:10" x14ac:dyDescent="0.25">
      <c r="A475" s="2">
        <v>43827</v>
      </c>
      <c r="B475" s="1" t="s">
        <v>154</v>
      </c>
      <c r="C475" s="1" t="s">
        <v>51</v>
      </c>
      <c r="D475" s="1">
        <v>98</v>
      </c>
      <c r="E475" s="1" t="s">
        <v>37</v>
      </c>
      <c r="F475" s="1">
        <v>120</v>
      </c>
      <c r="G475" s="1" t="s">
        <v>151</v>
      </c>
      <c r="H475" s="1"/>
      <c r="I475" s="1">
        <v>15391</v>
      </c>
      <c r="J475" s="1"/>
    </row>
    <row r="476" spans="1:10" x14ac:dyDescent="0.25">
      <c r="A476" s="2">
        <v>43827</v>
      </c>
      <c r="B476" s="1" t="s">
        <v>150</v>
      </c>
      <c r="C476" s="1" t="s">
        <v>52</v>
      </c>
      <c r="D476" s="1">
        <v>81</v>
      </c>
      <c r="E476" s="1" t="s">
        <v>31</v>
      </c>
      <c r="F476" s="1">
        <v>116</v>
      </c>
      <c r="G476" s="1" t="s">
        <v>151</v>
      </c>
      <c r="H476" s="1"/>
      <c r="I476" s="1">
        <v>21496</v>
      </c>
      <c r="J476" s="1"/>
    </row>
    <row r="477" spans="1:10" x14ac:dyDescent="0.25">
      <c r="A477" s="2">
        <v>43827</v>
      </c>
      <c r="B477" s="1" t="s">
        <v>150</v>
      </c>
      <c r="C477" s="1" t="s">
        <v>38</v>
      </c>
      <c r="D477" s="1">
        <v>98</v>
      </c>
      <c r="E477" s="1" t="s">
        <v>32</v>
      </c>
      <c r="F477" s="1">
        <v>108</v>
      </c>
      <c r="G477" s="1" t="s">
        <v>151</v>
      </c>
      <c r="H477" s="1"/>
      <c r="I477" s="1">
        <v>18306</v>
      </c>
      <c r="J477" s="1"/>
    </row>
    <row r="478" spans="1:10" x14ac:dyDescent="0.25">
      <c r="A478" s="2">
        <v>43827</v>
      </c>
      <c r="B478" s="1" t="s">
        <v>150</v>
      </c>
      <c r="C478" s="1" t="s">
        <v>45</v>
      </c>
      <c r="D478" s="1">
        <v>116</v>
      </c>
      <c r="E478" s="1" t="s">
        <v>41</v>
      </c>
      <c r="F478" s="1">
        <v>117</v>
      </c>
      <c r="G478" s="1" t="s">
        <v>151</v>
      </c>
      <c r="H478" s="1" t="s">
        <v>152</v>
      </c>
      <c r="I478" s="1">
        <v>19865</v>
      </c>
      <c r="J478" s="1"/>
    </row>
    <row r="479" spans="1:10" x14ac:dyDescent="0.25">
      <c r="A479" s="2">
        <v>43827</v>
      </c>
      <c r="B479" s="1" t="s">
        <v>150</v>
      </c>
      <c r="C479" s="1" t="s">
        <v>49</v>
      </c>
      <c r="D479" s="1">
        <v>94</v>
      </c>
      <c r="E479" s="1" t="s">
        <v>42</v>
      </c>
      <c r="F479" s="1">
        <v>88</v>
      </c>
      <c r="G479" s="1" t="s">
        <v>151</v>
      </c>
      <c r="H479" s="1"/>
      <c r="I479" s="1"/>
      <c r="J479" s="1"/>
    </row>
    <row r="480" spans="1:10" x14ac:dyDescent="0.25">
      <c r="A480" s="2">
        <v>43827</v>
      </c>
      <c r="B480" s="1" t="s">
        <v>150</v>
      </c>
      <c r="C480" s="1" t="s">
        <v>35</v>
      </c>
      <c r="D480" s="1">
        <v>107</v>
      </c>
      <c r="E480" s="1" t="s">
        <v>40</v>
      </c>
      <c r="F480" s="1">
        <v>100</v>
      </c>
      <c r="G480" s="1" t="s">
        <v>151</v>
      </c>
      <c r="H480" s="1"/>
      <c r="I480" s="1">
        <v>19033</v>
      </c>
      <c r="J480" s="1"/>
    </row>
    <row r="481" spans="1:10" x14ac:dyDescent="0.25">
      <c r="A481" s="2">
        <v>43827</v>
      </c>
      <c r="B481" s="1" t="s">
        <v>156</v>
      </c>
      <c r="C481" s="1" t="s">
        <v>43</v>
      </c>
      <c r="D481" s="1">
        <v>141</v>
      </c>
      <c r="E481" s="1" t="s">
        <v>44</v>
      </c>
      <c r="F481" s="1">
        <v>121</v>
      </c>
      <c r="G481" s="1" t="s">
        <v>151</v>
      </c>
      <c r="H481" s="1"/>
      <c r="I481" s="1">
        <v>18064</v>
      </c>
      <c r="J481" s="1"/>
    </row>
    <row r="482" spans="1:10" x14ac:dyDescent="0.25">
      <c r="A482" s="2">
        <v>43827</v>
      </c>
      <c r="B482" s="1" t="s">
        <v>156</v>
      </c>
      <c r="C482" s="1" t="s">
        <v>53</v>
      </c>
      <c r="D482" s="1">
        <v>100</v>
      </c>
      <c r="E482" s="1" t="s">
        <v>39</v>
      </c>
      <c r="F482" s="1">
        <v>111</v>
      </c>
      <c r="G482" s="1" t="s">
        <v>151</v>
      </c>
      <c r="H482" s="1"/>
      <c r="I482" s="1">
        <v>17920</v>
      </c>
      <c r="J482" s="1"/>
    </row>
    <row r="483" spans="1:10" x14ac:dyDescent="0.25">
      <c r="A483" s="2">
        <v>43827</v>
      </c>
      <c r="B483" s="1" t="s">
        <v>156</v>
      </c>
      <c r="C483" s="1" t="s">
        <v>30</v>
      </c>
      <c r="D483" s="1">
        <v>109</v>
      </c>
      <c r="E483" s="1" t="s">
        <v>54</v>
      </c>
      <c r="F483" s="1">
        <v>136</v>
      </c>
      <c r="G483" s="1" t="s">
        <v>151</v>
      </c>
      <c r="H483" s="1"/>
      <c r="I483" s="1">
        <v>18524</v>
      </c>
      <c r="J483" s="1"/>
    </row>
    <row r="484" spans="1:10" x14ac:dyDescent="0.25">
      <c r="A484" s="2">
        <v>43827</v>
      </c>
      <c r="B484" s="1" t="s">
        <v>157</v>
      </c>
      <c r="C484" s="1" t="s">
        <v>26</v>
      </c>
      <c r="D484" s="1">
        <v>112</v>
      </c>
      <c r="E484" s="1" t="s">
        <v>36</v>
      </c>
      <c r="F484" s="1">
        <v>110</v>
      </c>
      <c r="G484" s="1" t="s">
        <v>151</v>
      </c>
      <c r="H484" s="1"/>
      <c r="I484" s="1">
        <v>17583</v>
      </c>
      <c r="J484" s="1"/>
    </row>
    <row r="485" spans="1:10" x14ac:dyDescent="0.25">
      <c r="A485" s="2">
        <v>43827</v>
      </c>
      <c r="B485" s="1" t="s">
        <v>158</v>
      </c>
      <c r="C485" s="1" t="s">
        <v>47</v>
      </c>
      <c r="D485" s="1">
        <v>128</v>
      </c>
      <c r="E485" s="1" t="s">
        <v>28</v>
      </c>
      <c r="F485" s="1">
        <v>120</v>
      </c>
      <c r="G485" s="1" t="s">
        <v>151</v>
      </c>
      <c r="H485" s="1"/>
      <c r="I485" s="1">
        <v>19960</v>
      </c>
      <c r="J485" s="1"/>
    </row>
    <row r="486" spans="1:10" x14ac:dyDescent="0.25">
      <c r="A486" s="2">
        <v>43827</v>
      </c>
      <c r="B486" s="1" t="s">
        <v>153</v>
      </c>
      <c r="C486" s="1" t="s">
        <v>34</v>
      </c>
      <c r="D486" s="1">
        <v>120</v>
      </c>
      <c r="E486" s="1" t="s">
        <v>25</v>
      </c>
      <c r="F486" s="1">
        <v>107</v>
      </c>
      <c r="G486" s="1" t="s">
        <v>151</v>
      </c>
      <c r="H486" s="1"/>
      <c r="I486" s="1">
        <v>19068</v>
      </c>
      <c r="J486" s="1"/>
    </row>
    <row r="487" spans="1:10" x14ac:dyDescent="0.25">
      <c r="A487" s="2">
        <v>43828</v>
      </c>
      <c r="B487" s="1" t="s">
        <v>161</v>
      </c>
      <c r="C487" s="1" t="s">
        <v>33</v>
      </c>
      <c r="D487" s="1">
        <v>98</v>
      </c>
      <c r="E487" s="1" t="s">
        <v>27</v>
      </c>
      <c r="F487" s="1">
        <v>97</v>
      </c>
      <c r="G487" s="1" t="s">
        <v>151</v>
      </c>
      <c r="H487" s="1"/>
      <c r="I487" s="1">
        <v>19800</v>
      </c>
      <c r="J487" s="1"/>
    </row>
    <row r="488" spans="1:10" x14ac:dyDescent="0.25">
      <c r="A488" s="2">
        <v>43828</v>
      </c>
      <c r="B488" s="1" t="s">
        <v>150</v>
      </c>
      <c r="C488" s="1" t="s">
        <v>36</v>
      </c>
      <c r="D488" s="1">
        <v>115</v>
      </c>
      <c r="E488" s="1" t="s">
        <v>50</v>
      </c>
      <c r="F488" s="1">
        <v>120</v>
      </c>
      <c r="G488" s="1" t="s">
        <v>151</v>
      </c>
      <c r="H488" s="1"/>
      <c r="I488" s="1">
        <v>19520</v>
      </c>
      <c r="J488" s="1"/>
    </row>
    <row r="489" spans="1:10" x14ac:dyDescent="0.25">
      <c r="A489" s="2">
        <v>43828</v>
      </c>
      <c r="B489" s="1" t="s">
        <v>150</v>
      </c>
      <c r="C489" s="1" t="s">
        <v>29</v>
      </c>
      <c r="D489" s="1">
        <v>104</v>
      </c>
      <c r="E489" s="1" t="s">
        <v>48</v>
      </c>
      <c r="F489" s="1">
        <v>117</v>
      </c>
      <c r="G489" s="1" t="s">
        <v>151</v>
      </c>
      <c r="H489" s="1"/>
      <c r="I489" s="1">
        <v>16842</v>
      </c>
      <c r="J489" s="1"/>
    </row>
    <row r="490" spans="1:10" x14ac:dyDescent="0.25">
      <c r="A490" s="2">
        <v>43828</v>
      </c>
      <c r="B490" s="1" t="s">
        <v>150</v>
      </c>
      <c r="C490" s="1" t="s">
        <v>32</v>
      </c>
      <c r="D490" s="1">
        <v>112</v>
      </c>
      <c r="E490" s="1" t="s">
        <v>37</v>
      </c>
      <c r="F490" s="1">
        <v>127</v>
      </c>
      <c r="G490" s="1" t="s">
        <v>151</v>
      </c>
      <c r="H490" s="1"/>
      <c r="I490" s="1">
        <v>17712</v>
      </c>
      <c r="J490" s="1"/>
    </row>
    <row r="491" spans="1:10" x14ac:dyDescent="0.25">
      <c r="A491" s="2">
        <v>43828</v>
      </c>
      <c r="B491" s="1" t="s">
        <v>162</v>
      </c>
      <c r="C491" s="1" t="s">
        <v>43</v>
      </c>
      <c r="D491" s="1">
        <v>95</v>
      </c>
      <c r="E491" s="1" t="s">
        <v>47</v>
      </c>
      <c r="F491" s="1">
        <v>108</v>
      </c>
      <c r="G491" s="1" t="s">
        <v>151</v>
      </c>
      <c r="H491" s="1"/>
      <c r="I491" s="1">
        <v>18997</v>
      </c>
      <c r="J491" s="1"/>
    </row>
    <row r="492" spans="1:10" x14ac:dyDescent="0.25">
      <c r="A492" s="2">
        <v>43829</v>
      </c>
      <c r="B492" s="1" t="s">
        <v>154</v>
      </c>
      <c r="C492" s="1" t="s">
        <v>52</v>
      </c>
      <c r="D492" s="1">
        <v>101</v>
      </c>
      <c r="E492" s="1" t="s">
        <v>53</v>
      </c>
      <c r="F492" s="1">
        <v>93</v>
      </c>
      <c r="G492" s="1" t="s">
        <v>151</v>
      </c>
      <c r="H492" s="1"/>
      <c r="I492" s="1">
        <v>17784</v>
      </c>
      <c r="J492" s="1"/>
    </row>
    <row r="493" spans="1:10" x14ac:dyDescent="0.25">
      <c r="A493" s="2">
        <v>43829</v>
      </c>
      <c r="B493" s="1" t="s">
        <v>154</v>
      </c>
      <c r="C493" s="1" t="s">
        <v>41</v>
      </c>
      <c r="D493" s="1">
        <v>105</v>
      </c>
      <c r="E493" s="1" t="s">
        <v>40</v>
      </c>
      <c r="F493" s="1">
        <v>123</v>
      </c>
      <c r="G493" s="1" t="s">
        <v>151</v>
      </c>
      <c r="H493" s="1"/>
      <c r="I493" s="1">
        <v>20476</v>
      </c>
      <c r="J493" s="1"/>
    </row>
    <row r="494" spans="1:10" x14ac:dyDescent="0.25">
      <c r="A494" s="2">
        <v>43829</v>
      </c>
      <c r="B494" s="1" t="s">
        <v>150</v>
      </c>
      <c r="C494" s="1" t="s">
        <v>39</v>
      </c>
      <c r="D494" s="1">
        <v>123</v>
      </c>
      <c r="E494" s="1" t="s">
        <v>31</v>
      </c>
      <c r="F494" s="1">
        <v>102</v>
      </c>
      <c r="G494" s="1" t="s">
        <v>151</v>
      </c>
      <c r="H494" s="1"/>
      <c r="I494" s="1">
        <v>21954</v>
      </c>
      <c r="J494" s="1"/>
    </row>
    <row r="495" spans="1:10" x14ac:dyDescent="0.25">
      <c r="A495" s="2">
        <v>43829</v>
      </c>
      <c r="B495" s="1" t="s">
        <v>150</v>
      </c>
      <c r="C495" s="1" t="s">
        <v>38</v>
      </c>
      <c r="D495" s="1">
        <v>115</v>
      </c>
      <c r="E495" s="1" t="s">
        <v>42</v>
      </c>
      <c r="F495" s="1">
        <v>122</v>
      </c>
      <c r="G495" s="1" t="s">
        <v>151</v>
      </c>
      <c r="H495" s="1" t="s">
        <v>152</v>
      </c>
      <c r="I495" s="1">
        <v>15824</v>
      </c>
      <c r="J495" s="1"/>
    </row>
    <row r="496" spans="1:10" x14ac:dyDescent="0.25">
      <c r="A496" s="2">
        <v>43829</v>
      </c>
      <c r="B496" s="1" t="s">
        <v>157</v>
      </c>
      <c r="C496" s="1" t="s">
        <v>30</v>
      </c>
      <c r="D496" s="1">
        <v>81</v>
      </c>
      <c r="E496" s="1" t="s">
        <v>34</v>
      </c>
      <c r="F496" s="1">
        <v>104</v>
      </c>
      <c r="G496" s="1" t="s">
        <v>151</v>
      </c>
      <c r="H496" s="1"/>
      <c r="I496" s="1">
        <v>18306</v>
      </c>
      <c r="J496" s="1"/>
    </row>
    <row r="497" spans="1:10" x14ac:dyDescent="0.25">
      <c r="A497" s="2">
        <v>43829</v>
      </c>
      <c r="B497" s="1" t="s">
        <v>158</v>
      </c>
      <c r="C497" s="1" t="s">
        <v>26</v>
      </c>
      <c r="D497" s="1">
        <v>122</v>
      </c>
      <c r="E497" s="1" t="s">
        <v>28</v>
      </c>
      <c r="F497" s="1">
        <v>116</v>
      </c>
      <c r="G497" s="1" t="s">
        <v>151</v>
      </c>
      <c r="H497" s="1"/>
      <c r="I497" s="1">
        <v>19896</v>
      </c>
      <c r="J497" s="1"/>
    </row>
    <row r="498" spans="1:10" x14ac:dyDescent="0.25">
      <c r="A498" s="2">
        <v>43830</v>
      </c>
      <c r="B498" s="1" t="s">
        <v>261</v>
      </c>
      <c r="C498" s="1" t="s">
        <v>46</v>
      </c>
      <c r="D498" s="1">
        <v>109</v>
      </c>
      <c r="E498" s="1" t="s">
        <v>29</v>
      </c>
      <c r="F498" s="1">
        <v>92</v>
      </c>
      <c r="G498" s="1" t="s">
        <v>151</v>
      </c>
      <c r="H498" s="1"/>
      <c r="I498" s="1">
        <v>19216</v>
      </c>
      <c r="J498" s="1"/>
    </row>
    <row r="499" spans="1:10" x14ac:dyDescent="0.25">
      <c r="A499" s="2">
        <v>43830</v>
      </c>
      <c r="B499" s="1" t="s">
        <v>261</v>
      </c>
      <c r="C499" s="1" t="s">
        <v>45</v>
      </c>
      <c r="D499" s="1">
        <v>97</v>
      </c>
      <c r="E499" s="1" t="s">
        <v>51</v>
      </c>
      <c r="F499" s="1">
        <v>115</v>
      </c>
      <c r="G499" s="1" t="s">
        <v>151</v>
      </c>
      <c r="H499" s="1"/>
      <c r="I499" s="1">
        <v>17923</v>
      </c>
      <c r="J499" s="1"/>
    </row>
    <row r="500" spans="1:10" x14ac:dyDescent="0.25">
      <c r="A500" s="2">
        <v>43830</v>
      </c>
      <c r="B500" s="1" t="s">
        <v>159</v>
      </c>
      <c r="C500" s="1" t="s">
        <v>25</v>
      </c>
      <c r="D500" s="1">
        <v>105</v>
      </c>
      <c r="E500" s="1" t="s">
        <v>36</v>
      </c>
      <c r="F500" s="1">
        <v>87</v>
      </c>
      <c r="G500" s="1" t="s">
        <v>151</v>
      </c>
      <c r="H500" s="1"/>
      <c r="I500" s="1">
        <v>16231</v>
      </c>
      <c r="J500" s="1"/>
    </row>
    <row r="501" spans="1:10" x14ac:dyDescent="0.25">
      <c r="A501" s="2">
        <v>43830</v>
      </c>
      <c r="B501" s="1" t="s">
        <v>154</v>
      </c>
      <c r="C501" s="1" t="s">
        <v>50</v>
      </c>
      <c r="D501" s="1">
        <v>104</v>
      </c>
      <c r="E501" s="1" t="s">
        <v>32</v>
      </c>
      <c r="F501" s="1">
        <v>130</v>
      </c>
      <c r="G501" s="1" t="s">
        <v>151</v>
      </c>
      <c r="H501" s="1"/>
      <c r="I501" s="1">
        <v>18055</v>
      </c>
      <c r="J501" s="1"/>
    </row>
    <row r="502" spans="1:10" x14ac:dyDescent="0.25">
      <c r="A502" s="2">
        <v>43830</v>
      </c>
      <c r="B502" s="1" t="s">
        <v>154</v>
      </c>
      <c r="C502" s="1" t="s">
        <v>44</v>
      </c>
      <c r="D502" s="1">
        <v>113</v>
      </c>
      <c r="E502" s="1" t="s">
        <v>54</v>
      </c>
      <c r="F502" s="1">
        <v>117</v>
      </c>
      <c r="G502" s="1" t="s">
        <v>151</v>
      </c>
      <c r="H502" s="1" t="s">
        <v>152</v>
      </c>
      <c r="I502" s="1">
        <v>18354</v>
      </c>
      <c r="J502" s="1"/>
    </row>
    <row r="503" spans="1:10" x14ac:dyDescent="0.25">
      <c r="A503" s="2">
        <v>43830</v>
      </c>
      <c r="B503" s="1" t="s">
        <v>154</v>
      </c>
      <c r="C503" s="1" t="s">
        <v>49</v>
      </c>
      <c r="D503" s="1">
        <v>97</v>
      </c>
      <c r="E503" s="1" t="s">
        <v>27</v>
      </c>
      <c r="F503" s="1">
        <v>117</v>
      </c>
      <c r="G503" s="1" t="s">
        <v>151</v>
      </c>
      <c r="H503" s="1"/>
      <c r="I503" s="1">
        <v>19800</v>
      </c>
      <c r="J503" s="1"/>
    </row>
    <row r="504" spans="1:10" x14ac:dyDescent="0.25">
      <c r="A504" s="2">
        <v>43830</v>
      </c>
      <c r="B504" s="1" t="s">
        <v>150</v>
      </c>
      <c r="C504" s="1" t="s">
        <v>43</v>
      </c>
      <c r="D504" s="1">
        <v>101</v>
      </c>
      <c r="E504" s="1" t="s">
        <v>33</v>
      </c>
      <c r="F504" s="1">
        <v>106</v>
      </c>
      <c r="G504" s="1" t="s">
        <v>151</v>
      </c>
      <c r="H504" s="1"/>
      <c r="I504" s="1">
        <v>18203</v>
      </c>
      <c r="J504" s="1"/>
    </row>
    <row r="505" spans="1:10" x14ac:dyDescent="0.25">
      <c r="A505" s="2">
        <v>43831</v>
      </c>
      <c r="B505" s="1" t="s">
        <v>161</v>
      </c>
      <c r="C505" s="1" t="s">
        <v>53</v>
      </c>
      <c r="D505" s="1">
        <v>122</v>
      </c>
      <c r="E505" s="1" t="s">
        <v>40</v>
      </c>
      <c r="F505" s="1">
        <v>101</v>
      </c>
      <c r="G505" s="1" t="s">
        <v>151</v>
      </c>
      <c r="H505" s="1"/>
      <c r="I505" s="1">
        <v>14921</v>
      </c>
      <c r="J505" s="1"/>
    </row>
    <row r="506" spans="1:10" x14ac:dyDescent="0.25">
      <c r="A506" s="2">
        <v>43831</v>
      </c>
      <c r="B506" s="1" t="s">
        <v>155</v>
      </c>
      <c r="C506" s="1" t="s">
        <v>28</v>
      </c>
      <c r="D506" s="1">
        <v>93</v>
      </c>
      <c r="E506" s="1" t="s">
        <v>35</v>
      </c>
      <c r="F506" s="1">
        <v>117</v>
      </c>
      <c r="G506" s="1" t="s">
        <v>151</v>
      </c>
      <c r="H506" s="1"/>
      <c r="I506" s="1">
        <v>19812</v>
      </c>
      <c r="J506" s="1"/>
    </row>
    <row r="507" spans="1:10" x14ac:dyDescent="0.25">
      <c r="A507" s="2">
        <v>43831</v>
      </c>
      <c r="B507" s="1" t="s">
        <v>150</v>
      </c>
      <c r="C507" s="1" t="s">
        <v>42</v>
      </c>
      <c r="D507" s="1">
        <v>104</v>
      </c>
      <c r="E507" s="1" t="s">
        <v>39</v>
      </c>
      <c r="F507" s="1">
        <v>106</v>
      </c>
      <c r="G507" s="1" t="s">
        <v>151</v>
      </c>
      <c r="H507" s="1"/>
      <c r="I507" s="1">
        <v>17819</v>
      </c>
      <c r="J507" s="1"/>
    </row>
    <row r="508" spans="1:10" x14ac:dyDescent="0.25">
      <c r="A508" s="2">
        <v>43831</v>
      </c>
      <c r="B508" s="1" t="s">
        <v>153</v>
      </c>
      <c r="C508" s="1" t="s">
        <v>26</v>
      </c>
      <c r="D508" s="1">
        <v>107</v>
      </c>
      <c r="E508" s="1" t="s">
        <v>47</v>
      </c>
      <c r="F508" s="1">
        <v>117</v>
      </c>
      <c r="G508" s="1" t="s">
        <v>151</v>
      </c>
      <c r="H508" s="1"/>
      <c r="I508" s="1">
        <v>18997</v>
      </c>
      <c r="J508" s="1"/>
    </row>
    <row r="509" spans="1:10" x14ac:dyDescent="0.25">
      <c r="A509" s="2">
        <v>43832</v>
      </c>
      <c r="B509" s="1" t="s">
        <v>154</v>
      </c>
      <c r="C509" s="1" t="s">
        <v>29</v>
      </c>
      <c r="D509" s="1">
        <v>109</v>
      </c>
      <c r="E509" s="1" t="s">
        <v>49</v>
      </c>
      <c r="F509" s="1">
        <v>106</v>
      </c>
      <c r="G509" s="1" t="s">
        <v>151</v>
      </c>
      <c r="H509" s="1"/>
      <c r="I509" s="1">
        <v>17859</v>
      </c>
      <c r="J509" s="1"/>
    </row>
    <row r="510" spans="1:10" x14ac:dyDescent="0.25">
      <c r="A510" s="2">
        <v>43832</v>
      </c>
      <c r="B510" s="1" t="s">
        <v>154</v>
      </c>
      <c r="C510" s="1" t="s">
        <v>50</v>
      </c>
      <c r="D510" s="1">
        <v>124</v>
      </c>
      <c r="E510" s="1" t="s">
        <v>51</v>
      </c>
      <c r="F510" s="1">
        <v>116</v>
      </c>
      <c r="G510" s="1" t="s">
        <v>151</v>
      </c>
      <c r="H510" s="1"/>
      <c r="I510" s="1">
        <v>16688</v>
      </c>
      <c r="J510" s="1"/>
    </row>
    <row r="511" spans="1:10" x14ac:dyDescent="0.25">
      <c r="A511" s="2">
        <v>43832</v>
      </c>
      <c r="B511" s="1" t="s">
        <v>155</v>
      </c>
      <c r="C511" s="1" t="s">
        <v>27</v>
      </c>
      <c r="D511" s="1">
        <v>76</v>
      </c>
      <c r="E511" s="1" t="s">
        <v>41</v>
      </c>
      <c r="F511" s="1">
        <v>84</v>
      </c>
      <c r="G511" s="1" t="s">
        <v>151</v>
      </c>
      <c r="H511" s="1"/>
      <c r="I511" s="1">
        <v>19939</v>
      </c>
      <c r="J511" s="1"/>
    </row>
    <row r="512" spans="1:10" x14ac:dyDescent="0.25">
      <c r="A512" s="2">
        <v>43832</v>
      </c>
      <c r="B512" s="1" t="s">
        <v>150</v>
      </c>
      <c r="C512" s="1" t="s">
        <v>34</v>
      </c>
      <c r="D512" s="1">
        <v>102</v>
      </c>
      <c r="E512" s="1" t="s">
        <v>31</v>
      </c>
      <c r="F512" s="1">
        <v>98</v>
      </c>
      <c r="G512" s="1" t="s">
        <v>151</v>
      </c>
      <c r="H512" s="1"/>
      <c r="I512" s="1">
        <v>19398</v>
      </c>
      <c r="J512" s="1"/>
    </row>
    <row r="513" spans="1:10" x14ac:dyDescent="0.25">
      <c r="A513" s="2">
        <v>43832</v>
      </c>
      <c r="B513" s="1" t="s">
        <v>150</v>
      </c>
      <c r="C513" s="1" t="s">
        <v>44</v>
      </c>
      <c r="D513" s="1">
        <v>84</v>
      </c>
      <c r="E513" s="1" t="s">
        <v>42</v>
      </c>
      <c r="F513" s="1">
        <v>99</v>
      </c>
      <c r="G513" s="1" t="s">
        <v>151</v>
      </c>
      <c r="H513" s="1"/>
      <c r="I513" s="1">
        <v>15477</v>
      </c>
      <c r="J513" s="1"/>
    </row>
    <row r="514" spans="1:10" x14ac:dyDescent="0.25">
      <c r="A514" s="2">
        <v>43832</v>
      </c>
      <c r="B514" s="1" t="s">
        <v>156</v>
      </c>
      <c r="C514" s="1" t="s">
        <v>38</v>
      </c>
      <c r="D514" s="1">
        <v>111</v>
      </c>
      <c r="E514" s="1" t="s">
        <v>43</v>
      </c>
      <c r="F514" s="1">
        <v>123</v>
      </c>
      <c r="G514" s="1" t="s">
        <v>151</v>
      </c>
      <c r="H514" s="1"/>
      <c r="I514" s="1">
        <v>20289</v>
      </c>
      <c r="J514" s="1"/>
    </row>
    <row r="515" spans="1:10" x14ac:dyDescent="0.25">
      <c r="A515" s="2">
        <v>43832</v>
      </c>
      <c r="B515" s="1" t="s">
        <v>156</v>
      </c>
      <c r="C515" s="1" t="s">
        <v>33</v>
      </c>
      <c r="D515" s="1">
        <v>109</v>
      </c>
      <c r="E515" s="1" t="s">
        <v>54</v>
      </c>
      <c r="F515" s="1">
        <v>103</v>
      </c>
      <c r="G515" s="1" t="s">
        <v>151</v>
      </c>
      <c r="H515" s="1"/>
      <c r="I515" s="1">
        <v>18354</v>
      </c>
      <c r="J515" s="1"/>
    </row>
    <row r="516" spans="1:10" x14ac:dyDescent="0.25">
      <c r="A516" s="2">
        <v>43832</v>
      </c>
      <c r="B516" s="1" t="s">
        <v>158</v>
      </c>
      <c r="C516" s="1" t="s">
        <v>48</v>
      </c>
      <c r="D516" s="1">
        <v>123</v>
      </c>
      <c r="E516" s="1" t="s">
        <v>36</v>
      </c>
      <c r="F516" s="1">
        <v>128</v>
      </c>
      <c r="G516" s="1" t="s">
        <v>151</v>
      </c>
      <c r="H516" s="1"/>
      <c r="I516" s="1">
        <v>17351</v>
      </c>
      <c r="J516" s="1"/>
    </row>
    <row r="517" spans="1:10" x14ac:dyDescent="0.25">
      <c r="A517" s="2">
        <v>43832</v>
      </c>
      <c r="B517" s="1" t="s">
        <v>153</v>
      </c>
      <c r="C517" s="1" t="s">
        <v>30</v>
      </c>
      <c r="D517" s="1">
        <v>112</v>
      </c>
      <c r="E517" s="1" t="s">
        <v>25</v>
      </c>
      <c r="F517" s="1">
        <v>126</v>
      </c>
      <c r="G517" s="1" t="s">
        <v>151</v>
      </c>
      <c r="H517" s="1"/>
      <c r="I517" s="1">
        <v>19068</v>
      </c>
      <c r="J517" s="1"/>
    </row>
    <row r="518" spans="1:10" x14ac:dyDescent="0.25">
      <c r="A518" s="2">
        <v>43833</v>
      </c>
      <c r="B518" s="1" t="s">
        <v>154</v>
      </c>
      <c r="C518" s="1" t="s">
        <v>52</v>
      </c>
      <c r="D518" s="1">
        <v>106</v>
      </c>
      <c r="E518" s="1" t="s">
        <v>46</v>
      </c>
      <c r="F518" s="1">
        <v>109</v>
      </c>
      <c r="G518" s="1" t="s">
        <v>151</v>
      </c>
      <c r="H518" s="1"/>
      <c r="I518" s="1">
        <v>19156</v>
      </c>
      <c r="J518" s="1"/>
    </row>
    <row r="519" spans="1:10" x14ac:dyDescent="0.25">
      <c r="A519" s="2">
        <v>43833</v>
      </c>
      <c r="B519" s="1" t="s">
        <v>154</v>
      </c>
      <c r="C519" s="1" t="s">
        <v>41</v>
      </c>
      <c r="D519" s="1">
        <v>85</v>
      </c>
      <c r="E519" s="1" t="s">
        <v>53</v>
      </c>
      <c r="F519" s="1">
        <v>105</v>
      </c>
      <c r="G519" s="1" t="s">
        <v>151</v>
      </c>
      <c r="H519" s="1"/>
      <c r="I519" s="1">
        <v>17198</v>
      </c>
      <c r="J519" s="1"/>
    </row>
    <row r="520" spans="1:10" x14ac:dyDescent="0.25">
      <c r="A520" s="2">
        <v>43833</v>
      </c>
      <c r="B520" s="1" t="s">
        <v>154</v>
      </c>
      <c r="C520" s="1" t="s">
        <v>28</v>
      </c>
      <c r="D520" s="1">
        <v>122</v>
      </c>
      <c r="E520" s="1" t="s">
        <v>40</v>
      </c>
      <c r="F520" s="1">
        <v>103</v>
      </c>
      <c r="G520" s="1" t="s">
        <v>151</v>
      </c>
      <c r="H520" s="1"/>
      <c r="I520" s="1">
        <v>17945</v>
      </c>
      <c r="J520" s="1"/>
    </row>
    <row r="521" spans="1:10" x14ac:dyDescent="0.25">
      <c r="A521" s="2">
        <v>43833</v>
      </c>
      <c r="B521" s="1" t="s">
        <v>150</v>
      </c>
      <c r="C521" s="1" t="s">
        <v>45</v>
      </c>
      <c r="D521" s="1">
        <v>108</v>
      </c>
      <c r="E521" s="1" t="s">
        <v>32</v>
      </c>
      <c r="F521" s="1">
        <v>118</v>
      </c>
      <c r="G521" s="1" t="s">
        <v>151</v>
      </c>
      <c r="H521" s="1"/>
      <c r="I521" s="1">
        <v>18055</v>
      </c>
      <c r="J521" s="1"/>
    </row>
    <row r="522" spans="1:10" x14ac:dyDescent="0.25">
      <c r="A522" s="2">
        <v>43833</v>
      </c>
      <c r="B522" s="1" t="s">
        <v>157</v>
      </c>
      <c r="C522" s="1" t="s">
        <v>35</v>
      </c>
      <c r="D522" s="1">
        <v>112</v>
      </c>
      <c r="E522" s="1" t="s">
        <v>26</v>
      </c>
      <c r="F522" s="1">
        <v>120</v>
      </c>
      <c r="G522" s="1" t="s">
        <v>151</v>
      </c>
      <c r="H522" s="1"/>
      <c r="I522" s="1">
        <v>18055</v>
      </c>
      <c r="J522" s="1"/>
    </row>
    <row r="523" spans="1:10" x14ac:dyDescent="0.25">
      <c r="A523" s="2">
        <v>43833</v>
      </c>
      <c r="B523" s="1" t="s">
        <v>153</v>
      </c>
      <c r="C523" s="1" t="s">
        <v>37</v>
      </c>
      <c r="D523" s="1">
        <v>113</v>
      </c>
      <c r="E523" s="1" t="s">
        <v>47</v>
      </c>
      <c r="F523" s="1">
        <v>123</v>
      </c>
      <c r="G523" s="1" t="s">
        <v>151</v>
      </c>
      <c r="H523" s="1"/>
      <c r="I523" s="1">
        <v>18997</v>
      </c>
      <c r="J523" s="1"/>
    </row>
    <row r="524" spans="1:10" x14ac:dyDescent="0.25">
      <c r="A524" s="2">
        <v>43834</v>
      </c>
      <c r="B524" s="1" t="s">
        <v>160</v>
      </c>
      <c r="C524" s="1" t="s">
        <v>48</v>
      </c>
      <c r="D524" s="1">
        <v>140</v>
      </c>
      <c r="E524" s="1" t="s">
        <v>25</v>
      </c>
      <c r="F524" s="1">
        <v>114</v>
      </c>
      <c r="G524" s="1" t="s">
        <v>151</v>
      </c>
      <c r="H524" s="1"/>
      <c r="I524" s="1">
        <v>19068</v>
      </c>
      <c r="J524" s="1"/>
    </row>
    <row r="525" spans="1:10" x14ac:dyDescent="0.25">
      <c r="A525" s="2">
        <v>43834</v>
      </c>
      <c r="B525" s="1" t="s">
        <v>161</v>
      </c>
      <c r="C525" s="1" t="s">
        <v>27</v>
      </c>
      <c r="D525" s="1">
        <v>121</v>
      </c>
      <c r="E525" s="1" t="s">
        <v>38</v>
      </c>
      <c r="F525" s="1">
        <v>102</v>
      </c>
      <c r="G525" s="1" t="s">
        <v>151</v>
      </c>
      <c r="H525" s="1"/>
      <c r="I525" s="1">
        <v>17732</v>
      </c>
      <c r="J525" s="1"/>
    </row>
    <row r="526" spans="1:10" x14ac:dyDescent="0.25">
      <c r="A526" s="2">
        <v>43834</v>
      </c>
      <c r="B526" s="1" t="s">
        <v>154</v>
      </c>
      <c r="C526" s="1" t="s">
        <v>34</v>
      </c>
      <c r="D526" s="1">
        <v>109</v>
      </c>
      <c r="E526" s="1" t="s">
        <v>53</v>
      </c>
      <c r="F526" s="1">
        <v>96</v>
      </c>
      <c r="G526" s="1" t="s">
        <v>151</v>
      </c>
      <c r="H526" s="1"/>
      <c r="I526" s="1">
        <v>16913</v>
      </c>
      <c r="J526" s="1"/>
    </row>
    <row r="527" spans="1:10" x14ac:dyDescent="0.25">
      <c r="A527" s="2">
        <v>43834</v>
      </c>
      <c r="B527" s="1" t="s">
        <v>155</v>
      </c>
      <c r="C527" s="1" t="s">
        <v>51</v>
      </c>
      <c r="D527" s="1">
        <v>111</v>
      </c>
      <c r="E527" s="1" t="s">
        <v>52</v>
      </c>
      <c r="F527" s="1">
        <v>116</v>
      </c>
      <c r="G527" s="1" t="s">
        <v>151</v>
      </c>
      <c r="H527" s="1"/>
      <c r="I527" s="1">
        <v>16420</v>
      </c>
      <c r="J527" s="1"/>
    </row>
    <row r="528" spans="1:10" x14ac:dyDescent="0.25">
      <c r="A528" s="2">
        <v>43834</v>
      </c>
      <c r="B528" s="1" t="s">
        <v>155</v>
      </c>
      <c r="C528" s="1" t="s">
        <v>33</v>
      </c>
      <c r="D528" s="1">
        <v>121</v>
      </c>
      <c r="E528" s="1" t="s">
        <v>49</v>
      </c>
      <c r="F528" s="1">
        <v>106</v>
      </c>
      <c r="G528" s="1" t="s">
        <v>151</v>
      </c>
      <c r="H528" s="1"/>
      <c r="I528" s="1">
        <v>19432</v>
      </c>
      <c r="J528" s="1"/>
    </row>
    <row r="529" spans="1:10" x14ac:dyDescent="0.25">
      <c r="A529" s="2">
        <v>43834</v>
      </c>
      <c r="B529" s="1" t="s">
        <v>150</v>
      </c>
      <c r="C529" s="1" t="s">
        <v>46</v>
      </c>
      <c r="D529" s="1">
        <v>111</v>
      </c>
      <c r="E529" s="1" t="s">
        <v>31</v>
      </c>
      <c r="F529" s="1">
        <v>104</v>
      </c>
      <c r="G529" s="1" t="s">
        <v>151</v>
      </c>
      <c r="H529" s="1"/>
      <c r="I529" s="1">
        <v>21130</v>
      </c>
      <c r="J529" s="1"/>
    </row>
    <row r="530" spans="1:10" x14ac:dyDescent="0.25">
      <c r="A530" s="2">
        <v>43834</v>
      </c>
      <c r="B530" s="1" t="s">
        <v>150</v>
      </c>
      <c r="C530" s="1" t="s">
        <v>50</v>
      </c>
      <c r="D530" s="1">
        <v>114</v>
      </c>
      <c r="E530" s="1" t="s">
        <v>40</v>
      </c>
      <c r="F530" s="1">
        <v>128</v>
      </c>
      <c r="G530" s="1" t="s">
        <v>151</v>
      </c>
      <c r="H530" s="1"/>
      <c r="I530" s="1">
        <v>16233</v>
      </c>
      <c r="J530" s="1"/>
    </row>
    <row r="531" spans="1:10" x14ac:dyDescent="0.25">
      <c r="A531" s="2">
        <v>43834</v>
      </c>
      <c r="B531" s="1" t="s">
        <v>156</v>
      </c>
      <c r="C531" s="1" t="s">
        <v>29</v>
      </c>
      <c r="D531" s="1">
        <v>123</v>
      </c>
      <c r="E531" s="1" t="s">
        <v>43</v>
      </c>
      <c r="F531" s="1">
        <v>120</v>
      </c>
      <c r="G531" s="1" t="s">
        <v>151</v>
      </c>
      <c r="H531" s="1" t="s">
        <v>152</v>
      </c>
      <c r="I531" s="1">
        <v>20327</v>
      </c>
      <c r="J531" s="1"/>
    </row>
    <row r="532" spans="1:10" x14ac:dyDescent="0.25">
      <c r="A532" s="2">
        <v>43834</v>
      </c>
      <c r="B532" s="1" t="s">
        <v>156</v>
      </c>
      <c r="C532" s="1" t="s">
        <v>30</v>
      </c>
      <c r="D532" s="1">
        <v>111</v>
      </c>
      <c r="E532" s="1" t="s">
        <v>44</v>
      </c>
      <c r="F532" s="1">
        <v>104</v>
      </c>
      <c r="G532" s="1" t="s">
        <v>151</v>
      </c>
      <c r="H532" s="1"/>
      <c r="I532" s="1">
        <v>18064</v>
      </c>
      <c r="J532" s="1"/>
    </row>
    <row r="533" spans="1:10" x14ac:dyDescent="0.25">
      <c r="A533" s="2">
        <v>43834</v>
      </c>
      <c r="B533" s="1" t="s">
        <v>156</v>
      </c>
      <c r="C533" s="1" t="s">
        <v>54</v>
      </c>
      <c r="D533" s="1">
        <v>118</v>
      </c>
      <c r="E533" s="1" t="s">
        <v>39</v>
      </c>
      <c r="F533" s="1">
        <v>127</v>
      </c>
      <c r="G533" s="1" t="s">
        <v>151</v>
      </c>
      <c r="H533" s="1"/>
      <c r="I533" s="1">
        <v>18002</v>
      </c>
      <c r="J533" s="1"/>
    </row>
    <row r="534" spans="1:10" x14ac:dyDescent="0.25">
      <c r="A534" s="2">
        <v>43834</v>
      </c>
      <c r="B534" s="1" t="s">
        <v>158</v>
      </c>
      <c r="C534" s="1" t="s">
        <v>37</v>
      </c>
      <c r="D534" s="1">
        <v>117</v>
      </c>
      <c r="E534" s="1" t="s">
        <v>36</v>
      </c>
      <c r="F534" s="1">
        <v>115</v>
      </c>
      <c r="G534" s="1" t="s">
        <v>151</v>
      </c>
      <c r="H534" s="1"/>
      <c r="I534" s="1">
        <v>16808</v>
      </c>
      <c r="J534" s="1"/>
    </row>
    <row r="535" spans="1:10" x14ac:dyDescent="0.25">
      <c r="A535" s="2">
        <v>43835</v>
      </c>
      <c r="B535" s="1" t="s">
        <v>160</v>
      </c>
      <c r="C535" s="1" t="s">
        <v>35</v>
      </c>
      <c r="D535" s="1">
        <v>132</v>
      </c>
      <c r="E535" s="1" t="s">
        <v>25</v>
      </c>
      <c r="F535" s="1">
        <v>135</v>
      </c>
      <c r="G535" s="1" t="s">
        <v>151</v>
      </c>
      <c r="H535" s="1"/>
      <c r="I535" s="1">
        <v>19068</v>
      </c>
      <c r="J535" s="1"/>
    </row>
    <row r="536" spans="1:10" x14ac:dyDescent="0.25">
      <c r="A536" s="2">
        <v>43835</v>
      </c>
      <c r="B536" s="1" t="s">
        <v>161</v>
      </c>
      <c r="C536" s="1" t="s">
        <v>28</v>
      </c>
      <c r="D536" s="1">
        <v>111</v>
      </c>
      <c r="E536" s="1" t="s">
        <v>41</v>
      </c>
      <c r="F536" s="1">
        <v>122</v>
      </c>
      <c r="G536" s="1" t="s">
        <v>151</v>
      </c>
      <c r="H536" s="1"/>
      <c r="I536" s="1">
        <v>19846</v>
      </c>
      <c r="J536" s="1"/>
    </row>
    <row r="537" spans="1:10" x14ac:dyDescent="0.25">
      <c r="A537" s="2">
        <v>43835</v>
      </c>
      <c r="B537" s="1" t="s">
        <v>155</v>
      </c>
      <c r="C537" s="1" t="s">
        <v>42</v>
      </c>
      <c r="D537" s="1">
        <v>118</v>
      </c>
      <c r="E537" s="1" t="s">
        <v>49</v>
      </c>
      <c r="F537" s="1">
        <v>103</v>
      </c>
      <c r="G537" s="1" t="s">
        <v>151</v>
      </c>
      <c r="H537" s="1"/>
      <c r="I537" s="1">
        <v>16159</v>
      </c>
      <c r="J537" s="1"/>
    </row>
    <row r="538" spans="1:10" x14ac:dyDescent="0.25">
      <c r="A538" s="2">
        <v>43835</v>
      </c>
      <c r="B538" s="1" t="s">
        <v>150</v>
      </c>
      <c r="C538" s="1" t="s">
        <v>48</v>
      </c>
      <c r="D538" s="1">
        <v>121</v>
      </c>
      <c r="E538" s="1" t="s">
        <v>26</v>
      </c>
      <c r="F538" s="1">
        <v>114</v>
      </c>
      <c r="G538" s="1" t="s">
        <v>151</v>
      </c>
      <c r="H538" s="1"/>
      <c r="I538" s="1">
        <v>14181</v>
      </c>
      <c r="J538" s="1"/>
    </row>
    <row r="539" spans="1:10" x14ac:dyDescent="0.25">
      <c r="A539" s="2">
        <v>43835</v>
      </c>
      <c r="B539" s="1" t="s">
        <v>158</v>
      </c>
      <c r="C539" s="1" t="s">
        <v>30</v>
      </c>
      <c r="D539" s="1">
        <v>99</v>
      </c>
      <c r="E539" s="1" t="s">
        <v>47</v>
      </c>
      <c r="F539" s="1">
        <v>106</v>
      </c>
      <c r="G539" s="1" t="s">
        <v>151</v>
      </c>
      <c r="H539" s="1"/>
      <c r="I539" s="1">
        <v>18997</v>
      </c>
      <c r="J539" s="1"/>
    </row>
    <row r="540" spans="1:10" x14ac:dyDescent="0.25">
      <c r="A540" s="2">
        <v>43836</v>
      </c>
      <c r="B540" s="1" t="s">
        <v>154</v>
      </c>
      <c r="C540" s="1" t="s">
        <v>51</v>
      </c>
      <c r="D540" s="1">
        <v>115</v>
      </c>
      <c r="E540" s="1" t="s">
        <v>29</v>
      </c>
      <c r="F540" s="1">
        <v>104</v>
      </c>
      <c r="G540" s="1" t="s">
        <v>151</v>
      </c>
      <c r="H540" s="1"/>
      <c r="I540" s="1">
        <v>13009</v>
      </c>
      <c r="J540" s="1"/>
    </row>
    <row r="541" spans="1:10" x14ac:dyDescent="0.25">
      <c r="A541" s="2">
        <v>43836</v>
      </c>
      <c r="B541" s="1" t="s">
        <v>154</v>
      </c>
      <c r="C541" s="1" t="s">
        <v>38</v>
      </c>
      <c r="D541" s="1">
        <v>89</v>
      </c>
      <c r="E541" s="1" t="s">
        <v>53</v>
      </c>
      <c r="F541" s="1">
        <v>101</v>
      </c>
      <c r="G541" s="1" t="s">
        <v>151</v>
      </c>
      <c r="H541" s="1"/>
      <c r="I541" s="1">
        <v>15008</v>
      </c>
      <c r="J541" s="1"/>
    </row>
    <row r="542" spans="1:10" x14ac:dyDescent="0.25">
      <c r="A542" s="2">
        <v>43836</v>
      </c>
      <c r="B542" s="1" t="s">
        <v>154</v>
      </c>
      <c r="C542" s="1" t="s">
        <v>33</v>
      </c>
      <c r="D542" s="1">
        <v>113</v>
      </c>
      <c r="E542" s="1" t="s">
        <v>45</v>
      </c>
      <c r="F542" s="1">
        <v>120</v>
      </c>
      <c r="G542" s="1" t="s">
        <v>151</v>
      </c>
      <c r="H542" s="1"/>
      <c r="I542" s="1">
        <v>20561</v>
      </c>
      <c r="J542" s="1"/>
    </row>
    <row r="543" spans="1:10" x14ac:dyDescent="0.25">
      <c r="A543" s="2">
        <v>43836</v>
      </c>
      <c r="B543" s="1" t="s">
        <v>154</v>
      </c>
      <c r="C543" s="1" t="s">
        <v>46</v>
      </c>
      <c r="D543" s="1">
        <v>94</v>
      </c>
      <c r="E543" s="1" t="s">
        <v>40</v>
      </c>
      <c r="F543" s="1">
        <v>99</v>
      </c>
      <c r="G543" s="1" t="s">
        <v>151</v>
      </c>
      <c r="H543" s="1"/>
      <c r="I543" s="1">
        <v>17963</v>
      </c>
      <c r="J543" s="1"/>
    </row>
    <row r="544" spans="1:10" x14ac:dyDescent="0.25">
      <c r="A544" s="2">
        <v>43836</v>
      </c>
      <c r="B544" s="1" t="s">
        <v>155</v>
      </c>
      <c r="C544" s="1" t="s">
        <v>50</v>
      </c>
      <c r="D544" s="1">
        <v>123</v>
      </c>
      <c r="E544" s="1" t="s">
        <v>52</v>
      </c>
      <c r="F544" s="1">
        <v>115</v>
      </c>
      <c r="G544" s="1" t="s">
        <v>151</v>
      </c>
      <c r="H544" s="1"/>
      <c r="I544" s="1">
        <v>15286</v>
      </c>
      <c r="J544" s="1"/>
    </row>
    <row r="545" spans="1:10" x14ac:dyDescent="0.25">
      <c r="A545" s="2">
        <v>43836</v>
      </c>
      <c r="B545" s="1" t="s">
        <v>150</v>
      </c>
      <c r="C545" s="1" t="s">
        <v>34</v>
      </c>
      <c r="D545" s="1">
        <v>128</v>
      </c>
      <c r="E545" s="1" t="s">
        <v>37</v>
      </c>
      <c r="F545" s="1">
        <v>126</v>
      </c>
      <c r="G545" s="1" t="s">
        <v>151</v>
      </c>
      <c r="H545" s="1"/>
      <c r="I545" s="1">
        <v>14138</v>
      </c>
      <c r="J545" s="1"/>
    </row>
    <row r="546" spans="1:10" x14ac:dyDescent="0.25">
      <c r="A546" s="2">
        <v>43836</v>
      </c>
      <c r="B546" s="1" t="s">
        <v>156</v>
      </c>
      <c r="C546" s="1" t="s">
        <v>31</v>
      </c>
      <c r="D546" s="1">
        <v>110</v>
      </c>
      <c r="E546" s="1" t="s">
        <v>43</v>
      </c>
      <c r="F546" s="1">
        <v>118</v>
      </c>
      <c r="G546" s="1" t="s">
        <v>151</v>
      </c>
      <c r="H546" s="1"/>
      <c r="I546" s="1">
        <v>20238</v>
      </c>
      <c r="J546" s="1"/>
    </row>
    <row r="547" spans="1:10" x14ac:dyDescent="0.25">
      <c r="A547" s="2">
        <v>43836</v>
      </c>
      <c r="B547" s="1" t="s">
        <v>156</v>
      </c>
      <c r="C547" s="1" t="s">
        <v>39</v>
      </c>
      <c r="D547" s="1">
        <v>104</v>
      </c>
      <c r="E547" s="1" t="s">
        <v>54</v>
      </c>
      <c r="F547" s="1">
        <v>126</v>
      </c>
      <c r="G547" s="1" t="s">
        <v>151</v>
      </c>
      <c r="H547" s="1"/>
      <c r="I547" s="1">
        <v>18354</v>
      </c>
      <c r="J547" s="1"/>
    </row>
    <row r="548" spans="1:10" x14ac:dyDescent="0.25">
      <c r="A548" s="2">
        <v>43836</v>
      </c>
      <c r="B548" s="1" t="s">
        <v>158</v>
      </c>
      <c r="C548" s="1" t="s">
        <v>44</v>
      </c>
      <c r="D548" s="1">
        <v>98</v>
      </c>
      <c r="E548" s="1" t="s">
        <v>36</v>
      </c>
      <c r="F548" s="1">
        <v>111</v>
      </c>
      <c r="G548" s="1" t="s">
        <v>151</v>
      </c>
      <c r="H548" s="1"/>
      <c r="I548" s="1">
        <v>15819</v>
      </c>
      <c r="J548" s="1"/>
    </row>
    <row r="549" spans="1:10" x14ac:dyDescent="0.25">
      <c r="A549" s="2">
        <v>43837</v>
      </c>
      <c r="B549" s="1" t="s">
        <v>154</v>
      </c>
      <c r="C549" s="1" t="s">
        <v>30</v>
      </c>
      <c r="D549" s="1">
        <v>115</v>
      </c>
      <c r="E549" s="1" t="s">
        <v>49</v>
      </c>
      <c r="F549" s="1">
        <v>113</v>
      </c>
      <c r="G549" s="1" t="s">
        <v>151</v>
      </c>
      <c r="H549" s="1"/>
      <c r="I549" s="1">
        <v>17274</v>
      </c>
      <c r="J549" s="1"/>
    </row>
    <row r="550" spans="1:10" x14ac:dyDescent="0.25">
      <c r="A550" s="2">
        <v>43837</v>
      </c>
      <c r="B550" s="1" t="s">
        <v>154</v>
      </c>
      <c r="C550" s="1" t="s">
        <v>28</v>
      </c>
      <c r="D550" s="1">
        <v>101</v>
      </c>
      <c r="E550" s="1" t="s">
        <v>27</v>
      </c>
      <c r="F550" s="1">
        <v>99</v>
      </c>
      <c r="G550" s="1" t="s">
        <v>151</v>
      </c>
      <c r="H550" s="1"/>
      <c r="I550" s="1">
        <v>19800</v>
      </c>
      <c r="J550" s="1"/>
    </row>
    <row r="551" spans="1:10" x14ac:dyDescent="0.25">
      <c r="A551" s="2">
        <v>43837</v>
      </c>
      <c r="B551" s="1" t="s">
        <v>155</v>
      </c>
      <c r="C551" s="1" t="s">
        <v>33</v>
      </c>
      <c r="D551" s="1">
        <v>111</v>
      </c>
      <c r="E551" s="1" t="s">
        <v>38</v>
      </c>
      <c r="F551" s="1">
        <v>103</v>
      </c>
      <c r="G551" s="1" t="s">
        <v>151</v>
      </c>
      <c r="H551" s="1" t="s">
        <v>152</v>
      </c>
      <c r="I551" s="1">
        <v>15677</v>
      </c>
      <c r="J551" s="1"/>
    </row>
    <row r="552" spans="1:10" x14ac:dyDescent="0.25">
      <c r="A552" s="2">
        <v>43837</v>
      </c>
      <c r="B552" s="1" t="s">
        <v>150</v>
      </c>
      <c r="C552" s="1" t="s">
        <v>42</v>
      </c>
      <c r="D552" s="1">
        <v>112</v>
      </c>
      <c r="E552" s="1" t="s">
        <v>48</v>
      </c>
      <c r="F552" s="1">
        <v>119</v>
      </c>
      <c r="G552" s="1" t="s">
        <v>151</v>
      </c>
      <c r="H552" s="1"/>
      <c r="I552" s="1">
        <v>14117</v>
      </c>
      <c r="J552" s="1"/>
    </row>
    <row r="553" spans="1:10" x14ac:dyDescent="0.25">
      <c r="A553" s="2">
        <v>43837</v>
      </c>
      <c r="B553" s="1" t="s">
        <v>157</v>
      </c>
      <c r="C553" s="1" t="s">
        <v>36</v>
      </c>
      <c r="D553" s="1">
        <v>114</v>
      </c>
      <c r="E553" s="1" t="s">
        <v>26</v>
      </c>
      <c r="F553" s="1">
        <v>103</v>
      </c>
      <c r="G553" s="1" t="s">
        <v>151</v>
      </c>
      <c r="H553" s="1"/>
      <c r="I553" s="1">
        <v>14134</v>
      </c>
      <c r="J553" s="1"/>
    </row>
    <row r="554" spans="1:10" x14ac:dyDescent="0.25">
      <c r="A554" s="2">
        <v>43837</v>
      </c>
      <c r="B554" s="1" t="s">
        <v>153</v>
      </c>
      <c r="C554" s="1" t="s">
        <v>35</v>
      </c>
      <c r="D554" s="1">
        <v>87</v>
      </c>
      <c r="E554" s="1" t="s">
        <v>47</v>
      </c>
      <c r="F554" s="1">
        <v>117</v>
      </c>
      <c r="G554" s="1" t="s">
        <v>151</v>
      </c>
      <c r="H554" s="1"/>
      <c r="I554" s="1">
        <v>18997</v>
      </c>
      <c r="J554" s="1"/>
    </row>
    <row r="555" spans="1:10" x14ac:dyDescent="0.25">
      <c r="A555" s="2">
        <v>43838</v>
      </c>
      <c r="B555" s="1" t="s">
        <v>154</v>
      </c>
      <c r="C555" s="1" t="s">
        <v>54</v>
      </c>
      <c r="D555" s="1">
        <v>129</v>
      </c>
      <c r="E555" s="1" t="s">
        <v>46</v>
      </c>
      <c r="F555" s="1">
        <v>114</v>
      </c>
      <c r="G555" s="1" t="s">
        <v>151</v>
      </c>
      <c r="H555" s="1"/>
      <c r="I555" s="1">
        <v>19156</v>
      </c>
      <c r="J555" s="1"/>
    </row>
    <row r="556" spans="1:10" x14ac:dyDescent="0.25">
      <c r="A556" s="2">
        <v>43838</v>
      </c>
      <c r="B556" s="1" t="s">
        <v>154</v>
      </c>
      <c r="C556" s="1" t="s">
        <v>27</v>
      </c>
      <c r="D556" s="1">
        <v>112</v>
      </c>
      <c r="E556" s="1" t="s">
        <v>29</v>
      </c>
      <c r="F556" s="1">
        <v>110</v>
      </c>
      <c r="G556" s="1" t="s">
        <v>151</v>
      </c>
      <c r="H556" s="1" t="s">
        <v>152</v>
      </c>
      <c r="I556" s="1">
        <v>13965</v>
      </c>
      <c r="J556" s="1"/>
    </row>
    <row r="557" spans="1:10" x14ac:dyDescent="0.25">
      <c r="A557" s="2">
        <v>43838</v>
      </c>
      <c r="B557" s="1" t="s">
        <v>154</v>
      </c>
      <c r="C557" s="1" t="s">
        <v>41</v>
      </c>
      <c r="D557" s="1">
        <v>122</v>
      </c>
      <c r="E557" s="1" t="s">
        <v>51</v>
      </c>
      <c r="F557" s="1">
        <v>108</v>
      </c>
      <c r="G557" s="1" t="s">
        <v>151</v>
      </c>
      <c r="H557" s="1"/>
      <c r="I557" s="1">
        <v>17040</v>
      </c>
      <c r="J557" s="1"/>
    </row>
    <row r="558" spans="1:10" x14ac:dyDescent="0.25">
      <c r="A558" s="2">
        <v>43838</v>
      </c>
      <c r="B558" s="1" t="s">
        <v>154</v>
      </c>
      <c r="C558" s="1" t="s">
        <v>40</v>
      </c>
      <c r="D558" s="1">
        <v>89</v>
      </c>
      <c r="E558" s="1" t="s">
        <v>53</v>
      </c>
      <c r="F558" s="1">
        <v>123</v>
      </c>
      <c r="G558" s="1" t="s">
        <v>151</v>
      </c>
      <c r="H558" s="1"/>
      <c r="I558" s="1">
        <v>16013</v>
      </c>
      <c r="J558" s="1"/>
    </row>
    <row r="559" spans="1:10" x14ac:dyDescent="0.25">
      <c r="A559" s="2">
        <v>43838</v>
      </c>
      <c r="B559" s="1" t="s">
        <v>155</v>
      </c>
      <c r="C559" s="1" t="s">
        <v>32</v>
      </c>
      <c r="D559" s="1">
        <v>122</v>
      </c>
      <c r="E559" s="1" t="s">
        <v>52</v>
      </c>
      <c r="F559" s="1">
        <v>115</v>
      </c>
      <c r="G559" s="1" t="s">
        <v>151</v>
      </c>
      <c r="H559" s="1"/>
      <c r="I559" s="1">
        <v>16514</v>
      </c>
      <c r="J559" s="1"/>
    </row>
    <row r="560" spans="1:10" x14ac:dyDescent="0.25">
      <c r="A560" s="2">
        <v>43838</v>
      </c>
      <c r="B560" s="1" t="s">
        <v>155</v>
      </c>
      <c r="C560" s="1" t="s">
        <v>50</v>
      </c>
      <c r="D560" s="1">
        <v>107</v>
      </c>
      <c r="E560" s="1" t="s">
        <v>43</v>
      </c>
      <c r="F560" s="1">
        <v>106</v>
      </c>
      <c r="G560" s="1" t="s">
        <v>151</v>
      </c>
      <c r="H560" s="1"/>
      <c r="I560" s="1">
        <v>20314</v>
      </c>
      <c r="J560" s="1"/>
    </row>
    <row r="561" spans="1:10" x14ac:dyDescent="0.25">
      <c r="A561" s="2">
        <v>43838</v>
      </c>
      <c r="B561" s="1" t="s">
        <v>150</v>
      </c>
      <c r="C561" s="1" t="s">
        <v>31</v>
      </c>
      <c r="D561" s="1">
        <v>108</v>
      </c>
      <c r="E561" s="1" t="s">
        <v>37</v>
      </c>
      <c r="F561" s="1">
        <v>123</v>
      </c>
      <c r="G561" s="1" t="s">
        <v>151</v>
      </c>
      <c r="H561" s="1"/>
      <c r="I561" s="1">
        <v>15324</v>
      </c>
      <c r="J561" s="1"/>
    </row>
    <row r="562" spans="1:10" x14ac:dyDescent="0.25">
      <c r="A562" s="2">
        <v>43838</v>
      </c>
      <c r="B562" s="1" t="s">
        <v>157</v>
      </c>
      <c r="C562" s="1" t="s">
        <v>35</v>
      </c>
      <c r="D562" s="1">
        <v>104</v>
      </c>
      <c r="E562" s="1" t="s">
        <v>34</v>
      </c>
      <c r="F562" s="1">
        <v>128</v>
      </c>
      <c r="G562" s="1" t="s">
        <v>151</v>
      </c>
      <c r="H562" s="1"/>
      <c r="I562" s="1">
        <v>18306</v>
      </c>
      <c r="J562" s="1"/>
    </row>
    <row r="563" spans="1:10" x14ac:dyDescent="0.25">
      <c r="A563" s="2">
        <v>43838</v>
      </c>
      <c r="B563" s="1" t="s">
        <v>158</v>
      </c>
      <c r="C563" s="1" t="s">
        <v>39</v>
      </c>
      <c r="D563" s="1">
        <v>107</v>
      </c>
      <c r="E563" s="1" t="s">
        <v>44</v>
      </c>
      <c r="F563" s="1">
        <v>98</v>
      </c>
      <c r="G563" s="1" t="s">
        <v>151</v>
      </c>
      <c r="H563" s="1"/>
      <c r="I563" s="1">
        <v>18064</v>
      </c>
      <c r="J563" s="1"/>
    </row>
    <row r="564" spans="1:10" x14ac:dyDescent="0.25">
      <c r="A564" s="2">
        <v>43839</v>
      </c>
      <c r="B564" s="1" t="s">
        <v>154</v>
      </c>
      <c r="C564" s="1" t="s">
        <v>49</v>
      </c>
      <c r="D564" s="1">
        <v>115</v>
      </c>
      <c r="E564" s="1" t="s">
        <v>30</v>
      </c>
      <c r="F564" s="1">
        <v>112</v>
      </c>
      <c r="G564" s="1" t="s">
        <v>151</v>
      </c>
      <c r="H564" s="1" t="s">
        <v>152</v>
      </c>
      <c r="I564" s="1">
        <v>13445</v>
      </c>
      <c r="J564" s="1"/>
    </row>
    <row r="565" spans="1:10" x14ac:dyDescent="0.25">
      <c r="A565" s="2">
        <v>43839</v>
      </c>
      <c r="B565" s="1" t="s">
        <v>154</v>
      </c>
      <c r="C565" s="1" t="s">
        <v>46</v>
      </c>
      <c r="D565" s="1">
        <v>98</v>
      </c>
      <c r="E565" s="1" t="s">
        <v>45</v>
      </c>
      <c r="F565" s="1">
        <v>109</v>
      </c>
      <c r="G565" s="1" t="s">
        <v>151</v>
      </c>
      <c r="H565" s="1"/>
      <c r="I565" s="1">
        <v>20822</v>
      </c>
      <c r="J565" s="1"/>
    </row>
    <row r="566" spans="1:10" x14ac:dyDescent="0.25">
      <c r="A566" s="2">
        <v>43839</v>
      </c>
      <c r="B566" s="1" t="s">
        <v>150</v>
      </c>
      <c r="C566" s="1" t="s">
        <v>28</v>
      </c>
      <c r="D566" s="1">
        <v>102</v>
      </c>
      <c r="E566" s="1" t="s">
        <v>42</v>
      </c>
      <c r="F566" s="1">
        <v>116</v>
      </c>
      <c r="G566" s="1" t="s">
        <v>151</v>
      </c>
      <c r="H566" s="1"/>
      <c r="I566" s="1">
        <v>13720</v>
      </c>
      <c r="J566" s="1"/>
    </row>
    <row r="567" spans="1:10" x14ac:dyDescent="0.25">
      <c r="A567" s="2">
        <v>43839</v>
      </c>
      <c r="B567" s="1" t="s">
        <v>162</v>
      </c>
      <c r="C567" s="1" t="s">
        <v>32</v>
      </c>
      <c r="D567" s="1">
        <v>92</v>
      </c>
      <c r="E567" s="1" t="s">
        <v>33</v>
      </c>
      <c r="F567" s="1">
        <v>113</v>
      </c>
      <c r="G567" s="1" t="s">
        <v>151</v>
      </c>
      <c r="H567" s="1"/>
      <c r="I567" s="1">
        <v>18203</v>
      </c>
      <c r="J567" s="1"/>
    </row>
    <row r="568" spans="1:10" x14ac:dyDescent="0.25">
      <c r="A568" s="2">
        <v>43840</v>
      </c>
      <c r="B568" s="1" t="s">
        <v>154</v>
      </c>
      <c r="C568" s="1" t="s">
        <v>52</v>
      </c>
      <c r="D568" s="1">
        <v>101</v>
      </c>
      <c r="E568" s="1" t="s">
        <v>40</v>
      </c>
      <c r="F568" s="1">
        <v>111</v>
      </c>
      <c r="G568" s="1" t="s">
        <v>151</v>
      </c>
      <c r="H568" s="1"/>
      <c r="I568" s="1">
        <v>16360</v>
      </c>
      <c r="J568" s="1"/>
    </row>
    <row r="569" spans="1:10" x14ac:dyDescent="0.25">
      <c r="A569" s="2">
        <v>43840</v>
      </c>
      <c r="B569" s="1" t="s">
        <v>996</v>
      </c>
      <c r="C569" s="1" t="s">
        <v>37</v>
      </c>
      <c r="D569" s="1">
        <v>123</v>
      </c>
      <c r="E569" s="1" t="s">
        <v>35</v>
      </c>
      <c r="F569" s="1">
        <v>111</v>
      </c>
      <c r="G569" s="1" t="s">
        <v>151</v>
      </c>
      <c r="H569" s="1"/>
      <c r="I569" s="1">
        <v>18003</v>
      </c>
      <c r="J569" s="1"/>
    </row>
    <row r="570" spans="1:10" x14ac:dyDescent="0.25">
      <c r="A570" s="2">
        <v>43840</v>
      </c>
      <c r="B570" s="1" t="s">
        <v>155</v>
      </c>
      <c r="C570" s="1" t="s">
        <v>41</v>
      </c>
      <c r="D570" s="1">
        <v>113</v>
      </c>
      <c r="E570" s="1" t="s">
        <v>38</v>
      </c>
      <c r="F570" s="1">
        <v>117</v>
      </c>
      <c r="G570" s="1" t="s">
        <v>151</v>
      </c>
      <c r="H570" s="1"/>
      <c r="I570" s="1">
        <v>16011</v>
      </c>
      <c r="J570" s="1"/>
    </row>
    <row r="571" spans="1:10" x14ac:dyDescent="0.25">
      <c r="A571" s="2">
        <v>43840</v>
      </c>
      <c r="B571" s="1" t="s">
        <v>150</v>
      </c>
      <c r="C571" s="1" t="s">
        <v>51</v>
      </c>
      <c r="D571" s="1">
        <v>116</v>
      </c>
      <c r="E571" s="1" t="s">
        <v>31</v>
      </c>
      <c r="F571" s="1">
        <v>105</v>
      </c>
      <c r="G571" s="1" t="s">
        <v>151</v>
      </c>
      <c r="H571" s="1"/>
      <c r="I571" s="1">
        <v>20229</v>
      </c>
      <c r="J571" s="1"/>
    </row>
    <row r="572" spans="1:10" x14ac:dyDescent="0.25">
      <c r="A572" s="2">
        <v>43840</v>
      </c>
      <c r="B572" s="1" t="s">
        <v>150</v>
      </c>
      <c r="C572" s="1" t="s">
        <v>54</v>
      </c>
      <c r="D572" s="1">
        <v>121</v>
      </c>
      <c r="E572" s="1" t="s">
        <v>48</v>
      </c>
      <c r="F572" s="1">
        <v>134</v>
      </c>
      <c r="G572" s="1" t="s">
        <v>151</v>
      </c>
      <c r="H572" s="1"/>
      <c r="I572" s="1">
        <v>16448</v>
      </c>
      <c r="J572" s="1"/>
    </row>
    <row r="573" spans="1:10" x14ac:dyDescent="0.25">
      <c r="A573" s="2">
        <v>43840</v>
      </c>
      <c r="B573" s="1" t="s">
        <v>157</v>
      </c>
      <c r="C573" s="1" t="s">
        <v>53</v>
      </c>
      <c r="D573" s="1">
        <v>94</v>
      </c>
      <c r="E573" s="1" t="s">
        <v>26</v>
      </c>
      <c r="F573" s="1">
        <v>98</v>
      </c>
      <c r="G573" s="1" t="s">
        <v>151</v>
      </c>
      <c r="H573" s="1"/>
      <c r="I573" s="1">
        <v>14562</v>
      </c>
      <c r="J573" s="1"/>
    </row>
    <row r="574" spans="1:10" x14ac:dyDescent="0.25">
      <c r="A574" s="2">
        <v>43840</v>
      </c>
      <c r="B574" s="1" t="s">
        <v>157</v>
      </c>
      <c r="C574" s="1" t="s">
        <v>29</v>
      </c>
      <c r="D574" s="1">
        <v>92</v>
      </c>
      <c r="E574" s="1" t="s">
        <v>34</v>
      </c>
      <c r="F574" s="1">
        <v>109</v>
      </c>
      <c r="G574" s="1" t="s">
        <v>151</v>
      </c>
      <c r="H574" s="1"/>
      <c r="I574" s="1">
        <v>18306</v>
      </c>
      <c r="J574" s="1"/>
    </row>
    <row r="575" spans="1:10" x14ac:dyDescent="0.25">
      <c r="A575" s="2">
        <v>43840</v>
      </c>
      <c r="B575" s="1" t="s">
        <v>997</v>
      </c>
      <c r="C575" s="1" t="s">
        <v>47</v>
      </c>
      <c r="D575" s="1">
        <v>129</v>
      </c>
      <c r="E575" s="1" t="s">
        <v>43</v>
      </c>
      <c r="F575" s="1">
        <v>114</v>
      </c>
      <c r="G575" s="1" t="s">
        <v>151</v>
      </c>
      <c r="H575" s="1"/>
      <c r="I575" s="1">
        <v>20542</v>
      </c>
      <c r="J575" s="1"/>
    </row>
    <row r="576" spans="1:10" x14ac:dyDescent="0.25">
      <c r="A576" s="2">
        <v>43840</v>
      </c>
      <c r="B576" s="1" t="s">
        <v>158</v>
      </c>
      <c r="C576" s="1" t="s">
        <v>39</v>
      </c>
      <c r="D576" s="1">
        <v>127</v>
      </c>
      <c r="E576" s="1" t="s">
        <v>36</v>
      </c>
      <c r="F576" s="1">
        <v>106</v>
      </c>
      <c r="G576" s="1" t="s">
        <v>151</v>
      </c>
      <c r="H576" s="1"/>
      <c r="I576" s="1">
        <v>17583</v>
      </c>
      <c r="J576" s="1"/>
    </row>
    <row r="577" spans="1:10" x14ac:dyDescent="0.25">
      <c r="A577" s="2">
        <v>43840</v>
      </c>
      <c r="B577" s="1" t="s">
        <v>153</v>
      </c>
      <c r="C577" s="1" t="s">
        <v>44</v>
      </c>
      <c r="D577" s="1">
        <v>100</v>
      </c>
      <c r="E577" s="1" t="s">
        <v>25</v>
      </c>
      <c r="F577" s="1">
        <v>109</v>
      </c>
      <c r="G577" s="1" t="s">
        <v>151</v>
      </c>
      <c r="H577" s="1"/>
      <c r="I577" s="1">
        <v>19068</v>
      </c>
      <c r="J577" s="1"/>
    </row>
    <row r="578" spans="1:10" x14ac:dyDescent="0.25">
      <c r="A578" s="2">
        <v>43841</v>
      </c>
      <c r="B578" s="1" t="s">
        <v>159</v>
      </c>
      <c r="C578" s="1" t="s">
        <v>42</v>
      </c>
      <c r="D578" s="1">
        <v>109</v>
      </c>
      <c r="E578" s="1" t="s">
        <v>32</v>
      </c>
      <c r="F578" s="1">
        <v>139</v>
      </c>
      <c r="G578" s="1" t="s">
        <v>151</v>
      </c>
      <c r="H578" s="1"/>
      <c r="I578" s="1">
        <v>18055</v>
      </c>
      <c r="J578" s="1"/>
    </row>
    <row r="579" spans="1:10" x14ac:dyDescent="0.25">
      <c r="A579" s="2">
        <v>43841</v>
      </c>
      <c r="B579" s="1" t="s">
        <v>154</v>
      </c>
      <c r="C579" s="1" t="s">
        <v>37</v>
      </c>
      <c r="D579" s="1">
        <v>105</v>
      </c>
      <c r="E579" s="1" t="s">
        <v>46</v>
      </c>
      <c r="F579" s="1">
        <v>140</v>
      </c>
      <c r="G579" s="1" t="s">
        <v>151</v>
      </c>
      <c r="H579" s="1"/>
      <c r="I579" s="1">
        <v>19156</v>
      </c>
      <c r="J579" s="1"/>
    </row>
    <row r="580" spans="1:10" x14ac:dyDescent="0.25">
      <c r="A580" s="2">
        <v>43841</v>
      </c>
      <c r="B580" s="1" t="s">
        <v>154</v>
      </c>
      <c r="C580" s="1" t="s">
        <v>31</v>
      </c>
      <c r="D580" s="1">
        <v>108</v>
      </c>
      <c r="E580" s="1" t="s">
        <v>30</v>
      </c>
      <c r="F580" s="1">
        <v>99</v>
      </c>
      <c r="G580" s="1" t="s">
        <v>151</v>
      </c>
      <c r="H580" s="1"/>
      <c r="I580" s="1">
        <v>15951</v>
      </c>
      <c r="J580" s="1"/>
    </row>
    <row r="581" spans="1:10" x14ac:dyDescent="0.25">
      <c r="A581" s="2">
        <v>43841</v>
      </c>
      <c r="B581" s="1" t="s">
        <v>150</v>
      </c>
      <c r="C581" s="1" t="s">
        <v>47</v>
      </c>
      <c r="D581" s="1">
        <v>125</v>
      </c>
      <c r="E581" s="1" t="s">
        <v>33</v>
      </c>
      <c r="F581" s="1">
        <v>110</v>
      </c>
      <c r="G581" s="1" t="s">
        <v>151</v>
      </c>
      <c r="H581" s="1"/>
      <c r="I581" s="1">
        <v>18203</v>
      </c>
      <c r="J581" s="1"/>
    </row>
    <row r="582" spans="1:10" x14ac:dyDescent="0.25">
      <c r="A582" s="2">
        <v>43841</v>
      </c>
      <c r="B582" s="1" t="s">
        <v>156</v>
      </c>
      <c r="C582" s="1" t="s">
        <v>45</v>
      </c>
      <c r="D582" s="1">
        <v>91</v>
      </c>
      <c r="E582" s="1" t="s">
        <v>43</v>
      </c>
      <c r="F582" s="1">
        <v>109</v>
      </c>
      <c r="G582" s="1" t="s">
        <v>151</v>
      </c>
      <c r="H582" s="1"/>
      <c r="I582" s="1">
        <v>20244</v>
      </c>
      <c r="J582" s="1"/>
    </row>
    <row r="583" spans="1:10" x14ac:dyDescent="0.25">
      <c r="A583" s="2">
        <v>43841</v>
      </c>
      <c r="B583" s="1" t="s">
        <v>157</v>
      </c>
      <c r="C583" s="1" t="s">
        <v>49</v>
      </c>
      <c r="D583" s="1">
        <v>111</v>
      </c>
      <c r="E583" s="1" t="s">
        <v>50</v>
      </c>
      <c r="F583" s="1">
        <v>103</v>
      </c>
      <c r="G583" s="1" t="s">
        <v>151</v>
      </c>
      <c r="H583" s="1"/>
      <c r="I583" s="1">
        <v>19533</v>
      </c>
      <c r="J583" s="1"/>
    </row>
    <row r="584" spans="1:10" x14ac:dyDescent="0.25">
      <c r="A584" s="2">
        <v>43841</v>
      </c>
      <c r="B584" s="1" t="s">
        <v>158</v>
      </c>
      <c r="C584" s="1" t="s">
        <v>39</v>
      </c>
      <c r="D584" s="1">
        <v>122</v>
      </c>
      <c r="E584" s="1" t="s">
        <v>28</v>
      </c>
      <c r="F584" s="1">
        <v>101</v>
      </c>
      <c r="G584" s="1" t="s">
        <v>151</v>
      </c>
      <c r="H584" s="1"/>
      <c r="I584" s="1">
        <v>19843</v>
      </c>
      <c r="J584" s="1"/>
    </row>
    <row r="585" spans="1:10" x14ac:dyDescent="0.25">
      <c r="A585" s="2">
        <v>43842</v>
      </c>
      <c r="B585" s="1" t="s">
        <v>160</v>
      </c>
      <c r="C585" s="1" t="s">
        <v>41</v>
      </c>
      <c r="D585" s="1">
        <v>121</v>
      </c>
      <c r="E585" s="1" t="s">
        <v>35</v>
      </c>
      <c r="F585" s="1">
        <v>124</v>
      </c>
      <c r="G585" s="1" t="s">
        <v>151</v>
      </c>
      <c r="H585" s="1"/>
      <c r="I585" s="1">
        <v>18861</v>
      </c>
      <c r="J585" s="1"/>
    </row>
    <row r="586" spans="1:10" x14ac:dyDescent="0.25">
      <c r="A586" s="2">
        <v>43842</v>
      </c>
      <c r="B586" s="1" t="s">
        <v>160</v>
      </c>
      <c r="C586" s="1" t="s">
        <v>34</v>
      </c>
      <c r="D586" s="1">
        <v>127</v>
      </c>
      <c r="E586" s="1" t="s">
        <v>40</v>
      </c>
      <c r="F586" s="1">
        <v>116</v>
      </c>
      <c r="G586" s="1" t="s">
        <v>151</v>
      </c>
      <c r="H586" s="1"/>
      <c r="I586" s="1">
        <v>15953</v>
      </c>
      <c r="J586" s="1"/>
    </row>
    <row r="587" spans="1:10" x14ac:dyDescent="0.25">
      <c r="A587" s="2">
        <v>43842</v>
      </c>
      <c r="B587" s="1" t="s">
        <v>161</v>
      </c>
      <c r="C587" s="1" t="s">
        <v>52</v>
      </c>
      <c r="D587" s="1">
        <v>86</v>
      </c>
      <c r="E587" s="1" t="s">
        <v>38</v>
      </c>
      <c r="F587" s="1">
        <v>108</v>
      </c>
      <c r="G587" s="1" t="s">
        <v>151</v>
      </c>
      <c r="H587" s="1"/>
      <c r="I587" s="1">
        <v>15201</v>
      </c>
      <c r="J587" s="1"/>
    </row>
    <row r="588" spans="1:10" x14ac:dyDescent="0.25">
      <c r="A588" s="2">
        <v>43842</v>
      </c>
      <c r="B588" s="1" t="s">
        <v>161</v>
      </c>
      <c r="C588" s="1" t="s">
        <v>44</v>
      </c>
      <c r="D588" s="1">
        <v>102</v>
      </c>
      <c r="E588" s="1" t="s">
        <v>48</v>
      </c>
      <c r="F588" s="1">
        <v>122</v>
      </c>
      <c r="G588" s="1" t="s">
        <v>151</v>
      </c>
      <c r="H588" s="1"/>
      <c r="I588" s="1">
        <v>16408</v>
      </c>
      <c r="J588" s="1"/>
    </row>
    <row r="589" spans="1:10" x14ac:dyDescent="0.25">
      <c r="A589" s="2">
        <v>43842</v>
      </c>
      <c r="B589" s="1" t="s">
        <v>161</v>
      </c>
      <c r="C589" s="1" t="s">
        <v>54</v>
      </c>
      <c r="D589" s="1">
        <v>105</v>
      </c>
      <c r="E589" s="1" t="s">
        <v>27</v>
      </c>
      <c r="F589" s="1">
        <v>104</v>
      </c>
      <c r="G589" s="1" t="s">
        <v>151</v>
      </c>
      <c r="H589" s="1"/>
      <c r="I589" s="1">
        <v>19800</v>
      </c>
      <c r="J589" s="1"/>
    </row>
    <row r="590" spans="1:10" x14ac:dyDescent="0.25">
      <c r="A590" s="2">
        <v>43842</v>
      </c>
      <c r="B590" s="1" t="s">
        <v>150</v>
      </c>
      <c r="C590" s="1" t="s">
        <v>25</v>
      </c>
      <c r="D590" s="1">
        <v>104</v>
      </c>
      <c r="E590" s="1" t="s">
        <v>50</v>
      </c>
      <c r="F590" s="1">
        <v>114</v>
      </c>
      <c r="G590" s="1" t="s">
        <v>151</v>
      </c>
      <c r="H590" s="1"/>
      <c r="I590" s="1">
        <v>19520</v>
      </c>
      <c r="J590" s="1"/>
    </row>
    <row r="591" spans="1:10" x14ac:dyDescent="0.25">
      <c r="A591" s="2">
        <v>43842</v>
      </c>
      <c r="B591" s="1" t="s">
        <v>150</v>
      </c>
      <c r="C591" s="1" t="s">
        <v>29</v>
      </c>
      <c r="D591" s="1">
        <v>92</v>
      </c>
      <c r="E591" s="1" t="s">
        <v>26</v>
      </c>
      <c r="F591" s="1">
        <v>100</v>
      </c>
      <c r="G591" s="1" t="s">
        <v>151</v>
      </c>
      <c r="H591" s="1"/>
      <c r="I591" s="1">
        <v>14751</v>
      </c>
      <c r="J591" s="1"/>
    </row>
    <row r="592" spans="1:10" x14ac:dyDescent="0.25">
      <c r="A592" s="2">
        <v>43843</v>
      </c>
      <c r="B592" s="1" t="s">
        <v>154</v>
      </c>
      <c r="C592" s="1" t="s">
        <v>37</v>
      </c>
      <c r="D592" s="1">
        <v>117</v>
      </c>
      <c r="E592" s="1" t="s">
        <v>30</v>
      </c>
      <c r="F592" s="1">
        <v>110</v>
      </c>
      <c r="G592" s="1" t="s">
        <v>151</v>
      </c>
      <c r="H592" s="1" t="s">
        <v>152</v>
      </c>
      <c r="I592" s="1">
        <v>13780</v>
      </c>
      <c r="J592" s="1"/>
    </row>
    <row r="593" spans="1:10" x14ac:dyDescent="0.25">
      <c r="A593" s="2">
        <v>43843</v>
      </c>
      <c r="B593" s="1" t="s">
        <v>154</v>
      </c>
      <c r="C593" s="1" t="s">
        <v>45</v>
      </c>
      <c r="D593" s="1">
        <v>95</v>
      </c>
      <c r="E593" s="1" t="s">
        <v>51</v>
      </c>
      <c r="F593" s="1">
        <v>101</v>
      </c>
      <c r="G593" s="1" t="s">
        <v>151</v>
      </c>
      <c r="H593" s="1"/>
      <c r="I593" s="1">
        <v>15257</v>
      </c>
      <c r="J593" s="1"/>
    </row>
    <row r="594" spans="1:10" x14ac:dyDescent="0.25">
      <c r="A594" s="2">
        <v>43843</v>
      </c>
      <c r="B594" s="1" t="s">
        <v>155</v>
      </c>
      <c r="C594" s="1" t="s">
        <v>31</v>
      </c>
      <c r="D594" s="1">
        <v>101</v>
      </c>
      <c r="E594" s="1" t="s">
        <v>46</v>
      </c>
      <c r="F594" s="1">
        <v>113</v>
      </c>
      <c r="G594" s="1" t="s">
        <v>151</v>
      </c>
      <c r="H594" s="1"/>
      <c r="I594" s="1">
        <v>19156</v>
      </c>
      <c r="J594" s="1"/>
    </row>
    <row r="595" spans="1:10" x14ac:dyDescent="0.25">
      <c r="A595" s="2">
        <v>43843</v>
      </c>
      <c r="B595" s="1" t="s">
        <v>150</v>
      </c>
      <c r="C595" s="1" t="s">
        <v>33</v>
      </c>
      <c r="D595" s="1">
        <v>117</v>
      </c>
      <c r="E595" s="1" t="s">
        <v>42</v>
      </c>
      <c r="F595" s="1">
        <v>104</v>
      </c>
      <c r="G595" s="1" t="s">
        <v>151</v>
      </c>
      <c r="H595" s="1"/>
      <c r="I595" s="1">
        <v>11044</v>
      </c>
      <c r="J595" s="1"/>
    </row>
    <row r="596" spans="1:10" x14ac:dyDescent="0.25">
      <c r="A596" s="2">
        <v>43843</v>
      </c>
      <c r="B596" s="1" t="s">
        <v>158</v>
      </c>
      <c r="C596" s="1" t="s">
        <v>29</v>
      </c>
      <c r="D596" s="1">
        <v>112</v>
      </c>
      <c r="E596" s="1" t="s">
        <v>28</v>
      </c>
      <c r="F596" s="1">
        <v>115</v>
      </c>
      <c r="G596" s="1" t="s">
        <v>151</v>
      </c>
      <c r="H596" s="1"/>
      <c r="I596" s="1">
        <v>19111</v>
      </c>
      <c r="J596" s="1"/>
    </row>
    <row r="597" spans="1:10" x14ac:dyDescent="0.25">
      <c r="A597" s="2">
        <v>43843</v>
      </c>
      <c r="B597" s="1" t="s">
        <v>158</v>
      </c>
      <c r="C597" s="1" t="s">
        <v>53</v>
      </c>
      <c r="D597" s="1">
        <v>114</v>
      </c>
      <c r="E597" s="1" t="s">
        <v>36</v>
      </c>
      <c r="F597" s="1">
        <v>112</v>
      </c>
      <c r="G597" s="1" t="s">
        <v>151</v>
      </c>
      <c r="H597" s="1"/>
      <c r="I597" s="1">
        <v>16299</v>
      </c>
      <c r="J597" s="1"/>
    </row>
    <row r="598" spans="1:10" x14ac:dyDescent="0.25">
      <c r="A598" s="2">
        <v>43843</v>
      </c>
      <c r="B598" s="1" t="s">
        <v>153</v>
      </c>
      <c r="C598" s="1" t="s">
        <v>49</v>
      </c>
      <c r="D598" s="1">
        <v>99</v>
      </c>
      <c r="E598" s="1" t="s">
        <v>47</v>
      </c>
      <c r="F598" s="1">
        <v>128</v>
      </c>
      <c r="G598" s="1" t="s">
        <v>151</v>
      </c>
      <c r="H598" s="1"/>
      <c r="I598" s="1">
        <v>18997</v>
      </c>
      <c r="J598" s="1"/>
    </row>
    <row r="599" spans="1:10" x14ac:dyDescent="0.25">
      <c r="A599" s="2">
        <v>43844</v>
      </c>
      <c r="B599" s="1" t="s">
        <v>155</v>
      </c>
      <c r="C599" s="1" t="s">
        <v>26</v>
      </c>
      <c r="D599" s="1">
        <v>110</v>
      </c>
      <c r="E599" s="1" t="s">
        <v>52</v>
      </c>
      <c r="F599" s="1">
        <v>123</v>
      </c>
      <c r="G599" s="1" t="s">
        <v>151</v>
      </c>
      <c r="H599" s="1"/>
      <c r="I599" s="1">
        <v>16060</v>
      </c>
      <c r="J599" s="1"/>
    </row>
    <row r="600" spans="1:10" x14ac:dyDescent="0.25">
      <c r="A600" s="2">
        <v>43844</v>
      </c>
      <c r="B600" s="1" t="s">
        <v>155</v>
      </c>
      <c r="C600" s="1" t="s">
        <v>34</v>
      </c>
      <c r="D600" s="1">
        <v>118</v>
      </c>
      <c r="E600" s="1" t="s">
        <v>38</v>
      </c>
      <c r="F600" s="1">
        <v>107</v>
      </c>
      <c r="G600" s="1" t="s">
        <v>151</v>
      </c>
      <c r="H600" s="1"/>
      <c r="I600" s="1">
        <v>15381</v>
      </c>
      <c r="J600" s="1"/>
    </row>
    <row r="601" spans="1:10" x14ac:dyDescent="0.25">
      <c r="A601" s="2">
        <v>43844</v>
      </c>
      <c r="B601" s="1" t="s">
        <v>150</v>
      </c>
      <c r="C601" s="1" t="s">
        <v>32</v>
      </c>
      <c r="D601" s="1">
        <v>110</v>
      </c>
      <c r="E601" s="1" t="s">
        <v>48</v>
      </c>
      <c r="F601" s="1">
        <v>121</v>
      </c>
      <c r="G601" s="1" t="s">
        <v>151</v>
      </c>
      <c r="H601" s="1"/>
      <c r="I601" s="1">
        <v>16181</v>
      </c>
      <c r="J601" s="1"/>
    </row>
    <row r="602" spans="1:10" x14ac:dyDescent="0.25">
      <c r="A602" s="2">
        <v>43844</v>
      </c>
      <c r="B602" s="1" t="s">
        <v>150</v>
      </c>
      <c r="C602" s="1" t="s">
        <v>35</v>
      </c>
      <c r="D602" s="1">
        <v>102</v>
      </c>
      <c r="E602" s="1" t="s">
        <v>39</v>
      </c>
      <c r="F602" s="1">
        <v>128</v>
      </c>
      <c r="G602" s="1" t="s">
        <v>151</v>
      </c>
      <c r="H602" s="1"/>
      <c r="I602" s="1">
        <v>17590</v>
      </c>
      <c r="J602" s="1"/>
    </row>
    <row r="603" spans="1:10" x14ac:dyDescent="0.25">
      <c r="A603" s="2">
        <v>43844</v>
      </c>
      <c r="B603" s="1" t="s">
        <v>153</v>
      </c>
      <c r="C603" s="1" t="s">
        <v>43</v>
      </c>
      <c r="D603" s="1">
        <v>124</v>
      </c>
      <c r="E603" s="1" t="s">
        <v>44</v>
      </c>
      <c r="F603" s="1">
        <v>97</v>
      </c>
      <c r="G603" s="1" t="s">
        <v>151</v>
      </c>
      <c r="H603" s="1"/>
      <c r="I603" s="1">
        <v>18064</v>
      </c>
      <c r="J603" s="1"/>
    </row>
    <row r="604" spans="1:10" x14ac:dyDescent="0.25">
      <c r="A604" s="2">
        <v>43844</v>
      </c>
      <c r="B604" s="1" t="s">
        <v>153</v>
      </c>
      <c r="C604" s="1" t="s">
        <v>49</v>
      </c>
      <c r="D604" s="1">
        <v>103</v>
      </c>
      <c r="E604" s="1" t="s">
        <v>25</v>
      </c>
      <c r="F604" s="1">
        <v>128</v>
      </c>
      <c r="G604" s="1" t="s">
        <v>151</v>
      </c>
      <c r="H604" s="1"/>
      <c r="I604" s="1">
        <v>19068</v>
      </c>
      <c r="J604" s="1"/>
    </row>
    <row r="605" spans="1:10" x14ac:dyDescent="0.25">
      <c r="A605" s="2">
        <v>43845</v>
      </c>
      <c r="B605" s="1" t="s">
        <v>154</v>
      </c>
      <c r="C605" s="1" t="s">
        <v>30</v>
      </c>
      <c r="D605" s="1">
        <v>116</v>
      </c>
      <c r="E605" s="1" t="s">
        <v>46</v>
      </c>
      <c r="F605" s="1">
        <v>103</v>
      </c>
      <c r="G605" s="1" t="s">
        <v>151</v>
      </c>
      <c r="H605" s="1"/>
      <c r="I605" s="1">
        <v>19156</v>
      </c>
      <c r="J605" s="1"/>
    </row>
    <row r="606" spans="1:10" x14ac:dyDescent="0.25">
      <c r="A606" s="2">
        <v>43845</v>
      </c>
      <c r="B606" s="1" t="s">
        <v>154</v>
      </c>
      <c r="C606" s="1" t="s">
        <v>38</v>
      </c>
      <c r="D606" s="1">
        <v>106</v>
      </c>
      <c r="E606" s="1" t="s">
        <v>45</v>
      </c>
      <c r="F606" s="1">
        <v>117</v>
      </c>
      <c r="G606" s="1" t="s">
        <v>151</v>
      </c>
      <c r="H606" s="1"/>
      <c r="I606" s="1">
        <v>20416</v>
      </c>
      <c r="J606" s="1"/>
    </row>
    <row r="607" spans="1:10" x14ac:dyDescent="0.25">
      <c r="A607" s="2">
        <v>43845</v>
      </c>
      <c r="B607" s="1" t="s">
        <v>155</v>
      </c>
      <c r="C607" s="1" t="s">
        <v>54</v>
      </c>
      <c r="D607" s="1">
        <v>100</v>
      </c>
      <c r="E607" s="1" t="s">
        <v>41</v>
      </c>
      <c r="F607" s="1">
        <v>106</v>
      </c>
      <c r="G607" s="1" t="s">
        <v>151</v>
      </c>
      <c r="H607" s="1"/>
      <c r="I607" s="1">
        <v>19704</v>
      </c>
      <c r="J607" s="1"/>
    </row>
    <row r="608" spans="1:10" x14ac:dyDescent="0.25">
      <c r="A608" s="2">
        <v>43845</v>
      </c>
      <c r="B608" s="1" t="s">
        <v>150</v>
      </c>
      <c r="C608" s="1" t="s">
        <v>40</v>
      </c>
      <c r="D608" s="1">
        <v>106</v>
      </c>
      <c r="E608" s="1" t="s">
        <v>31</v>
      </c>
      <c r="F608" s="1">
        <v>115</v>
      </c>
      <c r="G608" s="1" t="s">
        <v>151</v>
      </c>
      <c r="H608" s="1"/>
      <c r="I608" s="1">
        <v>19382</v>
      </c>
      <c r="J608" s="1"/>
    </row>
    <row r="609" spans="1:10" x14ac:dyDescent="0.25">
      <c r="A609" s="2">
        <v>43845</v>
      </c>
      <c r="B609" s="1" t="s">
        <v>150</v>
      </c>
      <c r="C609" s="1" t="s">
        <v>51</v>
      </c>
      <c r="D609" s="1">
        <v>104</v>
      </c>
      <c r="E609" s="1" t="s">
        <v>42</v>
      </c>
      <c r="F609" s="1">
        <v>99</v>
      </c>
      <c r="G609" s="1" t="s">
        <v>151</v>
      </c>
      <c r="H609" s="1"/>
      <c r="I609" s="1">
        <v>12648</v>
      </c>
      <c r="J609" s="1"/>
    </row>
    <row r="610" spans="1:10" x14ac:dyDescent="0.25">
      <c r="A610" s="2">
        <v>43845</v>
      </c>
      <c r="B610" s="1" t="s">
        <v>150</v>
      </c>
      <c r="C610" s="1" t="s">
        <v>27</v>
      </c>
      <c r="D610" s="1">
        <v>130</v>
      </c>
      <c r="E610" s="1" t="s">
        <v>33</v>
      </c>
      <c r="F610" s="1">
        <v>121</v>
      </c>
      <c r="G610" s="1" t="s">
        <v>151</v>
      </c>
      <c r="H610" s="1"/>
      <c r="I610" s="1">
        <v>18203</v>
      </c>
      <c r="J610" s="1"/>
    </row>
    <row r="611" spans="1:10" x14ac:dyDescent="0.25">
      <c r="A611" s="2">
        <v>43845</v>
      </c>
      <c r="B611" s="1" t="s">
        <v>157</v>
      </c>
      <c r="C611" s="1" t="s">
        <v>29</v>
      </c>
      <c r="D611" s="1">
        <v>86</v>
      </c>
      <c r="E611" s="1" t="s">
        <v>50</v>
      </c>
      <c r="F611" s="1">
        <v>100</v>
      </c>
      <c r="G611" s="1" t="s">
        <v>151</v>
      </c>
      <c r="H611" s="1"/>
      <c r="I611" s="1">
        <v>19520</v>
      </c>
      <c r="J611" s="1"/>
    </row>
    <row r="612" spans="1:10" x14ac:dyDescent="0.25">
      <c r="A612" s="2">
        <v>43845</v>
      </c>
      <c r="B612" s="1" t="s">
        <v>162</v>
      </c>
      <c r="C612" s="1" t="s">
        <v>28</v>
      </c>
      <c r="D612" s="1">
        <v>117</v>
      </c>
      <c r="E612" s="1" t="s">
        <v>32</v>
      </c>
      <c r="F612" s="1">
        <v>107</v>
      </c>
      <c r="G612" s="1" t="s">
        <v>151</v>
      </c>
      <c r="H612" s="1"/>
      <c r="I612" s="1">
        <v>18055</v>
      </c>
      <c r="J612" s="1"/>
    </row>
    <row r="613" spans="1:10" x14ac:dyDescent="0.25">
      <c r="A613" s="2">
        <v>43845</v>
      </c>
      <c r="B613" s="1" t="s">
        <v>158</v>
      </c>
      <c r="C613" s="1" t="s">
        <v>43</v>
      </c>
      <c r="D613" s="1">
        <v>127</v>
      </c>
      <c r="E613" s="1" t="s">
        <v>36</v>
      </c>
      <c r="F613" s="1">
        <v>123</v>
      </c>
      <c r="G613" s="1" t="s">
        <v>151</v>
      </c>
      <c r="H613" s="1"/>
      <c r="I613" s="1">
        <v>17029</v>
      </c>
      <c r="J613" s="1"/>
    </row>
    <row r="614" spans="1:10" x14ac:dyDescent="0.25">
      <c r="A614" s="2">
        <v>43845</v>
      </c>
      <c r="B614" s="1" t="s">
        <v>153</v>
      </c>
      <c r="C614" s="1" t="s">
        <v>53</v>
      </c>
      <c r="D614" s="1">
        <v>119</v>
      </c>
      <c r="E614" s="1" t="s">
        <v>47</v>
      </c>
      <c r="F614" s="1">
        <v>118</v>
      </c>
      <c r="G614" s="1" t="s">
        <v>151</v>
      </c>
      <c r="H614" s="1"/>
      <c r="I614" s="1">
        <v>18997</v>
      </c>
      <c r="J614" s="1"/>
    </row>
    <row r="615" spans="1:10" x14ac:dyDescent="0.25">
      <c r="A615" s="2">
        <v>43846</v>
      </c>
      <c r="B615" s="1" t="s">
        <v>155</v>
      </c>
      <c r="C615" s="1" t="s">
        <v>26</v>
      </c>
      <c r="D615" s="1">
        <v>121</v>
      </c>
      <c r="E615" s="1" t="s">
        <v>35</v>
      </c>
      <c r="F615" s="1">
        <v>98</v>
      </c>
      <c r="G615" s="1" t="s">
        <v>151</v>
      </c>
      <c r="H615" s="1"/>
      <c r="I615" s="1">
        <v>18215</v>
      </c>
      <c r="J615" s="1"/>
    </row>
    <row r="616" spans="1:10" x14ac:dyDescent="0.25">
      <c r="A616" s="2">
        <v>43846</v>
      </c>
      <c r="B616" s="1" t="s">
        <v>150</v>
      </c>
      <c r="C616" s="1" t="s">
        <v>46</v>
      </c>
      <c r="D616" s="1">
        <v>123</v>
      </c>
      <c r="E616" s="1" t="s">
        <v>39</v>
      </c>
      <c r="F616" s="1">
        <v>128</v>
      </c>
      <c r="G616" s="1" t="s">
        <v>151</v>
      </c>
      <c r="H616" s="1"/>
      <c r="I616" s="1">
        <v>17873</v>
      </c>
      <c r="J616" s="1"/>
    </row>
    <row r="617" spans="1:10" x14ac:dyDescent="0.25">
      <c r="A617" s="2">
        <v>43846</v>
      </c>
      <c r="B617" s="1" t="s">
        <v>150</v>
      </c>
      <c r="C617" s="1" t="s">
        <v>34</v>
      </c>
      <c r="D617" s="1">
        <v>132</v>
      </c>
      <c r="E617" s="1" t="s">
        <v>37</v>
      </c>
      <c r="F617" s="1">
        <v>138</v>
      </c>
      <c r="G617" s="1" t="s">
        <v>151</v>
      </c>
      <c r="H617" s="1" t="s">
        <v>152</v>
      </c>
      <c r="I617" s="1">
        <v>16717</v>
      </c>
      <c r="J617" s="1"/>
    </row>
    <row r="618" spans="1:10" x14ac:dyDescent="0.25">
      <c r="A618" s="2">
        <v>43846</v>
      </c>
      <c r="B618" s="1" t="s">
        <v>153</v>
      </c>
      <c r="C618" s="1" t="s">
        <v>50</v>
      </c>
      <c r="D618" s="1">
        <v>134</v>
      </c>
      <c r="E618" s="1" t="s">
        <v>44</v>
      </c>
      <c r="F618" s="1">
        <v>131</v>
      </c>
      <c r="G618" s="1" t="s">
        <v>151</v>
      </c>
      <c r="H618" s="1" t="s">
        <v>152</v>
      </c>
      <c r="I618" s="1">
        <v>18064</v>
      </c>
      <c r="J618" s="1"/>
    </row>
    <row r="619" spans="1:10" x14ac:dyDescent="0.25">
      <c r="A619" s="2">
        <v>43846</v>
      </c>
      <c r="B619" s="1" t="s">
        <v>153</v>
      </c>
      <c r="C619" s="1" t="s">
        <v>53</v>
      </c>
      <c r="D619" s="1">
        <v>95</v>
      </c>
      <c r="E619" s="1" t="s">
        <v>25</v>
      </c>
      <c r="F619" s="1">
        <v>122</v>
      </c>
      <c r="G619" s="1" t="s">
        <v>151</v>
      </c>
      <c r="H619" s="1"/>
      <c r="I619" s="1">
        <v>19068</v>
      </c>
      <c r="J619" s="1"/>
    </row>
    <row r="620" spans="1:10" x14ac:dyDescent="0.25">
      <c r="A620" s="2">
        <v>43847</v>
      </c>
      <c r="B620" s="1" t="s">
        <v>154</v>
      </c>
      <c r="C620" s="1" t="s">
        <v>42</v>
      </c>
      <c r="D620" s="1">
        <v>114</v>
      </c>
      <c r="E620" s="1" t="s">
        <v>51</v>
      </c>
      <c r="F620" s="1">
        <v>116</v>
      </c>
      <c r="G620" s="1" t="s">
        <v>151</v>
      </c>
      <c r="H620" s="1"/>
      <c r="I620" s="1">
        <v>16248</v>
      </c>
      <c r="J620" s="1"/>
    </row>
    <row r="621" spans="1:10" x14ac:dyDescent="0.25">
      <c r="A621" s="2">
        <v>43847</v>
      </c>
      <c r="B621" s="1" t="s">
        <v>154</v>
      </c>
      <c r="C621" s="1" t="s">
        <v>31</v>
      </c>
      <c r="D621" s="1">
        <v>89</v>
      </c>
      <c r="E621" s="1" t="s">
        <v>45</v>
      </c>
      <c r="F621" s="1">
        <v>100</v>
      </c>
      <c r="G621" s="1" t="s">
        <v>151</v>
      </c>
      <c r="H621" s="1"/>
      <c r="I621" s="1">
        <v>20919</v>
      </c>
      <c r="J621" s="1"/>
    </row>
    <row r="622" spans="1:10" x14ac:dyDescent="0.25">
      <c r="A622" s="2">
        <v>43847</v>
      </c>
      <c r="B622" s="1" t="s">
        <v>154</v>
      </c>
      <c r="C622" s="1" t="s">
        <v>40</v>
      </c>
      <c r="D622" s="1">
        <v>111</v>
      </c>
      <c r="E622" s="1" t="s">
        <v>27</v>
      </c>
      <c r="F622" s="1">
        <v>140</v>
      </c>
      <c r="G622" s="1" t="s">
        <v>151</v>
      </c>
      <c r="H622" s="1"/>
      <c r="I622" s="1">
        <v>19800</v>
      </c>
      <c r="J622" s="1"/>
    </row>
    <row r="623" spans="1:10" x14ac:dyDescent="0.25">
      <c r="A623" s="2">
        <v>43847</v>
      </c>
      <c r="B623" s="1" t="s">
        <v>150</v>
      </c>
      <c r="C623" s="1" t="s">
        <v>49</v>
      </c>
      <c r="D623" s="1">
        <v>109</v>
      </c>
      <c r="E623" s="1" t="s">
        <v>48</v>
      </c>
      <c r="F623" s="1">
        <v>113</v>
      </c>
      <c r="G623" s="1" t="s">
        <v>151</v>
      </c>
      <c r="H623" s="1"/>
      <c r="I623" s="1">
        <v>17102</v>
      </c>
      <c r="J623" s="1"/>
    </row>
    <row r="624" spans="1:10" x14ac:dyDescent="0.25">
      <c r="A624" s="2">
        <v>43847</v>
      </c>
      <c r="B624" s="1" t="s">
        <v>150</v>
      </c>
      <c r="C624" s="1" t="s">
        <v>41</v>
      </c>
      <c r="D624" s="1">
        <v>115</v>
      </c>
      <c r="E624" s="1" t="s">
        <v>33</v>
      </c>
      <c r="F624" s="1">
        <v>108</v>
      </c>
      <c r="G624" s="1" t="s">
        <v>151</v>
      </c>
      <c r="H624" s="1"/>
      <c r="I624" s="1">
        <v>18203</v>
      </c>
      <c r="J624" s="1"/>
    </row>
    <row r="625" spans="1:10" x14ac:dyDescent="0.25">
      <c r="A625" s="2">
        <v>43847</v>
      </c>
      <c r="B625" s="1" t="s">
        <v>156</v>
      </c>
      <c r="C625" s="1" t="s">
        <v>52</v>
      </c>
      <c r="D625" s="1">
        <v>121</v>
      </c>
      <c r="E625" s="1" t="s">
        <v>54</v>
      </c>
      <c r="F625" s="1">
        <v>120</v>
      </c>
      <c r="G625" s="1" t="s">
        <v>151</v>
      </c>
      <c r="H625" s="1"/>
      <c r="I625" s="1">
        <v>18354</v>
      </c>
      <c r="J625" s="1"/>
    </row>
    <row r="626" spans="1:10" x14ac:dyDescent="0.25">
      <c r="A626" s="2">
        <v>43847</v>
      </c>
      <c r="B626" s="1" t="s">
        <v>162</v>
      </c>
      <c r="C626" s="1" t="s">
        <v>28</v>
      </c>
      <c r="D626" s="1">
        <v>112</v>
      </c>
      <c r="E626" s="1" t="s">
        <v>43</v>
      </c>
      <c r="F626" s="1">
        <v>120</v>
      </c>
      <c r="G626" s="1" t="s">
        <v>151</v>
      </c>
      <c r="H626" s="1"/>
      <c r="I626" s="1">
        <v>20283</v>
      </c>
      <c r="J626" s="1"/>
    </row>
    <row r="627" spans="1:10" x14ac:dyDescent="0.25">
      <c r="A627" s="2">
        <v>43848</v>
      </c>
      <c r="B627" s="1" t="s">
        <v>160</v>
      </c>
      <c r="C627" s="1" t="s">
        <v>25</v>
      </c>
      <c r="D627" s="1">
        <v>133</v>
      </c>
      <c r="E627" s="1" t="s">
        <v>37</v>
      </c>
      <c r="F627" s="1">
        <v>130</v>
      </c>
      <c r="G627" s="1" t="s">
        <v>151</v>
      </c>
      <c r="H627" s="1"/>
      <c r="I627" s="1">
        <v>17959</v>
      </c>
      <c r="J627" s="1"/>
    </row>
    <row r="628" spans="1:10" x14ac:dyDescent="0.25">
      <c r="A628" s="2">
        <v>43848</v>
      </c>
      <c r="B628" s="1" t="s">
        <v>161</v>
      </c>
      <c r="C628" s="1" t="s">
        <v>39</v>
      </c>
      <c r="D628" s="1">
        <v>117</v>
      </c>
      <c r="E628" s="1" t="s">
        <v>38</v>
      </c>
      <c r="F628" s="1">
        <v>97</v>
      </c>
      <c r="G628" s="1" t="s">
        <v>151</v>
      </c>
      <c r="H628" s="1"/>
      <c r="I628" s="1">
        <v>17732</v>
      </c>
      <c r="J628" s="1"/>
    </row>
    <row r="629" spans="1:10" x14ac:dyDescent="0.25">
      <c r="A629" s="2">
        <v>43848</v>
      </c>
      <c r="B629" s="1" t="s">
        <v>154</v>
      </c>
      <c r="C629" s="1" t="s">
        <v>26</v>
      </c>
      <c r="D629" s="1">
        <v>123</v>
      </c>
      <c r="E629" s="1" t="s">
        <v>46</v>
      </c>
      <c r="F629" s="1">
        <v>119</v>
      </c>
      <c r="G629" s="1" t="s">
        <v>151</v>
      </c>
      <c r="H629" s="1"/>
      <c r="I629" s="1">
        <v>19156</v>
      </c>
      <c r="J629" s="1"/>
    </row>
    <row r="630" spans="1:10" x14ac:dyDescent="0.25">
      <c r="A630" s="2">
        <v>43848</v>
      </c>
      <c r="B630" s="1" t="s">
        <v>155</v>
      </c>
      <c r="C630" s="1" t="s">
        <v>30</v>
      </c>
      <c r="D630" s="1">
        <v>136</v>
      </c>
      <c r="E630" s="1" t="s">
        <v>52</v>
      </c>
      <c r="F630" s="1">
        <v>103</v>
      </c>
      <c r="G630" s="1" t="s">
        <v>151</v>
      </c>
      <c r="H630" s="1"/>
      <c r="I630" s="1">
        <v>17056</v>
      </c>
      <c r="J630" s="1"/>
    </row>
    <row r="631" spans="1:10" x14ac:dyDescent="0.25">
      <c r="A631" s="2">
        <v>43848</v>
      </c>
      <c r="B631" s="1" t="s">
        <v>155</v>
      </c>
      <c r="C631" s="1" t="s">
        <v>45</v>
      </c>
      <c r="D631" s="1">
        <v>90</v>
      </c>
      <c r="E631" s="1" t="s">
        <v>35</v>
      </c>
      <c r="F631" s="1">
        <v>87</v>
      </c>
      <c r="G631" s="1" t="s">
        <v>151</v>
      </c>
      <c r="H631" s="1"/>
      <c r="I631" s="1">
        <v>17812</v>
      </c>
      <c r="J631" s="1"/>
    </row>
    <row r="632" spans="1:10" x14ac:dyDescent="0.25">
      <c r="A632" s="2">
        <v>43848</v>
      </c>
      <c r="B632" s="1" t="s">
        <v>150</v>
      </c>
      <c r="C632" s="1" t="s">
        <v>49</v>
      </c>
      <c r="D632" s="1">
        <v>116</v>
      </c>
      <c r="E632" s="1" t="s">
        <v>31</v>
      </c>
      <c r="F632" s="1">
        <v>118</v>
      </c>
      <c r="G632" s="1" t="s">
        <v>151</v>
      </c>
      <c r="H632" s="1"/>
      <c r="I632" s="1">
        <v>19939</v>
      </c>
      <c r="J632" s="1"/>
    </row>
    <row r="633" spans="1:10" x14ac:dyDescent="0.25">
      <c r="A633" s="2">
        <v>43848</v>
      </c>
      <c r="B633" s="1" t="s">
        <v>150</v>
      </c>
      <c r="C633" s="1" t="s">
        <v>27</v>
      </c>
      <c r="D633" s="1">
        <v>122</v>
      </c>
      <c r="E633" s="1" t="s">
        <v>42</v>
      </c>
      <c r="F633" s="1">
        <v>112</v>
      </c>
      <c r="G633" s="1" t="s">
        <v>151</v>
      </c>
      <c r="H633" s="1"/>
      <c r="I633" s="1">
        <v>16520</v>
      </c>
      <c r="J633" s="1"/>
    </row>
    <row r="634" spans="1:10" x14ac:dyDescent="0.25">
      <c r="A634" s="2">
        <v>43848</v>
      </c>
      <c r="B634" s="1" t="s">
        <v>156</v>
      </c>
      <c r="C634" s="1" t="s">
        <v>53</v>
      </c>
      <c r="D634" s="1">
        <v>95</v>
      </c>
      <c r="E634" s="1" t="s">
        <v>44</v>
      </c>
      <c r="F634" s="1">
        <v>109</v>
      </c>
      <c r="G634" s="1" t="s">
        <v>151</v>
      </c>
      <c r="H634" s="1"/>
      <c r="I634" s="1">
        <v>18064</v>
      </c>
      <c r="J634" s="1"/>
    </row>
    <row r="635" spans="1:10" x14ac:dyDescent="0.25">
      <c r="A635" s="2">
        <v>43848</v>
      </c>
      <c r="B635" s="1" t="s">
        <v>156</v>
      </c>
      <c r="C635" s="1" t="s">
        <v>47</v>
      </c>
      <c r="D635" s="1">
        <v>124</v>
      </c>
      <c r="E635" s="1" t="s">
        <v>32</v>
      </c>
      <c r="F635" s="1">
        <v>115</v>
      </c>
      <c r="G635" s="1" t="s">
        <v>151</v>
      </c>
      <c r="H635" s="1"/>
      <c r="I635" s="1">
        <v>18502</v>
      </c>
      <c r="J635" s="1"/>
    </row>
    <row r="636" spans="1:10" x14ac:dyDescent="0.25">
      <c r="A636" s="2">
        <v>43848</v>
      </c>
      <c r="B636" s="1" t="s">
        <v>157</v>
      </c>
      <c r="C636" s="1" t="s">
        <v>28</v>
      </c>
      <c r="D636" s="1">
        <v>106</v>
      </c>
      <c r="E636" s="1" t="s">
        <v>33</v>
      </c>
      <c r="F636" s="1">
        <v>119</v>
      </c>
      <c r="G636" s="1" t="s">
        <v>151</v>
      </c>
      <c r="H636" s="1"/>
      <c r="I636" s="1">
        <v>18203</v>
      </c>
      <c r="J636" s="1"/>
    </row>
    <row r="637" spans="1:10" x14ac:dyDescent="0.25">
      <c r="A637" s="2">
        <v>43848</v>
      </c>
      <c r="B637" s="1" t="s">
        <v>157</v>
      </c>
      <c r="C637" s="1" t="s">
        <v>36</v>
      </c>
      <c r="D637" s="1">
        <v>101</v>
      </c>
      <c r="E637" s="1" t="s">
        <v>34</v>
      </c>
      <c r="F637" s="1">
        <v>123</v>
      </c>
      <c r="G637" s="1" t="s">
        <v>151</v>
      </c>
      <c r="H637" s="1"/>
      <c r="I637" s="1">
        <v>18306</v>
      </c>
      <c r="J637" s="1"/>
    </row>
    <row r="638" spans="1:10" x14ac:dyDescent="0.25">
      <c r="A638" s="2">
        <v>43849</v>
      </c>
      <c r="B638" s="1" t="s">
        <v>261</v>
      </c>
      <c r="C638" s="1" t="s">
        <v>41</v>
      </c>
      <c r="D638" s="1">
        <v>102</v>
      </c>
      <c r="E638" s="1" t="s">
        <v>54</v>
      </c>
      <c r="F638" s="1">
        <v>107</v>
      </c>
      <c r="G638" s="1" t="s">
        <v>151</v>
      </c>
      <c r="H638" s="1"/>
      <c r="I638" s="1">
        <v>18422</v>
      </c>
      <c r="J638" s="1"/>
    </row>
    <row r="639" spans="1:10" x14ac:dyDescent="0.25">
      <c r="A639" s="2">
        <v>43849</v>
      </c>
      <c r="B639" s="1" t="s">
        <v>150</v>
      </c>
      <c r="C639" s="1" t="s">
        <v>51</v>
      </c>
      <c r="D639" s="1">
        <v>115</v>
      </c>
      <c r="E639" s="1" t="s">
        <v>50</v>
      </c>
      <c r="F639" s="1">
        <v>107</v>
      </c>
      <c r="G639" s="1" t="s">
        <v>151</v>
      </c>
      <c r="H639" s="1"/>
      <c r="I639" s="1">
        <v>19520</v>
      </c>
      <c r="J639" s="1"/>
    </row>
    <row r="640" spans="1:10" x14ac:dyDescent="0.25">
      <c r="A640" s="2">
        <v>43850</v>
      </c>
      <c r="B640" s="1" t="s">
        <v>821</v>
      </c>
      <c r="C640" s="1" t="s">
        <v>30</v>
      </c>
      <c r="D640" s="1">
        <v>100</v>
      </c>
      <c r="E640" s="1" t="s">
        <v>40</v>
      </c>
      <c r="F640" s="1">
        <v>106</v>
      </c>
      <c r="G640" s="1" t="s">
        <v>151</v>
      </c>
      <c r="H640" s="1"/>
      <c r="I640" s="1">
        <v>17305</v>
      </c>
      <c r="J640" s="1"/>
    </row>
    <row r="641" spans="1:10" x14ac:dyDescent="0.25">
      <c r="A641" s="2">
        <v>43850</v>
      </c>
      <c r="B641" s="1" t="s">
        <v>823</v>
      </c>
      <c r="C641" s="1" t="s">
        <v>27</v>
      </c>
      <c r="D641" s="1">
        <v>122</v>
      </c>
      <c r="E641" s="1" t="s">
        <v>52</v>
      </c>
      <c r="F641" s="1">
        <v>117</v>
      </c>
      <c r="G641" s="1" t="s">
        <v>151</v>
      </c>
      <c r="H641" s="1"/>
      <c r="I641" s="1">
        <v>17300</v>
      </c>
      <c r="J641" s="1"/>
    </row>
    <row r="642" spans="1:10" x14ac:dyDescent="0.25">
      <c r="A642" s="2">
        <v>43850</v>
      </c>
      <c r="B642" s="1" t="s">
        <v>261</v>
      </c>
      <c r="C642" s="1" t="s">
        <v>45</v>
      </c>
      <c r="D642" s="1">
        <v>117</v>
      </c>
      <c r="E642" s="1" t="s">
        <v>38</v>
      </c>
      <c r="F642" s="1">
        <v>111</v>
      </c>
      <c r="G642" s="1" t="s">
        <v>151</v>
      </c>
      <c r="H642" s="1"/>
      <c r="I642" s="1">
        <v>16801</v>
      </c>
      <c r="J642" s="1"/>
    </row>
    <row r="643" spans="1:10" x14ac:dyDescent="0.25">
      <c r="A643" s="2">
        <v>43850</v>
      </c>
      <c r="B643" s="1" t="s">
        <v>159</v>
      </c>
      <c r="C643" s="1" t="s">
        <v>53</v>
      </c>
      <c r="D643" s="1">
        <v>106</v>
      </c>
      <c r="E643" s="1" t="s">
        <v>29</v>
      </c>
      <c r="F643" s="1">
        <v>83</v>
      </c>
      <c r="G643" s="1" t="s">
        <v>151</v>
      </c>
      <c r="H643" s="1"/>
      <c r="I643" s="1">
        <v>16133</v>
      </c>
      <c r="J643" s="1"/>
    </row>
    <row r="644" spans="1:10" x14ac:dyDescent="0.25">
      <c r="A644" s="2">
        <v>43850</v>
      </c>
      <c r="B644" s="1" t="s">
        <v>159</v>
      </c>
      <c r="C644" s="1" t="s">
        <v>35</v>
      </c>
      <c r="D644" s="1">
        <v>106</v>
      </c>
      <c r="E644" s="1" t="s">
        <v>49</v>
      </c>
      <c r="F644" s="1">
        <v>86</v>
      </c>
      <c r="G644" s="1" t="s">
        <v>151</v>
      </c>
      <c r="H644" s="1"/>
      <c r="I644" s="1">
        <v>17133</v>
      </c>
      <c r="J644" s="1"/>
    </row>
    <row r="645" spans="1:10" x14ac:dyDescent="0.25">
      <c r="A645" s="2">
        <v>43850</v>
      </c>
      <c r="B645" s="1" t="s">
        <v>159</v>
      </c>
      <c r="C645" s="1" t="s">
        <v>33</v>
      </c>
      <c r="D645" s="1">
        <v>112</v>
      </c>
      <c r="E645" s="1" t="s">
        <v>32</v>
      </c>
      <c r="F645" s="1">
        <v>107</v>
      </c>
      <c r="G645" s="1" t="s">
        <v>151</v>
      </c>
      <c r="H645" s="1"/>
      <c r="I645" s="1">
        <v>18055</v>
      </c>
      <c r="J645" s="1"/>
    </row>
    <row r="646" spans="1:10" x14ac:dyDescent="0.25">
      <c r="A646" s="2">
        <v>43850</v>
      </c>
      <c r="B646" s="1" t="s">
        <v>159</v>
      </c>
      <c r="C646" s="1" t="s">
        <v>37</v>
      </c>
      <c r="D646" s="1">
        <v>126</v>
      </c>
      <c r="E646" s="1" t="s">
        <v>48</v>
      </c>
      <c r="F646" s="1">
        <v>116</v>
      </c>
      <c r="G646" s="1" t="s">
        <v>151</v>
      </c>
      <c r="H646" s="1"/>
      <c r="I646" s="1">
        <v>17794</v>
      </c>
      <c r="J646" s="1"/>
    </row>
    <row r="647" spans="1:10" x14ac:dyDescent="0.25">
      <c r="A647" s="2">
        <v>43850</v>
      </c>
      <c r="B647" s="1" t="s">
        <v>159</v>
      </c>
      <c r="C647" s="1" t="s">
        <v>36</v>
      </c>
      <c r="D647" s="1">
        <v>113</v>
      </c>
      <c r="E647" s="1" t="s">
        <v>41</v>
      </c>
      <c r="F647" s="1">
        <v>118</v>
      </c>
      <c r="G647" s="1" t="s">
        <v>151</v>
      </c>
      <c r="H647" s="1" t="s">
        <v>152</v>
      </c>
      <c r="I647" s="1">
        <v>19600</v>
      </c>
      <c r="J647" s="1"/>
    </row>
    <row r="648" spans="1:10" x14ac:dyDescent="0.25">
      <c r="A648" s="2">
        <v>43850</v>
      </c>
      <c r="B648" s="1" t="s">
        <v>159</v>
      </c>
      <c r="C648" s="1" t="s">
        <v>31</v>
      </c>
      <c r="D648" s="1">
        <v>98</v>
      </c>
      <c r="E648" s="1" t="s">
        <v>39</v>
      </c>
      <c r="F648" s="1">
        <v>111</v>
      </c>
      <c r="G648" s="1" t="s">
        <v>151</v>
      </c>
      <c r="H648" s="1"/>
      <c r="I648" s="1">
        <v>17747</v>
      </c>
      <c r="J648" s="1"/>
    </row>
    <row r="649" spans="1:10" x14ac:dyDescent="0.25">
      <c r="A649" s="2">
        <v>43850</v>
      </c>
      <c r="B649" s="1" t="s">
        <v>155</v>
      </c>
      <c r="C649" s="1" t="s">
        <v>47</v>
      </c>
      <c r="D649" s="1">
        <v>107</v>
      </c>
      <c r="E649" s="1" t="s">
        <v>46</v>
      </c>
      <c r="F649" s="1">
        <v>139</v>
      </c>
      <c r="G649" s="1" t="s">
        <v>151</v>
      </c>
      <c r="H649" s="1"/>
      <c r="I649" s="1">
        <v>19156</v>
      </c>
      <c r="J649" s="1"/>
    </row>
    <row r="650" spans="1:10" x14ac:dyDescent="0.25">
      <c r="A650" s="2">
        <v>43850</v>
      </c>
      <c r="B650" s="1" t="s">
        <v>150</v>
      </c>
      <c r="C650" s="1" t="s">
        <v>50</v>
      </c>
      <c r="D650" s="1">
        <v>107</v>
      </c>
      <c r="E650" s="1" t="s">
        <v>42</v>
      </c>
      <c r="F650" s="1">
        <v>100</v>
      </c>
      <c r="G650" s="1" t="s">
        <v>151</v>
      </c>
      <c r="H650" s="1"/>
      <c r="I650" s="1">
        <v>12172</v>
      </c>
      <c r="J650" s="1"/>
    </row>
    <row r="651" spans="1:10" x14ac:dyDescent="0.25">
      <c r="A651" s="2">
        <v>43850</v>
      </c>
      <c r="B651" s="1" t="s">
        <v>157</v>
      </c>
      <c r="C651" s="1" t="s">
        <v>54</v>
      </c>
      <c r="D651" s="1">
        <v>120</v>
      </c>
      <c r="E651" s="1" t="s">
        <v>26</v>
      </c>
      <c r="F651" s="1">
        <v>118</v>
      </c>
      <c r="G651" s="1" t="s">
        <v>151</v>
      </c>
      <c r="H651" s="1"/>
      <c r="I651" s="1">
        <v>14847</v>
      </c>
      <c r="J651" s="1"/>
    </row>
    <row r="652" spans="1:10" x14ac:dyDescent="0.25">
      <c r="A652" s="2">
        <v>43850</v>
      </c>
      <c r="B652" s="1" t="s">
        <v>157</v>
      </c>
      <c r="C652" s="1" t="s">
        <v>51</v>
      </c>
      <c r="D652" s="1">
        <v>88</v>
      </c>
      <c r="E652" s="1" t="s">
        <v>34</v>
      </c>
      <c r="F652" s="1">
        <v>118</v>
      </c>
      <c r="G652" s="1" t="s">
        <v>151</v>
      </c>
      <c r="H652" s="1"/>
      <c r="I652" s="1">
        <v>18306</v>
      </c>
      <c r="J652" s="1"/>
    </row>
    <row r="653" spans="1:10" x14ac:dyDescent="0.25">
      <c r="A653" s="2">
        <v>43850</v>
      </c>
      <c r="B653" s="1" t="s">
        <v>158</v>
      </c>
      <c r="C653" s="1" t="s">
        <v>44</v>
      </c>
      <c r="D653" s="1">
        <v>124</v>
      </c>
      <c r="E653" s="1" t="s">
        <v>28</v>
      </c>
      <c r="F653" s="1">
        <v>129</v>
      </c>
      <c r="G653" s="1" t="s">
        <v>151</v>
      </c>
      <c r="H653" s="1" t="s">
        <v>152</v>
      </c>
      <c r="I653" s="1">
        <v>19493</v>
      </c>
      <c r="J653" s="1"/>
    </row>
    <row r="654" spans="1:10" x14ac:dyDescent="0.25">
      <c r="A654" s="2">
        <v>43851</v>
      </c>
      <c r="B654" s="1" t="s">
        <v>156</v>
      </c>
      <c r="C654" s="1" t="s">
        <v>25</v>
      </c>
      <c r="D654" s="1">
        <v>110</v>
      </c>
      <c r="E654" s="1" t="s">
        <v>43</v>
      </c>
      <c r="F654" s="1">
        <v>107</v>
      </c>
      <c r="G654" s="1" t="s">
        <v>151</v>
      </c>
      <c r="H654" s="1"/>
      <c r="I654" s="1">
        <v>19783</v>
      </c>
      <c r="J654" s="1"/>
    </row>
    <row r="655" spans="1:10" x14ac:dyDescent="0.25">
      <c r="A655" s="2">
        <v>43852</v>
      </c>
      <c r="B655" s="1" t="s">
        <v>154</v>
      </c>
      <c r="C655" s="1" t="s">
        <v>36</v>
      </c>
      <c r="D655" s="1">
        <v>106</v>
      </c>
      <c r="E655" s="1" t="s">
        <v>30</v>
      </c>
      <c r="F655" s="1">
        <v>127</v>
      </c>
      <c r="G655" s="1" t="s">
        <v>151</v>
      </c>
      <c r="H655" s="1"/>
      <c r="I655" s="1">
        <v>13972</v>
      </c>
      <c r="J655" s="1"/>
    </row>
    <row r="656" spans="1:10" x14ac:dyDescent="0.25">
      <c r="A656" s="2">
        <v>43852</v>
      </c>
      <c r="B656" s="1" t="s">
        <v>154</v>
      </c>
      <c r="C656" s="1" t="s">
        <v>33</v>
      </c>
      <c r="D656" s="1">
        <v>120</v>
      </c>
      <c r="E656" s="1" t="s">
        <v>53</v>
      </c>
      <c r="F656" s="1">
        <v>114</v>
      </c>
      <c r="G656" s="1" t="s">
        <v>151</v>
      </c>
      <c r="H656" s="1"/>
      <c r="I656" s="1">
        <v>18846</v>
      </c>
      <c r="J656" s="1"/>
    </row>
    <row r="657" spans="1:10" x14ac:dyDescent="0.25">
      <c r="A657" s="2">
        <v>43852</v>
      </c>
      <c r="B657" s="1" t="s">
        <v>154</v>
      </c>
      <c r="C657" s="1" t="s">
        <v>45</v>
      </c>
      <c r="D657" s="1">
        <v>95</v>
      </c>
      <c r="E657" s="1" t="s">
        <v>27</v>
      </c>
      <c r="F657" s="1">
        <v>107</v>
      </c>
      <c r="G657" s="1" t="s">
        <v>151</v>
      </c>
      <c r="H657" s="1"/>
      <c r="I657" s="1">
        <v>19800</v>
      </c>
      <c r="J657" s="1"/>
    </row>
    <row r="658" spans="1:10" x14ac:dyDescent="0.25">
      <c r="A658" s="2">
        <v>43852</v>
      </c>
      <c r="B658" s="1" t="s">
        <v>155</v>
      </c>
      <c r="C658" s="1" t="s">
        <v>25</v>
      </c>
      <c r="D658" s="1">
        <v>95</v>
      </c>
      <c r="E658" s="1" t="s">
        <v>52</v>
      </c>
      <c r="F658" s="1">
        <v>102</v>
      </c>
      <c r="G658" s="1" t="s">
        <v>151</v>
      </c>
      <c r="H658" s="1"/>
      <c r="I658" s="1">
        <v>14338</v>
      </c>
      <c r="J658" s="1"/>
    </row>
    <row r="659" spans="1:10" x14ac:dyDescent="0.25">
      <c r="A659" s="2">
        <v>43852</v>
      </c>
      <c r="B659" s="1" t="s">
        <v>155</v>
      </c>
      <c r="C659" s="1" t="s">
        <v>48</v>
      </c>
      <c r="D659" s="1">
        <v>95</v>
      </c>
      <c r="E659" s="1" t="s">
        <v>46</v>
      </c>
      <c r="F659" s="1">
        <v>119</v>
      </c>
      <c r="G659" s="1" t="s">
        <v>151</v>
      </c>
      <c r="H659" s="1"/>
      <c r="I659" s="1">
        <v>19156</v>
      </c>
      <c r="J659" s="1"/>
    </row>
    <row r="660" spans="1:10" x14ac:dyDescent="0.25">
      <c r="A660" s="2">
        <v>43852</v>
      </c>
      <c r="B660" s="1" t="s">
        <v>155</v>
      </c>
      <c r="C660" s="1" t="s">
        <v>40</v>
      </c>
      <c r="D660" s="1">
        <v>129</v>
      </c>
      <c r="E660" s="1" t="s">
        <v>41</v>
      </c>
      <c r="F660" s="1">
        <v>134</v>
      </c>
      <c r="G660" s="1" t="s">
        <v>151</v>
      </c>
      <c r="H660" s="1" t="s">
        <v>152</v>
      </c>
      <c r="I660" s="1">
        <v>19600</v>
      </c>
      <c r="J660" s="1"/>
    </row>
    <row r="661" spans="1:10" x14ac:dyDescent="0.25">
      <c r="A661" s="2">
        <v>43852</v>
      </c>
      <c r="B661" s="1" t="s">
        <v>155</v>
      </c>
      <c r="C661" s="1" t="s">
        <v>47</v>
      </c>
      <c r="D661" s="1">
        <v>100</v>
      </c>
      <c r="E661" s="1" t="s">
        <v>35</v>
      </c>
      <c r="F661" s="1">
        <v>92</v>
      </c>
      <c r="G661" s="1" t="s">
        <v>151</v>
      </c>
      <c r="H661" s="1"/>
      <c r="I661" s="1">
        <v>19812</v>
      </c>
      <c r="J661" s="1"/>
    </row>
    <row r="662" spans="1:10" x14ac:dyDescent="0.25">
      <c r="A662" s="2">
        <v>43852</v>
      </c>
      <c r="B662" s="1" t="s">
        <v>150</v>
      </c>
      <c r="C662" s="1" t="s">
        <v>42</v>
      </c>
      <c r="D662" s="1">
        <v>110</v>
      </c>
      <c r="E662" s="1" t="s">
        <v>31</v>
      </c>
      <c r="F662" s="1">
        <v>117</v>
      </c>
      <c r="G662" s="1" t="s">
        <v>151</v>
      </c>
      <c r="H662" s="1"/>
      <c r="I662" s="1">
        <v>18875</v>
      </c>
      <c r="J662" s="1"/>
    </row>
    <row r="663" spans="1:10" x14ac:dyDescent="0.25">
      <c r="A663" s="2">
        <v>43852</v>
      </c>
      <c r="B663" s="1" t="s">
        <v>150</v>
      </c>
      <c r="C663" s="1" t="s">
        <v>50</v>
      </c>
      <c r="D663" s="1">
        <v>105</v>
      </c>
      <c r="E663" s="1" t="s">
        <v>32</v>
      </c>
      <c r="F663" s="1">
        <v>121</v>
      </c>
      <c r="G663" s="1" t="s">
        <v>151</v>
      </c>
      <c r="H663" s="1"/>
      <c r="I663" s="1">
        <v>18055</v>
      </c>
      <c r="J663" s="1"/>
    </row>
    <row r="664" spans="1:10" x14ac:dyDescent="0.25">
      <c r="A664" s="2">
        <v>43852</v>
      </c>
      <c r="B664" s="1" t="s">
        <v>157</v>
      </c>
      <c r="C664" s="1" t="s">
        <v>51</v>
      </c>
      <c r="D664" s="1">
        <v>112</v>
      </c>
      <c r="E664" s="1" t="s">
        <v>26</v>
      </c>
      <c r="F664" s="1">
        <v>87</v>
      </c>
      <c r="G664" s="1" t="s">
        <v>151</v>
      </c>
      <c r="H664" s="1"/>
      <c r="I664" s="1">
        <v>14691</v>
      </c>
      <c r="J664" s="1"/>
    </row>
    <row r="665" spans="1:10" x14ac:dyDescent="0.25">
      <c r="A665" s="2">
        <v>43852</v>
      </c>
      <c r="B665" s="1" t="s">
        <v>162</v>
      </c>
      <c r="C665" s="1" t="s">
        <v>54</v>
      </c>
      <c r="D665" s="1">
        <v>121</v>
      </c>
      <c r="E665" s="1" t="s">
        <v>37</v>
      </c>
      <c r="F665" s="1">
        <v>117</v>
      </c>
      <c r="G665" s="1" t="s">
        <v>151</v>
      </c>
      <c r="H665" s="1"/>
      <c r="I665" s="1">
        <v>18365</v>
      </c>
      <c r="J665" s="1"/>
    </row>
    <row r="666" spans="1:10" x14ac:dyDescent="0.25">
      <c r="A666" s="2">
        <v>43852</v>
      </c>
      <c r="B666" s="1" t="s">
        <v>158</v>
      </c>
      <c r="C666" s="1" t="s">
        <v>34</v>
      </c>
      <c r="D666" s="1">
        <v>129</v>
      </c>
      <c r="E666" s="1" t="s">
        <v>44</v>
      </c>
      <c r="F666" s="1">
        <v>96</v>
      </c>
      <c r="G666" s="1" t="s">
        <v>151</v>
      </c>
      <c r="H666" s="1"/>
      <c r="I666" s="1">
        <v>18064</v>
      </c>
      <c r="J666" s="1"/>
    </row>
    <row r="667" spans="1:10" x14ac:dyDescent="0.25">
      <c r="A667" s="2">
        <v>43853</v>
      </c>
      <c r="B667" s="1" t="s">
        <v>154</v>
      </c>
      <c r="C667" s="1" t="s">
        <v>40</v>
      </c>
      <c r="D667" s="1">
        <v>124</v>
      </c>
      <c r="E667" s="1" t="s">
        <v>49</v>
      </c>
      <c r="F667" s="1">
        <v>112</v>
      </c>
      <c r="G667" s="1" t="s">
        <v>151</v>
      </c>
      <c r="H667" s="1"/>
      <c r="I667" s="1">
        <v>16689</v>
      </c>
      <c r="J667" s="1"/>
    </row>
    <row r="668" spans="1:10" x14ac:dyDescent="0.25">
      <c r="A668" s="2">
        <v>43853</v>
      </c>
      <c r="B668" s="1" t="s">
        <v>150</v>
      </c>
      <c r="C668" s="1" t="s">
        <v>47</v>
      </c>
      <c r="D668" s="1">
        <v>128</v>
      </c>
      <c r="E668" s="1" t="s">
        <v>38</v>
      </c>
      <c r="F668" s="1">
        <v>113</v>
      </c>
      <c r="G668" s="1" t="s">
        <v>151</v>
      </c>
      <c r="H668" s="1"/>
      <c r="I668" s="1">
        <v>17732</v>
      </c>
      <c r="J668" s="1"/>
    </row>
    <row r="669" spans="1:10" x14ac:dyDescent="0.25">
      <c r="A669" s="2">
        <v>43853</v>
      </c>
      <c r="B669" s="1" t="s">
        <v>153</v>
      </c>
      <c r="C669" s="1" t="s">
        <v>43</v>
      </c>
      <c r="D669" s="1">
        <v>133</v>
      </c>
      <c r="E669" s="1" t="s">
        <v>28</v>
      </c>
      <c r="F669" s="1">
        <v>125</v>
      </c>
      <c r="G669" s="1" t="s">
        <v>151</v>
      </c>
      <c r="H669" s="1"/>
      <c r="I669" s="1">
        <v>19574</v>
      </c>
      <c r="J669" s="1"/>
    </row>
    <row r="670" spans="1:10" x14ac:dyDescent="0.25">
      <c r="A670" s="2">
        <v>43854</v>
      </c>
      <c r="B670" s="1" t="s">
        <v>261</v>
      </c>
      <c r="C670" s="1" t="s">
        <v>39</v>
      </c>
      <c r="D670" s="1">
        <v>116</v>
      </c>
      <c r="E670" s="1" t="s">
        <v>29</v>
      </c>
      <c r="F670" s="1">
        <v>103</v>
      </c>
      <c r="G670" s="1" t="s">
        <v>151</v>
      </c>
      <c r="H670" s="1"/>
      <c r="I670" s="1">
        <v>15758</v>
      </c>
      <c r="J670" s="1" t="s">
        <v>982</v>
      </c>
    </row>
    <row r="671" spans="1:10" x14ac:dyDescent="0.25">
      <c r="A671" s="2">
        <v>43854</v>
      </c>
      <c r="B671" s="1" t="s">
        <v>154</v>
      </c>
      <c r="C671" s="1" t="s">
        <v>48</v>
      </c>
      <c r="D671" s="1">
        <v>125</v>
      </c>
      <c r="E671" s="1" t="s">
        <v>30</v>
      </c>
      <c r="F671" s="1">
        <v>112</v>
      </c>
      <c r="G671" s="1" t="s">
        <v>151</v>
      </c>
      <c r="H671" s="1"/>
      <c r="I671" s="1">
        <v>14583</v>
      </c>
      <c r="J671" s="1"/>
    </row>
    <row r="672" spans="1:10" x14ac:dyDescent="0.25">
      <c r="A672" s="2">
        <v>43854</v>
      </c>
      <c r="B672" s="1" t="s">
        <v>154</v>
      </c>
      <c r="C672" s="1" t="s">
        <v>46</v>
      </c>
      <c r="D672" s="1">
        <v>109</v>
      </c>
      <c r="E672" s="1" t="s">
        <v>53</v>
      </c>
      <c r="F672" s="1">
        <v>98</v>
      </c>
      <c r="G672" s="1" t="s">
        <v>151</v>
      </c>
      <c r="H672" s="1"/>
      <c r="I672" s="1">
        <v>18846</v>
      </c>
      <c r="J672" s="1"/>
    </row>
    <row r="673" spans="1:10" x14ac:dyDescent="0.25">
      <c r="A673" s="2">
        <v>43854</v>
      </c>
      <c r="B673" s="1" t="s">
        <v>155</v>
      </c>
      <c r="C673" s="1" t="s">
        <v>27</v>
      </c>
      <c r="D673" s="1">
        <v>118</v>
      </c>
      <c r="E673" s="1" t="s">
        <v>35</v>
      </c>
      <c r="F673" s="1">
        <v>112</v>
      </c>
      <c r="G673" s="1" t="s">
        <v>151</v>
      </c>
      <c r="H673" s="1"/>
      <c r="I673" s="1">
        <v>18883</v>
      </c>
      <c r="J673" s="1"/>
    </row>
    <row r="674" spans="1:10" x14ac:dyDescent="0.25">
      <c r="A674" s="2">
        <v>43854</v>
      </c>
      <c r="B674" s="1" t="s">
        <v>150</v>
      </c>
      <c r="C674" s="1" t="s">
        <v>36</v>
      </c>
      <c r="D674" s="1">
        <v>98</v>
      </c>
      <c r="E674" s="1" t="s">
        <v>31</v>
      </c>
      <c r="F674" s="1">
        <v>81</v>
      </c>
      <c r="G674" s="1" t="s">
        <v>151</v>
      </c>
      <c r="H674" s="1"/>
      <c r="I674" s="1">
        <v>17661</v>
      </c>
      <c r="J674" s="1"/>
    </row>
    <row r="675" spans="1:10" x14ac:dyDescent="0.25">
      <c r="A675" s="2">
        <v>43854</v>
      </c>
      <c r="B675" s="1" t="s">
        <v>150</v>
      </c>
      <c r="C675" s="1" t="s">
        <v>25</v>
      </c>
      <c r="D675" s="1">
        <v>122</v>
      </c>
      <c r="E675" s="1" t="s">
        <v>41</v>
      </c>
      <c r="F675" s="1">
        <v>117</v>
      </c>
      <c r="G675" s="1" t="s">
        <v>151</v>
      </c>
      <c r="H675" s="1"/>
      <c r="I675" s="1">
        <v>19632</v>
      </c>
      <c r="J675" s="1"/>
    </row>
    <row r="676" spans="1:10" x14ac:dyDescent="0.25">
      <c r="A676" s="2">
        <v>43854</v>
      </c>
      <c r="B676" s="1" t="s">
        <v>150</v>
      </c>
      <c r="C676" s="1" t="s">
        <v>32</v>
      </c>
      <c r="D676" s="1">
        <v>131</v>
      </c>
      <c r="E676" s="1" t="s">
        <v>42</v>
      </c>
      <c r="F676" s="1">
        <v>124</v>
      </c>
      <c r="G676" s="1" t="s">
        <v>151</v>
      </c>
      <c r="H676" s="1"/>
      <c r="I676" s="1">
        <v>16101</v>
      </c>
      <c r="J676" s="1"/>
    </row>
    <row r="677" spans="1:10" x14ac:dyDescent="0.25">
      <c r="A677" s="2">
        <v>43854</v>
      </c>
      <c r="B677" s="1" t="s">
        <v>150</v>
      </c>
      <c r="C677" s="1" t="s">
        <v>50</v>
      </c>
      <c r="D677" s="1">
        <v>113</v>
      </c>
      <c r="E677" s="1" t="s">
        <v>37</v>
      </c>
      <c r="F677" s="1">
        <v>106</v>
      </c>
      <c r="G677" s="1" t="s">
        <v>151</v>
      </c>
      <c r="H677" s="1"/>
      <c r="I677" s="1">
        <v>16398</v>
      </c>
      <c r="J677" s="1"/>
    </row>
    <row r="678" spans="1:10" x14ac:dyDescent="0.25">
      <c r="A678" s="2">
        <v>43854</v>
      </c>
      <c r="B678" s="1" t="s">
        <v>150</v>
      </c>
      <c r="C678" s="1" t="s">
        <v>52</v>
      </c>
      <c r="D678" s="1">
        <v>111</v>
      </c>
      <c r="E678" s="1" t="s">
        <v>33</v>
      </c>
      <c r="F678" s="1">
        <v>140</v>
      </c>
      <c r="G678" s="1" t="s">
        <v>151</v>
      </c>
      <c r="H678" s="1"/>
      <c r="I678" s="1">
        <v>18203</v>
      </c>
      <c r="J678" s="1"/>
    </row>
    <row r="679" spans="1:10" x14ac:dyDescent="0.25">
      <c r="A679" s="2">
        <v>43854</v>
      </c>
      <c r="B679" s="1" t="s">
        <v>156</v>
      </c>
      <c r="C679" s="1" t="s">
        <v>26</v>
      </c>
      <c r="D679" s="1">
        <v>103</v>
      </c>
      <c r="E679" s="1" t="s">
        <v>54</v>
      </c>
      <c r="F679" s="1">
        <v>99</v>
      </c>
      <c r="G679" s="1" t="s">
        <v>151</v>
      </c>
      <c r="H679" s="1"/>
      <c r="I679" s="1">
        <v>18354</v>
      </c>
      <c r="J679" s="1"/>
    </row>
    <row r="680" spans="1:10" x14ac:dyDescent="0.25">
      <c r="A680" s="2">
        <v>43854</v>
      </c>
      <c r="B680" s="1" t="s">
        <v>153</v>
      </c>
      <c r="C680" s="1" t="s">
        <v>51</v>
      </c>
      <c r="D680" s="1">
        <v>129</v>
      </c>
      <c r="E680" s="1" t="s">
        <v>44</v>
      </c>
      <c r="F680" s="1">
        <v>118</v>
      </c>
      <c r="G680" s="1" t="s">
        <v>151</v>
      </c>
      <c r="H680" s="1"/>
      <c r="I680" s="1">
        <v>18064</v>
      </c>
      <c r="J680" s="1"/>
    </row>
    <row r="681" spans="1:10" x14ac:dyDescent="0.25">
      <c r="A681" s="2">
        <v>43855</v>
      </c>
      <c r="B681" s="1" t="s">
        <v>159</v>
      </c>
      <c r="C681" s="1" t="s">
        <v>43</v>
      </c>
      <c r="D681" s="1">
        <v>107</v>
      </c>
      <c r="E681" s="1" t="s">
        <v>34</v>
      </c>
      <c r="F681" s="1">
        <v>112</v>
      </c>
      <c r="G681" s="1" t="s">
        <v>151</v>
      </c>
      <c r="H681" s="1"/>
      <c r="I681" s="1">
        <v>18306</v>
      </c>
      <c r="J681" s="1"/>
    </row>
    <row r="682" spans="1:10" x14ac:dyDescent="0.25">
      <c r="A682" s="2">
        <v>43855</v>
      </c>
      <c r="B682" s="1" t="s">
        <v>154</v>
      </c>
      <c r="C682" s="1" t="s">
        <v>38</v>
      </c>
      <c r="D682" s="1">
        <v>121</v>
      </c>
      <c r="E682" s="1" t="s">
        <v>30</v>
      </c>
      <c r="F682" s="1">
        <v>111</v>
      </c>
      <c r="G682" s="1" t="s">
        <v>151</v>
      </c>
      <c r="H682" s="1" t="s">
        <v>152</v>
      </c>
      <c r="I682" s="1">
        <v>15890</v>
      </c>
      <c r="J682" s="1"/>
    </row>
    <row r="683" spans="1:10" x14ac:dyDescent="0.25">
      <c r="A683" s="2">
        <v>43855</v>
      </c>
      <c r="B683" s="1" t="s">
        <v>150</v>
      </c>
      <c r="C683" s="1" t="s">
        <v>31</v>
      </c>
      <c r="D683" s="1">
        <v>118</v>
      </c>
      <c r="E683" s="1" t="s">
        <v>49</v>
      </c>
      <c r="F683" s="1">
        <v>106</v>
      </c>
      <c r="G683" s="1" t="s">
        <v>151</v>
      </c>
      <c r="H683" s="1"/>
      <c r="I683" s="1">
        <v>19432</v>
      </c>
      <c r="J683" s="1"/>
    </row>
    <row r="684" spans="1:10" x14ac:dyDescent="0.25">
      <c r="A684" s="2">
        <v>43855</v>
      </c>
      <c r="B684" s="1" t="s">
        <v>150</v>
      </c>
      <c r="C684" s="1" t="s">
        <v>33</v>
      </c>
      <c r="D684" s="1">
        <v>113</v>
      </c>
      <c r="E684" s="1" t="s">
        <v>42</v>
      </c>
      <c r="F684" s="1">
        <v>104</v>
      </c>
      <c r="G684" s="1" t="s">
        <v>151</v>
      </c>
      <c r="H684" s="1"/>
      <c r="I684" s="1">
        <v>16236</v>
      </c>
      <c r="J684" s="1"/>
    </row>
    <row r="685" spans="1:10" x14ac:dyDescent="0.25">
      <c r="A685" s="2">
        <v>43855</v>
      </c>
      <c r="B685" s="1" t="s">
        <v>156</v>
      </c>
      <c r="C685" s="1" t="s">
        <v>47</v>
      </c>
      <c r="D685" s="1">
        <v>91</v>
      </c>
      <c r="E685" s="1" t="s">
        <v>45</v>
      </c>
      <c r="F685" s="1">
        <v>108</v>
      </c>
      <c r="G685" s="1" t="s">
        <v>151</v>
      </c>
      <c r="H685" s="1"/>
      <c r="I685" s="1">
        <v>21109</v>
      </c>
      <c r="J685" s="1"/>
    </row>
    <row r="686" spans="1:10" x14ac:dyDescent="0.25">
      <c r="A686" s="2">
        <v>43856</v>
      </c>
      <c r="B686" s="1" t="s">
        <v>160</v>
      </c>
      <c r="C686" s="1" t="s">
        <v>32</v>
      </c>
      <c r="D686" s="1">
        <v>110</v>
      </c>
      <c r="E686" s="1" t="s">
        <v>50</v>
      </c>
      <c r="F686" s="1">
        <v>117</v>
      </c>
      <c r="G686" s="1" t="s">
        <v>151</v>
      </c>
      <c r="H686" s="1"/>
      <c r="I686" s="1">
        <v>19520</v>
      </c>
      <c r="J686" s="1"/>
    </row>
    <row r="687" spans="1:10" x14ac:dyDescent="0.25">
      <c r="A687" s="2">
        <v>43856</v>
      </c>
      <c r="B687" s="1" t="s">
        <v>819</v>
      </c>
      <c r="C687" s="1" t="s">
        <v>27</v>
      </c>
      <c r="D687" s="1">
        <v>110</v>
      </c>
      <c r="E687" s="1" t="s">
        <v>54</v>
      </c>
      <c r="F687" s="1">
        <v>106</v>
      </c>
      <c r="G687" s="1" t="s">
        <v>151</v>
      </c>
      <c r="H687" s="1"/>
      <c r="I687" s="1">
        <v>18354</v>
      </c>
      <c r="J687" s="1"/>
    </row>
    <row r="688" spans="1:10" x14ac:dyDescent="0.25">
      <c r="A688" s="2">
        <v>43856</v>
      </c>
      <c r="B688" s="1" t="s">
        <v>161</v>
      </c>
      <c r="C688" s="1" t="s">
        <v>40</v>
      </c>
      <c r="D688" s="1">
        <v>133</v>
      </c>
      <c r="E688" s="1" t="s">
        <v>52</v>
      </c>
      <c r="F688" s="1">
        <v>152</v>
      </c>
      <c r="G688" s="1" t="s">
        <v>151</v>
      </c>
      <c r="H688" s="1"/>
      <c r="I688" s="1">
        <v>15567</v>
      </c>
      <c r="J688" s="1"/>
    </row>
    <row r="689" spans="1:10" x14ac:dyDescent="0.25">
      <c r="A689" s="2">
        <v>43856</v>
      </c>
      <c r="B689" s="1" t="s">
        <v>161</v>
      </c>
      <c r="C689" s="1" t="s">
        <v>26</v>
      </c>
      <c r="D689" s="1">
        <v>109</v>
      </c>
      <c r="E689" s="1" t="s">
        <v>48</v>
      </c>
      <c r="F689" s="1">
        <v>114</v>
      </c>
      <c r="G689" s="1" t="s">
        <v>151</v>
      </c>
      <c r="H689" s="1"/>
      <c r="I689" s="1">
        <v>17214</v>
      </c>
      <c r="J689" s="1"/>
    </row>
    <row r="690" spans="1:10" x14ac:dyDescent="0.25">
      <c r="A690" s="2">
        <v>43856</v>
      </c>
      <c r="B690" s="1" t="s">
        <v>161</v>
      </c>
      <c r="C690" s="1" t="s">
        <v>46</v>
      </c>
      <c r="D690" s="1">
        <v>108</v>
      </c>
      <c r="E690" s="1" t="s">
        <v>37</v>
      </c>
      <c r="F690" s="1">
        <v>123</v>
      </c>
      <c r="G690" s="1" t="s">
        <v>151</v>
      </c>
      <c r="H690" s="1"/>
      <c r="I690" s="1">
        <v>16737</v>
      </c>
      <c r="J690" s="1"/>
    </row>
    <row r="691" spans="1:10" x14ac:dyDescent="0.25">
      <c r="A691" s="2">
        <v>43856</v>
      </c>
      <c r="B691" s="1" t="s">
        <v>161</v>
      </c>
      <c r="C691" s="1" t="s">
        <v>38</v>
      </c>
      <c r="D691" s="1">
        <v>97</v>
      </c>
      <c r="E691" s="1" t="s">
        <v>35</v>
      </c>
      <c r="F691" s="1">
        <v>110</v>
      </c>
      <c r="G691" s="1" t="s">
        <v>151</v>
      </c>
      <c r="H691" s="1"/>
      <c r="I691" s="1">
        <v>17831</v>
      </c>
      <c r="J691" s="1"/>
    </row>
    <row r="692" spans="1:10" x14ac:dyDescent="0.25">
      <c r="A692" s="2">
        <v>43856</v>
      </c>
      <c r="B692" s="1" t="s">
        <v>161</v>
      </c>
      <c r="C692" s="1" t="s">
        <v>25</v>
      </c>
      <c r="D692" s="1">
        <v>112</v>
      </c>
      <c r="E692" s="1" t="s">
        <v>53</v>
      </c>
      <c r="F692" s="1">
        <v>97</v>
      </c>
      <c r="G692" s="1" t="s">
        <v>151</v>
      </c>
      <c r="H692" s="1"/>
      <c r="I692" s="1">
        <v>15427</v>
      </c>
      <c r="J692" s="1"/>
    </row>
    <row r="693" spans="1:10" x14ac:dyDescent="0.25">
      <c r="A693" s="2">
        <v>43856</v>
      </c>
      <c r="B693" s="1" t="s">
        <v>157</v>
      </c>
      <c r="C693" s="1" t="s">
        <v>51</v>
      </c>
      <c r="D693" s="1">
        <v>129</v>
      </c>
      <c r="E693" s="1" t="s">
        <v>28</v>
      </c>
      <c r="F693" s="1">
        <v>139</v>
      </c>
      <c r="G693" s="1" t="s">
        <v>151</v>
      </c>
      <c r="H693" s="1"/>
      <c r="I693" s="1">
        <v>19663</v>
      </c>
      <c r="J693" s="1"/>
    </row>
    <row r="694" spans="1:10" x14ac:dyDescent="0.25">
      <c r="A694" s="2">
        <v>43857</v>
      </c>
      <c r="B694" s="1" t="s">
        <v>154</v>
      </c>
      <c r="C694" s="1" t="s">
        <v>49</v>
      </c>
      <c r="D694" s="1">
        <v>115</v>
      </c>
      <c r="E694" s="1" t="s">
        <v>30</v>
      </c>
      <c r="F694" s="1">
        <v>100</v>
      </c>
      <c r="G694" s="1" t="s">
        <v>151</v>
      </c>
      <c r="H694" s="1"/>
      <c r="I694" s="1">
        <v>12597</v>
      </c>
      <c r="J694" s="1"/>
    </row>
    <row r="695" spans="1:10" x14ac:dyDescent="0.25">
      <c r="A695" s="2">
        <v>43857</v>
      </c>
      <c r="B695" s="1" t="s">
        <v>155</v>
      </c>
      <c r="C695" s="1" t="s">
        <v>53</v>
      </c>
      <c r="D695" s="1">
        <v>92</v>
      </c>
      <c r="E695" s="1" t="s">
        <v>41</v>
      </c>
      <c r="F695" s="1">
        <v>113</v>
      </c>
      <c r="G695" s="1" t="s">
        <v>151</v>
      </c>
      <c r="H695" s="1"/>
      <c r="I695" s="1">
        <v>19600</v>
      </c>
      <c r="J695" s="1"/>
    </row>
    <row r="696" spans="1:10" x14ac:dyDescent="0.25">
      <c r="A696" s="2">
        <v>43857</v>
      </c>
      <c r="B696" s="1" t="s">
        <v>150</v>
      </c>
      <c r="C696" s="1" t="s">
        <v>54</v>
      </c>
      <c r="D696" s="1">
        <v>109</v>
      </c>
      <c r="E696" s="1" t="s">
        <v>31</v>
      </c>
      <c r="F696" s="1">
        <v>110</v>
      </c>
      <c r="G696" s="1" t="s">
        <v>151</v>
      </c>
      <c r="H696" s="1"/>
      <c r="I696" s="1">
        <v>16071</v>
      </c>
      <c r="J696" s="1"/>
    </row>
    <row r="697" spans="1:10" x14ac:dyDescent="0.25">
      <c r="A697" s="2">
        <v>43857</v>
      </c>
      <c r="B697" s="1" t="s">
        <v>150</v>
      </c>
      <c r="C697" s="1" t="s">
        <v>36</v>
      </c>
      <c r="D697" s="1">
        <v>133</v>
      </c>
      <c r="E697" s="1" t="s">
        <v>42</v>
      </c>
      <c r="F697" s="1">
        <v>129</v>
      </c>
      <c r="G697" s="1" t="s">
        <v>151</v>
      </c>
      <c r="H697" s="1" t="s">
        <v>152</v>
      </c>
      <c r="I697" s="1">
        <v>13449</v>
      </c>
      <c r="J697" s="1"/>
    </row>
    <row r="698" spans="1:10" x14ac:dyDescent="0.25">
      <c r="A698" s="2">
        <v>43857</v>
      </c>
      <c r="B698" s="1" t="s">
        <v>150</v>
      </c>
      <c r="C698" s="1" t="s">
        <v>43</v>
      </c>
      <c r="D698" s="1">
        <v>107</v>
      </c>
      <c r="E698" s="1" t="s">
        <v>33</v>
      </c>
      <c r="F698" s="1">
        <v>97</v>
      </c>
      <c r="G698" s="1" t="s">
        <v>151</v>
      </c>
      <c r="H698" s="1"/>
      <c r="I698" s="1">
        <v>18203</v>
      </c>
      <c r="J698" s="1"/>
    </row>
    <row r="699" spans="1:10" x14ac:dyDescent="0.25">
      <c r="A699" s="2">
        <v>43857</v>
      </c>
      <c r="B699" s="1" t="s">
        <v>157</v>
      </c>
      <c r="C699" s="1" t="s">
        <v>32</v>
      </c>
      <c r="D699" s="1">
        <v>126</v>
      </c>
      <c r="E699" s="1" t="s">
        <v>34</v>
      </c>
      <c r="F699" s="1">
        <v>117</v>
      </c>
      <c r="G699" s="1" t="s">
        <v>151</v>
      </c>
      <c r="H699" s="1"/>
      <c r="I699" s="1">
        <v>18306</v>
      </c>
      <c r="J699" s="1"/>
    </row>
    <row r="700" spans="1:10" x14ac:dyDescent="0.25">
      <c r="A700" s="2">
        <v>43858</v>
      </c>
      <c r="B700" s="1" t="s">
        <v>154</v>
      </c>
      <c r="C700" s="1" t="s">
        <v>35</v>
      </c>
      <c r="D700" s="1">
        <v>92</v>
      </c>
      <c r="E700" s="1" t="s">
        <v>29</v>
      </c>
      <c r="F700" s="1">
        <v>97</v>
      </c>
      <c r="G700" s="1" t="s">
        <v>151</v>
      </c>
      <c r="H700" s="1"/>
      <c r="I700" s="1">
        <v>14342</v>
      </c>
      <c r="J700" s="1"/>
    </row>
    <row r="701" spans="1:10" x14ac:dyDescent="0.25">
      <c r="A701" s="2">
        <v>43858</v>
      </c>
      <c r="B701" s="1" t="s">
        <v>154</v>
      </c>
      <c r="C701" s="1" t="s">
        <v>44</v>
      </c>
      <c r="D701" s="1">
        <v>104</v>
      </c>
      <c r="E701" s="1" t="s">
        <v>45</v>
      </c>
      <c r="F701" s="1">
        <v>115</v>
      </c>
      <c r="G701" s="1" t="s">
        <v>151</v>
      </c>
      <c r="H701" s="1"/>
      <c r="I701" s="1">
        <v>20854</v>
      </c>
      <c r="J701" s="1"/>
    </row>
    <row r="702" spans="1:10" x14ac:dyDescent="0.25">
      <c r="A702" s="2">
        <v>43858</v>
      </c>
      <c r="B702" s="1" t="s">
        <v>155</v>
      </c>
      <c r="C702" s="1" t="s">
        <v>37</v>
      </c>
      <c r="D702" s="1">
        <v>125</v>
      </c>
      <c r="E702" s="1" t="s">
        <v>49</v>
      </c>
      <c r="F702" s="1">
        <v>111</v>
      </c>
      <c r="G702" s="1" t="s">
        <v>151</v>
      </c>
      <c r="H702" s="1"/>
      <c r="I702" s="1">
        <v>19432</v>
      </c>
      <c r="J702" s="1"/>
    </row>
    <row r="703" spans="1:10" x14ac:dyDescent="0.25">
      <c r="A703" s="2">
        <v>43858</v>
      </c>
      <c r="B703" s="1" t="s">
        <v>155</v>
      </c>
      <c r="C703" s="1" t="s">
        <v>52</v>
      </c>
      <c r="D703" s="1">
        <v>114</v>
      </c>
      <c r="E703" s="1" t="s">
        <v>27</v>
      </c>
      <c r="F703" s="1">
        <v>130</v>
      </c>
      <c r="G703" s="1" t="s">
        <v>151</v>
      </c>
      <c r="H703" s="1"/>
      <c r="I703" s="1">
        <v>19800</v>
      </c>
      <c r="J703" s="1"/>
    </row>
    <row r="704" spans="1:10" x14ac:dyDescent="0.25">
      <c r="A704" s="2">
        <v>43858</v>
      </c>
      <c r="B704" s="1" t="s">
        <v>150</v>
      </c>
      <c r="C704" s="1" t="s">
        <v>50</v>
      </c>
      <c r="D704" s="1">
        <v>96</v>
      </c>
      <c r="E704" s="1" t="s">
        <v>48</v>
      </c>
      <c r="F704" s="1">
        <v>104</v>
      </c>
      <c r="G704" s="1" t="s">
        <v>151</v>
      </c>
      <c r="H704" s="1"/>
      <c r="I704" s="1">
        <v>14365</v>
      </c>
      <c r="J704" s="1"/>
    </row>
    <row r="705" spans="1:10" x14ac:dyDescent="0.25">
      <c r="A705" s="2">
        <v>43858</v>
      </c>
      <c r="B705" s="1" t="s">
        <v>150</v>
      </c>
      <c r="C705" s="1" t="s">
        <v>46</v>
      </c>
      <c r="D705" s="1">
        <v>109</v>
      </c>
      <c r="E705" s="1" t="s">
        <v>41</v>
      </c>
      <c r="F705" s="1">
        <v>101</v>
      </c>
      <c r="G705" s="1" t="s">
        <v>151</v>
      </c>
      <c r="H705" s="1"/>
      <c r="I705" s="1">
        <v>19704</v>
      </c>
      <c r="J705" s="1"/>
    </row>
    <row r="706" spans="1:10" x14ac:dyDescent="0.25">
      <c r="A706" s="2">
        <v>43858</v>
      </c>
      <c r="B706" s="1" t="s">
        <v>150</v>
      </c>
      <c r="C706" s="1" t="s">
        <v>40</v>
      </c>
      <c r="D706" s="1">
        <v>131</v>
      </c>
      <c r="E706" s="1" t="s">
        <v>39</v>
      </c>
      <c r="F706" s="1">
        <v>151</v>
      </c>
      <c r="G706" s="1" t="s">
        <v>151</v>
      </c>
      <c r="H706" s="1"/>
      <c r="I706" s="1">
        <v>17681</v>
      </c>
      <c r="J706" s="1"/>
    </row>
    <row r="707" spans="1:10" x14ac:dyDescent="0.25">
      <c r="A707" s="2">
        <v>43858</v>
      </c>
      <c r="B707" s="1" t="s">
        <v>156</v>
      </c>
      <c r="C707" s="1" t="s">
        <v>26</v>
      </c>
      <c r="D707" s="1">
        <v>133</v>
      </c>
      <c r="E707" s="1" t="s">
        <v>43</v>
      </c>
      <c r="F707" s="1">
        <v>104</v>
      </c>
      <c r="G707" s="1" t="s">
        <v>151</v>
      </c>
      <c r="H707" s="1"/>
      <c r="I707" s="1">
        <v>20216</v>
      </c>
      <c r="J707" s="1"/>
    </row>
    <row r="708" spans="1:10" x14ac:dyDescent="0.25">
      <c r="A708" s="2">
        <v>43859</v>
      </c>
      <c r="B708" s="1" t="s">
        <v>154</v>
      </c>
      <c r="C708" s="1" t="s">
        <v>31</v>
      </c>
      <c r="D708" s="1">
        <v>106</v>
      </c>
      <c r="E708" s="1" t="s">
        <v>51</v>
      </c>
      <c r="F708" s="1">
        <v>115</v>
      </c>
      <c r="G708" s="1" t="s">
        <v>151</v>
      </c>
      <c r="H708" s="1" t="s">
        <v>152</v>
      </c>
      <c r="I708" s="1">
        <v>17923</v>
      </c>
      <c r="J708" s="1"/>
    </row>
    <row r="709" spans="1:10" x14ac:dyDescent="0.25">
      <c r="A709" s="2">
        <v>43859</v>
      </c>
      <c r="B709" s="1" t="s">
        <v>155</v>
      </c>
      <c r="C709" s="1" t="s">
        <v>30</v>
      </c>
      <c r="D709" s="1">
        <v>115</v>
      </c>
      <c r="E709" s="1" t="s">
        <v>38</v>
      </c>
      <c r="F709" s="1">
        <v>125</v>
      </c>
      <c r="G709" s="1" t="s">
        <v>151</v>
      </c>
      <c r="H709" s="1"/>
      <c r="I709" s="1">
        <v>14275</v>
      </c>
      <c r="J709" s="1"/>
    </row>
    <row r="710" spans="1:10" x14ac:dyDescent="0.25">
      <c r="A710" s="2">
        <v>43859</v>
      </c>
      <c r="B710" s="1" t="s">
        <v>155</v>
      </c>
      <c r="C710" s="1" t="s">
        <v>48</v>
      </c>
      <c r="D710" s="1">
        <v>127</v>
      </c>
      <c r="E710" s="1" t="s">
        <v>35</v>
      </c>
      <c r="F710" s="1">
        <v>106</v>
      </c>
      <c r="G710" s="1" t="s">
        <v>151</v>
      </c>
      <c r="H710" s="1"/>
      <c r="I710" s="1">
        <v>18768</v>
      </c>
      <c r="J710" s="1"/>
    </row>
    <row r="711" spans="1:10" x14ac:dyDescent="0.25">
      <c r="A711" s="2">
        <v>43859</v>
      </c>
      <c r="B711" s="1" t="s">
        <v>156</v>
      </c>
      <c r="C711" s="1" t="s">
        <v>34</v>
      </c>
      <c r="D711" s="1">
        <v>120</v>
      </c>
      <c r="E711" s="1" t="s">
        <v>54</v>
      </c>
      <c r="F711" s="1">
        <v>127</v>
      </c>
      <c r="G711" s="1" t="s">
        <v>151</v>
      </c>
      <c r="H711" s="1"/>
      <c r="I711" s="1">
        <v>17887</v>
      </c>
      <c r="J711" s="1"/>
    </row>
    <row r="712" spans="1:10" x14ac:dyDescent="0.25">
      <c r="A712" s="2">
        <v>43859</v>
      </c>
      <c r="B712" s="1" t="s">
        <v>158</v>
      </c>
      <c r="C712" s="1" t="s">
        <v>32</v>
      </c>
      <c r="D712" s="1">
        <v>112</v>
      </c>
      <c r="E712" s="1" t="s">
        <v>28</v>
      </c>
      <c r="F712" s="1">
        <v>125</v>
      </c>
      <c r="G712" s="1" t="s">
        <v>151</v>
      </c>
      <c r="H712" s="1"/>
      <c r="I712" s="1">
        <v>19393</v>
      </c>
      <c r="J712" s="1"/>
    </row>
    <row r="713" spans="1:10" x14ac:dyDescent="0.25">
      <c r="A713" s="2">
        <v>43859</v>
      </c>
      <c r="B713" s="1" t="s">
        <v>158</v>
      </c>
      <c r="C713" s="1" t="s">
        <v>33</v>
      </c>
      <c r="D713" s="1">
        <v>120</v>
      </c>
      <c r="E713" s="1" t="s">
        <v>36</v>
      </c>
      <c r="F713" s="1">
        <v>100</v>
      </c>
      <c r="G713" s="1" t="s">
        <v>151</v>
      </c>
      <c r="H713" s="1"/>
      <c r="I713" s="1">
        <v>16935</v>
      </c>
      <c r="J713" s="1"/>
    </row>
    <row r="714" spans="1:10" x14ac:dyDescent="0.25">
      <c r="A714" s="2">
        <v>43860</v>
      </c>
      <c r="B714" s="1" t="s">
        <v>154</v>
      </c>
      <c r="C714" s="1" t="s">
        <v>27</v>
      </c>
      <c r="D714" s="1">
        <v>115</v>
      </c>
      <c r="E714" s="1" t="s">
        <v>49</v>
      </c>
      <c r="F714" s="1">
        <v>109</v>
      </c>
      <c r="G714" s="1" t="s">
        <v>151</v>
      </c>
      <c r="H714" s="1"/>
      <c r="I714" s="1">
        <v>17695</v>
      </c>
      <c r="J714" s="1"/>
    </row>
    <row r="715" spans="1:10" x14ac:dyDescent="0.25">
      <c r="A715" s="2">
        <v>43860</v>
      </c>
      <c r="B715" s="1" t="s">
        <v>154</v>
      </c>
      <c r="C715" s="1" t="s">
        <v>29</v>
      </c>
      <c r="D715" s="1">
        <v>107</v>
      </c>
      <c r="E715" s="1" t="s">
        <v>40</v>
      </c>
      <c r="F715" s="1">
        <v>121</v>
      </c>
      <c r="G715" s="1" t="s">
        <v>151</v>
      </c>
      <c r="H715" s="1"/>
      <c r="I715" s="1">
        <v>15013</v>
      </c>
      <c r="J715" s="1"/>
    </row>
    <row r="716" spans="1:10" x14ac:dyDescent="0.25">
      <c r="A716" s="2">
        <v>43860</v>
      </c>
      <c r="B716" s="1" t="s">
        <v>155</v>
      </c>
      <c r="C716" s="1" t="s">
        <v>45</v>
      </c>
      <c r="D716" s="1">
        <v>117</v>
      </c>
      <c r="E716" s="1" t="s">
        <v>52</v>
      </c>
      <c r="F716" s="1">
        <v>127</v>
      </c>
      <c r="G716" s="1" t="s">
        <v>151</v>
      </c>
      <c r="H716" s="1"/>
      <c r="I716" s="1">
        <v>15227</v>
      </c>
      <c r="J716" s="1"/>
    </row>
    <row r="717" spans="1:10" x14ac:dyDescent="0.25">
      <c r="A717" s="2">
        <v>43860</v>
      </c>
      <c r="B717" s="1" t="s">
        <v>150</v>
      </c>
      <c r="C717" s="1" t="s">
        <v>44</v>
      </c>
      <c r="D717" s="1">
        <v>104</v>
      </c>
      <c r="E717" s="1" t="s">
        <v>46</v>
      </c>
      <c r="F717" s="1">
        <v>119</v>
      </c>
      <c r="G717" s="1" t="s">
        <v>151</v>
      </c>
      <c r="H717" s="1"/>
      <c r="I717" s="1">
        <v>19156</v>
      </c>
      <c r="J717" s="1"/>
    </row>
    <row r="718" spans="1:10" x14ac:dyDescent="0.25">
      <c r="A718" s="2">
        <v>43860</v>
      </c>
      <c r="B718" s="1" t="s">
        <v>153</v>
      </c>
      <c r="C718" s="1" t="s">
        <v>34</v>
      </c>
      <c r="D718" s="1">
        <v>100</v>
      </c>
      <c r="E718" s="1" t="s">
        <v>50</v>
      </c>
      <c r="F718" s="1">
        <v>106</v>
      </c>
      <c r="G718" s="1" t="s">
        <v>151</v>
      </c>
      <c r="H718" s="1"/>
      <c r="I718" s="1">
        <v>19520</v>
      </c>
      <c r="J718" s="1"/>
    </row>
    <row r="719" spans="1:10" x14ac:dyDescent="0.25">
      <c r="A719" s="2">
        <v>43860</v>
      </c>
      <c r="B719" s="1" t="s">
        <v>153</v>
      </c>
      <c r="C719" s="1" t="s">
        <v>36</v>
      </c>
      <c r="D719" s="1">
        <v>124</v>
      </c>
      <c r="E719" s="1" t="s">
        <v>25</v>
      </c>
      <c r="F719" s="1">
        <v>103</v>
      </c>
      <c r="G719" s="1" t="s">
        <v>151</v>
      </c>
      <c r="H719" s="1"/>
      <c r="I719" s="1">
        <v>19068</v>
      </c>
      <c r="J719" s="1"/>
    </row>
    <row r="720" spans="1:10" x14ac:dyDescent="0.25">
      <c r="A720" s="2">
        <v>43861</v>
      </c>
      <c r="B720" s="1" t="s">
        <v>154</v>
      </c>
      <c r="C720" s="1" t="s">
        <v>27</v>
      </c>
      <c r="D720" s="1">
        <v>105</v>
      </c>
      <c r="E720" s="1" t="s">
        <v>30</v>
      </c>
      <c r="F720" s="1">
        <v>92</v>
      </c>
      <c r="G720" s="1" t="s">
        <v>151</v>
      </c>
      <c r="H720" s="1"/>
      <c r="I720" s="1">
        <v>17356</v>
      </c>
      <c r="J720" s="1"/>
    </row>
    <row r="721" spans="1:10" x14ac:dyDescent="0.25">
      <c r="A721" s="2">
        <v>43861</v>
      </c>
      <c r="B721" s="1" t="s">
        <v>155</v>
      </c>
      <c r="C721" s="1" t="s">
        <v>31</v>
      </c>
      <c r="D721" s="1">
        <v>118</v>
      </c>
      <c r="E721" s="1" t="s">
        <v>38</v>
      </c>
      <c r="F721" s="1">
        <v>133</v>
      </c>
      <c r="G721" s="1" t="s">
        <v>151</v>
      </c>
      <c r="H721" s="1"/>
      <c r="I721" s="1">
        <v>17732</v>
      </c>
      <c r="J721" s="1"/>
    </row>
    <row r="722" spans="1:10" x14ac:dyDescent="0.25">
      <c r="A722" s="2">
        <v>43861</v>
      </c>
      <c r="B722" s="1" t="s">
        <v>155</v>
      </c>
      <c r="C722" s="1" t="s">
        <v>43</v>
      </c>
      <c r="D722" s="1">
        <v>121</v>
      </c>
      <c r="E722" s="1" t="s">
        <v>32</v>
      </c>
      <c r="F722" s="1">
        <v>128</v>
      </c>
      <c r="G722" s="1" t="s">
        <v>151</v>
      </c>
      <c r="H722" s="1"/>
      <c r="I722" s="1">
        <v>18055</v>
      </c>
      <c r="J722" s="1"/>
    </row>
    <row r="723" spans="1:10" x14ac:dyDescent="0.25">
      <c r="A723" s="2">
        <v>43861</v>
      </c>
      <c r="B723" s="1" t="s">
        <v>150</v>
      </c>
      <c r="C723" s="1" t="s">
        <v>48</v>
      </c>
      <c r="D723" s="1">
        <v>111</v>
      </c>
      <c r="E723" s="1" t="s">
        <v>37</v>
      </c>
      <c r="F723" s="1">
        <v>139</v>
      </c>
      <c r="G723" s="1" t="s">
        <v>151</v>
      </c>
      <c r="H723" s="1"/>
      <c r="I723" s="1">
        <v>18362</v>
      </c>
      <c r="J723" s="1"/>
    </row>
    <row r="724" spans="1:10" x14ac:dyDescent="0.25">
      <c r="A724" s="2">
        <v>43861</v>
      </c>
      <c r="B724" s="1" t="s">
        <v>157</v>
      </c>
      <c r="C724" s="1" t="s">
        <v>50</v>
      </c>
      <c r="D724" s="1">
        <v>127</v>
      </c>
      <c r="E724" s="1" t="s">
        <v>39</v>
      </c>
      <c r="F724" s="1">
        <v>115</v>
      </c>
      <c r="G724" s="1" t="s">
        <v>151</v>
      </c>
      <c r="H724" s="1"/>
      <c r="I724" s="1">
        <v>18141</v>
      </c>
      <c r="J724" s="1"/>
    </row>
    <row r="725" spans="1:10" x14ac:dyDescent="0.25">
      <c r="A725" s="2">
        <v>43861</v>
      </c>
      <c r="B725" s="1" t="s">
        <v>157</v>
      </c>
      <c r="C725" s="1" t="s">
        <v>33</v>
      </c>
      <c r="D725" s="1">
        <v>111</v>
      </c>
      <c r="E725" s="1" t="s">
        <v>26</v>
      </c>
      <c r="F725" s="1">
        <v>107</v>
      </c>
      <c r="G725" s="1" t="s">
        <v>151</v>
      </c>
      <c r="H725" s="1"/>
      <c r="I725" s="1">
        <v>17260</v>
      </c>
      <c r="J725" s="1"/>
    </row>
    <row r="726" spans="1:10" x14ac:dyDescent="0.25">
      <c r="A726" s="2">
        <v>43861</v>
      </c>
      <c r="B726" s="1" t="s">
        <v>153</v>
      </c>
      <c r="C726" s="1" t="s">
        <v>28</v>
      </c>
      <c r="D726" s="1">
        <v>127</v>
      </c>
      <c r="E726" s="1" t="s">
        <v>47</v>
      </c>
      <c r="F726" s="1">
        <v>119</v>
      </c>
      <c r="G726" s="1" t="s">
        <v>151</v>
      </c>
      <c r="H726" s="1"/>
      <c r="I726" s="1">
        <v>18997</v>
      </c>
      <c r="J726" s="1"/>
    </row>
    <row r="727" spans="1:10" x14ac:dyDescent="0.25">
      <c r="A727" s="2">
        <v>43862</v>
      </c>
      <c r="B727" s="1" t="s">
        <v>160</v>
      </c>
      <c r="C727" s="1" t="s">
        <v>42</v>
      </c>
      <c r="D727" s="1" t="s">
        <v>1368</v>
      </c>
      <c r="E727" s="1" t="s">
        <v>25</v>
      </c>
      <c r="F727" s="1" t="s">
        <v>1369</v>
      </c>
      <c r="G727" s="1" t="s">
        <v>151</v>
      </c>
      <c r="H727" s="1"/>
      <c r="I727" s="1" t="s">
        <v>102</v>
      </c>
      <c r="J727" s="1"/>
    </row>
    <row r="728" spans="1:10" x14ac:dyDescent="0.25">
      <c r="A728" s="2">
        <v>43862</v>
      </c>
      <c r="B728" s="1" t="s">
        <v>154</v>
      </c>
      <c r="C728" s="1" t="s">
        <v>35</v>
      </c>
      <c r="D728" s="1" t="s">
        <v>1370</v>
      </c>
      <c r="E728" s="1" t="s">
        <v>51</v>
      </c>
      <c r="F728" s="1" t="s">
        <v>1371</v>
      </c>
      <c r="G728" s="1" t="s">
        <v>151</v>
      </c>
      <c r="H728" s="1"/>
      <c r="I728" s="1" t="s">
        <v>1372</v>
      </c>
      <c r="J728" s="1"/>
    </row>
    <row r="729" spans="1:10" x14ac:dyDescent="0.25">
      <c r="A729" s="2">
        <v>43862</v>
      </c>
      <c r="B729" s="1" t="s">
        <v>154</v>
      </c>
      <c r="C729" s="1" t="s">
        <v>41</v>
      </c>
      <c r="D729" s="1" t="s">
        <v>1373</v>
      </c>
      <c r="E729" s="1" t="s">
        <v>53</v>
      </c>
      <c r="F729" s="1" t="s">
        <v>1374</v>
      </c>
      <c r="G729" s="1" t="s">
        <v>151</v>
      </c>
      <c r="H729" s="1"/>
      <c r="I729" s="1" t="s">
        <v>1375</v>
      </c>
      <c r="J729" s="1"/>
    </row>
    <row r="730" spans="1:10" x14ac:dyDescent="0.25">
      <c r="A730" s="2">
        <v>43862</v>
      </c>
      <c r="B730" s="1" t="s">
        <v>150</v>
      </c>
      <c r="C730" s="1" t="s">
        <v>44</v>
      </c>
      <c r="D730" s="1" t="s">
        <v>1376</v>
      </c>
      <c r="E730" s="1" t="s">
        <v>49</v>
      </c>
      <c r="F730" s="1" t="s">
        <v>1377</v>
      </c>
      <c r="G730" s="1" t="s">
        <v>151</v>
      </c>
      <c r="H730" s="1"/>
      <c r="I730" s="1" t="s">
        <v>1378</v>
      </c>
      <c r="J730" s="1"/>
    </row>
    <row r="731" spans="1:10" x14ac:dyDescent="0.25">
      <c r="A731" s="2">
        <v>43862</v>
      </c>
      <c r="B731" s="1" t="s">
        <v>150</v>
      </c>
      <c r="C731" s="1" t="s">
        <v>38</v>
      </c>
      <c r="D731" s="1" t="s">
        <v>1379</v>
      </c>
      <c r="E731" s="1" t="s">
        <v>40</v>
      </c>
      <c r="F731" s="1" t="s">
        <v>1380</v>
      </c>
      <c r="G731" s="1" t="s">
        <v>151</v>
      </c>
      <c r="H731" s="1"/>
      <c r="I731" s="1" t="s">
        <v>1381</v>
      </c>
      <c r="J731" s="1"/>
    </row>
    <row r="732" spans="1:10" x14ac:dyDescent="0.25">
      <c r="A732" s="2">
        <v>43862</v>
      </c>
      <c r="B732" s="1" t="s">
        <v>156</v>
      </c>
      <c r="C732" s="1" t="s">
        <v>45</v>
      </c>
      <c r="D732" s="1" t="s">
        <v>1382</v>
      </c>
      <c r="E732" s="1" t="s">
        <v>46</v>
      </c>
      <c r="F732" s="1" t="s">
        <v>1383</v>
      </c>
      <c r="G732" s="1" t="s">
        <v>151</v>
      </c>
      <c r="H732" s="1"/>
      <c r="I732" s="1" t="s">
        <v>1384</v>
      </c>
      <c r="J732" s="1"/>
    </row>
    <row r="733" spans="1:10" x14ac:dyDescent="0.25">
      <c r="A733" s="2">
        <v>43862</v>
      </c>
      <c r="B733" s="1" t="s">
        <v>156</v>
      </c>
      <c r="C733" s="1" t="s">
        <v>52</v>
      </c>
      <c r="D733" s="1" t="s">
        <v>1385</v>
      </c>
      <c r="E733" s="1" t="s">
        <v>43</v>
      </c>
      <c r="F733" s="1" t="s">
        <v>1386</v>
      </c>
      <c r="G733" s="1" t="s">
        <v>151</v>
      </c>
      <c r="H733" s="1"/>
      <c r="I733" s="1" t="s">
        <v>1387</v>
      </c>
      <c r="J733" s="1"/>
    </row>
    <row r="734" spans="1:10" x14ac:dyDescent="0.25">
      <c r="A734" s="2">
        <v>43862</v>
      </c>
      <c r="B734" s="1" t="s">
        <v>157</v>
      </c>
      <c r="C734" s="1" t="s">
        <v>29</v>
      </c>
      <c r="D734" s="1" t="s">
        <v>1388</v>
      </c>
      <c r="E734" s="1" t="s">
        <v>54</v>
      </c>
      <c r="F734" s="1" t="s">
        <v>1389</v>
      </c>
      <c r="G734" s="1" t="s">
        <v>151</v>
      </c>
      <c r="H734" s="1"/>
      <c r="I734" s="1" t="s">
        <v>1390</v>
      </c>
      <c r="J734" s="1"/>
    </row>
    <row r="735" spans="1:10" x14ac:dyDescent="0.25">
      <c r="A735" s="2">
        <v>43862</v>
      </c>
      <c r="B735" s="1" t="s">
        <v>158</v>
      </c>
      <c r="C735" s="1" t="s">
        <v>47</v>
      </c>
      <c r="D735" s="1" t="s">
        <v>1391</v>
      </c>
      <c r="E735" s="1" t="s">
        <v>36</v>
      </c>
      <c r="F735" s="1" t="s">
        <v>1380</v>
      </c>
      <c r="G735" s="1" t="s">
        <v>151</v>
      </c>
      <c r="H735" s="1"/>
      <c r="I735" s="1" t="s">
        <v>1392</v>
      </c>
      <c r="J735" s="1"/>
    </row>
    <row r="736" spans="1:10" x14ac:dyDescent="0.25">
      <c r="A736" s="2">
        <v>43862</v>
      </c>
      <c r="B736" s="1" t="s">
        <v>153</v>
      </c>
      <c r="C736" s="1" t="s">
        <v>34</v>
      </c>
      <c r="D736" s="1" t="s">
        <v>1379</v>
      </c>
      <c r="E736" s="1" t="s">
        <v>28</v>
      </c>
      <c r="F736" s="1" t="s">
        <v>1393</v>
      </c>
      <c r="G736" s="1" t="s">
        <v>151</v>
      </c>
      <c r="H736" s="1"/>
      <c r="I736" s="1" t="s">
        <v>1394</v>
      </c>
      <c r="J736" s="1"/>
    </row>
    <row r="737" spans="1:10" x14ac:dyDescent="0.25">
      <c r="A737" s="2">
        <v>43863</v>
      </c>
      <c r="B737" s="1" t="s">
        <v>983</v>
      </c>
      <c r="C737" s="1" t="s">
        <v>50</v>
      </c>
      <c r="D737" s="1" t="s">
        <v>1386</v>
      </c>
      <c r="E737" s="1" t="s">
        <v>30</v>
      </c>
      <c r="F737" s="1" t="s">
        <v>1395</v>
      </c>
      <c r="G737" s="1" t="s">
        <v>151</v>
      </c>
      <c r="H737" s="1" t="s">
        <v>152</v>
      </c>
      <c r="I737" s="1" t="s">
        <v>1396</v>
      </c>
      <c r="J737" s="1"/>
    </row>
    <row r="738" spans="1:10" x14ac:dyDescent="0.25">
      <c r="A738" s="2">
        <v>43863</v>
      </c>
      <c r="B738" s="1" t="s">
        <v>821</v>
      </c>
      <c r="C738" s="1" t="s">
        <v>37</v>
      </c>
      <c r="D738" s="1" t="s">
        <v>1397</v>
      </c>
      <c r="E738" s="1" t="s">
        <v>32</v>
      </c>
      <c r="F738" s="1" t="s">
        <v>1398</v>
      </c>
      <c r="G738" s="1" t="s">
        <v>151</v>
      </c>
      <c r="H738" s="1"/>
      <c r="I738" s="1" t="s">
        <v>1399</v>
      </c>
      <c r="J738" s="1"/>
    </row>
    <row r="739" spans="1:10" x14ac:dyDescent="0.25">
      <c r="A739" s="2">
        <v>43863</v>
      </c>
      <c r="B739" s="1" t="s">
        <v>821</v>
      </c>
      <c r="C739" s="1" t="s">
        <v>26</v>
      </c>
      <c r="D739" s="1" t="s">
        <v>1400</v>
      </c>
      <c r="E739" s="1" t="s">
        <v>39</v>
      </c>
      <c r="F739" s="1" t="s">
        <v>1391</v>
      </c>
      <c r="G739" s="1" t="s">
        <v>151</v>
      </c>
      <c r="H739" s="1"/>
      <c r="I739" s="1" t="s">
        <v>1401</v>
      </c>
      <c r="J739" s="1"/>
    </row>
    <row r="740" spans="1:10" x14ac:dyDescent="0.25">
      <c r="A740" s="2">
        <v>43863</v>
      </c>
      <c r="B740" s="1" t="s">
        <v>261</v>
      </c>
      <c r="C740" s="1" t="s">
        <v>31</v>
      </c>
      <c r="D740" s="1" t="s">
        <v>1373</v>
      </c>
      <c r="E740" s="1" t="s">
        <v>27</v>
      </c>
      <c r="F740" s="1" t="s">
        <v>1391</v>
      </c>
      <c r="G740" s="1" t="s">
        <v>151</v>
      </c>
      <c r="H740" s="1"/>
      <c r="I740" s="1" t="s">
        <v>1402</v>
      </c>
      <c r="J740" s="1"/>
    </row>
    <row r="741" spans="1:10" x14ac:dyDescent="0.25">
      <c r="A741" s="2">
        <v>43864</v>
      </c>
      <c r="B741" s="1" t="s">
        <v>154</v>
      </c>
      <c r="C741" s="1" t="s">
        <v>53</v>
      </c>
      <c r="D741" s="1" t="s">
        <v>1377</v>
      </c>
      <c r="E741" s="1" t="s">
        <v>29</v>
      </c>
      <c r="F741" s="1" t="s">
        <v>1385</v>
      </c>
      <c r="G741" s="1" t="s">
        <v>151</v>
      </c>
      <c r="H741" s="1"/>
      <c r="I741" s="1" t="s">
        <v>1418</v>
      </c>
      <c r="J741" s="1"/>
    </row>
    <row r="742" spans="1:10" x14ac:dyDescent="0.25">
      <c r="A742" s="2">
        <v>43864</v>
      </c>
      <c r="B742" s="1" t="s">
        <v>154</v>
      </c>
      <c r="C742" s="1" t="s">
        <v>35</v>
      </c>
      <c r="D742" s="1" t="s">
        <v>1419</v>
      </c>
      <c r="E742" s="1" t="s">
        <v>49</v>
      </c>
      <c r="F742" s="1" t="s">
        <v>1420</v>
      </c>
      <c r="G742" s="1" t="s">
        <v>151</v>
      </c>
      <c r="H742" s="1" t="s">
        <v>152</v>
      </c>
      <c r="I742" s="1" t="s">
        <v>1421</v>
      </c>
      <c r="J742" s="1"/>
    </row>
    <row r="743" spans="1:10" x14ac:dyDescent="0.25">
      <c r="A743" s="2">
        <v>43864</v>
      </c>
      <c r="B743" s="1" t="s">
        <v>154</v>
      </c>
      <c r="C743" s="1" t="s">
        <v>43</v>
      </c>
      <c r="D743" s="1" t="s">
        <v>1377</v>
      </c>
      <c r="E743" s="1" t="s">
        <v>51</v>
      </c>
      <c r="F743" s="1" t="s">
        <v>1422</v>
      </c>
      <c r="G743" s="1" t="s">
        <v>151</v>
      </c>
      <c r="H743" s="1"/>
      <c r="I743" s="1" t="s">
        <v>1423</v>
      </c>
      <c r="J743" s="1"/>
    </row>
    <row r="744" spans="1:10" x14ac:dyDescent="0.25">
      <c r="A744" s="2">
        <v>43864</v>
      </c>
      <c r="B744" s="1" t="s">
        <v>154</v>
      </c>
      <c r="C744" s="1" t="s">
        <v>44</v>
      </c>
      <c r="D744" s="1" t="s">
        <v>1424</v>
      </c>
      <c r="E744" s="1" t="s">
        <v>40</v>
      </c>
      <c r="F744" s="1" t="s">
        <v>1398</v>
      </c>
      <c r="G744" s="1" t="s">
        <v>151</v>
      </c>
      <c r="H744" s="1"/>
      <c r="I744" s="1" t="s">
        <v>1425</v>
      </c>
      <c r="J744" s="1"/>
    </row>
    <row r="745" spans="1:10" x14ac:dyDescent="0.25">
      <c r="A745" s="2">
        <v>43864</v>
      </c>
      <c r="B745" s="1" t="s">
        <v>155</v>
      </c>
      <c r="C745" s="1" t="s">
        <v>46</v>
      </c>
      <c r="D745" s="1" t="s">
        <v>1386</v>
      </c>
      <c r="E745" s="1" t="s">
        <v>52</v>
      </c>
      <c r="F745" s="1" t="s">
        <v>1426</v>
      </c>
      <c r="G745" s="1" t="s">
        <v>151</v>
      </c>
      <c r="H745" s="1"/>
      <c r="I745" s="1" t="s">
        <v>1427</v>
      </c>
      <c r="J745" s="1"/>
    </row>
    <row r="746" spans="1:10" x14ac:dyDescent="0.25">
      <c r="A746" s="2">
        <v>43864</v>
      </c>
      <c r="B746" s="1" t="s">
        <v>155</v>
      </c>
      <c r="C746" s="1" t="s">
        <v>26</v>
      </c>
      <c r="D746" s="1" t="s">
        <v>1428</v>
      </c>
      <c r="E746" s="1" t="s">
        <v>38</v>
      </c>
      <c r="F746" s="1" t="s">
        <v>1429</v>
      </c>
      <c r="G746" s="1" t="s">
        <v>151</v>
      </c>
      <c r="H746" s="1"/>
      <c r="I746" s="1" t="s">
        <v>1430</v>
      </c>
      <c r="J746" s="1"/>
    </row>
    <row r="747" spans="1:10" x14ac:dyDescent="0.25">
      <c r="A747" s="2">
        <v>43864</v>
      </c>
      <c r="B747" s="1" t="s">
        <v>155</v>
      </c>
      <c r="C747" s="1" t="s">
        <v>45</v>
      </c>
      <c r="D747" s="1" t="s">
        <v>1368</v>
      </c>
      <c r="E747" s="1" t="s">
        <v>41</v>
      </c>
      <c r="F747" s="1" t="s">
        <v>1431</v>
      </c>
      <c r="G747" s="1" t="s">
        <v>151</v>
      </c>
      <c r="H747" s="1"/>
      <c r="I747" s="1" t="s">
        <v>1432</v>
      </c>
      <c r="J747" s="1"/>
    </row>
    <row r="748" spans="1:10" x14ac:dyDescent="0.25">
      <c r="A748" s="2">
        <v>43864</v>
      </c>
      <c r="B748" s="1" t="s">
        <v>150</v>
      </c>
      <c r="C748" s="1" t="s">
        <v>30</v>
      </c>
      <c r="D748" s="1" t="s">
        <v>1433</v>
      </c>
      <c r="E748" s="1" t="s">
        <v>48</v>
      </c>
      <c r="F748" s="1" t="s">
        <v>1434</v>
      </c>
      <c r="G748" s="1" t="s">
        <v>151</v>
      </c>
      <c r="H748" s="1"/>
      <c r="I748" s="1" t="s">
        <v>1435</v>
      </c>
      <c r="J748" s="1"/>
    </row>
    <row r="749" spans="1:10" x14ac:dyDescent="0.25">
      <c r="A749" s="2">
        <v>43864</v>
      </c>
      <c r="B749" s="1" t="s">
        <v>158</v>
      </c>
      <c r="C749" s="1" t="s">
        <v>42</v>
      </c>
      <c r="D749" s="1" t="s">
        <v>1397</v>
      </c>
      <c r="E749" s="1" t="s">
        <v>36</v>
      </c>
      <c r="F749" s="1" t="s">
        <v>1380</v>
      </c>
      <c r="G749" s="1" t="s">
        <v>151</v>
      </c>
      <c r="H749" s="1"/>
      <c r="I749" s="1" t="s">
        <v>1436</v>
      </c>
      <c r="J749" s="1"/>
    </row>
    <row r="750" spans="1:10" x14ac:dyDescent="0.25">
      <c r="A750" s="2">
        <v>43864</v>
      </c>
      <c r="B750" s="1" t="s">
        <v>153</v>
      </c>
      <c r="C750" s="1" t="s">
        <v>54</v>
      </c>
      <c r="D750" s="1" t="s">
        <v>1437</v>
      </c>
      <c r="E750" s="1" t="s">
        <v>25</v>
      </c>
      <c r="F750" s="1" t="s">
        <v>1400</v>
      </c>
      <c r="G750" s="1" t="s">
        <v>151</v>
      </c>
      <c r="H750" s="1"/>
      <c r="I750" s="1" t="s">
        <v>102</v>
      </c>
      <c r="J750" s="1"/>
    </row>
    <row r="751" spans="1:10" x14ac:dyDescent="0.25">
      <c r="A751" s="2">
        <v>43865</v>
      </c>
      <c r="B751" s="1" t="s">
        <v>155</v>
      </c>
      <c r="C751" s="1" t="s">
        <v>39</v>
      </c>
      <c r="D751" s="1" t="s">
        <v>1446</v>
      </c>
      <c r="E751" s="1" t="s">
        <v>37</v>
      </c>
      <c r="F751" s="1" t="s">
        <v>1400</v>
      </c>
      <c r="G751" s="1" t="s">
        <v>151</v>
      </c>
      <c r="H751" s="1"/>
      <c r="I751" s="1" t="s">
        <v>1447</v>
      </c>
      <c r="J751" s="1"/>
    </row>
    <row r="752" spans="1:10" x14ac:dyDescent="0.25">
      <c r="A752" s="2">
        <v>43865</v>
      </c>
      <c r="B752" s="1" t="s">
        <v>150</v>
      </c>
      <c r="C752" s="1" t="s">
        <v>29</v>
      </c>
      <c r="D752" s="1" t="s">
        <v>1448</v>
      </c>
      <c r="E752" s="1" t="s">
        <v>32</v>
      </c>
      <c r="F752" s="1" t="s">
        <v>1424</v>
      </c>
      <c r="G752" s="1" t="s">
        <v>151</v>
      </c>
      <c r="H752" s="1"/>
      <c r="I752" s="1" t="s">
        <v>1399</v>
      </c>
      <c r="J752" s="1"/>
    </row>
    <row r="753" spans="1:10" x14ac:dyDescent="0.25">
      <c r="A753" s="2">
        <v>43865</v>
      </c>
      <c r="B753" s="1" t="s">
        <v>157</v>
      </c>
      <c r="C753" s="1" t="s">
        <v>28</v>
      </c>
      <c r="D753" s="1" t="s">
        <v>1449</v>
      </c>
      <c r="E753" s="1" t="s">
        <v>50</v>
      </c>
      <c r="F753" s="1" t="s">
        <v>1450</v>
      </c>
      <c r="G753" s="1" t="s">
        <v>151</v>
      </c>
      <c r="H753" s="1"/>
      <c r="I753" s="1" t="s">
        <v>1451</v>
      </c>
      <c r="J753" s="1"/>
    </row>
    <row r="754" spans="1:10" x14ac:dyDescent="0.25">
      <c r="A754" s="2">
        <v>43865</v>
      </c>
      <c r="B754" s="1" t="s">
        <v>158</v>
      </c>
      <c r="C754" s="1" t="s">
        <v>54</v>
      </c>
      <c r="D754" s="1" t="s">
        <v>1373</v>
      </c>
      <c r="E754" s="1" t="s">
        <v>47</v>
      </c>
      <c r="F754" s="1" t="s">
        <v>1391</v>
      </c>
      <c r="G754" s="1" t="s">
        <v>151</v>
      </c>
      <c r="H754" s="1"/>
      <c r="I754" s="1" t="s">
        <v>90</v>
      </c>
      <c r="J754" s="1"/>
    </row>
    <row r="755" spans="1:10" x14ac:dyDescent="0.25">
      <c r="A755" s="2">
        <v>43866</v>
      </c>
      <c r="B755" s="1" t="s">
        <v>154</v>
      </c>
      <c r="C755" s="1" t="s">
        <v>26</v>
      </c>
      <c r="D755" s="1" t="s">
        <v>1400</v>
      </c>
      <c r="E755" s="1" t="s">
        <v>30</v>
      </c>
      <c r="F755" s="1" t="s">
        <v>1383</v>
      </c>
      <c r="G755" s="1" t="s">
        <v>151</v>
      </c>
      <c r="H755" s="1"/>
      <c r="I755" s="1" t="s">
        <v>1473</v>
      </c>
      <c r="J755" s="1"/>
    </row>
    <row r="756" spans="1:10" x14ac:dyDescent="0.25">
      <c r="A756" s="2">
        <v>43866</v>
      </c>
      <c r="B756" s="1" t="s">
        <v>155</v>
      </c>
      <c r="C756" s="1" t="s">
        <v>53</v>
      </c>
      <c r="D756" s="1" t="s">
        <v>1385</v>
      </c>
      <c r="E756" s="1" t="s">
        <v>46</v>
      </c>
      <c r="F756" s="1" t="s">
        <v>1383</v>
      </c>
      <c r="G756" s="1" t="s">
        <v>151</v>
      </c>
      <c r="H756" s="1"/>
      <c r="I756" s="1" t="s">
        <v>1384</v>
      </c>
      <c r="J756" s="1"/>
    </row>
    <row r="757" spans="1:10" x14ac:dyDescent="0.25">
      <c r="A757" s="2">
        <v>43866</v>
      </c>
      <c r="B757" s="1" t="s">
        <v>155</v>
      </c>
      <c r="C757" s="1" t="s">
        <v>44</v>
      </c>
      <c r="D757" s="1" t="s">
        <v>1474</v>
      </c>
      <c r="E757" s="1" t="s">
        <v>38</v>
      </c>
      <c r="F757" s="1" t="s">
        <v>1391</v>
      </c>
      <c r="G757" s="1" t="s">
        <v>151</v>
      </c>
      <c r="H757" s="1"/>
      <c r="I757" s="1" t="s">
        <v>1475</v>
      </c>
      <c r="J757" s="1"/>
    </row>
    <row r="758" spans="1:10" x14ac:dyDescent="0.25">
      <c r="A758" s="2">
        <v>43866</v>
      </c>
      <c r="B758" s="1" t="s">
        <v>155</v>
      </c>
      <c r="C758" s="1" t="s">
        <v>51</v>
      </c>
      <c r="D758" s="1" t="s">
        <v>1369</v>
      </c>
      <c r="E758" s="1" t="s">
        <v>27</v>
      </c>
      <c r="F758" s="1" t="s">
        <v>1429</v>
      </c>
      <c r="G758" s="1" t="s">
        <v>151</v>
      </c>
      <c r="H758" s="1"/>
      <c r="I758" s="1" t="s">
        <v>1402</v>
      </c>
      <c r="J758" s="1"/>
    </row>
    <row r="759" spans="1:10" x14ac:dyDescent="0.25">
      <c r="A759" s="2">
        <v>43866</v>
      </c>
      <c r="B759" s="1" t="s">
        <v>150</v>
      </c>
      <c r="C759" s="1" t="s">
        <v>52</v>
      </c>
      <c r="D759" s="1" t="s">
        <v>1450</v>
      </c>
      <c r="E759" s="1" t="s">
        <v>42</v>
      </c>
      <c r="F759" s="1" t="s">
        <v>1446</v>
      </c>
      <c r="G759" s="1" t="s">
        <v>151</v>
      </c>
      <c r="H759" s="1"/>
      <c r="I759" s="1" t="s">
        <v>1476</v>
      </c>
      <c r="J759" s="1"/>
    </row>
    <row r="760" spans="1:10" x14ac:dyDescent="0.25">
      <c r="A760" s="2">
        <v>43866</v>
      </c>
      <c r="B760" s="1" t="s">
        <v>150</v>
      </c>
      <c r="C760" s="1" t="s">
        <v>49</v>
      </c>
      <c r="D760" s="1" t="s">
        <v>1422</v>
      </c>
      <c r="E760" s="1" t="s">
        <v>33</v>
      </c>
      <c r="F760" s="1" t="s">
        <v>1397</v>
      </c>
      <c r="G760" s="1" t="s">
        <v>151</v>
      </c>
      <c r="H760" s="1"/>
      <c r="I760" s="1" t="s">
        <v>117</v>
      </c>
      <c r="J760" s="1"/>
    </row>
    <row r="761" spans="1:10" x14ac:dyDescent="0.25">
      <c r="A761" s="2">
        <v>43866</v>
      </c>
      <c r="B761" s="1" t="s">
        <v>156</v>
      </c>
      <c r="C761" s="1" t="s">
        <v>48</v>
      </c>
      <c r="D761" s="1" t="s">
        <v>1477</v>
      </c>
      <c r="E761" s="1" t="s">
        <v>43</v>
      </c>
      <c r="F761" s="1" t="s">
        <v>1379</v>
      </c>
      <c r="G761" s="1" t="s">
        <v>151</v>
      </c>
      <c r="H761" s="1"/>
      <c r="I761" s="1" t="s">
        <v>1478</v>
      </c>
      <c r="J761" s="1"/>
    </row>
    <row r="762" spans="1:10" x14ac:dyDescent="0.25">
      <c r="A762" s="2">
        <v>43866</v>
      </c>
      <c r="B762" s="1" t="s">
        <v>157</v>
      </c>
      <c r="C762" s="1" t="s">
        <v>50</v>
      </c>
      <c r="D762" s="1" t="s">
        <v>1479</v>
      </c>
      <c r="E762" s="1" t="s">
        <v>34</v>
      </c>
      <c r="F762" s="1" t="s">
        <v>1382</v>
      </c>
      <c r="G762" s="1" t="s">
        <v>151</v>
      </c>
      <c r="H762" s="1"/>
      <c r="I762" s="1" t="s">
        <v>88</v>
      </c>
      <c r="J762" s="1"/>
    </row>
    <row r="763" spans="1:10" x14ac:dyDescent="0.25">
      <c r="A763" s="2">
        <v>43866</v>
      </c>
      <c r="B763" s="1" t="s">
        <v>158</v>
      </c>
      <c r="C763" s="1" t="s">
        <v>41</v>
      </c>
      <c r="D763" s="1" t="s">
        <v>1480</v>
      </c>
      <c r="E763" s="1" t="s">
        <v>25</v>
      </c>
      <c r="F763" s="1" t="s">
        <v>1395</v>
      </c>
      <c r="G763" s="1" t="s">
        <v>151</v>
      </c>
      <c r="H763" s="1"/>
      <c r="I763" s="1" t="s">
        <v>102</v>
      </c>
      <c r="J763" s="1"/>
    </row>
    <row r="764" spans="1:10" x14ac:dyDescent="0.25">
      <c r="A764" s="2">
        <v>43867</v>
      </c>
      <c r="B764" s="1" t="s">
        <v>155</v>
      </c>
      <c r="C764" s="1" t="s">
        <v>53</v>
      </c>
      <c r="D764" s="1" t="s">
        <v>1422</v>
      </c>
      <c r="E764" s="1" t="s">
        <v>35</v>
      </c>
      <c r="F764" s="1" t="s">
        <v>1437</v>
      </c>
      <c r="G764" s="1" t="s">
        <v>151</v>
      </c>
      <c r="H764" s="1"/>
      <c r="I764" s="1" t="s">
        <v>1506</v>
      </c>
      <c r="J764" s="1"/>
    </row>
    <row r="765" spans="1:10" x14ac:dyDescent="0.25">
      <c r="A765" s="2">
        <v>43867</v>
      </c>
      <c r="B765" s="1" t="s">
        <v>150</v>
      </c>
      <c r="C765" s="1" t="s">
        <v>37</v>
      </c>
      <c r="D765" s="1" t="s">
        <v>1424</v>
      </c>
      <c r="E765" s="1" t="s">
        <v>31</v>
      </c>
      <c r="F765" s="1" t="s">
        <v>1429</v>
      </c>
      <c r="G765" s="1" t="s">
        <v>151</v>
      </c>
      <c r="H765" s="1"/>
      <c r="I765" s="1" t="s">
        <v>1507</v>
      </c>
      <c r="J765" s="1"/>
    </row>
    <row r="766" spans="1:10" x14ac:dyDescent="0.25">
      <c r="A766" s="2">
        <v>43867</v>
      </c>
      <c r="B766" s="1" t="s">
        <v>150</v>
      </c>
      <c r="C766" s="1" t="s">
        <v>45</v>
      </c>
      <c r="D766" s="1" t="s">
        <v>1508</v>
      </c>
      <c r="E766" s="1" t="s">
        <v>39</v>
      </c>
      <c r="F766" s="1" t="s">
        <v>1377</v>
      </c>
      <c r="G766" s="1" t="s">
        <v>151</v>
      </c>
      <c r="H766" s="1"/>
      <c r="I766" s="1" t="s">
        <v>1509</v>
      </c>
      <c r="J766" s="1"/>
    </row>
    <row r="767" spans="1:10" x14ac:dyDescent="0.25">
      <c r="A767" s="2">
        <v>43867</v>
      </c>
      <c r="B767" s="1" t="s">
        <v>158</v>
      </c>
      <c r="C767" s="1" t="s">
        <v>54</v>
      </c>
      <c r="D767" s="1" t="s">
        <v>1398</v>
      </c>
      <c r="E767" s="1" t="s">
        <v>28</v>
      </c>
      <c r="F767" s="1" t="s">
        <v>1424</v>
      </c>
      <c r="G767" s="1" t="s">
        <v>151</v>
      </c>
      <c r="H767" s="1"/>
      <c r="I767" s="1" t="s">
        <v>1510</v>
      </c>
      <c r="J767" s="1"/>
    </row>
    <row r="768" spans="1:10" x14ac:dyDescent="0.25">
      <c r="A768" s="2">
        <v>43867</v>
      </c>
      <c r="B768" s="1" t="s">
        <v>153</v>
      </c>
      <c r="C768" s="1" t="s">
        <v>32</v>
      </c>
      <c r="D768" s="1" t="s">
        <v>1477</v>
      </c>
      <c r="E768" s="1" t="s">
        <v>47</v>
      </c>
      <c r="F768" s="1" t="s">
        <v>1480</v>
      </c>
      <c r="G768" s="1" t="s">
        <v>151</v>
      </c>
      <c r="H768" s="1"/>
      <c r="I768" s="1" t="s">
        <v>90</v>
      </c>
      <c r="J768" s="1"/>
    </row>
    <row r="769" spans="1:10" x14ac:dyDescent="0.25">
      <c r="A769" s="2">
        <v>43868</v>
      </c>
      <c r="B769" s="1" t="s">
        <v>154</v>
      </c>
      <c r="C769" s="1" t="s">
        <v>48</v>
      </c>
      <c r="D769" s="1" t="s">
        <v>1379</v>
      </c>
      <c r="E769" s="1" t="s">
        <v>45</v>
      </c>
      <c r="F769" s="1" t="s">
        <v>1429</v>
      </c>
      <c r="G769" s="1" t="s">
        <v>151</v>
      </c>
      <c r="H769" s="1"/>
      <c r="I769" s="1" t="s">
        <v>1511</v>
      </c>
      <c r="J769" s="1"/>
    </row>
    <row r="770" spans="1:10" x14ac:dyDescent="0.25">
      <c r="A770" s="2">
        <v>43868</v>
      </c>
      <c r="B770" s="1" t="s">
        <v>154</v>
      </c>
      <c r="C770" s="1" t="s">
        <v>43</v>
      </c>
      <c r="D770" s="1" t="s">
        <v>1369</v>
      </c>
      <c r="E770" s="1" t="s">
        <v>40</v>
      </c>
      <c r="F770" s="1" t="s">
        <v>1429</v>
      </c>
      <c r="G770" s="1" t="s">
        <v>151</v>
      </c>
      <c r="H770" s="1"/>
      <c r="I770" s="1" t="s">
        <v>1512</v>
      </c>
      <c r="J770" s="1"/>
    </row>
    <row r="771" spans="1:10" x14ac:dyDescent="0.25">
      <c r="A771" s="2">
        <v>43868</v>
      </c>
      <c r="B771" s="1" t="s">
        <v>155</v>
      </c>
      <c r="C771" s="1" t="s">
        <v>52</v>
      </c>
      <c r="D771" s="1" t="s">
        <v>1379</v>
      </c>
      <c r="E771" s="1" t="s">
        <v>46</v>
      </c>
      <c r="F771" s="1" t="s">
        <v>1377</v>
      </c>
      <c r="G771" s="1" t="s">
        <v>151</v>
      </c>
      <c r="H771" s="1"/>
      <c r="I771" s="1" t="s">
        <v>1384</v>
      </c>
      <c r="J771" s="1"/>
    </row>
    <row r="772" spans="1:10" x14ac:dyDescent="0.25">
      <c r="A772" s="2">
        <v>43868</v>
      </c>
      <c r="B772" s="1" t="s">
        <v>150</v>
      </c>
      <c r="C772" s="1" t="s">
        <v>27</v>
      </c>
      <c r="D772" s="1" t="s">
        <v>1426</v>
      </c>
      <c r="E772" s="1" t="s">
        <v>51</v>
      </c>
      <c r="F772" s="1" t="s">
        <v>1368</v>
      </c>
      <c r="G772" s="1" t="s">
        <v>151</v>
      </c>
      <c r="H772" s="1"/>
      <c r="I772" s="1" t="s">
        <v>1513</v>
      </c>
      <c r="J772" s="1"/>
    </row>
    <row r="773" spans="1:10" x14ac:dyDescent="0.25">
      <c r="A773" s="2">
        <v>43868</v>
      </c>
      <c r="B773" s="1" t="s">
        <v>150</v>
      </c>
      <c r="C773" s="1" t="s">
        <v>30</v>
      </c>
      <c r="D773" s="1" t="s">
        <v>1508</v>
      </c>
      <c r="E773" s="1" t="s">
        <v>33</v>
      </c>
      <c r="F773" s="1" t="s">
        <v>1400</v>
      </c>
      <c r="G773" s="1" t="s">
        <v>151</v>
      </c>
      <c r="H773" s="1"/>
      <c r="I773" s="1" t="s">
        <v>117</v>
      </c>
      <c r="J773" s="1"/>
    </row>
    <row r="774" spans="1:10" x14ac:dyDescent="0.25">
      <c r="A774" s="2">
        <v>43868</v>
      </c>
      <c r="B774" s="1" t="s">
        <v>157</v>
      </c>
      <c r="C774" s="1" t="s">
        <v>32</v>
      </c>
      <c r="D774" s="1" t="s">
        <v>1514</v>
      </c>
      <c r="E774" s="1" t="s">
        <v>26</v>
      </c>
      <c r="F774" s="1" t="s">
        <v>1450</v>
      </c>
      <c r="G774" s="1" t="s">
        <v>151</v>
      </c>
      <c r="H774" s="1"/>
      <c r="I774" s="1" t="s">
        <v>1515</v>
      </c>
      <c r="J774" s="1"/>
    </row>
    <row r="775" spans="1:10" x14ac:dyDescent="0.25">
      <c r="A775" s="2">
        <v>43868</v>
      </c>
      <c r="B775" s="1" t="s">
        <v>158</v>
      </c>
      <c r="C775" s="1" t="s">
        <v>41</v>
      </c>
      <c r="D775" s="1" t="s">
        <v>1428</v>
      </c>
      <c r="E775" s="1" t="s">
        <v>36</v>
      </c>
      <c r="F775" s="1" t="s">
        <v>1437</v>
      </c>
      <c r="G775" s="1" t="s">
        <v>151</v>
      </c>
      <c r="H775" s="1"/>
      <c r="I775" s="1" t="s">
        <v>1516</v>
      </c>
      <c r="J775" s="1"/>
    </row>
    <row r="776" spans="1:10" x14ac:dyDescent="0.25">
      <c r="A776" s="2">
        <v>43868</v>
      </c>
      <c r="B776" s="1" t="s">
        <v>153</v>
      </c>
      <c r="C776" s="1" t="s">
        <v>28</v>
      </c>
      <c r="D776" s="1" t="s">
        <v>1389</v>
      </c>
      <c r="E776" s="1" t="s">
        <v>34</v>
      </c>
      <c r="F776" s="1" t="s">
        <v>1398</v>
      </c>
      <c r="G776" s="1" t="s">
        <v>151</v>
      </c>
      <c r="H776" s="1"/>
      <c r="I776" s="1" t="s">
        <v>88</v>
      </c>
      <c r="J776" s="1"/>
    </row>
    <row r="777" spans="1:10" x14ac:dyDescent="0.25">
      <c r="A777" s="2">
        <v>43869</v>
      </c>
      <c r="B777" s="1" t="s">
        <v>159</v>
      </c>
      <c r="C777" s="1" t="s">
        <v>39</v>
      </c>
      <c r="D777" s="1" t="s">
        <v>1480</v>
      </c>
      <c r="E777" s="1" t="s">
        <v>53</v>
      </c>
      <c r="F777" s="1" t="s">
        <v>1382</v>
      </c>
      <c r="G777" s="1" t="s">
        <v>151</v>
      </c>
      <c r="H777" s="1"/>
      <c r="I777" s="1" t="s">
        <v>1517</v>
      </c>
      <c r="J777" s="1"/>
    </row>
    <row r="778" spans="1:10" x14ac:dyDescent="0.25">
      <c r="A778" s="2">
        <v>43869</v>
      </c>
      <c r="B778" s="1" t="s">
        <v>154</v>
      </c>
      <c r="C778" s="1" t="s">
        <v>43</v>
      </c>
      <c r="D778" s="1" t="s">
        <v>1383</v>
      </c>
      <c r="E778" s="1" t="s">
        <v>29</v>
      </c>
      <c r="F778" s="1" t="s">
        <v>1385</v>
      </c>
      <c r="G778" s="1" t="s">
        <v>151</v>
      </c>
      <c r="H778" s="1"/>
      <c r="I778" s="1" t="s">
        <v>1518</v>
      </c>
      <c r="J778" s="1"/>
    </row>
    <row r="779" spans="1:10" x14ac:dyDescent="0.25">
      <c r="A779" s="2">
        <v>43869</v>
      </c>
      <c r="B779" s="1" t="s">
        <v>154</v>
      </c>
      <c r="C779" s="1" t="s">
        <v>35</v>
      </c>
      <c r="D779" s="1" t="s">
        <v>1382</v>
      </c>
      <c r="E779" s="1" t="s">
        <v>30</v>
      </c>
      <c r="F779" s="1" t="s">
        <v>1370</v>
      </c>
      <c r="G779" s="1" t="s">
        <v>151</v>
      </c>
      <c r="H779" s="1"/>
      <c r="I779" s="1" t="s">
        <v>1519</v>
      </c>
      <c r="J779" s="1"/>
    </row>
    <row r="780" spans="1:10" x14ac:dyDescent="0.25">
      <c r="A780" s="2">
        <v>43869</v>
      </c>
      <c r="B780" s="1" t="s">
        <v>155</v>
      </c>
      <c r="C780" s="1" t="s">
        <v>37</v>
      </c>
      <c r="D780" s="1" t="s">
        <v>1393</v>
      </c>
      <c r="E780" s="1" t="s">
        <v>51</v>
      </c>
      <c r="F780" s="1" t="s">
        <v>1398</v>
      </c>
      <c r="G780" s="1" t="s">
        <v>151</v>
      </c>
      <c r="H780" s="1"/>
      <c r="I780" s="1" t="s">
        <v>1372</v>
      </c>
      <c r="J780" s="1"/>
    </row>
    <row r="781" spans="1:10" x14ac:dyDescent="0.25">
      <c r="A781" s="2">
        <v>43869</v>
      </c>
      <c r="B781" s="1" t="s">
        <v>155</v>
      </c>
      <c r="C781" s="1" t="s">
        <v>38</v>
      </c>
      <c r="D781" s="1" t="s">
        <v>1369</v>
      </c>
      <c r="E781" s="1" t="s">
        <v>27</v>
      </c>
      <c r="F781" s="1" t="s">
        <v>1429</v>
      </c>
      <c r="G781" s="1" t="s">
        <v>151</v>
      </c>
      <c r="H781" s="1"/>
      <c r="I781" s="1" t="s">
        <v>1402</v>
      </c>
      <c r="J781" s="1"/>
    </row>
    <row r="782" spans="1:10" x14ac:dyDescent="0.25">
      <c r="A782" s="2">
        <v>43869</v>
      </c>
      <c r="B782" s="1" t="s">
        <v>150</v>
      </c>
      <c r="C782" s="1" t="s">
        <v>25</v>
      </c>
      <c r="D782" s="1" t="s">
        <v>1426</v>
      </c>
      <c r="E782" s="1" t="s">
        <v>42</v>
      </c>
      <c r="F782" s="1" t="s">
        <v>1520</v>
      </c>
      <c r="G782" s="1" t="s">
        <v>151</v>
      </c>
      <c r="H782" s="1"/>
      <c r="I782" s="1" t="s">
        <v>1521</v>
      </c>
      <c r="J782" s="1"/>
    </row>
    <row r="783" spans="1:10" x14ac:dyDescent="0.25">
      <c r="A783" s="2">
        <v>43869</v>
      </c>
      <c r="B783" s="1" t="s">
        <v>156</v>
      </c>
      <c r="C783" s="1" t="s">
        <v>47</v>
      </c>
      <c r="D783" s="1" t="s">
        <v>1424</v>
      </c>
      <c r="E783" s="1" t="s">
        <v>44</v>
      </c>
      <c r="F783" s="1" t="s">
        <v>1446</v>
      </c>
      <c r="G783" s="1" t="s">
        <v>151</v>
      </c>
      <c r="H783" s="1"/>
      <c r="I783" s="1" t="s">
        <v>1522</v>
      </c>
      <c r="J783" s="1"/>
    </row>
    <row r="784" spans="1:10" x14ac:dyDescent="0.25">
      <c r="A784" s="2">
        <v>43869</v>
      </c>
      <c r="B784" s="1" t="s">
        <v>157</v>
      </c>
      <c r="C784" s="1" t="s">
        <v>50</v>
      </c>
      <c r="D784" s="1" t="s">
        <v>1398</v>
      </c>
      <c r="E784" s="1" t="s">
        <v>26</v>
      </c>
      <c r="F784" s="1" t="s">
        <v>1400</v>
      </c>
      <c r="G784" s="1" t="s">
        <v>151</v>
      </c>
      <c r="H784" s="1"/>
      <c r="I784" s="1" t="s">
        <v>1523</v>
      </c>
      <c r="J784" s="1"/>
    </row>
    <row r="785" spans="1:10" x14ac:dyDescent="0.25">
      <c r="A785" s="2">
        <v>43869</v>
      </c>
      <c r="B785" s="1" t="s">
        <v>158</v>
      </c>
      <c r="C785" s="1" t="s">
        <v>54</v>
      </c>
      <c r="D785" s="1" t="s">
        <v>1373</v>
      </c>
      <c r="E785" s="1" t="s">
        <v>36</v>
      </c>
      <c r="F785" s="1" t="s">
        <v>1524</v>
      </c>
      <c r="G785" s="1" t="s">
        <v>151</v>
      </c>
      <c r="H785" s="1"/>
      <c r="I785" s="1" t="s">
        <v>1525</v>
      </c>
      <c r="J785" s="1"/>
    </row>
    <row r="786" spans="1:10" x14ac:dyDescent="0.25">
      <c r="A786" s="2">
        <v>43870</v>
      </c>
      <c r="B786" s="1" t="s">
        <v>160</v>
      </c>
      <c r="C786" s="1" t="s">
        <v>46</v>
      </c>
      <c r="D786" s="1" t="s">
        <v>1377</v>
      </c>
      <c r="E786" s="1" t="s">
        <v>33</v>
      </c>
      <c r="F786" s="1" t="s">
        <v>1480</v>
      </c>
      <c r="G786" s="1" t="s">
        <v>151</v>
      </c>
      <c r="H786" s="1"/>
      <c r="I786" s="1" t="s">
        <v>117</v>
      </c>
      <c r="J786" s="1"/>
    </row>
    <row r="787" spans="1:10" x14ac:dyDescent="0.25">
      <c r="A787" s="2">
        <v>43870</v>
      </c>
      <c r="B787" s="1" t="s">
        <v>161</v>
      </c>
      <c r="C787" s="1" t="s">
        <v>35</v>
      </c>
      <c r="D787" s="1" t="s">
        <v>1526</v>
      </c>
      <c r="E787" s="1" t="s">
        <v>52</v>
      </c>
      <c r="F787" s="1" t="s">
        <v>1527</v>
      </c>
      <c r="G787" s="1" t="s">
        <v>151</v>
      </c>
      <c r="H787" s="1" t="s">
        <v>820</v>
      </c>
      <c r="I787" s="1" t="s">
        <v>1528</v>
      </c>
      <c r="J787" s="1"/>
    </row>
    <row r="788" spans="1:10" x14ac:dyDescent="0.25">
      <c r="A788" s="2">
        <v>43870</v>
      </c>
      <c r="B788" s="1" t="s">
        <v>161</v>
      </c>
      <c r="C788" s="1" t="s">
        <v>31</v>
      </c>
      <c r="D788" s="1" t="s">
        <v>1480</v>
      </c>
      <c r="E788" s="1" t="s">
        <v>45</v>
      </c>
      <c r="F788" s="1" t="s">
        <v>1369</v>
      </c>
      <c r="G788" s="1" t="s">
        <v>151</v>
      </c>
      <c r="H788" s="1"/>
      <c r="I788" s="1" t="s">
        <v>1529</v>
      </c>
      <c r="J788" s="1"/>
    </row>
    <row r="789" spans="1:10" x14ac:dyDescent="0.25">
      <c r="A789" s="2">
        <v>43870</v>
      </c>
      <c r="B789" s="1" t="s">
        <v>161</v>
      </c>
      <c r="C789" s="1" t="s">
        <v>48</v>
      </c>
      <c r="D789" s="1" t="s">
        <v>1368</v>
      </c>
      <c r="E789" s="1" t="s">
        <v>40</v>
      </c>
      <c r="F789" s="1" t="s">
        <v>1449</v>
      </c>
      <c r="G789" s="1" t="s">
        <v>151</v>
      </c>
      <c r="H789" s="1"/>
      <c r="I789" s="1" t="s">
        <v>1530</v>
      </c>
      <c r="J789" s="1"/>
    </row>
    <row r="790" spans="1:10" x14ac:dyDescent="0.25">
      <c r="A790" s="2">
        <v>43870</v>
      </c>
      <c r="B790" s="1" t="s">
        <v>154</v>
      </c>
      <c r="C790" s="1" t="s">
        <v>34</v>
      </c>
      <c r="D790" s="1" t="s">
        <v>1389</v>
      </c>
      <c r="E790" s="1" t="s">
        <v>32</v>
      </c>
      <c r="F790" s="1" t="s">
        <v>1380</v>
      </c>
      <c r="G790" s="1" t="s">
        <v>151</v>
      </c>
      <c r="H790" s="1"/>
      <c r="I790" s="1" t="s">
        <v>1399</v>
      </c>
      <c r="J790" s="1"/>
    </row>
    <row r="791" spans="1:10" x14ac:dyDescent="0.25">
      <c r="A791" s="2">
        <v>43870</v>
      </c>
      <c r="B791" s="1" t="s">
        <v>155</v>
      </c>
      <c r="C791" s="1" t="s">
        <v>25</v>
      </c>
      <c r="D791" s="1" t="s">
        <v>1531</v>
      </c>
      <c r="E791" s="1" t="s">
        <v>49</v>
      </c>
      <c r="F791" s="1" t="s">
        <v>1370</v>
      </c>
      <c r="G791" s="1" t="s">
        <v>151</v>
      </c>
      <c r="H791" s="1"/>
      <c r="I791" s="1" t="s">
        <v>1532</v>
      </c>
      <c r="J791" s="1"/>
    </row>
    <row r="792" spans="1:10" x14ac:dyDescent="0.25">
      <c r="A792" s="2">
        <v>43870</v>
      </c>
      <c r="B792" s="1" t="s">
        <v>157</v>
      </c>
      <c r="C792" s="1" t="s">
        <v>41</v>
      </c>
      <c r="D792" s="1" t="s">
        <v>1397</v>
      </c>
      <c r="E792" s="1" t="s">
        <v>28</v>
      </c>
      <c r="F792" s="1" t="s">
        <v>1426</v>
      </c>
      <c r="G792" s="1" t="s">
        <v>151</v>
      </c>
      <c r="H792" s="1"/>
      <c r="I792" s="1" t="s">
        <v>1533</v>
      </c>
      <c r="J792" s="1"/>
    </row>
    <row r="793" spans="1:10" x14ac:dyDescent="0.25">
      <c r="A793" s="2">
        <v>43871</v>
      </c>
      <c r="B793" s="1" t="s">
        <v>154</v>
      </c>
      <c r="C793" s="1" t="s">
        <v>29</v>
      </c>
      <c r="D793" s="1" t="s">
        <v>1544</v>
      </c>
      <c r="E793" s="1" t="s">
        <v>30</v>
      </c>
      <c r="F793" s="1" t="s">
        <v>1545</v>
      </c>
      <c r="G793" s="1" t="s">
        <v>151</v>
      </c>
      <c r="H793" s="1"/>
      <c r="I793" s="1" t="s">
        <v>1546</v>
      </c>
      <c r="J793" s="1"/>
    </row>
    <row r="794" spans="1:10" x14ac:dyDescent="0.25">
      <c r="A794" s="2">
        <v>43871</v>
      </c>
      <c r="B794" s="1" t="s">
        <v>154</v>
      </c>
      <c r="C794" s="1" t="s">
        <v>38</v>
      </c>
      <c r="D794" s="1" t="s">
        <v>1368</v>
      </c>
      <c r="E794" s="1" t="s">
        <v>51</v>
      </c>
      <c r="F794" s="1" t="s">
        <v>1437</v>
      </c>
      <c r="G794" s="1" t="s">
        <v>151</v>
      </c>
      <c r="H794" s="1"/>
      <c r="I794" s="1" t="s">
        <v>1547</v>
      </c>
      <c r="J794" s="1"/>
    </row>
    <row r="795" spans="1:10" x14ac:dyDescent="0.25">
      <c r="A795" s="2">
        <v>43871</v>
      </c>
      <c r="B795" s="1" t="s">
        <v>154</v>
      </c>
      <c r="C795" s="1" t="s">
        <v>52</v>
      </c>
      <c r="D795" s="1" t="s">
        <v>1548</v>
      </c>
      <c r="E795" s="1" t="s">
        <v>53</v>
      </c>
      <c r="F795" s="1" t="s">
        <v>1526</v>
      </c>
      <c r="G795" s="1" t="s">
        <v>151</v>
      </c>
      <c r="H795" s="1"/>
      <c r="I795" s="1" t="s">
        <v>1549</v>
      </c>
      <c r="J795" s="1"/>
    </row>
    <row r="796" spans="1:10" x14ac:dyDescent="0.25">
      <c r="A796" s="2">
        <v>43871</v>
      </c>
      <c r="B796" s="1" t="s">
        <v>155</v>
      </c>
      <c r="C796" s="1" t="s">
        <v>42</v>
      </c>
      <c r="D796" s="1" t="s">
        <v>1548</v>
      </c>
      <c r="E796" s="1" t="s">
        <v>27</v>
      </c>
      <c r="F796" s="1" t="s">
        <v>1431</v>
      </c>
      <c r="G796" s="1" t="s">
        <v>151</v>
      </c>
      <c r="H796" s="1"/>
      <c r="I796" s="1" t="s">
        <v>1402</v>
      </c>
      <c r="J796" s="1"/>
    </row>
    <row r="797" spans="1:10" x14ac:dyDescent="0.25">
      <c r="A797" s="2">
        <v>43871</v>
      </c>
      <c r="B797" s="1" t="s">
        <v>150</v>
      </c>
      <c r="C797" s="1" t="s">
        <v>36</v>
      </c>
      <c r="D797" s="1" t="s">
        <v>1480</v>
      </c>
      <c r="E797" s="1" t="s">
        <v>39</v>
      </c>
      <c r="F797" s="1" t="s">
        <v>1386</v>
      </c>
      <c r="G797" s="1" t="s">
        <v>151</v>
      </c>
      <c r="H797" s="1"/>
      <c r="I797" s="1" t="s">
        <v>1550</v>
      </c>
      <c r="J797" s="1"/>
    </row>
    <row r="798" spans="1:10" x14ac:dyDescent="0.25">
      <c r="A798" s="2">
        <v>43871</v>
      </c>
      <c r="B798" s="1" t="s">
        <v>156</v>
      </c>
      <c r="C798" s="1" t="s">
        <v>34</v>
      </c>
      <c r="D798" s="1" t="s">
        <v>1386</v>
      </c>
      <c r="E798" s="1" t="s">
        <v>43</v>
      </c>
      <c r="F798" s="1" t="s">
        <v>1429</v>
      </c>
      <c r="G798" s="1" t="s">
        <v>151</v>
      </c>
      <c r="H798" s="1"/>
      <c r="I798" s="1" t="s">
        <v>1551</v>
      </c>
      <c r="J798" s="1"/>
    </row>
    <row r="799" spans="1:10" x14ac:dyDescent="0.25">
      <c r="A799" s="2">
        <v>43871</v>
      </c>
      <c r="B799" s="1" t="s">
        <v>157</v>
      </c>
      <c r="C799" s="1" t="s">
        <v>54</v>
      </c>
      <c r="D799" s="1" t="s">
        <v>1446</v>
      </c>
      <c r="E799" s="1" t="s">
        <v>50</v>
      </c>
      <c r="F799" s="1" t="s">
        <v>1450</v>
      </c>
      <c r="G799" s="1" t="s">
        <v>151</v>
      </c>
      <c r="H799" s="1"/>
      <c r="I799" s="1" t="s">
        <v>1451</v>
      </c>
      <c r="J799" s="1"/>
    </row>
    <row r="800" spans="1:10" x14ac:dyDescent="0.25">
      <c r="A800" s="2">
        <v>43871</v>
      </c>
      <c r="B800" s="1" t="s">
        <v>153</v>
      </c>
      <c r="C800" s="1" t="s">
        <v>41</v>
      </c>
      <c r="D800" s="1" t="s">
        <v>1380</v>
      </c>
      <c r="E800" s="1" t="s">
        <v>44</v>
      </c>
      <c r="F800" s="1" t="s">
        <v>1508</v>
      </c>
      <c r="G800" s="1" t="s">
        <v>151</v>
      </c>
      <c r="H800" s="1"/>
      <c r="I800" s="1" t="s">
        <v>1522</v>
      </c>
      <c r="J800" s="1"/>
    </row>
    <row r="801" spans="1:10" x14ac:dyDescent="0.25">
      <c r="A801" s="2">
        <v>43871</v>
      </c>
      <c r="B801" s="1" t="s">
        <v>153</v>
      </c>
      <c r="C801" s="1" t="s">
        <v>26</v>
      </c>
      <c r="D801" s="1" t="s">
        <v>1385</v>
      </c>
      <c r="E801" s="1" t="s">
        <v>47</v>
      </c>
      <c r="F801" s="1" t="s">
        <v>1424</v>
      </c>
      <c r="G801" s="1" t="s">
        <v>151</v>
      </c>
      <c r="H801" s="1"/>
      <c r="I801" s="1" t="s">
        <v>90</v>
      </c>
      <c r="J801" s="1"/>
    </row>
    <row r="802" spans="1:10" x14ac:dyDescent="0.25">
      <c r="A802" s="2">
        <v>43872</v>
      </c>
      <c r="B802" s="1" t="s">
        <v>154</v>
      </c>
      <c r="C802" s="1" t="s">
        <v>25</v>
      </c>
      <c r="D802" s="1" t="s">
        <v>1422</v>
      </c>
      <c r="E802" s="1" t="s">
        <v>45</v>
      </c>
      <c r="F802" s="1" t="s">
        <v>1448</v>
      </c>
      <c r="G802" s="1" t="s">
        <v>151</v>
      </c>
      <c r="H802" s="1"/>
      <c r="I802" s="1" t="s">
        <v>1566</v>
      </c>
      <c r="J802" s="1"/>
    </row>
    <row r="803" spans="1:10" x14ac:dyDescent="0.25">
      <c r="A803" s="2">
        <v>43872</v>
      </c>
      <c r="B803" s="1" t="s">
        <v>154</v>
      </c>
      <c r="C803" s="1" t="s">
        <v>31</v>
      </c>
      <c r="D803" s="1" t="s">
        <v>1389</v>
      </c>
      <c r="E803" s="1" t="s">
        <v>40</v>
      </c>
      <c r="F803" s="1" t="s">
        <v>1548</v>
      </c>
      <c r="G803" s="1" t="s">
        <v>151</v>
      </c>
      <c r="H803" s="1"/>
      <c r="I803" s="1" t="s">
        <v>1567</v>
      </c>
      <c r="J803" s="1"/>
    </row>
    <row r="804" spans="1:10" x14ac:dyDescent="0.25">
      <c r="A804" s="2">
        <v>43872</v>
      </c>
      <c r="B804" s="1" t="s">
        <v>150</v>
      </c>
      <c r="C804" s="1" t="s">
        <v>28</v>
      </c>
      <c r="D804" s="1" t="s">
        <v>1398</v>
      </c>
      <c r="E804" s="1" t="s">
        <v>37</v>
      </c>
      <c r="F804" s="1" t="s">
        <v>1568</v>
      </c>
      <c r="G804" s="1" t="s">
        <v>151</v>
      </c>
      <c r="H804" s="1"/>
      <c r="I804" s="1" t="s">
        <v>1569</v>
      </c>
      <c r="J804" s="1"/>
    </row>
    <row r="805" spans="1:10" x14ac:dyDescent="0.25">
      <c r="A805" s="2">
        <v>43872</v>
      </c>
      <c r="B805" s="1" t="s">
        <v>150</v>
      </c>
      <c r="C805" s="1" t="s">
        <v>54</v>
      </c>
      <c r="D805" s="1" t="s">
        <v>1389</v>
      </c>
      <c r="E805" s="1" t="s">
        <v>33</v>
      </c>
      <c r="F805" s="1" t="s">
        <v>1368</v>
      </c>
      <c r="G805" s="1" t="s">
        <v>151</v>
      </c>
      <c r="H805" s="1"/>
      <c r="I805" s="1" t="s">
        <v>117</v>
      </c>
      <c r="J805" s="1"/>
    </row>
    <row r="806" spans="1:10" x14ac:dyDescent="0.25">
      <c r="A806" s="2">
        <v>43872</v>
      </c>
      <c r="B806" s="1" t="s">
        <v>162</v>
      </c>
      <c r="C806" s="1" t="s">
        <v>46</v>
      </c>
      <c r="D806" s="1" t="s">
        <v>1437</v>
      </c>
      <c r="E806" s="1" t="s">
        <v>32</v>
      </c>
      <c r="F806" s="1" t="s">
        <v>1383</v>
      </c>
      <c r="G806" s="1" t="s">
        <v>151</v>
      </c>
      <c r="H806" s="1"/>
      <c r="I806" s="1" t="s">
        <v>1399</v>
      </c>
      <c r="J806" s="1"/>
    </row>
    <row r="807" spans="1:10" x14ac:dyDescent="0.25">
      <c r="A807" s="2">
        <v>43873</v>
      </c>
      <c r="B807" s="1" t="s">
        <v>154</v>
      </c>
      <c r="C807" s="1" t="s">
        <v>52</v>
      </c>
      <c r="D807" s="1" t="s">
        <v>1437</v>
      </c>
      <c r="E807" s="1" t="s">
        <v>49</v>
      </c>
      <c r="F807" s="1" t="s">
        <v>1450</v>
      </c>
      <c r="G807" s="1" t="s">
        <v>151</v>
      </c>
      <c r="H807" s="1"/>
      <c r="I807" s="1" t="s">
        <v>1605</v>
      </c>
      <c r="J807" s="1"/>
    </row>
    <row r="808" spans="1:10" x14ac:dyDescent="0.25">
      <c r="A808" s="2">
        <v>43873</v>
      </c>
      <c r="B808" s="1" t="s">
        <v>154</v>
      </c>
      <c r="C808" s="1" t="s">
        <v>30</v>
      </c>
      <c r="D808" s="1" t="s">
        <v>1377</v>
      </c>
      <c r="E808" s="1" t="s">
        <v>53</v>
      </c>
      <c r="F808" s="1" t="s">
        <v>1383</v>
      </c>
      <c r="G808" s="1" t="s">
        <v>151</v>
      </c>
      <c r="H808" s="1" t="s">
        <v>152</v>
      </c>
      <c r="I808" s="1" t="s">
        <v>1606</v>
      </c>
      <c r="J808" s="1"/>
    </row>
    <row r="809" spans="1:10" x14ac:dyDescent="0.25">
      <c r="A809" s="2">
        <v>43873</v>
      </c>
      <c r="B809" s="1" t="s">
        <v>155</v>
      </c>
      <c r="C809" s="1" t="s">
        <v>27</v>
      </c>
      <c r="D809" s="1" t="s">
        <v>1514</v>
      </c>
      <c r="E809" s="1" t="s">
        <v>38</v>
      </c>
      <c r="F809" s="1" t="s">
        <v>1508</v>
      </c>
      <c r="G809" s="1" t="s">
        <v>151</v>
      </c>
      <c r="H809" s="1"/>
      <c r="I809" s="1" t="s">
        <v>1607</v>
      </c>
      <c r="J809" s="1"/>
    </row>
    <row r="810" spans="1:10" x14ac:dyDescent="0.25">
      <c r="A810" s="2">
        <v>43873</v>
      </c>
      <c r="B810" s="1" t="s">
        <v>155</v>
      </c>
      <c r="C810" s="1" t="s">
        <v>39</v>
      </c>
      <c r="D810" s="1" t="s">
        <v>1480</v>
      </c>
      <c r="E810" s="1" t="s">
        <v>51</v>
      </c>
      <c r="F810" s="1" t="s">
        <v>1369</v>
      </c>
      <c r="G810" s="1" t="s">
        <v>151</v>
      </c>
      <c r="H810" s="1"/>
      <c r="I810" s="1" t="s">
        <v>1608</v>
      </c>
      <c r="J810" s="1"/>
    </row>
    <row r="811" spans="1:10" x14ac:dyDescent="0.25">
      <c r="A811" s="2">
        <v>43873</v>
      </c>
      <c r="B811" s="1" t="s">
        <v>155</v>
      </c>
      <c r="C811" s="1" t="s">
        <v>40</v>
      </c>
      <c r="D811" s="1" t="s">
        <v>1389</v>
      </c>
      <c r="E811" s="1" t="s">
        <v>35</v>
      </c>
      <c r="F811" s="1" t="s">
        <v>1434</v>
      </c>
      <c r="G811" s="1" t="s">
        <v>151</v>
      </c>
      <c r="H811" s="1"/>
      <c r="I811" s="1" t="s">
        <v>1609</v>
      </c>
      <c r="J811" s="1"/>
    </row>
    <row r="812" spans="1:10" x14ac:dyDescent="0.25">
      <c r="A812" s="2">
        <v>43873</v>
      </c>
      <c r="B812" s="1" t="s">
        <v>150</v>
      </c>
      <c r="C812" s="1" t="s">
        <v>28</v>
      </c>
      <c r="D812" s="1" t="s">
        <v>1610</v>
      </c>
      <c r="E812" s="1" t="s">
        <v>48</v>
      </c>
      <c r="F812" s="1" t="s">
        <v>1480</v>
      </c>
      <c r="G812" s="1" t="s">
        <v>151</v>
      </c>
      <c r="H812" s="1"/>
      <c r="I812" s="1" t="s">
        <v>1611</v>
      </c>
      <c r="J812" s="1"/>
    </row>
    <row r="813" spans="1:10" x14ac:dyDescent="0.25">
      <c r="A813" s="2">
        <v>43873</v>
      </c>
      <c r="B813" s="1" t="s">
        <v>150</v>
      </c>
      <c r="C813" s="1" t="s">
        <v>29</v>
      </c>
      <c r="D813" s="1" t="s">
        <v>1426</v>
      </c>
      <c r="E813" s="1" t="s">
        <v>42</v>
      </c>
      <c r="F813" s="1" t="s">
        <v>1400</v>
      </c>
      <c r="G813" s="1" t="s">
        <v>151</v>
      </c>
      <c r="H813" s="1"/>
      <c r="I813" s="1" t="s">
        <v>1521</v>
      </c>
      <c r="J813" s="1"/>
    </row>
    <row r="814" spans="1:10" x14ac:dyDescent="0.25">
      <c r="A814" s="2">
        <v>43873</v>
      </c>
      <c r="B814" s="1" t="s">
        <v>156</v>
      </c>
      <c r="C814" s="1" t="s">
        <v>36</v>
      </c>
      <c r="D814" s="1" t="s">
        <v>1480</v>
      </c>
      <c r="E814" s="1" t="s">
        <v>43</v>
      </c>
      <c r="F814" s="1" t="s">
        <v>1612</v>
      </c>
      <c r="G814" s="1" t="s">
        <v>151</v>
      </c>
      <c r="H814" s="1"/>
      <c r="I814" s="1" t="s">
        <v>1613</v>
      </c>
      <c r="J814" s="1"/>
    </row>
    <row r="815" spans="1:10" x14ac:dyDescent="0.25">
      <c r="A815" s="2">
        <v>43873</v>
      </c>
      <c r="B815" s="1" t="s">
        <v>157</v>
      </c>
      <c r="C815" s="1" t="s">
        <v>44</v>
      </c>
      <c r="D815" s="1" t="s">
        <v>1368</v>
      </c>
      <c r="E815" s="1" t="s">
        <v>26</v>
      </c>
      <c r="F815" s="1" t="s">
        <v>1377</v>
      </c>
      <c r="G815" s="1" t="s">
        <v>151</v>
      </c>
      <c r="H815" s="1"/>
      <c r="I815" s="1" t="s">
        <v>1614</v>
      </c>
      <c r="J815" s="1"/>
    </row>
    <row r="816" spans="1:10" x14ac:dyDescent="0.25">
      <c r="A816" s="2">
        <v>43873</v>
      </c>
      <c r="B816" s="1" t="s">
        <v>157</v>
      </c>
      <c r="C816" s="1" t="s">
        <v>41</v>
      </c>
      <c r="D816" s="1" t="s">
        <v>1508</v>
      </c>
      <c r="E816" s="1" t="s">
        <v>34</v>
      </c>
      <c r="F816" s="1" t="s">
        <v>1383</v>
      </c>
      <c r="G816" s="1" t="s">
        <v>151</v>
      </c>
      <c r="H816" s="1"/>
      <c r="I816" s="1" t="s">
        <v>88</v>
      </c>
      <c r="J816" s="1"/>
    </row>
    <row r="817" spans="1:10" x14ac:dyDescent="0.25">
      <c r="A817" s="2">
        <v>43873</v>
      </c>
      <c r="B817" s="1" t="s">
        <v>158</v>
      </c>
      <c r="C817" s="1" t="s">
        <v>47</v>
      </c>
      <c r="D817" s="1" t="s">
        <v>1446</v>
      </c>
      <c r="E817" s="1" t="s">
        <v>50</v>
      </c>
      <c r="F817" s="1" t="s">
        <v>1383</v>
      </c>
      <c r="G817" s="1" t="s">
        <v>151</v>
      </c>
      <c r="H817" s="1" t="s">
        <v>152</v>
      </c>
      <c r="I817" s="1" t="s">
        <v>1615</v>
      </c>
      <c r="J817" s="1"/>
    </row>
    <row r="818" spans="1:10" x14ac:dyDescent="0.25">
      <c r="A818" s="2">
        <v>43874</v>
      </c>
      <c r="B818" s="1" t="s">
        <v>150</v>
      </c>
      <c r="C818" s="1" t="s">
        <v>25</v>
      </c>
      <c r="D818" s="1" t="s">
        <v>1531</v>
      </c>
      <c r="E818" s="1" t="s">
        <v>46</v>
      </c>
      <c r="F818" s="1" t="s">
        <v>1626</v>
      </c>
      <c r="G818" s="1" t="s">
        <v>151</v>
      </c>
      <c r="H818" s="1" t="s">
        <v>820</v>
      </c>
      <c r="I818" s="1" t="s">
        <v>1384</v>
      </c>
      <c r="J818" s="1"/>
    </row>
    <row r="819" spans="1:10" x14ac:dyDescent="0.25">
      <c r="A819" s="2">
        <v>43874</v>
      </c>
      <c r="B819" s="1" t="s">
        <v>150</v>
      </c>
      <c r="C819" s="1" t="s">
        <v>33</v>
      </c>
      <c r="D819" s="1" t="s">
        <v>1386</v>
      </c>
      <c r="E819" s="1" t="s">
        <v>37</v>
      </c>
      <c r="F819" s="1" t="s">
        <v>1369</v>
      </c>
      <c r="G819" s="1" t="s">
        <v>151</v>
      </c>
      <c r="H819" s="1"/>
      <c r="I819" s="1" t="s">
        <v>1627</v>
      </c>
      <c r="J819" s="1"/>
    </row>
    <row r="820" spans="1:10" x14ac:dyDescent="0.25">
      <c r="A820" s="2">
        <v>43881</v>
      </c>
      <c r="B820" s="1" t="s">
        <v>154</v>
      </c>
      <c r="C820" s="1" t="s">
        <v>39</v>
      </c>
      <c r="D820" s="1" t="s">
        <v>1548</v>
      </c>
      <c r="E820" s="1" t="s">
        <v>30</v>
      </c>
      <c r="F820" s="1" t="s">
        <v>1368</v>
      </c>
      <c r="G820" s="1" t="s">
        <v>151</v>
      </c>
      <c r="H820" s="1"/>
      <c r="I820" s="1" t="s">
        <v>1628</v>
      </c>
      <c r="J820" s="1"/>
    </row>
    <row r="821" spans="1:10" x14ac:dyDescent="0.25">
      <c r="A821" s="2">
        <v>43881</v>
      </c>
      <c r="B821" s="1" t="s">
        <v>155</v>
      </c>
      <c r="C821" s="1" t="s">
        <v>41</v>
      </c>
      <c r="D821" s="1" t="s">
        <v>1393</v>
      </c>
      <c r="E821" s="1" t="s">
        <v>52</v>
      </c>
      <c r="F821" s="1" t="s">
        <v>1391</v>
      </c>
      <c r="G821" s="1" t="s">
        <v>151</v>
      </c>
      <c r="H821" s="1"/>
      <c r="I821" s="1" t="s">
        <v>1629</v>
      </c>
      <c r="J821" s="1"/>
    </row>
    <row r="822" spans="1:10" x14ac:dyDescent="0.25">
      <c r="A822" s="2">
        <v>43881</v>
      </c>
      <c r="B822" s="1" t="s">
        <v>150</v>
      </c>
      <c r="C822" s="1" t="s">
        <v>29</v>
      </c>
      <c r="D822" s="1" t="s">
        <v>1422</v>
      </c>
      <c r="E822" s="1" t="s">
        <v>31</v>
      </c>
      <c r="F822" s="1" t="s">
        <v>1630</v>
      </c>
      <c r="G822" s="1" t="s">
        <v>151</v>
      </c>
      <c r="H822" s="1"/>
      <c r="I822" s="1" t="s">
        <v>1550</v>
      </c>
      <c r="J822" s="1"/>
    </row>
    <row r="823" spans="1:10" x14ac:dyDescent="0.25">
      <c r="A823" s="2">
        <v>43881</v>
      </c>
      <c r="B823" s="1" t="s">
        <v>150</v>
      </c>
      <c r="C823" s="1" t="s">
        <v>38</v>
      </c>
      <c r="D823" s="1" t="s">
        <v>1610</v>
      </c>
      <c r="E823" s="1" t="s">
        <v>45</v>
      </c>
      <c r="F823" s="1" t="s">
        <v>1377</v>
      </c>
      <c r="G823" s="1" t="s">
        <v>151</v>
      </c>
      <c r="H823" s="1" t="s">
        <v>152</v>
      </c>
      <c r="I823" s="1" t="s">
        <v>1631</v>
      </c>
      <c r="J823" s="1"/>
    </row>
    <row r="824" spans="1:10" x14ac:dyDescent="0.25">
      <c r="A824" s="2">
        <v>43881</v>
      </c>
      <c r="B824" s="1" t="s">
        <v>158</v>
      </c>
      <c r="C824" s="1" t="s">
        <v>48</v>
      </c>
      <c r="D824" s="1" t="s">
        <v>1424</v>
      </c>
      <c r="E824" s="1" t="s">
        <v>36</v>
      </c>
      <c r="F824" s="1" t="s">
        <v>1391</v>
      </c>
      <c r="G824" s="1" t="s">
        <v>151</v>
      </c>
      <c r="H824" s="1"/>
      <c r="I824" s="1" t="s">
        <v>1632</v>
      </c>
      <c r="J824" s="1"/>
    </row>
    <row r="825" spans="1:10" x14ac:dyDescent="0.25">
      <c r="A825" s="2">
        <v>43881</v>
      </c>
      <c r="B825" s="1" t="s">
        <v>153</v>
      </c>
      <c r="C825" s="1" t="s">
        <v>32</v>
      </c>
      <c r="D825" s="1" t="s">
        <v>1526</v>
      </c>
      <c r="E825" s="1" t="s">
        <v>44</v>
      </c>
      <c r="F825" s="1" t="s">
        <v>1437</v>
      </c>
      <c r="G825" s="1" t="s">
        <v>151</v>
      </c>
      <c r="H825" s="1"/>
      <c r="I825" s="1" t="s">
        <v>1522</v>
      </c>
      <c r="J825" s="1"/>
    </row>
    <row r="826" spans="1:10" x14ac:dyDescent="0.25">
      <c r="A826" s="2">
        <v>43882</v>
      </c>
      <c r="B826" s="1" t="s">
        <v>154</v>
      </c>
      <c r="C826" s="1" t="s">
        <v>43</v>
      </c>
      <c r="D826" s="1" t="s">
        <v>1524</v>
      </c>
      <c r="E826" s="1" t="s">
        <v>53</v>
      </c>
      <c r="F826" s="1" t="s">
        <v>1368</v>
      </c>
      <c r="G826" s="1" t="s">
        <v>151</v>
      </c>
      <c r="H826" s="1"/>
      <c r="I826" s="1" t="s">
        <v>1375</v>
      </c>
      <c r="J826" s="1"/>
    </row>
    <row r="827" spans="1:10" x14ac:dyDescent="0.25">
      <c r="A827" s="2">
        <v>43882</v>
      </c>
      <c r="B827" s="1" t="s">
        <v>154</v>
      </c>
      <c r="C827" s="1" t="s">
        <v>49</v>
      </c>
      <c r="D827" s="1" t="s">
        <v>1380</v>
      </c>
      <c r="E827" s="1" t="s">
        <v>40</v>
      </c>
      <c r="F827" s="1" t="s">
        <v>1400</v>
      </c>
      <c r="G827" s="1" t="s">
        <v>151</v>
      </c>
      <c r="H827" s="1"/>
      <c r="I827" s="1" t="s">
        <v>1506</v>
      </c>
      <c r="J827" s="1"/>
    </row>
    <row r="828" spans="1:10" x14ac:dyDescent="0.25">
      <c r="A828" s="2">
        <v>43882</v>
      </c>
      <c r="B828" s="1" t="s">
        <v>155</v>
      </c>
      <c r="C828" s="1" t="s">
        <v>51</v>
      </c>
      <c r="D828" s="1" t="s">
        <v>1368</v>
      </c>
      <c r="E828" s="1" t="s">
        <v>35</v>
      </c>
      <c r="F828" s="1" t="s">
        <v>1479</v>
      </c>
      <c r="G828" s="1" t="s">
        <v>151</v>
      </c>
      <c r="H828" s="1"/>
      <c r="I828" s="1" t="s">
        <v>1649</v>
      </c>
      <c r="J828" s="1"/>
    </row>
    <row r="829" spans="1:10" x14ac:dyDescent="0.25">
      <c r="A829" s="2">
        <v>43882</v>
      </c>
      <c r="B829" s="1" t="s">
        <v>155</v>
      </c>
      <c r="C829" s="1" t="s">
        <v>26</v>
      </c>
      <c r="D829" s="1" t="s">
        <v>1508</v>
      </c>
      <c r="E829" s="1" t="s">
        <v>27</v>
      </c>
      <c r="F829" s="1" t="s">
        <v>1369</v>
      </c>
      <c r="G829" s="1" t="s">
        <v>151</v>
      </c>
      <c r="H829" s="1"/>
      <c r="I829" s="1" t="s">
        <v>1402</v>
      </c>
      <c r="J829" s="1"/>
    </row>
    <row r="830" spans="1:10" x14ac:dyDescent="0.25">
      <c r="A830" s="2">
        <v>43882</v>
      </c>
      <c r="B830" s="1" t="s">
        <v>150</v>
      </c>
      <c r="C830" s="1" t="s">
        <v>46</v>
      </c>
      <c r="D830" s="1" t="s">
        <v>1450</v>
      </c>
      <c r="E830" s="1" t="s">
        <v>42</v>
      </c>
      <c r="F830" s="1" t="s">
        <v>1398</v>
      </c>
      <c r="G830" s="1" t="s">
        <v>151</v>
      </c>
      <c r="H830" s="1"/>
      <c r="I830" s="1" t="s">
        <v>1521</v>
      </c>
      <c r="J830" s="1"/>
    </row>
    <row r="831" spans="1:10" x14ac:dyDescent="0.25">
      <c r="A831" s="2">
        <v>43882</v>
      </c>
      <c r="B831" s="1" t="s">
        <v>150</v>
      </c>
      <c r="C831" s="1" t="s">
        <v>50</v>
      </c>
      <c r="D831" s="1" t="s">
        <v>1508</v>
      </c>
      <c r="E831" s="1" t="s">
        <v>33</v>
      </c>
      <c r="F831" s="1" t="s">
        <v>1380</v>
      </c>
      <c r="G831" s="1" t="s">
        <v>151</v>
      </c>
      <c r="H831" s="1"/>
      <c r="I831" s="1" t="s">
        <v>117</v>
      </c>
      <c r="J831" s="1"/>
    </row>
    <row r="832" spans="1:10" x14ac:dyDescent="0.25">
      <c r="A832" s="2">
        <v>43882</v>
      </c>
      <c r="B832" s="1" t="s">
        <v>157</v>
      </c>
      <c r="C832" s="1" t="s">
        <v>54</v>
      </c>
      <c r="D832" s="1" t="s">
        <v>1380</v>
      </c>
      <c r="E832" s="1" t="s">
        <v>34</v>
      </c>
      <c r="F832" s="1" t="s">
        <v>1610</v>
      </c>
      <c r="G832" s="1" t="s">
        <v>151</v>
      </c>
      <c r="H832" s="1"/>
      <c r="I832" s="1" t="s">
        <v>88</v>
      </c>
      <c r="J832" s="1"/>
    </row>
    <row r="833" spans="1:10" x14ac:dyDescent="0.25">
      <c r="A833" s="2">
        <v>43882</v>
      </c>
      <c r="B833" s="1" t="s">
        <v>153</v>
      </c>
      <c r="C833" s="1" t="s">
        <v>48</v>
      </c>
      <c r="D833" s="1" t="s">
        <v>1437</v>
      </c>
      <c r="E833" s="1" t="s">
        <v>47</v>
      </c>
      <c r="F833" s="1" t="s">
        <v>1398</v>
      </c>
      <c r="G833" s="1" t="s">
        <v>151</v>
      </c>
      <c r="H833" s="1"/>
      <c r="I833" s="1" t="s">
        <v>90</v>
      </c>
      <c r="J833" s="1"/>
    </row>
    <row r="834" spans="1:10" x14ac:dyDescent="0.25">
      <c r="A834" s="2">
        <v>43882</v>
      </c>
      <c r="B834" s="1" t="s">
        <v>153</v>
      </c>
      <c r="C834" s="1" t="s">
        <v>37</v>
      </c>
      <c r="D834" s="1" t="s">
        <v>1395</v>
      </c>
      <c r="E834" s="1" t="s">
        <v>28</v>
      </c>
      <c r="F834" s="1" t="s">
        <v>1426</v>
      </c>
      <c r="G834" s="1" t="s">
        <v>151</v>
      </c>
      <c r="H834" s="1"/>
      <c r="I834" s="1" t="s">
        <v>1650</v>
      </c>
      <c r="J834" s="1"/>
    </row>
    <row r="835" spans="1:10" x14ac:dyDescent="0.25">
      <c r="A835" s="2">
        <v>43883</v>
      </c>
      <c r="B835" s="1" t="s">
        <v>160</v>
      </c>
      <c r="C835" s="1" t="s">
        <v>36</v>
      </c>
      <c r="D835" s="1" t="s">
        <v>1377</v>
      </c>
      <c r="E835" s="1" t="s">
        <v>25</v>
      </c>
      <c r="F835" s="1" t="s">
        <v>1422</v>
      </c>
      <c r="G835" s="1" t="s">
        <v>151</v>
      </c>
      <c r="H835" s="1"/>
      <c r="I835" s="1" t="s">
        <v>102</v>
      </c>
      <c r="J835" s="1"/>
    </row>
    <row r="836" spans="1:10" x14ac:dyDescent="0.25">
      <c r="A836" s="2">
        <v>43883</v>
      </c>
      <c r="B836" s="1" t="s">
        <v>154</v>
      </c>
      <c r="C836" s="1" t="s">
        <v>38</v>
      </c>
      <c r="D836" s="1" t="s">
        <v>1426</v>
      </c>
      <c r="E836" s="1" t="s">
        <v>29</v>
      </c>
      <c r="F836" s="1" t="s">
        <v>1651</v>
      </c>
      <c r="G836" s="1" t="s">
        <v>151</v>
      </c>
      <c r="H836" s="1"/>
      <c r="I836" s="1" t="s">
        <v>1652</v>
      </c>
      <c r="J836" s="1"/>
    </row>
    <row r="837" spans="1:10" x14ac:dyDescent="0.25">
      <c r="A837" s="2">
        <v>43883</v>
      </c>
      <c r="B837" s="1" t="s">
        <v>155</v>
      </c>
      <c r="C837" s="1" t="s">
        <v>43</v>
      </c>
      <c r="D837" s="1" t="s">
        <v>1379</v>
      </c>
      <c r="E837" s="1" t="s">
        <v>52</v>
      </c>
      <c r="F837" s="1" t="s">
        <v>1480</v>
      </c>
      <c r="G837" s="1" t="s">
        <v>151</v>
      </c>
      <c r="H837" s="1"/>
      <c r="I837" s="1" t="s">
        <v>1653</v>
      </c>
      <c r="J837" s="1"/>
    </row>
    <row r="838" spans="1:10" x14ac:dyDescent="0.25">
      <c r="A838" s="2">
        <v>43883</v>
      </c>
      <c r="B838" s="1" t="s">
        <v>150</v>
      </c>
      <c r="C838" s="1" t="s">
        <v>26</v>
      </c>
      <c r="D838" s="1" t="s">
        <v>1377</v>
      </c>
      <c r="E838" s="1" t="s">
        <v>31</v>
      </c>
      <c r="F838" s="1" t="s">
        <v>1610</v>
      </c>
      <c r="G838" s="1" t="s">
        <v>151</v>
      </c>
      <c r="H838" s="1"/>
      <c r="I838" s="1" t="s">
        <v>1654</v>
      </c>
      <c r="J838" s="1"/>
    </row>
    <row r="839" spans="1:10" x14ac:dyDescent="0.25">
      <c r="A839" s="2">
        <v>43883</v>
      </c>
      <c r="B839" s="1" t="s">
        <v>150</v>
      </c>
      <c r="C839" s="1" t="s">
        <v>49</v>
      </c>
      <c r="D839" s="1" t="s">
        <v>1437</v>
      </c>
      <c r="E839" s="1" t="s">
        <v>41</v>
      </c>
      <c r="F839" s="1" t="s">
        <v>1393</v>
      </c>
      <c r="G839" s="1" t="s">
        <v>151</v>
      </c>
      <c r="H839" s="1"/>
      <c r="I839" s="1" t="s">
        <v>1655</v>
      </c>
      <c r="J839" s="1"/>
    </row>
    <row r="840" spans="1:10" x14ac:dyDescent="0.25">
      <c r="A840" s="2">
        <v>43883</v>
      </c>
      <c r="B840" s="1" t="s">
        <v>156</v>
      </c>
      <c r="C840" s="1" t="s">
        <v>45</v>
      </c>
      <c r="D840" s="1" t="s">
        <v>1479</v>
      </c>
      <c r="E840" s="1" t="s">
        <v>39</v>
      </c>
      <c r="F840" s="1" t="s">
        <v>1429</v>
      </c>
      <c r="G840" s="1" t="s">
        <v>151</v>
      </c>
      <c r="H840" s="1"/>
      <c r="I840" s="1" t="s">
        <v>1656</v>
      </c>
      <c r="J840" s="1"/>
    </row>
    <row r="841" spans="1:10" x14ac:dyDescent="0.25">
      <c r="A841" s="2">
        <v>43883</v>
      </c>
      <c r="B841" s="1" t="s">
        <v>157</v>
      </c>
      <c r="C841" s="1" t="s">
        <v>32</v>
      </c>
      <c r="D841" s="1" t="s">
        <v>1446</v>
      </c>
      <c r="E841" s="1" t="s">
        <v>34</v>
      </c>
      <c r="F841" s="1" t="s">
        <v>1448</v>
      </c>
      <c r="G841" s="1" t="s">
        <v>151</v>
      </c>
      <c r="H841" s="1"/>
      <c r="I841" s="1" t="s">
        <v>88</v>
      </c>
      <c r="J841" s="1"/>
    </row>
    <row r="842" spans="1:10" x14ac:dyDescent="0.25">
      <c r="A842" s="2">
        <v>43884</v>
      </c>
      <c r="B842" s="1" t="s">
        <v>160</v>
      </c>
      <c r="C842" s="1" t="s">
        <v>46</v>
      </c>
      <c r="D842" s="1" t="s">
        <v>1377</v>
      </c>
      <c r="E842" s="1" t="s">
        <v>47</v>
      </c>
      <c r="F842" s="1" t="s">
        <v>1389</v>
      </c>
      <c r="G842" s="1" t="s">
        <v>151</v>
      </c>
      <c r="H842" s="1"/>
      <c r="I842" s="1" t="s">
        <v>90</v>
      </c>
      <c r="J842" s="1"/>
    </row>
    <row r="843" spans="1:10" x14ac:dyDescent="0.25">
      <c r="A843" s="2">
        <v>43884</v>
      </c>
      <c r="B843" s="1" t="s">
        <v>161</v>
      </c>
      <c r="C843" s="1" t="s">
        <v>42</v>
      </c>
      <c r="D843" s="1" t="s">
        <v>1383</v>
      </c>
      <c r="E843" s="1" t="s">
        <v>50</v>
      </c>
      <c r="F843" s="1" t="s">
        <v>1395</v>
      </c>
      <c r="G843" s="1" t="s">
        <v>151</v>
      </c>
      <c r="H843" s="1"/>
      <c r="I843" s="1" t="s">
        <v>1657</v>
      </c>
      <c r="J843" s="1"/>
    </row>
    <row r="844" spans="1:10" x14ac:dyDescent="0.25">
      <c r="A844" s="2">
        <v>43884</v>
      </c>
      <c r="B844" s="1" t="s">
        <v>161</v>
      </c>
      <c r="C844" s="1" t="s">
        <v>51</v>
      </c>
      <c r="D844" s="1" t="s">
        <v>1658</v>
      </c>
      <c r="E844" s="1" t="s">
        <v>27</v>
      </c>
      <c r="F844" s="1" t="s">
        <v>1450</v>
      </c>
      <c r="G844" s="1" t="s">
        <v>151</v>
      </c>
      <c r="H844" s="1"/>
      <c r="I844" s="1" t="s">
        <v>1402</v>
      </c>
      <c r="J844" s="1"/>
    </row>
    <row r="845" spans="1:10" x14ac:dyDescent="0.25">
      <c r="A845" s="2">
        <v>43884</v>
      </c>
      <c r="B845" s="1" t="s">
        <v>154</v>
      </c>
      <c r="C845" s="1" t="s">
        <v>40</v>
      </c>
      <c r="D845" s="1" t="s">
        <v>1398</v>
      </c>
      <c r="E845" s="1" t="s">
        <v>31</v>
      </c>
      <c r="F845" s="1" t="s">
        <v>1548</v>
      </c>
      <c r="G845" s="1" t="s">
        <v>151</v>
      </c>
      <c r="H845" s="1"/>
      <c r="I845" s="1" t="s">
        <v>1659</v>
      </c>
      <c r="J845" s="1"/>
    </row>
    <row r="846" spans="1:10" x14ac:dyDescent="0.25">
      <c r="A846" s="2">
        <v>43884</v>
      </c>
      <c r="B846" s="1" t="s">
        <v>154</v>
      </c>
      <c r="C846" s="1" t="s">
        <v>54</v>
      </c>
      <c r="D846" s="1" t="s">
        <v>1422</v>
      </c>
      <c r="E846" s="1" t="s">
        <v>33</v>
      </c>
      <c r="F846" s="1" t="s">
        <v>1376</v>
      </c>
      <c r="G846" s="1" t="s">
        <v>151</v>
      </c>
      <c r="H846" s="1"/>
      <c r="I846" s="1" t="s">
        <v>117</v>
      </c>
      <c r="J846" s="1"/>
    </row>
    <row r="847" spans="1:10" x14ac:dyDescent="0.25">
      <c r="A847" s="2">
        <v>43884</v>
      </c>
      <c r="B847" s="1" t="s">
        <v>156</v>
      </c>
      <c r="C847" s="1" t="s">
        <v>37</v>
      </c>
      <c r="D847" s="1" t="s">
        <v>1426</v>
      </c>
      <c r="E847" s="1" t="s">
        <v>44</v>
      </c>
      <c r="F847" s="1" t="s">
        <v>1508</v>
      </c>
      <c r="G847" s="1" t="s">
        <v>151</v>
      </c>
      <c r="H847" s="1"/>
      <c r="I847" s="1" t="s">
        <v>1522</v>
      </c>
      <c r="J847" s="1"/>
    </row>
    <row r="848" spans="1:10" x14ac:dyDescent="0.25">
      <c r="A848" s="2">
        <v>43884</v>
      </c>
      <c r="B848" s="1" t="s">
        <v>157</v>
      </c>
      <c r="C848" s="1" t="s">
        <v>30</v>
      </c>
      <c r="D848" s="1" t="s">
        <v>1610</v>
      </c>
      <c r="E848" s="1" t="s">
        <v>28</v>
      </c>
      <c r="F848" s="1" t="s">
        <v>1379</v>
      </c>
      <c r="G848" s="1" t="s">
        <v>151</v>
      </c>
      <c r="H848" s="1"/>
      <c r="I848" s="1" t="s">
        <v>1660</v>
      </c>
      <c r="J848" s="1"/>
    </row>
    <row r="849" spans="1:10" x14ac:dyDescent="0.25">
      <c r="A849" s="2">
        <v>43885</v>
      </c>
      <c r="B849" s="1" t="s">
        <v>154</v>
      </c>
      <c r="C849" s="1" t="s">
        <v>41</v>
      </c>
      <c r="D849" s="1" t="s">
        <v>1429</v>
      </c>
      <c r="E849" s="1" t="s">
        <v>49</v>
      </c>
      <c r="F849" s="1" t="s">
        <v>1424</v>
      </c>
      <c r="G849" s="1" t="s">
        <v>151</v>
      </c>
      <c r="H849" s="1" t="s">
        <v>152</v>
      </c>
      <c r="I849" s="1" t="s">
        <v>1677</v>
      </c>
      <c r="J849" s="1"/>
    </row>
    <row r="850" spans="1:10" x14ac:dyDescent="0.25">
      <c r="A850" s="2">
        <v>43885</v>
      </c>
      <c r="B850" s="1" t="s">
        <v>154</v>
      </c>
      <c r="C850" s="1" t="s">
        <v>52</v>
      </c>
      <c r="D850" s="1" t="s">
        <v>1377</v>
      </c>
      <c r="E850" s="1" t="s">
        <v>45</v>
      </c>
      <c r="F850" s="1" t="s">
        <v>1391</v>
      </c>
      <c r="G850" s="1" t="s">
        <v>151</v>
      </c>
      <c r="H850" s="1"/>
      <c r="I850" s="1" t="s">
        <v>1678</v>
      </c>
      <c r="J850" s="1"/>
    </row>
    <row r="851" spans="1:10" x14ac:dyDescent="0.25">
      <c r="A851" s="2">
        <v>43885</v>
      </c>
      <c r="B851" s="1" t="s">
        <v>154</v>
      </c>
      <c r="C851" s="1" t="s">
        <v>39</v>
      </c>
      <c r="D851" s="1" t="s">
        <v>1431</v>
      </c>
      <c r="E851" s="1" t="s">
        <v>40</v>
      </c>
      <c r="F851" s="1" t="s">
        <v>1420</v>
      </c>
      <c r="G851" s="1" t="s">
        <v>151</v>
      </c>
      <c r="H851" s="1" t="s">
        <v>152</v>
      </c>
      <c r="I851" s="1" t="s">
        <v>1679</v>
      </c>
      <c r="J851" s="1"/>
    </row>
    <row r="852" spans="1:10" x14ac:dyDescent="0.25">
      <c r="A852" s="2">
        <v>43885</v>
      </c>
      <c r="B852" s="1" t="s">
        <v>155</v>
      </c>
      <c r="C852" s="1" t="s">
        <v>53</v>
      </c>
      <c r="D852" s="1" t="s">
        <v>1426</v>
      </c>
      <c r="E852" s="1" t="s">
        <v>38</v>
      </c>
      <c r="F852" s="1" t="s">
        <v>1380</v>
      </c>
      <c r="G852" s="1" t="s">
        <v>151</v>
      </c>
      <c r="H852" s="1"/>
      <c r="I852" s="1" t="s">
        <v>1680</v>
      </c>
      <c r="J852" s="1"/>
    </row>
    <row r="853" spans="1:10" x14ac:dyDescent="0.25">
      <c r="A853" s="2">
        <v>43885</v>
      </c>
      <c r="B853" s="1" t="s">
        <v>150</v>
      </c>
      <c r="C853" s="1" t="s">
        <v>35</v>
      </c>
      <c r="D853" s="1" t="s">
        <v>1377</v>
      </c>
      <c r="E853" s="1" t="s">
        <v>32</v>
      </c>
      <c r="F853" s="1" t="s">
        <v>1386</v>
      </c>
      <c r="G853" s="1" t="s">
        <v>151</v>
      </c>
      <c r="H853" s="1"/>
      <c r="I853" s="1" t="s">
        <v>1399</v>
      </c>
      <c r="J853" s="1"/>
    </row>
    <row r="854" spans="1:10" x14ac:dyDescent="0.25">
      <c r="A854" s="2">
        <v>43885</v>
      </c>
      <c r="B854" s="1" t="s">
        <v>156</v>
      </c>
      <c r="C854" s="1" t="s">
        <v>42</v>
      </c>
      <c r="D854" s="1" t="s">
        <v>1386</v>
      </c>
      <c r="E854" s="1" t="s">
        <v>43</v>
      </c>
      <c r="F854" s="1" t="s">
        <v>1419</v>
      </c>
      <c r="G854" s="1" t="s">
        <v>151</v>
      </c>
      <c r="H854" s="1"/>
      <c r="I854" s="1" t="s">
        <v>1681</v>
      </c>
      <c r="J854" s="1"/>
    </row>
    <row r="855" spans="1:10" x14ac:dyDescent="0.25">
      <c r="A855" s="2">
        <v>43885</v>
      </c>
      <c r="B855" s="1" t="s">
        <v>157</v>
      </c>
      <c r="C855" s="1" t="s">
        <v>26</v>
      </c>
      <c r="D855" s="1" t="s">
        <v>1376</v>
      </c>
      <c r="E855" s="1" t="s">
        <v>34</v>
      </c>
      <c r="F855" s="1" t="s">
        <v>1480</v>
      </c>
      <c r="G855" s="1" t="s">
        <v>151</v>
      </c>
      <c r="H855" s="1"/>
      <c r="I855" s="1" t="s">
        <v>88</v>
      </c>
      <c r="J855" s="1"/>
    </row>
    <row r="856" spans="1:10" x14ac:dyDescent="0.25">
      <c r="A856" s="2">
        <v>43885</v>
      </c>
      <c r="B856" s="1" t="s">
        <v>153</v>
      </c>
      <c r="C856" s="1" t="s">
        <v>48</v>
      </c>
      <c r="D856" s="1" t="s">
        <v>1428</v>
      </c>
      <c r="E856" s="1" t="s">
        <v>25</v>
      </c>
      <c r="F856" s="1" t="s">
        <v>1393</v>
      </c>
      <c r="G856" s="1" t="s">
        <v>151</v>
      </c>
      <c r="H856" s="1"/>
      <c r="I856" s="1" t="s">
        <v>102</v>
      </c>
      <c r="J856" s="1"/>
    </row>
    <row r="857" spans="1:10" x14ac:dyDescent="0.25">
      <c r="A857" s="2">
        <v>43886</v>
      </c>
      <c r="B857" s="1" t="s">
        <v>154</v>
      </c>
      <c r="C857" s="1" t="s">
        <v>29</v>
      </c>
      <c r="D857" s="1" t="s">
        <v>1694</v>
      </c>
      <c r="E857" s="1" t="s">
        <v>51</v>
      </c>
      <c r="F857" s="1" t="s">
        <v>1429</v>
      </c>
      <c r="G857" s="1" t="s">
        <v>151</v>
      </c>
      <c r="H857" s="1"/>
      <c r="I857" s="1" t="s">
        <v>1695</v>
      </c>
      <c r="J857" s="1"/>
    </row>
    <row r="858" spans="1:10" x14ac:dyDescent="0.25">
      <c r="A858" s="2">
        <v>43886</v>
      </c>
      <c r="B858" s="1" t="s">
        <v>155</v>
      </c>
      <c r="C858" s="1" t="s">
        <v>39</v>
      </c>
      <c r="D858" s="1" t="s">
        <v>1400</v>
      </c>
      <c r="E858" s="1" t="s">
        <v>27</v>
      </c>
      <c r="F858" s="1" t="s">
        <v>1428</v>
      </c>
      <c r="G858" s="1" t="s">
        <v>151</v>
      </c>
      <c r="H858" s="1"/>
      <c r="I858" s="1" t="s">
        <v>1696</v>
      </c>
      <c r="J858" s="1"/>
    </row>
    <row r="859" spans="1:10" x14ac:dyDescent="0.25">
      <c r="A859" s="2">
        <v>43886</v>
      </c>
      <c r="B859" s="1" t="s">
        <v>150</v>
      </c>
      <c r="C859" s="1" t="s">
        <v>33</v>
      </c>
      <c r="D859" s="1" t="s">
        <v>1393</v>
      </c>
      <c r="E859" s="1" t="s">
        <v>31</v>
      </c>
      <c r="F859" s="1" t="s">
        <v>1524</v>
      </c>
      <c r="G859" s="1" t="s">
        <v>151</v>
      </c>
      <c r="H859" s="1"/>
      <c r="I859" s="1" t="s">
        <v>1697</v>
      </c>
      <c r="J859" s="1"/>
    </row>
    <row r="860" spans="1:10" x14ac:dyDescent="0.25">
      <c r="A860" s="2">
        <v>43886</v>
      </c>
      <c r="B860" s="1" t="s">
        <v>157</v>
      </c>
      <c r="C860" s="1" t="s">
        <v>30</v>
      </c>
      <c r="D860" s="1" t="s">
        <v>1479</v>
      </c>
      <c r="E860" s="1" t="s">
        <v>50</v>
      </c>
      <c r="F860" s="1" t="s">
        <v>1426</v>
      </c>
      <c r="G860" s="1" t="s">
        <v>151</v>
      </c>
      <c r="H860" s="1"/>
      <c r="I860" s="1" t="s">
        <v>1698</v>
      </c>
      <c r="J860" s="1"/>
    </row>
    <row r="861" spans="1:10" x14ac:dyDescent="0.25">
      <c r="A861" s="2">
        <v>43886</v>
      </c>
      <c r="B861" s="1" t="s">
        <v>158</v>
      </c>
      <c r="C861" s="1" t="s">
        <v>37</v>
      </c>
      <c r="D861" s="1" t="s">
        <v>1397</v>
      </c>
      <c r="E861" s="1" t="s">
        <v>47</v>
      </c>
      <c r="F861" s="1" t="s">
        <v>1369</v>
      </c>
      <c r="G861" s="1" t="s">
        <v>151</v>
      </c>
      <c r="H861" s="1"/>
      <c r="I861" s="1" t="s">
        <v>90</v>
      </c>
      <c r="J861" s="1"/>
    </row>
    <row r="862" spans="1:10" x14ac:dyDescent="0.25">
      <c r="A862" s="2">
        <v>43886</v>
      </c>
      <c r="B862" s="1" t="s">
        <v>158</v>
      </c>
      <c r="C862" s="1" t="s">
        <v>46</v>
      </c>
      <c r="D862" s="1" t="s">
        <v>1369</v>
      </c>
      <c r="E862" s="1" t="s">
        <v>28</v>
      </c>
      <c r="F862" s="1" t="s">
        <v>1368</v>
      </c>
      <c r="G862" s="1" t="s">
        <v>151</v>
      </c>
      <c r="H862" s="1"/>
      <c r="I862" s="1" t="s">
        <v>1699</v>
      </c>
      <c r="J862" s="1"/>
    </row>
    <row r="863" spans="1:10" x14ac:dyDescent="0.25">
      <c r="A863" s="2">
        <v>43886</v>
      </c>
      <c r="B863" s="1" t="s">
        <v>153</v>
      </c>
      <c r="C863" s="1" t="s">
        <v>36</v>
      </c>
      <c r="D863" s="1" t="s">
        <v>1377</v>
      </c>
      <c r="E863" s="1" t="s">
        <v>44</v>
      </c>
      <c r="F863" s="1" t="s">
        <v>1700</v>
      </c>
      <c r="G863" s="1" t="s">
        <v>151</v>
      </c>
      <c r="H863" s="1"/>
      <c r="I863" s="1" t="s">
        <v>1522</v>
      </c>
      <c r="J863" s="1"/>
    </row>
    <row r="864" spans="1:10" x14ac:dyDescent="0.25">
      <c r="A864" s="2">
        <v>43887</v>
      </c>
      <c r="B864" s="1" t="s">
        <v>154</v>
      </c>
      <c r="C864" s="1" t="s">
        <v>35</v>
      </c>
      <c r="D864" s="1" t="s">
        <v>1508</v>
      </c>
      <c r="E864" s="1" t="s">
        <v>29</v>
      </c>
      <c r="F864" s="1" t="s">
        <v>1379</v>
      </c>
      <c r="G864" s="1" t="s">
        <v>151</v>
      </c>
      <c r="H864" s="1"/>
      <c r="I864" s="1" t="s">
        <v>1726</v>
      </c>
      <c r="J864" s="1"/>
    </row>
    <row r="865" spans="1:10" x14ac:dyDescent="0.25">
      <c r="A865" s="2">
        <v>43887</v>
      </c>
      <c r="B865" s="1" t="s">
        <v>154</v>
      </c>
      <c r="C865" s="1" t="s">
        <v>45</v>
      </c>
      <c r="D865" s="1" t="s">
        <v>1700</v>
      </c>
      <c r="E865" s="1" t="s">
        <v>49</v>
      </c>
      <c r="F865" s="1" t="s">
        <v>1400</v>
      </c>
      <c r="G865" s="1" t="s">
        <v>151</v>
      </c>
      <c r="H865" s="1"/>
      <c r="I865" s="1" t="s">
        <v>1727</v>
      </c>
      <c r="J865" s="1"/>
    </row>
    <row r="866" spans="1:10" x14ac:dyDescent="0.25">
      <c r="A866" s="2">
        <v>43887</v>
      </c>
      <c r="B866" s="1" t="s">
        <v>154</v>
      </c>
      <c r="C866" s="1" t="s">
        <v>38</v>
      </c>
      <c r="D866" s="1" t="s">
        <v>1368</v>
      </c>
      <c r="E866" s="1" t="s">
        <v>40</v>
      </c>
      <c r="F866" s="1" t="s">
        <v>1448</v>
      </c>
      <c r="G866" s="1" t="s">
        <v>151</v>
      </c>
      <c r="H866" s="1"/>
      <c r="I866" s="1" t="s">
        <v>1728</v>
      </c>
      <c r="J866" s="1"/>
    </row>
    <row r="867" spans="1:10" x14ac:dyDescent="0.25">
      <c r="A867" s="2">
        <v>43887</v>
      </c>
      <c r="B867" s="1" t="s">
        <v>155</v>
      </c>
      <c r="C867" s="1" t="s">
        <v>53</v>
      </c>
      <c r="D867" s="1" t="s">
        <v>1612</v>
      </c>
      <c r="E867" s="1" t="s">
        <v>52</v>
      </c>
      <c r="F867" s="1" t="s">
        <v>1446</v>
      </c>
      <c r="G867" s="1" t="s">
        <v>151</v>
      </c>
      <c r="H867" s="1"/>
      <c r="I867" s="1" t="s">
        <v>1729</v>
      </c>
      <c r="J867" s="1"/>
    </row>
    <row r="868" spans="1:10" x14ac:dyDescent="0.25">
      <c r="A868" s="2">
        <v>43887</v>
      </c>
      <c r="B868" s="1" t="s">
        <v>155</v>
      </c>
      <c r="C868" s="1" t="s">
        <v>42</v>
      </c>
      <c r="D868" s="1" t="s">
        <v>1391</v>
      </c>
      <c r="E868" s="1" t="s">
        <v>41</v>
      </c>
      <c r="F868" s="1" t="s">
        <v>1548</v>
      </c>
      <c r="G868" s="1" t="s">
        <v>151</v>
      </c>
      <c r="H868" s="1"/>
      <c r="I868" s="1" t="s">
        <v>1730</v>
      </c>
      <c r="J868" s="1"/>
    </row>
    <row r="869" spans="1:10" x14ac:dyDescent="0.25">
      <c r="A869" s="2">
        <v>43887</v>
      </c>
      <c r="B869" s="1" t="s">
        <v>150</v>
      </c>
      <c r="C869" s="1" t="s">
        <v>48</v>
      </c>
      <c r="D869" s="1" t="s">
        <v>1377</v>
      </c>
      <c r="E869" s="1" t="s">
        <v>32</v>
      </c>
      <c r="F869" s="1" t="s">
        <v>1527</v>
      </c>
      <c r="G869" s="1" t="s">
        <v>151</v>
      </c>
      <c r="H869" s="1"/>
      <c r="I869" s="1" t="s">
        <v>1399</v>
      </c>
      <c r="J869" s="1"/>
    </row>
    <row r="870" spans="1:10" x14ac:dyDescent="0.25">
      <c r="A870" s="2">
        <v>43887</v>
      </c>
      <c r="B870" s="1" t="s">
        <v>156</v>
      </c>
      <c r="C870" s="1" t="s">
        <v>43</v>
      </c>
      <c r="D870" s="1" t="s">
        <v>1397</v>
      </c>
      <c r="E870" s="1" t="s">
        <v>54</v>
      </c>
      <c r="F870" s="1" t="s">
        <v>1422</v>
      </c>
      <c r="G870" s="1" t="s">
        <v>151</v>
      </c>
      <c r="H870" s="1"/>
      <c r="I870" s="1" t="s">
        <v>1731</v>
      </c>
      <c r="J870" s="1"/>
    </row>
    <row r="871" spans="1:10" x14ac:dyDescent="0.25">
      <c r="A871" s="2">
        <v>43887</v>
      </c>
      <c r="B871" s="1" t="s">
        <v>157</v>
      </c>
      <c r="C871" s="1" t="s">
        <v>25</v>
      </c>
      <c r="D871" s="1" t="s">
        <v>1373</v>
      </c>
      <c r="E871" s="1" t="s">
        <v>26</v>
      </c>
      <c r="F871" s="1" t="s">
        <v>1370</v>
      </c>
      <c r="G871" s="1" t="s">
        <v>151</v>
      </c>
      <c r="H871" s="1"/>
      <c r="I871" s="1" t="s">
        <v>1732</v>
      </c>
      <c r="J871" s="1"/>
    </row>
    <row r="872" spans="1:10" x14ac:dyDescent="0.25">
      <c r="A872" s="2">
        <v>43887</v>
      </c>
      <c r="B872" s="1" t="s">
        <v>153</v>
      </c>
      <c r="C872" s="1" t="s">
        <v>46</v>
      </c>
      <c r="D872" s="1" t="s">
        <v>1389</v>
      </c>
      <c r="E872" s="1" t="s">
        <v>34</v>
      </c>
      <c r="F872" s="1" t="s">
        <v>1422</v>
      </c>
      <c r="G872" s="1" t="s">
        <v>151</v>
      </c>
      <c r="H872" s="1"/>
      <c r="I872" s="1" t="s">
        <v>88</v>
      </c>
      <c r="J872" s="1"/>
    </row>
    <row r="873" spans="1:10" x14ac:dyDescent="0.25">
      <c r="A873" s="2">
        <v>43888</v>
      </c>
      <c r="B873" s="1" t="s">
        <v>154</v>
      </c>
      <c r="C873" s="1" t="s">
        <v>35</v>
      </c>
      <c r="D873" s="1" t="s">
        <v>1368</v>
      </c>
      <c r="E873" s="1" t="s">
        <v>45</v>
      </c>
      <c r="F873" s="1" t="s">
        <v>1426</v>
      </c>
      <c r="G873" s="1" t="s">
        <v>151</v>
      </c>
      <c r="H873" s="1"/>
      <c r="I873" s="1" t="s">
        <v>1733</v>
      </c>
      <c r="J873" s="1"/>
    </row>
    <row r="874" spans="1:10" x14ac:dyDescent="0.25">
      <c r="A874" s="2">
        <v>43888</v>
      </c>
      <c r="B874" s="1" t="s">
        <v>150</v>
      </c>
      <c r="C874" s="1" t="s">
        <v>28</v>
      </c>
      <c r="D874" s="1" t="s">
        <v>1385</v>
      </c>
      <c r="E874" s="1" t="s">
        <v>51</v>
      </c>
      <c r="F874" s="1" t="s">
        <v>1368</v>
      </c>
      <c r="G874" s="1" t="s">
        <v>151</v>
      </c>
      <c r="H874" s="1"/>
      <c r="I874" s="1" t="s">
        <v>1734</v>
      </c>
      <c r="J874" s="1"/>
    </row>
    <row r="875" spans="1:10" x14ac:dyDescent="0.25">
      <c r="A875" s="2">
        <v>43888</v>
      </c>
      <c r="B875" s="1" t="s">
        <v>150</v>
      </c>
      <c r="C875" s="1" t="s">
        <v>36</v>
      </c>
      <c r="D875" s="1" t="s">
        <v>1400</v>
      </c>
      <c r="E875" s="1" t="s">
        <v>33</v>
      </c>
      <c r="F875" s="1" t="s">
        <v>1377</v>
      </c>
      <c r="G875" s="1" t="s">
        <v>151</v>
      </c>
      <c r="H875" s="1"/>
      <c r="I875" s="1" t="s">
        <v>117</v>
      </c>
      <c r="J875" s="1"/>
    </row>
    <row r="876" spans="1:10" x14ac:dyDescent="0.25">
      <c r="A876" s="2">
        <v>43888</v>
      </c>
      <c r="B876" s="1" t="s">
        <v>153</v>
      </c>
      <c r="C876" s="1" t="s">
        <v>47</v>
      </c>
      <c r="D876" s="1" t="s">
        <v>1383</v>
      </c>
      <c r="E876" s="1" t="s">
        <v>44</v>
      </c>
      <c r="F876" s="1" t="s">
        <v>1651</v>
      </c>
      <c r="G876" s="1" t="s">
        <v>151</v>
      </c>
      <c r="H876" s="1"/>
      <c r="I876" s="1" t="s">
        <v>1522</v>
      </c>
      <c r="J876" s="1"/>
    </row>
    <row r="877" spans="1:10" x14ac:dyDescent="0.25">
      <c r="A877" s="2">
        <v>43889</v>
      </c>
      <c r="B877" s="1" t="s">
        <v>154</v>
      </c>
      <c r="C877" s="1" t="s">
        <v>42</v>
      </c>
      <c r="D877" s="1" t="s">
        <v>1424</v>
      </c>
      <c r="E877" s="1" t="s">
        <v>53</v>
      </c>
      <c r="F877" s="1" t="s">
        <v>1773</v>
      </c>
      <c r="G877" s="1" t="s">
        <v>151</v>
      </c>
      <c r="H877" s="1"/>
      <c r="I877" s="1" t="s">
        <v>1375</v>
      </c>
      <c r="J877" s="1"/>
    </row>
    <row r="878" spans="1:10" x14ac:dyDescent="0.25">
      <c r="A878" s="2">
        <v>43889</v>
      </c>
      <c r="B878" s="1" t="s">
        <v>155</v>
      </c>
      <c r="C878" s="1" t="s">
        <v>38</v>
      </c>
      <c r="D878" s="1" t="s">
        <v>1369</v>
      </c>
      <c r="E878" s="1" t="s">
        <v>52</v>
      </c>
      <c r="F878" s="1" t="s">
        <v>1626</v>
      </c>
      <c r="G878" s="1" t="s">
        <v>151</v>
      </c>
      <c r="H878" s="1"/>
      <c r="I878" s="1" t="s">
        <v>1774</v>
      </c>
      <c r="J878" s="1"/>
    </row>
    <row r="879" spans="1:10" x14ac:dyDescent="0.25">
      <c r="A879" s="2">
        <v>43889</v>
      </c>
      <c r="B879" s="1" t="s">
        <v>155</v>
      </c>
      <c r="C879" s="1" t="s">
        <v>29</v>
      </c>
      <c r="D879" s="1" t="s">
        <v>1449</v>
      </c>
      <c r="E879" s="1" t="s">
        <v>27</v>
      </c>
      <c r="F879" s="1" t="s">
        <v>1434</v>
      </c>
      <c r="G879" s="1" t="s">
        <v>151</v>
      </c>
      <c r="H879" s="1"/>
      <c r="I879" s="1" t="s">
        <v>1402</v>
      </c>
      <c r="J879" s="1"/>
    </row>
    <row r="880" spans="1:10" x14ac:dyDescent="0.25">
      <c r="A880" s="2">
        <v>43889</v>
      </c>
      <c r="B880" s="1" t="s">
        <v>150</v>
      </c>
      <c r="C880" s="1" t="s">
        <v>36</v>
      </c>
      <c r="D880" s="1" t="s">
        <v>1610</v>
      </c>
      <c r="E880" s="1" t="s">
        <v>48</v>
      </c>
      <c r="F880" s="1" t="s">
        <v>1508</v>
      </c>
      <c r="G880" s="1" t="s">
        <v>151</v>
      </c>
      <c r="H880" s="1"/>
      <c r="I880" s="1" t="s">
        <v>1775</v>
      </c>
      <c r="J880" s="1"/>
    </row>
    <row r="881" spans="1:10" x14ac:dyDescent="0.25">
      <c r="A881" s="2">
        <v>43889</v>
      </c>
      <c r="B881" s="1" t="s">
        <v>150</v>
      </c>
      <c r="C881" s="1" t="s">
        <v>43</v>
      </c>
      <c r="D881" s="1" t="s">
        <v>1369</v>
      </c>
      <c r="E881" s="1" t="s">
        <v>41</v>
      </c>
      <c r="F881" s="1" t="s">
        <v>1548</v>
      </c>
      <c r="G881" s="1" t="s">
        <v>151</v>
      </c>
      <c r="H881" s="1"/>
      <c r="I881" s="1" t="s">
        <v>1776</v>
      </c>
      <c r="J881" s="1"/>
    </row>
    <row r="882" spans="1:10" x14ac:dyDescent="0.25">
      <c r="A882" s="2">
        <v>43889</v>
      </c>
      <c r="B882" s="1" t="s">
        <v>150</v>
      </c>
      <c r="C882" s="1" t="s">
        <v>33</v>
      </c>
      <c r="D882" s="1" t="s">
        <v>1651</v>
      </c>
      <c r="E882" s="1" t="s">
        <v>39</v>
      </c>
      <c r="F882" s="1" t="s">
        <v>1531</v>
      </c>
      <c r="G882" s="1" t="s">
        <v>151</v>
      </c>
      <c r="H882" s="1"/>
      <c r="I882" s="1" t="s">
        <v>1777</v>
      </c>
      <c r="J882" s="1"/>
    </row>
    <row r="883" spans="1:10" x14ac:dyDescent="0.25">
      <c r="A883" s="2">
        <v>43889</v>
      </c>
      <c r="B883" s="1" t="s">
        <v>150</v>
      </c>
      <c r="C883" s="1" t="s">
        <v>49</v>
      </c>
      <c r="D883" s="1" t="s">
        <v>1610</v>
      </c>
      <c r="E883" s="1" t="s">
        <v>37</v>
      </c>
      <c r="F883" s="1" t="s">
        <v>1383</v>
      </c>
      <c r="G883" s="1" t="s">
        <v>151</v>
      </c>
      <c r="H883" s="1"/>
      <c r="I883" s="1" t="s">
        <v>1778</v>
      </c>
      <c r="J883" s="1"/>
    </row>
    <row r="884" spans="1:10" x14ac:dyDescent="0.25">
      <c r="A884" s="2">
        <v>43889</v>
      </c>
      <c r="B884" s="1" t="s">
        <v>157</v>
      </c>
      <c r="C884" s="1" t="s">
        <v>30</v>
      </c>
      <c r="D884" s="1" t="s">
        <v>1380</v>
      </c>
      <c r="E884" s="1" t="s">
        <v>26</v>
      </c>
      <c r="F884" s="1" t="s">
        <v>1480</v>
      </c>
      <c r="G884" s="1" t="s">
        <v>151</v>
      </c>
      <c r="H884" s="1"/>
      <c r="I884" s="1" t="s">
        <v>1779</v>
      </c>
      <c r="J884" s="1"/>
    </row>
    <row r="885" spans="1:10" x14ac:dyDescent="0.25">
      <c r="A885" s="2">
        <v>43889</v>
      </c>
      <c r="B885" s="1" t="s">
        <v>157</v>
      </c>
      <c r="C885" s="1" t="s">
        <v>40</v>
      </c>
      <c r="D885" s="1" t="s">
        <v>1429</v>
      </c>
      <c r="E885" s="1" t="s">
        <v>34</v>
      </c>
      <c r="F885" s="1" t="s">
        <v>1391</v>
      </c>
      <c r="G885" s="1" t="s">
        <v>151</v>
      </c>
      <c r="H885" s="1"/>
      <c r="I885" s="1" t="s">
        <v>88</v>
      </c>
      <c r="J885" s="1"/>
    </row>
    <row r="886" spans="1:10" x14ac:dyDescent="0.25">
      <c r="A886" s="2">
        <v>43889</v>
      </c>
      <c r="B886" s="1" t="s">
        <v>153</v>
      </c>
      <c r="C886" s="1" t="s">
        <v>50</v>
      </c>
      <c r="D886" s="1" t="s">
        <v>1422</v>
      </c>
      <c r="E886" s="1" t="s">
        <v>25</v>
      </c>
      <c r="F886" s="1" t="s">
        <v>1780</v>
      </c>
      <c r="G886" s="1" t="s">
        <v>151</v>
      </c>
      <c r="H886" s="1"/>
      <c r="I886" s="1" t="s">
        <v>102</v>
      </c>
      <c r="J886" s="1"/>
    </row>
    <row r="887" spans="1:10" x14ac:dyDescent="0.25">
      <c r="A887" s="2">
        <v>43890</v>
      </c>
      <c r="B887" s="1" t="s">
        <v>159</v>
      </c>
      <c r="C887" s="1" t="s">
        <v>31</v>
      </c>
      <c r="D887" s="1" t="s">
        <v>1426</v>
      </c>
      <c r="E887" s="1" t="s">
        <v>35</v>
      </c>
      <c r="F887" s="1" t="s">
        <v>1424</v>
      </c>
      <c r="G887" s="1" t="s">
        <v>151</v>
      </c>
      <c r="H887" s="1"/>
      <c r="I887" s="1" t="s">
        <v>1649</v>
      </c>
      <c r="J887" s="1"/>
    </row>
    <row r="888" spans="1:10" x14ac:dyDescent="0.25">
      <c r="A888" s="2">
        <v>43890</v>
      </c>
      <c r="B888" s="1" t="s">
        <v>155</v>
      </c>
      <c r="C888" s="1" t="s">
        <v>28</v>
      </c>
      <c r="D888" s="1" t="s">
        <v>1398</v>
      </c>
      <c r="E888" s="1" t="s">
        <v>52</v>
      </c>
      <c r="F888" s="1" t="s">
        <v>1391</v>
      </c>
      <c r="G888" s="1" t="s">
        <v>151</v>
      </c>
      <c r="H888" s="1"/>
      <c r="I888" s="1" t="s">
        <v>1781</v>
      </c>
      <c r="J888" s="1"/>
    </row>
    <row r="889" spans="1:10" x14ac:dyDescent="0.25">
      <c r="A889" s="2">
        <v>43890</v>
      </c>
      <c r="B889" s="1" t="s">
        <v>155</v>
      </c>
      <c r="C889" s="1" t="s">
        <v>38</v>
      </c>
      <c r="D889" s="1" t="s">
        <v>1380</v>
      </c>
      <c r="E889" s="1" t="s">
        <v>41</v>
      </c>
      <c r="F889" s="1" t="s">
        <v>1383</v>
      </c>
      <c r="G889" s="1" t="s">
        <v>151</v>
      </c>
      <c r="H889" s="1"/>
      <c r="I889" s="1" t="s">
        <v>1730</v>
      </c>
      <c r="J889" s="1"/>
    </row>
    <row r="890" spans="1:10" x14ac:dyDescent="0.25">
      <c r="A890" s="2">
        <v>43890</v>
      </c>
      <c r="B890" s="1" t="s">
        <v>150</v>
      </c>
      <c r="C890" s="1" t="s">
        <v>51</v>
      </c>
      <c r="D890" s="1" t="s">
        <v>1380</v>
      </c>
      <c r="E890" s="1" t="s">
        <v>49</v>
      </c>
      <c r="F890" s="1" t="s">
        <v>1610</v>
      </c>
      <c r="G890" s="1" t="s">
        <v>151</v>
      </c>
      <c r="H890" s="1"/>
      <c r="I890" s="1"/>
      <c r="J890" s="1"/>
    </row>
    <row r="891" spans="1:10" x14ac:dyDescent="0.25">
      <c r="A891" s="2">
        <v>43890</v>
      </c>
      <c r="B891" s="1" t="s">
        <v>150</v>
      </c>
      <c r="C891" s="1" t="s">
        <v>47</v>
      </c>
      <c r="D891" s="1" t="s">
        <v>1474</v>
      </c>
      <c r="E891" s="1" t="s">
        <v>48</v>
      </c>
      <c r="F891" s="1" t="s">
        <v>1437</v>
      </c>
      <c r="G891" s="1" t="s">
        <v>151</v>
      </c>
      <c r="H891" s="1"/>
      <c r="I891" s="1" t="s">
        <v>1775</v>
      </c>
      <c r="J891" s="1"/>
    </row>
    <row r="892" spans="1:10" x14ac:dyDescent="0.25">
      <c r="A892" s="2">
        <v>43890</v>
      </c>
      <c r="B892" s="1" t="s">
        <v>156</v>
      </c>
      <c r="C892" s="1" t="s">
        <v>32</v>
      </c>
      <c r="D892" s="1" t="s">
        <v>1480</v>
      </c>
      <c r="E892" s="1" t="s">
        <v>46</v>
      </c>
      <c r="F892" s="1" t="s">
        <v>1448</v>
      </c>
      <c r="G892" s="1" t="s">
        <v>151</v>
      </c>
      <c r="H892" s="1" t="s">
        <v>152</v>
      </c>
      <c r="I892" s="1" t="s">
        <v>1384</v>
      </c>
      <c r="J892" s="1"/>
    </row>
    <row r="893" spans="1:10" x14ac:dyDescent="0.25">
      <c r="A893" s="2">
        <v>43890</v>
      </c>
      <c r="B893" s="1" t="s">
        <v>156</v>
      </c>
      <c r="C893" s="1" t="s">
        <v>53</v>
      </c>
      <c r="D893" s="1" t="s">
        <v>1380</v>
      </c>
      <c r="E893" s="1" t="s">
        <v>54</v>
      </c>
      <c r="F893" s="1" t="s">
        <v>1389</v>
      </c>
      <c r="G893" s="1" t="s">
        <v>151</v>
      </c>
      <c r="H893" s="1"/>
      <c r="I893" s="1" t="s">
        <v>1731</v>
      </c>
      <c r="J893" s="1"/>
    </row>
    <row r="894" spans="1:10" x14ac:dyDescent="0.25">
      <c r="A894" s="2">
        <v>43890</v>
      </c>
      <c r="B894" s="1" t="s">
        <v>157</v>
      </c>
      <c r="C894" s="1" t="s">
        <v>44</v>
      </c>
      <c r="D894" s="1" t="s">
        <v>1426</v>
      </c>
      <c r="E894" s="1" t="s">
        <v>26</v>
      </c>
      <c r="F894" s="1" t="s">
        <v>1449</v>
      </c>
      <c r="G894" s="1" t="s">
        <v>151</v>
      </c>
      <c r="H894" s="1"/>
      <c r="I894" s="1" t="s">
        <v>1782</v>
      </c>
      <c r="J894" s="1"/>
    </row>
    <row r="895" spans="1:10" x14ac:dyDescent="0.25">
      <c r="A895" s="2">
        <v>43891</v>
      </c>
      <c r="B895" s="1" t="s">
        <v>984</v>
      </c>
      <c r="C895" s="1" t="s">
        <v>39</v>
      </c>
      <c r="D895" s="1" t="s">
        <v>1630</v>
      </c>
      <c r="E895" s="1" t="s">
        <v>29</v>
      </c>
      <c r="F895" s="1" t="s">
        <v>1371</v>
      </c>
      <c r="G895" s="1" t="s">
        <v>151</v>
      </c>
      <c r="H895" s="1"/>
      <c r="I895" s="1" t="s">
        <v>1783</v>
      </c>
      <c r="J895" s="1"/>
    </row>
    <row r="896" spans="1:10" x14ac:dyDescent="0.25">
      <c r="A896" s="2">
        <v>43891</v>
      </c>
      <c r="B896" s="1" t="s">
        <v>160</v>
      </c>
      <c r="C896" s="1" t="s">
        <v>45</v>
      </c>
      <c r="D896" s="1" t="s">
        <v>1612</v>
      </c>
      <c r="E896" s="1" t="s">
        <v>25</v>
      </c>
      <c r="F896" s="1" t="s">
        <v>1773</v>
      </c>
      <c r="G896" s="1" t="s">
        <v>151</v>
      </c>
      <c r="H896" s="1"/>
      <c r="I896" s="1" t="s">
        <v>102</v>
      </c>
      <c r="J896" s="1"/>
    </row>
    <row r="897" spans="1:10" x14ac:dyDescent="0.25">
      <c r="A897" s="2">
        <v>43891</v>
      </c>
      <c r="B897" s="1" t="s">
        <v>160</v>
      </c>
      <c r="C897" s="1" t="s">
        <v>43</v>
      </c>
      <c r="D897" s="1" t="s">
        <v>1480</v>
      </c>
      <c r="E897" s="1" t="s">
        <v>42</v>
      </c>
      <c r="F897" s="1" t="s">
        <v>1514</v>
      </c>
      <c r="G897" s="1" t="s">
        <v>151</v>
      </c>
      <c r="H897" s="1"/>
      <c r="I897" s="1" t="s">
        <v>1784</v>
      </c>
      <c r="J897" s="1"/>
    </row>
    <row r="898" spans="1:10" x14ac:dyDescent="0.25">
      <c r="A898" s="2">
        <v>43891</v>
      </c>
      <c r="B898" s="1" t="s">
        <v>161</v>
      </c>
      <c r="C898" s="1" t="s">
        <v>27</v>
      </c>
      <c r="D898" s="1" t="s">
        <v>1369</v>
      </c>
      <c r="E898" s="1" t="s">
        <v>50</v>
      </c>
      <c r="F898" s="1" t="s">
        <v>1531</v>
      </c>
      <c r="G898" s="1" t="s">
        <v>151</v>
      </c>
      <c r="H898" s="1"/>
      <c r="I898" s="1" t="s">
        <v>1785</v>
      </c>
      <c r="J898" s="1"/>
    </row>
    <row r="899" spans="1:10" x14ac:dyDescent="0.25">
      <c r="A899" s="2">
        <v>43891</v>
      </c>
      <c r="B899" s="1" t="s">
        <v>161</v>
      </c>
      <c r="C899" s="1" t="s">
        <v>30</v>
      </c>
      <c r="D899" s="1" t="s">
        <v>1385</v>
      </c>
      <c r="E899" s="1" t="s">
        <v>36</v>
      </c>
      <c r="F899" s="1" t="s">
        <v>1368</v>
      </c>
      <c r="G899" s="1" t="s">
        <v>151</v>
      </c>
      <c r="H899" s="1"/>
      <c r="I899" s="1" t="s">
        <v>1786</v>
      </c>
      <c r="J899" s="1"/>
    </row>
    <row r="900" spans="1:10" x14ac:dyDescent="0.25">
      <c r="A900" s="2">
        <v>43891</v>
      </c>
      <c r="B900" s="1" t="s">
        <v>150</v>
      </c>
      <c r="C900" s="1" t="s">
        <v>47</v>
      </c>
      <c r="D900" s="1" t="s">
        <v>1524</v>
      </c>
      <c r="E900" s="1" t="s">
        <v>37</v>
      </c>
      <c r="F900" s="1" t="s">
        <v>1389</v>
      </c>
      <c r="G900" s="1" t="s">
        <v>151</v>
      </c>
      <c r="H900" s="1"/>
      <c r="I900" s="1" t="s">
        <v>1787</v>
      </c>
      <c r="J900" s="1"/>
    </row>
    <row r="901" spans="1:10" x14ac:dyDescent="0.25">
      <c r="A901" s="2">
        <v>43891</v>
      </c>
      <c r="B901" s="1" t="s">
        <v>156</v>
      </c>
      <c r="C901" s="1" t="s">
        <v>40</v>
      </c>
      <c r="D901" s="1" t="s">
        <v>1393</v>
      </c>
      <c r="E901" s="1" t="s">
        <v>44</v>
      </c>
      <c r="F901" s="1" t="s">
        <v>1448</v>
      </c>
      <c r="G901" s="1" t="s">
        <v>151</v>
      </c>
      <c r="H901" s="1"/>
      <c r="I901" s="1" t="s">
        <v>1522</v>
      </c>
      <c r="J901" s="1"/>
    </row>
    <row r="902" spans="1:10" x14ac:dyDescent="0.25">
      <c r="A902" s="2">
        <v>43892</v>
      </c>
      <c r="B902" s="1" t="s">
        <v>154</v>
      </c>
      <c r="C902" s="1" t="s">
        <v>34</v>
      </c>
      <c r="D902" s="1" t="s">
        <v>1548</v>
      </c>
      <c r="E902" s="1" t="s">
        <v>49</v>
      </c>
      <c r="F902" s="1" t="s">
        <v>1380</v>
      </c>
      <c r="G902" s="1" t="s">
        <v>151</v>
      </c>
      <c r="H902" s="1"/>
      <c r="I902" s="1" t="s">
        <v>1809</v>
      </c>
      <c r="J902" s="1"/>
    </row>
    <row r="903" spans="1:10" x14ac:dyDescent="0.25">
      <c r="A903" s="2">
        <v>43892</v>
      </c>
      <c r="B903" s="1" t="s">
        <v>154</v>
      </c>
      <c r="C903" s="1" t="s">
        <v>32</v>
      </c>
      <c r="D903" s="1" t="s">
        <v>1386</v>
      </c>
      <c r="E903" s="1" t="s">
        <v>35</v>
      </c>
      <c r="F903" s="1" t="s">
        <v>1424</v>
      </c>
      <c r="G903" s="1" t="s">
        <v>151</v>
      </c>
      <c r="H903" s="1"/>
      <c r="I903" s="1" t="s">
        <v>1810</v>
      </c>
      <c r="J903" s="1"/>
    </row>
    <row r="904" spans="1:10" x14ac:dyDescent="0.25">
      <c r="A904" s="2">
        <v>43892</v>
      </c>
      <c r="B904" s="1" t="s">
        <v>154</v>
      </c>
      <c r="C904" s="1" t="s">
        <v>28</v>
      </c>
      <c r="D904" s="1" t="s">
        <v>1612</v>
      </c>
      <c r="E904" s="1" t="s">
        <v>53</v>
      </c>
      <c r="F904" s="1" t="s">
        <v>1379</v>
      </c>
      <c r="G904" s="1" t="s">
        <v>151</v>
      </c>
      <c r="H904" s="1"/>
      <c r="I904" s="1" t="s">
        <v>1811</v>
      </c>
      <c r="J904" s="1"/>
    </row>
    <row r="905" spans="1:10" x14ac:dyDescent="0.25">
      <c r="A905" s="2">
        <v>43892</v>
      </c>
      <c r="B905" s="1" t="s">
        <v>155</v>
      </c>
      <c r="C905" s="1" t="s">
        <v>48</v>
      </c>
      <c r="D905" s="1" t="s">
        <v>1450</v>
      </c>
      <c r="E905" s="1" t="s">
        <v>52</v>
      </c>
      <c r="F905" s="1" t="s">
        <v>1474</v>
      </c>
      <c r="G905" s="1" t="s">
        <v>151</v>
      </c>
      <c r="H905" s="1"/>
      <c r="I905" s="1" t="s">
        <v>1812</v>
      </c>
      <c r="J905" s="1"/>
    </row>
    <row r="906" spans="1:10" x14ac:dyDescent="0.25">
      <c r="A906" s="2">
        <v>43892</v>
      </c>
      <c r="B906" s="1" t="s">
        <v>155</v>
      </c>
      <c r="C906" s="1" t="s">
        <v>39</v>
      </c>
      <c r="D906" s="1" t="s">
        <v>1374</v>
      </c>
      <c r="E906" s="1" t="s">
        <v>41</v>
      </c>
      <c r="F906" s="1" t="s">
        <v>1437</v>
      </c>
      <c r="G906" s="1" t="s">
        <v>151</v>
      </c>
      <c r="H906" s="1"/>
      <c r="I906" s="1" t="s">
        <v>1730</v>
      </c>
      <c r="J906" s="1"/>
    </row>
    <row r="907" spans="1:10" x14ac:dyDescent="0.25">
      <c r="A907" s="2">
        <v>43892</v>
      </c>
      <c r="B907" s="1" t="s">
        <v>150</v>
      </c>
      <c r="C907" s="1" t="s">
        <v>43</v>
      </c>
      <c r="D907" s="1" t="s">
        <v>1379</v>
      </c>
      <c r="E907" s="1" t="s">
        <v>31</v>
      </c>
      <c r="F907" s="1" t="s">
        <v>1397</v>
      </c>
      <c r="G907" s="1" t="s">
        <v>151</v>
      </c>
      <c r="H907" s="1"/>
      <c r="I907" s="1" t="s">
        <v>1813</v>
      </c>
      <c r="J907" s="1"/>
    </row>
    <row r="908" spans="1:10" x14ac:dyDescent="0.25">
      <c r="A908" s="2">
        <v>43892</v>
      </c>
      <c r="B908" s="1" t="s">
        <v>156</v>
      </c>
      <c r="C908" s="1" t="s">
        <v>51</v>
      </c>
      <c r="D908" s="1" t="s">
        <v>1383</v>
      </c>
      <c r="E908" s="1" t="s">
        <v>54</v>
      </c>
      <c r="F908" s="1" t="s">
        <v>1480</v>
      </c>
      <c r="G908" s="1" t="s">
        <v>151</v>
      </c>
      <c r="H908" s="1"/>
      <c r="I908" s="1" t="s">
        <v>1814</v>
      </c>
      <c r="J908" s="1"/>
    </row>
    <row r="909" spans="1:10" x14ac:dyDescent="0.25">
      <c r="A909" s="2">
        <v>43893</v>
      </c>
      <c r="B909" s="1" t="s">
        <v>154</v>
      </c>
      <c r="C909" s="1" t="s">
        <v>54</v>
      </c>
      <c r="D909" s="1" t="s">
        <v>1610</v>
      </c>
      <c r="E909" s="1" t="s">
        <v>29</v>
      </c>
      <c r="F909" s="1" t="s">
        <v>1422</v>
      </c>
      <c r="G909" s="1" t="s">
        <v>151</v>
      </c>
      <c r="H909" s="1"/>
      <c r="I909" s="1" t="s">
        <v>1838</v>
      </c>
      <c r="J909" s="1"/>
    </row>
    <row r="910" spans="1:10" x14ac:dyDescent="0.25">
      <c r="A910" s="2">
        <v>43893</v>
      </c>
      <c r="B910" s="1" t="s">
        <v>155</v>
      </c>
      <c r="C910" s="1" t="s">
        <v>38</v>
      </c>
      <c r="D910" s="1" t="s">
        <v>1391</v>
      </c>
      <c r="E910" s="1" t="s">
        <v>46</v>
      </c>
      <c r="F910" s="1" t="s">
        <v>1446</v>
      </c>
      <c r="G910" s="1" t="s">
        <v>151</v>
      </c>
      <c r="H910" s="1" t="s">
        <v>152</v>
      </c>
      <c r="I910" s="1" t="s">
        <v>1384</v>
      </c>
      <c r="J910" s="1"/>
    </row>
    <row r="911" spans="1:10" x14ac:dyDescent="0.25">
      <c r="A911" s="2">
        <v>43893</v>
      </c>
      <c r="B911" s="1" t="s">
        <v>150</v>
      </c>
      <c r="C911" s="1" t="s">
        <v>42</v>
      </c>
      <c r="D911" s="1" t="s">
        <v>1419</v>
      </c>
      <c r="E911" s="1" t="s">
        <v>37</v>
      </c>
      <c r="F911" s="1" t="s">
        <v>1420</v>
      </c>
      <c r="G911" s="1" t="s">
        <v>151</v>
      </c>
      <c r="H911" s="1"/>
      <c r="I911" s="1" t="s">
        <v>1839</v>
      </c>
      <c r="J911" s="1"/>
    </row>
    <row r="912" spans="1:10" x14ac:dyDescent="0.25">
      <c r="A912" s="2">
        <v>43893</v>
      </c>
      <c r="B912" s="1" t="s">
        <v>150</v>
      </c>
      <c r="C912" s="1" t="s">
        <v>25</v>
      </c>
      <c r="D912" s="1" t="s">
        <v>1397</v>
      </c>
      <c r="E912" s="1" t="s">
        <v>33</v>
      </c>
      <c r="F912" s="1" t="s">
        <v>1700</v>
      </c>
      <c r="G912" s="1" t="s">
        <v>151</v>
      </c>
      <c r="H912" s="1"/>
      <c r="I912" s="1" t="s">
        <v>117</v>
      </c>
      <c r="J912" s="1"/>
    </row>
    <row r="913" spans="1:10" x14ac:dyDescent="0.25">
      <c r="A913" s="2">
        <v>43893</v>
      </c>
      <c r="B913" s="1" t="s">
        <v>157</v>
      </c>
      <c r="C913" s="1" t="s">
        <v>44</v>
      </c>
      <c r="D913" s="1" t="s">
        <v>1383</v>
      </c>
      <c r="E913" s="1" t="s">
        <v>50</v>
      </c>
      <c r="F913" s="1" t="s">
        <v>1385</v>
      </c>
      <c r="G913" s="1" t="s">
        <v>151</v>
      </c>
      <c r="H913" s="1"/>
      <c r="I913" s="1" t="s">
        <v>1451</v>
      </c>
      <c r="J913" s="1"/>
    </row>
    <row r="914" spans="1:10" x14ac:dyDescent="0.25">
      <c r="A914" s="2">
        <v>43893</v>
      </c>
      <c r="B914" s="1" t="s">
        <v>157</v>
      </c>
      <c r="C914" s="1" t="s">
        <v>27</v>
      </c>
      <c r="D914" s="1" t="s">
        <v>1386</v>
      </c>
      <c r="E914" s="1" t="s">
        <v>26</v>
      </c>
      <c r="F914" s="1" t="s">
        <v>1389</v>
      </c>
      <c r="G914" s="1" t="s">
        <v>151</v>
      </c>
      <c r="H914" s="1"/>
      <c r="I914" s="1" t="s">
        <v>1840</v>
      </c>
      <c r="J914" s="1"/>
    </row>
    <row r="915" spans="1:10" x14ac:dyDescent="0.25">
      <c r="A915" s="2">
        <v>43893</v>
      </c>
      <c r="B915" s="1" t="s">
        <v>158</v>
      </c>
      <c r="C915" s="1" t="s">
        <v>45</v>
      </c>
      <c r="D915" s="1" t="s">
        <v>1379</v>
      </c>
      <c r="E915" s="1" t="s">
        <v>47</v>
      </c>
      <c r="F915" s="1" t="s">
        <v>1446</v>
      </c>
      <c r="G915" s="1" t="s">
        <v>151</v>
      </c>
      <c r="H915" s="1"/>
      <c r="I915" s="1" t="s">
        <v>90</v>
      </c>
      <c r="J915" s="1"/>
    </row>
    <row r="916" spans="1:10" x14ac:dyDescent="0.25">
      <c r="A916" s="2">
        <v>43893</v>
      </c>
      <c r="B916" s="1" t="s">
        <v>158</v>
      </c>
      <c r="C916" s="1" t="s">
        <v>40</v>
      </c>
      <c r="D916" s="1" t="s">
        <v>1548</v>
      </c>
      <c r="E916" s="1" t="s">
        <v>36</v>
      </c>
      <c r="F916" s="1" t="s">
        <v>1531</v>
      </c>
      <c r="G916" s="1" t="s">
        <v>151</v>
      </c>
      <c r="H916" s="1"/>
      <c r="I916" s="1" t="s">
        <v>1841</v>
      </c>
      <c r="J916" s="1"/>
    </row>
    <row r="917" spans="1:10" x14ac:dyDescent="0.25">
      <c r="A917" s="2">
        <v>43894</v>
      </c>
      <c r="B917" s="1" t="s">
        <v>154</v>
      </c>
      <c r="C917" s="1" t="s">
        <v>46</v>
      </c>
      <c r="D917" s="1" t="s">
        <v>1377</v>
      </c>
      <c r="E917" s="1" t="s">
        <v>49</v>
      </c>
      <c r="F917" s="1" t="s">
        <v>1368</v>
      </c>
      <c r="G917" s="1" t="s">
        <v>151</v>
      </c>
      <c r="H917" s="1"/>
      <c r="I917" s="1" t="s">
        <v>1869</v>
      </c>
      <c r="J917" s="1"/>
    </row>
    <row r="918" spans="1:10" x14ac:dyDescent="0.25">
      <c r="A918" s="2">
        <v>43894</v>
      </c>
      <c r="B918" s="1" t="s">
        <v>154</v>
      </c>
      <c r="C918" s="1" t="s">
        <v>33</v>
      </c>
      <c r="D918" s="1" t="s">
        <v>1389</v>
      </c>
      <c r="E918" s="1" t="s">
        <v>30</v>
      </c>
      <c r="F918" s="1" t="s">
        <v>1379</v>
      </c>
      <c r="G918" s="1" t="s">
        <v>151</v>
      </c>
      <c r="H918" s="1"/>
      <c r="I918" s="1" t="s">
        <v>1870</v>
      </c>
      <c r="J918" s="1"/>
    </row>
    <row r="919" spans="1:10" x14ac:dyDescent="0.25">
      <c r="A919" s="2">
        <v>43894</v>
      </c>
      <c r="B919" s="1" t="s">
        <v>154</v>
      </c>
      <c r="C919" s="1" t="s">
        <v>51</v>
      </c>
      <c r="D919" s="1" t="s">
        <v>1385</v>
      </c>
      <c r="E919" s="1" t="s">
        <v>39</v>
      </c>
      <c r="F919" s="1" t="s">
        <v>1429</v>
      </c>
      <c r="G919" s="1" t="s">
        <v>151</v>
      </c>
      <c r="H919" s="1"/>
      <c r="I919" s="1" t="s">
        <v>1871</v>
      </c>
      <c r="J919" s="1"/>
    </row>
    <row r="920" spans="1:10" x14ac:dyDescent="0.25">
      <c r="A920" s="2">
        <v>43894</v>
      </c>
      <c r="B920" s="1" t="s">
        <v>155</v>
      </c>
      <c r="C920" s="1" t="s">
        <v>48</v>
      </c>
      <c r="D920" s="1" t="s">
        <v>1369</v>
      </c>
      <c r="E920" s="1" t="s">
        <v>38</v>
      </c>
      <c r="F920" s="1" t="s">
        <v>1872</v>
      </c>
      <c r="G920" s="1" t="s">
        <v>151</v>
      </c>
      <c r="H920" s="1"/>
      <c r="I920" s="1" t="s">
        <v>1873</v>
      </c>
      <c r="J920" s="1"/>
    </row>
    <row r="921" spans="1:10" x14ac:dyDescent="0.25">
      <c r="A921" s="2">
        <v>43894</v>
      </c>
      <c r="B921" s="1" t="s">
        <v>155</v>
      </c>
      <c r="C921" s="1" t="s">
        <v>53</v>
      </c>
      <c r="D921" s="1" t="s">
        <v>1380</v>
      </c>
      <c r="E921" s="1" t="s">
        <v>41</v>
      </c>
      <c r="F921" s="1" t="s">
        <v>1383</v>
      </c>
      <c r="G921" s="1" t="s">
        <v>151</v>
      </c>
      <c r="H921" s="1"/>
      <c r="I921" s="1" t="s">
        <v>1730</v>
      </c>
      <c r="J921" s="1"/>
    </row>
    <row r="922" spans="1:10" x14ac:dyDescent="0.25">
      <c r="A922" s="2">
        <v>43894</v>
      </c>
      <c r="B922" s="1" t="s">
        <v>155</v>
      </c>
      <c r="C922" s="1" t="s">
        <v>34</v>
      </c>
      <c r="D922" s="1" t="s">
        <v>1377</v>
      </c>
      <c r="E922" s="1" t="s">
        <v>35</v>
      </c>
      <c r="F922" s="1" t="s">
        <v>1610</v>
      </c>
      <c r="G922" s="1" t="s">
        <v>151</v>
      </c>
      <c r="H922" s="1"/>
      <c r="I922" s="1" t="s">
        <v>1874</v>
      </c>
      <c r="J922" s="1"/>
    </row>
    <row r="923" spans="1:10" x14ac:dyDescent="0.25">
      <c r="A923" s="2">
        <v>43894</v>
      </c>
      <c r="B923" s="1" t="s">
        <v>150</v>
      </c>
      <c r="C923" s="1" t="s">
        <v>31</v>
      </c>
      <c r="D923" s="1" t="s">
        <v>1400</v>
      </c>
      <c r="E923" s="1" t="s">
        <v>42</v>
      </c>
      <c r="F923" s="1" t="s">
        <v>1426</v>
      </c>
      <c r="G923" s="1" t="s">
        <v>151</v>
      </c>
      <c r="H923" s="1"/>
      <c r="I923" s="1" t="s">
        <v>1875</v>
      </c>
      <c r="J923" s="1"/>
    </row>
    <row r="924" spans="1:10" x14ac:dyDescent="0.25">
      <c r="A924" s="2">
        <v>43894</v>
      </c>
      <c r="B924" s="1" t="s">
        <v>162</v>
      </c>
      <c r="C924" s="1" t="s">
        <v>37</v>
      </c>
      <c r="D924" s="1" t="s">
        <v>1386</v>
      </c>
      <c r="E924" s="1" t="s">
        <v>43</v>
      </c>
      <c r="F924" s="1" t="s">
        <v>1450</v>
      </c>
      <c r="G924" s="1" t="s">
        <v>151</v>
      </c>
      <c r="H924" s="1" t="s">
        <v>152</v>
      </c>
      <c r="I924" s="1" t="s">
        <v>1876</v>
      </c>
      <c r="J924" s="1"/>
    </row>
    <row r="925" spans="1:10" x14ac:dyDescent="0.25">
      <c r="A925" s="2">
        <v>43894</v>
      </c>
      <c r="B925" s="1" t="s">
        <v>158</v>
      </c>
      <c r="C925" s="1" t="s">
        <v>40</v>
      </c>
      <c r="D925" s="1" t="s">
        <v>1610</v>
      </c>
      <c r="E925" s="1" t="s">
        <v>28</v>
      </c>
      <c r="F925" s="1" t="s">
        <v>1424</v>
      </c>
      <c r="G925" s="1" t="s">
        <v>151</v>
      </c>
      <c r="H925" s="1"/>
      <c r="I925" s="1" t="s">
        <v>1660</v>
      </c>
      <c r="J925" s="1"/>
    </row>
    <row r="926" spans="1:10" x14ac:dyDescent="0.25">
      <c r="A926" s="2">
        <v>43895</v>
      </c>
      <c r="B926" s="1" t="s">
        <v>154</v>
      </c>
      <c r="C926" s="1" t="s">
        <v>50</v>
      </c>
      <c r="D926" s="1" t="s">
        <v>1389</v>
      </c>
      <c r="E926" s="1" t="s">
        <v>29</v>
      </c>
      <c r="F926" s="1" t="s">
        <v>1377</v>
      </c>
      <c r="G926" s="1" t="s">
        <v>151</v>
      </c>
      <c r="H926" s="1"/>
      <c r="I926" s="1" t="s">
        <v>1894</v>
      </c>
      <c r="J926" s="1"/>
    </row>
    <row r="927" spans="1:10" x14ac:dyDescent="0.25">
      <c r="A927" s="2">
        <v>43895</v>
      </c>
      <c r="B927" s="1" t="s">
        <v>150</v>
      </c>
      <c r="C927" s="1" t="s">
        <v>25</v>
      </c>
      <c r="D927" s="1" t="s">
        <v>1446</v>
      </c>
      <c r="E927" s="1" t="s">
        <v>32</v>
      </c>
      <c r="F927" s="1" t="s">
        <v>1437</v>
      </c>
      <c r="G927" s="1" t="s">
        <v>151</v>
      </c>
      <c r="H927" s="1"/>
      <c r="I927" s="1" t="s">
        <v>1399</v>
      </c>
      <c r="J927" s="1"/>
    </row>
    <row r="928" spans="1:10" x14ac:dyDescent="0.25">
      <c r="A928" s="2">
        <v>43895</v>
      </c>
      <c r="B928" s="1" t="s">
        <v>158</v>
      </c>
      <c r="C928" s="1" t="s">
        <v>45</v>
      </c>
      <c r="D928" s="1" t="s">
        <v>1424</v>
      </c>
      <c r="E928" s="1" t="s">
        <v>36</v>
      </c>
      <c r="F928" s="1" t="s">
        <v>1400</v>
      </c>
      <c r="G928" s="1" t="s">
        <v>151</v>
      </c>
      <c r="H928" s="1"/>
      <c r="I928" s="1" t="s">
        <v>1895</v>
      </c>
      <c r="J928" s="1"/>
    </row>
    <row r="929" spans="1:10" x14ac:dyDescent="0.25">
      <c r="A929" s="2">
        <v>43895</v>
      </c>
      <c r="B929" s="1" t="s">
        <v>153</v>
      </c>
      <c r="C929" s="1" t="s">
        <v>27</v>
      </c>
      <c r="D929" s="1" t="s">
        <v>1477</v>
      </c>
      <c r="E929" s="1" t="s">
        <v>44</v>
      </c>
      <c r="F929" s="1" t="s">
        <v>1380</v>
      </c>
      <c r="G929" s="1" t="s">
        <v>151</v>
      </c>
      <c r="H929" s="1"/>
      <c r="I929" s="1" t="s">
        <v>1522</v>
      </c>
      <c r="J929" s="1"/>
    </row>
    <row r="930" spans="1:10" x14ac:dyDescent="0.25">
      <c r="A930" s="2">
        <v>43896</v>
      </c>
      <c r="B930" s="1" t="s">
        <v>154</v>
      </c>
      <c r="C930" s="1" t="s">
        <v>52</v>
      </c>
      <c r="D930" s="1" t="s">
        <v>1377</v>
      </c>
      <c r="E930" s="1" t="s">
        <v>40</v>
      </c>
      <c r="F930" s="1" t="s">
        <v>1369</v>
      </c>
      <c r="G930" s="1" t="s">
        <v>151</v>
      </c>
      <c r="H930" s="1"/>
      <c r="I930" s="1" t="s">
        <v>1978</v>
      </c>
      <c r="J930" s="1"/>
    </row>
    <row r="931" spans="1:10" x14ac:dyDescent="0.25">
      <c r="A931" s="2">
        <v>43896</v>
      </c>
      <c r="B931" s="1" t="s">
        <v>155</v>
      </c>
      <c r="C931" s="1" t="s">
        <v>54</v>
      </c>
      <c r="D931" s="1" t="s">
        <v>1446</v>
      </c>
      <c r="E931" s="1" t="s">
        <v>38</v>
      </c>
      <c r="F931" s="1" t="s">
        <v>1419</v>
      </c>
      <c r="G931" s="1" t="s">
        <v>151</v>
      </c>
      <c r="H931" s="1"/>
      <c r="I931" s="1" t="s">
        <v>1979</v>
      </c>
      <c r="J931" s="1"/>
    </row>
    <row r="932" spans="1:10" x14ac:dyDescent="0.25">
      <c r="A932" s="2">
        <v>43896</v>
      </c>
      <c r="B932" s="1" t="s">
        <v>155</v>
      </c>
      <c r="C932" s="1" t="s">
        <v>33</v>
      </c>
      <c r="D932" s="1" t="s">
        <v>1548</v>
      </c>
      <c r="E932" s="1" t="s">
        <v>35</v>
      </c>
      <c r="F932" s="1" t="s">
        <v>1422</v>
      </c>
      <c r="G932" s="1" t="s">
        <v>151</v>
      </c>
      <c r="H932" s="1"/>
      <c r="I932" s="1" t="s">
        <v>1980</v>
      </c>
      <c r="J932" s="1"/>
    </row>
    <row r="933" spans="1:10" x14ac:dyDescent="0.25">
      <c r="A933" s="2">
        <v>43896</v>
      </c>
      <c r="B933" s="1" t="s">
        <v>150</v>
      </c>
      <c r="C933" s="1" t="s">
        <v>34</v>
      </c>
      <c r="D933" s="1" t="s">
        <v>1449</v>
      </c>
      <c r="E933" s="1" t="s">
        <v>46</v>
      </c>
      <c r="F933" s="1" t="s">
        <v>1700</v>
      </c>
      <c r="G933" s="1" t="s">
        <v>151</v>
      </c>
      <c r="H933" s="1"/>
      <c r="I933" s="1" t="s">
        <v>1384</v>
      </c>
      <c r="J933" s="1"/>
    </row>
    <row r="934" spans="1:10" x14ac:dyDescent="0.25">
      <c r="A934" s="2">
        <v>43896</v>
      </c>
      <c r="B934" s="1" t="s">
        <v>150</v>
      </c>
      <c r="C934" s="1" t="s">
        <v>51</v>
      </c>
      <c r="D934" s="1" t="s">
        <v>1400</v>
      </c>
      <c r="E934" s="1" t="s">
        <v>31</v>
      </c>
      <c r="F934" s="1" t="s">
        <v>1373</v>
      </c>
      <c r="G934" s="1" t="s">
        <v>151</v>
      </c>
      <c r="H934" s="1"/>
      <c r="I934" s="1" t="s">
        <v>1981</v>
      </c>
      <c r="J934" s="1"/>
    </row>
    <row r="935" spans="1:10" x14ac:dyDescent="0.25">
      <c r="A935" s="2">
        <v>43896</v>
      </c>
      <c r="B935" s="1" t="s">
        <v>150</v>
      </c>
      <c r="C935" s="1" t="s">
        <v>53</v>
      </c>
      <c r="D935" s="1" t="s">
        <v>1780</v>
      </c>
      <c r="E935" s="1" t="s">
        <v>42</v>
      </c>
      <c r="F935" s="1" t="s">
        <v>1369</v>
      </c>
      <c r="G935" s="1" t="s">
        <v>151</v>
      </c>
      <c r="H935" s="1"/>
      <c r="I935" s="1" t="s">
        <v>1982</v>
      </c>
      <c r="J935" s="1"/>
    </row>
    <row r="936" spans="1:10" x14ac:dyDescent="0.25">
      <c r="A936" s="2">
        <v>43896</v>
      </c>
      <c r="B936" s="1" t="s">
        <v>150</v>
      </c>
      <c r="C936" s="1" t="s">
        <v>41</v>
      </c>
      <c r="D936" s="1" t="s">
        <v>1610</v>
      </c>
      <c r="E936" s="1" t="s">
        <v>37</v>
      </c>
      <c r="F936" s="1" t="s">
        <v>1448</v>
      </c>
      <c r="G936" s="1" t="s">
        <v>151</v>
      </c>
      <c r="H936" s="1"/>
      <c r="I936" s="1" t="s">
        <v>1983</v>
      </c>
      <c r="J936" s="1"/>
    </row>
    <row r="937" spans="1:10" x14ac:dyDescent="0.25">
      <c r="A937" s="2">
        <v>43896</v>
      </c>
      <c r="B937" s="1" t="s">
        <v>156</v>
      </c>
      <c r="C937" s="1" t="s">
        <v>48</v>
      </c>
      <c r="D937" s="1" t="s">
        <v>1434</v>
      </c>
      <c r="E937" s="1" t="s">
        <v>43</v>
      </c>
      <c r="F937" s="1" t="s">
        <v>1477</v>
      </c>
      <c r="G937" s="1" t="s">
        <v>151</v>
      </c>
      <c r="H937" s="1"/>
      <c r="I937" s="1" t="s">
        <v>1984</v>
      </c>
      <c r="J937" s="1"/>
    </row>
    <row r="938" spans="1:10" x14ac:dyDescent="0.25">
      <c r="A938" s="2">
        <v>43896</v>
      </c>
      <c r="B938" s="1" t="s">
        <v>157</v>
      </c>
      <c r="C938" s="1" t="s">
        <v>28</v>
      </c>
      <c r="D938" s="1" t="s">
        <v>1398</v>
      </c>
      <c r="E938" s="1" t="s">
        <v>26</v>
      </c>
      <c r="F938" s="1" t="s">
        <v>1450</v>
      </c>
      <c r="G938" s="1" t="s">
        <v>151</v>
      </c>
      <c r="H938" s="1"/>
      <c r="I938" s="1" t="s">
        <v>1985</v>
      </c>
      <c r="J938" s="1"/>
    </row>
    <row r="939" spans="1:10" x14ac:dyDescent="0.25">
      <c r="A939" s="2">
        <v>43896</v>
      </c>
      <c r="B939" s="1" t="s">
        <v>153</v>
      </c>
      <c r="C939" s="1" t="s">
        <v>39</v>
      </c>
      <c r="D939" s="1" t="s">
        <v>1422</v>
      </c>
      <c r="E939" s="1" t="s">
        <v>47</v>
      </c>
      <c r="F939" s="1" t="s">
        <v>1380</v>
      </c>
      <c r="G939" s="1" t="s">
        <v>151</v>
      </c>
      <c r="H939" s="1"/>
      <c r="I939" s="1" t="s">
        <v>90</v>
      </c>
      <c r="J939" s="1"/>
    </row>
    <row r="940" spans="1:10" x14ac:dyDescent="0.25">
      <c r="A940" s="2">
        <v>43897</v>
      </c>
      <c r="B940" s="1" t="s">
        <v>159</v>
      </c>
      <c r="C940" s="1" t="s">
        <v>32</v>
      </c>
      <c r="D940" s="1" t="s">
        <v>1449</v>
      </c>
      <c r="E940" s="1" t="s">
        <v>29</v>
      </c>
      <c r="F940" s="1" t="s">
        <v>1400</v>
      </c>
      <c r="G940" s="1" t="s">
        <v>151</v>
      </c>
      <c r="H940" s="1"/>
      <c r="I940" s="1" t="s">
        <v>1986</v>
      </c>
      <c r="J940" s="1"/>
    </row>
    <row r="941" spans="1:10" x14ac:dyDescent="0.25">
      <c r="A941" s="2">
        <v>43897</v>
      </c>
      <c r="B941" s="1" t="s">
        <v>154</v>
      </c>
      <c r="C941" s="1" t="s">
        <v>34</v>
      </c>
      <c r="D941" s="1" t="s">
        <v>1480</v>
      </c>
      <c r="E941" s="1" t="s">
        <v>30</v>
      </c>
      <c r="F941" s="1" t="s">
        <v>1437</v>
      </c>
      <c r="G941" s="1" t="s">
        <v>151</v>
      </c>
      <c r="H941" s="1"/>
      <c r="I941" s="1" t="s">
        <v>1987</v>
      </c>
      <c r="J941" s="1"/>
    </row>
    <row r="942" spans="1:10" x14ac:dyDescent="0.25">
      <c r="A942" s="2">
        <v>43897</v>
      </c>
      <c r="B942" s="1" t="s">
        <v>155</v>
      </c>
      <c r="C942" s="1" t="s">
        <v>50</v>
      </c>
      <c r="D942" s="1" t="s">
        <v>1373</v>
      </c>
      <c r="E942" s="1" t="s">
        <v>49</v>
      </c>
      <c r="F942" s="1" t="s">
        <v>1610</v>
      </c>
      <c r="G942" s="1" t="s">
        <v>151</v>
      </c>
      <c r="H942" s="1"/>
      <c r="I942" s="1" t="s">
        <v>1988</v>
      </c>
      <c r="J942" s="1"/>
    </row>
    <row r="943" spans="1:10" x14ac:dyDescent="0.25">
      <c r="A943" s="2">
        <v>43897</v>
      </c>
      <c r="B943" s="1" t="s">
        <v>150</v>
      </c>
      <c r="C943" s="1" t="s">
        <v>52</v>
      </c>
      <c r="D943" s="1" t="s">
        <v>1508</v>
      </c>
      <c r="E943" s="1" t="s">
        <v>48</v>
      </c>
      <c r="F943" s="1" t="s">
        <v>1369</v>
      </c>
      <c r="G943" s="1" t="s">
        <v>151</v>
      </c>
      <c r="H943" s="1"/>
      <c r="I943" s="1" t="s">
        <v>1989</v>
      </c>
      <c r="J943" s="1"/>
    </row>
    <row r="944" spans="1:10" x14ac:dyDescent="0.25">
      <c r="A944" s="2">
        <v>43897</v>
      </c>
      <c r="B944" s="1" t="s">
        <v>156</v>
      </c>
      <c r="C944" s="1" t="s">
        <v>45</v>
      </c>
      <c r="D944" s="1" t="s">
        <v>1389</v>
      </c>
      <c r="E944" s="1" t="s">
        <v>44</v>
      </c>
      <c r="F944" s="1" t="s">
        <v>1369</v>
      </c>
      <c r="G944" s="1" t="s">
        <v>151</v>
      </c>
      <c r="H944" s="1"/>
      <c r="I944" s="1" t="s">
        <v>1522</v>
      </c>
      <c r="J944" s="1"/>
    </row>
    <row r="945" spans="1:10" x14ac:dyDescent="0.25">
      <c r="A945" s="2">
        <v>43897</v>
      </c>
      <c r="B945" s="1" t="s">
        <v>158</v>
      </c>
      <c r="C945" s="1" t="s">
        <v>36</v>
      </c>
      <c r="D945" s="1" t="s">
        <v>1386</v>
      </c>
      <c r="E945" s="1" t="s">
        <v>28</v>
      </c>
      <c r="F945" s="1" t="s">
        <v>1480</v>
      </c>
      <c r="G945" s="1" t="s">
        <v>151</v>
      </c>
      <c r="H945" s="1"/>
      <c r="I945" s="1" t="s">
        <v>1990</v>
      </c>
      <c r="J945" s="1"/>
    </row>
    <row r="946" spans="1:10" x14ac:dyDescent="0.25">
      <c r="A946" s="2">
        <v>43898</v>
      </c>
      <c r="B946" s="1" t="s">
        <v>261</v>
      </c>
      <c r="C946" s="1" t="s">
        <v>31</v>
      </c>
      <c r="D946" s="1" t="s">
        <v>1379</v>
      </c>
      <c r="E946" s="1" t="s">
        <v>38</v>
      </c>
      <c r="F946" s="1" t="s">
        <v>1448</v>
      </c>
      <c r="G946" s="1" t="s">
        <v>151</v>
      </c>
      <c r="H946" s="1"/>
      <c r="I946" s="1" t="s">
        <v>1991</v>
      </c>
      <c r="J946" s="1"/>
    </row>
    <row r="947" spans="1:10" x14ac:dyDescent="0.25">
      <c r="A947" s="2">
        <v>43898</v>
      </c>
      <c r="B947" s="1" t="s">
        <v>160</v>
      </c>
      <c r="C947" s="1" t="s">
        <v>47</v>
      </c>
      <c r="D947" s="1" t="s">
        <v>1377</v>
      </c>
      <c r="E947" s="1" t="s">
        <v>25</v>
      </c>
      <c r="F947" s="1" t="s">
        <v>1422</v>
      </c>
      <c r="G947" s="1" t="s">
        <v>151</v>
      </c>
      <c r="H947" s="1"/>
      <c r="I947" s="1" t="s">
        <v>102</v>
      </c>
      <c r="J947" s="1"/>
    </row>
    <row r="948" spans="1:10" x14ac:dyDescent="0.25">
      <c r="A948" s="2">
        <v>43898</v>
      </c>
      <c r="B948" s="1" t="s">
        <v>160</v>
      </c>
      <c r="C948" s="1" t="s">
        <v>37</v>
      </c>
      <c r="D948" s="1" t="s">
        <v>1446</v>
      </c>
      <c r="E948" s="1" t="s">
        <v>42</v>
      </c>
      <c r="F948" s="1" t="s">
        <v>1379</v>
      </c>
      <c r="G948" s="1" t="s">
        <v>151</v>
      </c>
      <c r="H948" s="1"/>
      <c r="I948" s="1" t="s">
        <v>1521</v>
      </c>
      <c r="J948" s="1"/>
    </row>
    <row r="949" spans="1:10" x14ac:dyDescent="0.25">
      <c r="A949" s="2">
        <v>43898</v>
      </c>
      <c r="B949" s="1" t="s">
        <v>161</v>
      </c>
      <c r="C949" s="1" t="s">
        <v>33</v>
      </c>
      <c r="D949" s="1" t="s">
        <v>1437</v>
      </c>
      <c r="E949" s="1" t="s">
        <v>46</v>
      </c>
      <c r="F949" s="1" t="s">
        <v>1610</v>
      </c>
      <c r="G949" s="1" t="s">
        <v>151</v>
      </c>
      <c r="H949" s="1"/>
      <c r="I949" s="1" t="s">
        <v>1384</v>
      </c>
      <c r="J949" s="1"/>
    </row>
    <row r="950" spans="1:10" x14ac:dyDescent="0.25">
      <c r="A950" s="2">
        <v>43898</v>
      </c>
      <c r="B950" s="1" t="s">
        <v>161</v>
      </c>
      <c r="C950" s="1" t="s">
        <v>39</v>
      </c>
      <c r="D950" s="1" t="s">
        <v>1376</v>
      </c>
      <c r="E950" s="1" t="s">
        <v>26</v>
      </c>
      <c r="F950" s="1" t="s">
        <v>1527</v>
      </c>
      <c r="G950" s="1" t="s">
        <v>151</v>
      </c>
      <c r="H950" s="1"/>
      <c r="I950" s="1" t="s">
        <v>1992</v>
      </c>
      <c r="J950" s="1"/>
    </row>
    <row r="951" spans="1:10" x14ac:dyDescent="0.25">
      <c r="A951" s="2">
        <v>43898</v>
      </c>
      <c r="B951" s="1" t="s">
        <v>154</v>
      </c>
      <c r="C951" s="1" t="s">
        <v>51</v>
      </c>
      <c r="D951" s="1" t="s">
        <v>1377</v>
      </c>
      <c r="E951" s="1" t="s">
        <v>43</v>
      </c>
      <c r="F951" s="1" t="s">
        <v>1397</v>
      </c>
      <c r="G951" s="1" t="s">
        <v>151</v>
      </c>
      <c r="H951" s="1"/>
      <c r="I951" s="1" t="s">
        <v>1993</v>
      </c>
      <c r="J951" s="1"/>
    </row>
    <row r="952" spans="1:10" x14ac:dyDescent="0.25">
      <c r="A952" s="2">
        <v>43898</v>
      </c>
      <c r="B952" s="1" t="s">
        <v>154</v>
      </c>
      <c r="C952" s="1" t="s">
        <v>53</v>
      </c>
      <c r="D952" s="1" t="s">
        <v>1548</v>
      </c>
      <c r="E952" s="1" t="s">
        <v>32</v>
      </c>
      <c r="F952" s="1" t="s">
        <v>1368</v>
      </c>
      <c r="G952" s="1" t="s">
        <v>151</v>
      </c>
      <c r="H952" s="1"/>
      <c r="I952" s="1" t="s">
        <v>1399</v>
      </c>
      <c r="J952" s="1"/>
    </row>
    <row r="953" spans="1:10" x14ac:dyDescent="0.25">
      <c r="A953" s="2">
        <v>43898</v>
      </c>
      <c r="B953" s="1" t="s">
        <v>154</v>
      </c>
      <c r="C953" s="1" t="s">
        <v>41</v>
      </c>
      <c r="D953" s="1" t="s">
        <v>1385</v>
      </c>
      <c r="E953" s="1" t="s">
        <v>40</v>
      </c>
      <c r="F953" s="1" t="s">
        <v>1374</v>
      </c>
      <c r="G953" s="1" t="s">
        <v>151</v>
      </c>
      <c r="H953" s="1"/>
      <c r="I953" s="1" t="s">
        <v>1994</v>
      </c>
      <c r="J953" s="1"/>
    </row>
    <row r="954" spans="1:10" x14ac:dyDescent="0.25">
      <c r="A954" s="2">
        <v>43898</v>
      </c>
      <c r="B954" s="1" t="s">
        <v>155</v>
      </c>
      <c r="C954" s="1" t="s">
        <v>54</v>
      </c>
      <c r="D954" s="1" t="s">
        <v>1391</v>
      </c>
      <c r="E954" s="1" t="s">
        <v>49</v>
      </c>
      <c r="F954" s="1" t="s">
        <v>1780</v>
      </c>
      <c r="G954" s="1" t="s">
        <v>151</v>
      </c>
      <c r="H954" s="1" t="s">
        <v>152</v>
      </c>
      <c r="I954" s="1" t="s">
        <v>1995</v>
      </c>
      <c r="J954" s="1"/>
    </row>
    <row r="955" spans="1:10" x14ac:dyDescent="0.25">
      <c r="A955" s="2">
        <v>43898</v>
      </c>
      <c r="B955" s="1" t="s">
        <v>155</v>
      </c>
      <c r="C955" s="1" t="s">
        <v>30</v>
      </c>
      <c r="D955" s="1" t="s">
        <v>1996</v>
      </c>
      <c r="E955" s="1" t="s">
        <v>35</v>
      </c>
      <c r="F955" s="1" t="s">
        <v>1434</v>
      </c>
      <c r="G955" s="1" t="s">
        <v>151</v>
      </c>
      <c r="H955" s="1"/>
      <c r="I955" s="1" t="s">
        <v>1997</v>
      </c>
      <c r="J955" s="1"/>
    </row>
    <row r="956" spans="1:10" x14ac:dyDescent="0.25">
      <c r="A956" s="2">
        <v>43898</v>
      </c>
      <c r="B956" s="1" t="s">
        <v>157</v>
      </c>
      <c r="C956" s="1" t="s">
        <v>27</v>
      </c>
      <c r="D956" s="1" t="s">
        <v>1369</v>
      </c>
      <c r="E956" s="1" t="s">
        <v>36</v>
      </c>
      <c r="F956" s="1" t="s">
        <v>1380</v>
      </c>
      <c r="G956" s="1" t="s">
        <v>151</v>
      </c>
      <c r="H956" s="1"/>
      <c r="I956" s="1" t="s">
        <v>1998</v>
      </c>
      <c r="J956" s="1"/>
    </row>
    <row r="957" spans="1:10" x14ac:dyDescent="0.25">
      <c r="A957" s="2">
        <v>43899</v>
      </c>
      <c r="B957" s="1" t="s">
        <v>155</v>
      </c>
      <c r="C957" s="1" t="s">
        <v>29</v>
      </c>
      <c r="D957" s="1" t="s">
        <v>1568</v>
      </c>
      <c r="E957" s="1" t="s">
        <v>52</v>
      </c>
      <c r="F957" s="1" t="s">
        <v>2022</v>
      </c>
      <c r="G957" s="1" t="s">
        <v>151</v>
      </c>
      <c r="H957" s="1" t="s">
        <v>820</v>
      </c>
      <c r="I957" s="1" t="s">
        <v>2023</v>
      </c>
      <c r="J957" s="1"/>
    </row>
    <row r="958" spans="1:10" x14ac:dyDescent="0.25">
      <c r="A958" s="2">
        <v>43899</v>
      </c>
      <c r="B958" s="1" t="s">
        <v>157</v>
      </c>
      <c r="C958" s="1" t="s">
        <v>39</v>
      </c>
      <c r="D958" s="1" t="s">
        <v>1382</v>
      </c>
      <c r="E958" s="1" t="s">
        <v>50</v>
      </c>
      <c r="F958" s="1" t="s">
        <v>1397</v>
      </c>
      <c r="G958" s="1" t="s">
        <v>151</v>
      </c>
      <c r="H958" s="1"/>
      <c r="I958" s="1" t="s">
        <v>2024</v>
      </c>
      <c r="J958" s="1"/>
    </row>
    <row r="959" spans="1:10" x14ac:dyDescent="0.25">
      <c r="A959" s="2">
        <v>43899</v>
      </c>
      <c r="B959" s="1" t="s">
        <v>157</v>
      </c>
      <c r="C959" s="1" t="s">
        <v>27</v>
      </c>
      <c r="D959" s="1" t="s">
        <v>1508</v>
      </c>
      <c r="E959" s="1" t="s">
        <v>34</v>
      </c>
      <c r="F959" s="1" t="s">
        <v>1370</v>
      </c>
      <c r="G959" s="1" t="s">
        <v>151</v>
      </c>
      <c r="H959" s="1"/>
      <c r="I959" s="1" t="s">
        <v>88</v>
      </c>
      <c r="J959" s="1"/>
    </row>
    <row r="960" spans="1:10" x14ac:dyDescent="0.25">
      <c r="A960" s="2">
        <v>43900</v>
      </c>
      <c r="B960" s="1" t="s">
        <v>154</v>
      </c>
      <c r="C960" s="1" t="s">
        <v>46</v>
      </c>
      <c r="D960" s="1" t="s">
        <v>1389</v>
      </c>
      <c r="E960" s="1" t="s">
        <v>51</v>
      </c>
      <c r="F960" s="1" t="s">
        <v>1480</v>
      </c>
      <c r="G960" s="1" t="s">
        <v>151</v>
      </c>
      <c r="H960" s="1"/>
      <c r="I960" s="1" t="s">
        <v>2101</v>
      </c>
      <c r="J960" s="1"/>
    </row>
    <row r="961" spans="1:10" x14ac:dyDescent="0.25">
      <c r="A961" s="2">
        <v>43900</v>
      </c>
      <c r="B961" s="1" t="s">
        <v>154</v>
      </c>
      <c r="C961" s="1" t="s">
        <v>35</v>
      </c>
      <c r="D961" s="1" t="s">
        <v>1426</v>
      </c>
      <c r="E961" s="1" t="s">
        <v>40</v>
      </c>
      <c r="F961" s="1" t="s">
        <v>1524</v>
      </c>
      <c r="G961" s="1" t="s">
        <v>151</v>
      </c>
      <c r="H961" s="1"/>
      <c r="I961" s="1" t="s">
        <v>2102</v>
      </c>
      <c r="J961" s="1"/>
    </row>
    <row r="962" spans="1:10" x14ac:dyDescent="0.25">
      <c r="A962" s="2">
        <v>43900</v>
      </c>
      <c r="B962" s="1" t="s">
        <v>150</v>
      </c>
      <c r="C962" s="1" t="s">
        <v>49</v>
      </c>
      <c r="D962" s="1" t="s">
        <v>1422</v>
      </c>
      <c r="E962" s="1" t="s">
        <v>31</v>
      </c>
      <c r="F962" s="1" t="s">
        <v>1400</v>
      </c>
      <c r="G962" s="1" t="s">
        <v>151</v>
      </c>
      <c r="H962" s="1"/>
      <c r="I962" s="1" t="s">
        <v>2103</v>
      </c>
      <c r="J962" s="1"/>
    </row>
    <row r="963" spans="1:10" x14ac:dyDescent="0.25">
      <c r="A963" s="2">
        <v>43900</v>
      </c>
      <c r="B963" s="1" t="s">
        <v>150</v>
      </c>
      <c r="C963" s="1" t="s">
        <v>42</v>
      </c>
      <c r="D963" s="1" t="s">
        <v>1480</v>
      </c>
      <c r="E963" s="1" t="s">
        <v>32</v>
      </c>
      <c r="F963" s="1" t="s">
        <v>1398</v>
      </c>
      <c r="G963" s="1" t="s">
        <v>151</v>
      </c>
      <c r="H963" s="1"/>
      <c r="I963" s="1" t="s">
        <v>1399</v>
      </c>
      <c r="J963" s="1"/>
    </row>
    <row r="964" spans="1:10" x14ac:dyDescent="0.25">
      <c r="A964" s="2">
        <v>43900</v>
      </c>
      <c r="B964" s="1" t="s">
        <v>150</v>
      </c>
      <c r="C964" s="1" t="s">
        <v>53</v>
      </c>
      <c r="D964" s="1" t="s">
        <v>1446</v>
      </c>
      <c r="E964" s="1" t="s">
        <v>48</v>
      </c>
      <c r="F964" s="1" t="s">
        <v>1426</v>
      </c>
      <c r="G964" s="1" t="s">
        <v>151</v>
      </c>
      <c r="H964" s="1"/>
      <c r="I964" s="1" t="s">
        <v>2104</v>
      </c>
      <c r="J964" s="1"/>
    </row>
    <row r="965" spans="1:10" x14ac:dyDescent="0.25">
      <c r="A965" s="2">
        <v>43900</v>
      </c>
      <c r="B965" s="1" t="s">
        <v>150</v>
      </c>
      <c r="C965" s="1" t="s">
        <v>43</v>
      </c>
      <c r="D965" s="1" t="s">
        <v>1397</v>
      </c>
      <c r="E965" s="1" t="s">
        <v>54</v>
      </c>
      <c r="F965" s="1" t="s">
        <v>1429</v>
      </c>
      <c r="G965" s="1" t="s">
        <v>151</v>
      </c>
      <c r="H965" s="1"/>
      <c r="I965" s="1" t="s">
        <v>1731</v>
      </c>
      <c r="J965" s="1"/>
    </row>
    <row r="966" spans="1:10" x14ac:dyDescent="0.25">
      <c r="A966" s="2">
        <v>43900</v>
      </c>
      <c r="B966" s="1" t="s">
        <v>158</v>
      </c>
      <c r="C966" s="1" t="s">
        <v>26</v>
      </c>
      <c r="D966" s="1" t="s">
        <v>1437</v>
      </c>
      <c r="E966" s="1" t="s">
        <v>28</v>
      </c>
      <c r="F966" s="1" t="s">
        <v>1477</v>
      </c>
      <c r="G966" s="1" t="s">
        <v>151</v>
      </c>
      <c r="H966" s="1"/>
      <c r="I966" s="1" t="s">
        <v>1660</v>
      </c>
      <c r="J966" s="1"/>
    </row>
    <row r="967" spans="1:10" x14ac:dyDescent="0.25">
      <c r="A967" s="2">
        <v>43900</v>
      </c>
      <c r="B967" s="1" t="s">
        <v>153</v>
      </c>
      <c r="C967" s="1" t="s">
        <v>25</v>
      </c>
      <c r="D967" s="1" t="s">
        <v>1376</v>
      </c>
      <c r="E967" s="1" t="s">
        <v>44</v>
      </c>
      <c r="F967" s="1" t="s">
        <v>1379</v>
      </c>
      <c r="G967" s="1" t="s">
        <v>151</v>
      </c>
      <c r="H967" s="1"/>
      <c r="I967" s="1" t="s">
        <v>1522</v>
      </c>
      <c r="J967" s="1"/>
    </row>
    <row r="968" spans="1:10" x14ac:dyDescent="0.25">
      <c r="A968" s="2">
        <v>43900</v>
      </c>
      <c r="B968" s="1" t="s">
        <v>153</v>
      </c>
      <c r="C968" s="1" t="s">
        <v>38</v>
      </c>
      <c r="D968" s="1" t="s">
        <v>1610</v>
      </c>
      <c r="E968" s="1" t="s">
        <v>47</v>
      </c>
      <c r="F968" s="1" t="s">
        <v>1373</v>
      </c>
      <c r="G968" s="1" t="s">
        <v>151</v>
      </c>
      <c r="H968" s="1"/>
      <c r="I968" s="1" t="s">
        <v>90</v>
      </c>
      <c r="J968" s="1"/>
    </row>
    <row r="969" spans="1:10" x14ac:dyDescent="0.25">
      <c r="A969" s="2">
        <v>43901</v>
      </c>
      <c r="B969" s="1" t="s">
        <v>154</v>
      </c>
      <c r="C969" s="1" t="s">
        <v>30</v>
      </c>
      <c r="D969" s="1"/>
      <c r="E969" s="1" t="s">
        <v>45</v>
      </c>
      <c r="F969" s="1"/>
      <c r="G969" s="1"/>
      <c r="H969" s="1"/>
      <c r="I969" s="1"/>
      <c r="J969" s="1"/>
    </row>
    <row r="970" spans="1:10" x14ac:dyDescent="0.25">
      <c r="A970" s="2">
        <v>43901</v>
      </c>
      <c r="B970" s="1" t="s">
        <v>155</v>
      </c>
      <c r="C970" s="1" t="s">
        <v>35</v>
      </c>
      <c r="D970" s="1"/>
      <c r="E970" s="1" t="s">
        <v>52</v>
      </c>
      <c r="F970" s="1"/>
      <c r="G970" s="1"/>
      <c r="H970" s="1"/>
      <c r="I970" s="1"/>
      <c r="J970" s="1"/>
    </row>
    <row r="971" spans="1:10" x14ac:dyDescent="0.25">
      <c r="A971" s="2">
        <v>43901</v>
      </c>
      <c r="B971" s="1" t="s">
        <v>155</v>
      </c>
      <c r="C971" s="1" t="s">
        <v>29</v>
      </c>
      <c r="D971" s="1"/>
      <c r="E971" s="1" t="s">
        <v>41</v>
      </c>
      <c r="F971" s="1"/>
      <c r="G971" s="1"/>
      <c r="H971" s="1"/>
      <c r="I971" s="1"/>
      <c r="J971" s="1"/>
    </row>
    <row r="972" spans="1:10" x14ac:dyDescent="0.25">
      <c r="A972" s="2">
        <v>43901</v>
      </c>
      <c r="B972" s="1" t="s">
        <v>150</v>
      </c>
      <c r="C972" s="1" t="s">
        <v>50</v>
      </c>
      <c r="D972" s="1"/>
      <c r="E972" s="1" t="s">
        <v>43</v>
      </c>
      <c r="F972" s="1"/>
      <c r="G972" s="1"/>
      <c r="H972" s="1"/>
      <c r="I972" s="1"/>
      <c r="J972" s="1"/>
    </row>
    <row r="973" spans="1:10" x14ac:dyDescent="0.25">
      <c r="A973" s="2">
        <v>43901</v>
      </c>
      <c r="B973" s="1" t="s">
        <v>150</v>
      </c>
      <c r="C973" s="1" t="s">
        <v>34</v>
      </c>
      <c r="D973" s="1"/>
      <c r="E973" s="1" t="s">
        <v>33</v>
      </c>
      <c r="F973" s="1"/>
      <c r="G973" s="1"/>
      <c r="H973" s="1"/>
      <c r="I973" s="1"/>
      <c r="J973" s="1"/>
    </row>
    <row r="974" spans="1:10" x14ac:dyDescent="0.25">
      <c r="A974" s="2">
        <v>43901</v>
      </c>
      <c r="B974" s="1" t="s">
        <v>153</v>
      </c>
      <c r="C974" s="1" t="s">
        <v>37</v>
      </c>
      <c r="D974" s="1"/>
      <c r="E974" s="1" t="s">
        <v>36</v>
      </c>
      <c r="F974" s="1"/>
      <c r="G974" s="1"/>
      <c r="H974" s="1"/>
      <c r="I974" s="1"/>
      <c r="J974" s="1"/>
    </row>
    <row r="975" spans="1:10" x14ac:dyDescent="0.25">
      <c r="A975" s="2">
        <v>43902</v>
      </c>
      <c r="B975" s="1" t="s">
        <v>154</v>
      </c>
      <c r="C975" s="1" t="s">
        <v>31</v>
      </c>
      <c r="D975" s="1"/>
      <c r="E975" s="1" t="s">
        <v>53</v>
      </c>
      <c r="F975" s="1"/>
      <c r="G975" s="1"/>
      <c r="H975" s="1"/>
      <c r="I975" s="1"/>
      <c r="J975" s="1"/>
    </row>
    <row r="976" spans="1:10" x14ac:dyDescent="0.25">
      <c r="A976" s="2">
        <v>43902</v>
      </c>
      <c r="B976" s="1" t="s">
        <v>150</v>
      </c>
      <c r="C976" s="1" t="s">
        <v>46</v>
      </c>
      <c r="D976" s="1"/>
      <c r="E976" s="1" t="s">
        <v>39</v>
      </c>
      <c r="F976" s="1"/>
      <c r="G976" s="1"/>
      <c r="H976" s="1"/>
      <c r="I976" s="1"/>
      <c r="J976" s="1"/>
    </row>
    <row r="977" spans="1:10" x14ac:dyDescent="0.25">
      <c r="A977" s="2">
        <v>43902</v>
      </c>
      <c r="B977" s="1" t="s">
        <v>158</v>
      </c>
      <c r="C977" s="1" t="s">
        <v>48</v>
      </c>
      <c r="D977" s="1"/>
      <c r="E977" s="1" t="s">
        <v>28</v>
      </c>
      <c r="F977" s="1"/>
      <c r="G977" s="1"/>
      <c r="H977" s="1"/>
      <c r="I977" s="1"/>
      <c r="J977" s="1"/>
    </row>
    <row r="978" spans="1:10" x14ac:dyDescent="0.25">
      <c r="A978" s="2">
        <v>43902</v>
      </c>
      <c r="B978" s="1" t="s">
        <v>153</v>
      </c>
      <c r="C978" s="1" t="s">
        <v>38</v>
      </c>
      <c r="D978" s="1"/>
      <c r="E978" s="1" t="s">
        <v>44</v>
      </c>
      <c r="F978" s="1"/>
      <c r="G978" s="1"/>
      <c r="H978" s="1"/>
      <c r="I978" s="1"/>
      <c r="J978" s="1"/>
    </row>
    <row r="979" spans="1:10" x14ac:dyDescent="0.25">
      <c r="A979" s="2">
        <v>43902</v>
      </c>
      <c r="B979" s="1" t="s">
        <v>153</v>
      </c>
      <c r="C979" s="1" t="s">
        <v>32</v>
      </c>
      <c r="D979" s="1"/>
      <c r="E979" s="1" t="s">
        <v>47</v>
      </c>
      <c r="F979" s="1"/>
      <c r="G979" s="1"/>
      <c r="H979" s="1"/>
      <c r="I979" s="1"/>
      <c r="J979" s="1"/>
    </row>
    <row r="980" spans="1:10" x14ac:dyDescent="0.25">
      <c r="A980" s="2">
        <v>43903</v>
      </c>
      <c r="B980" s="1" t="s">
        <v>154</v>
      </c>
      <c r="C980" s="1" t="s">
        <v>49</v>
      </c>
      <c r="D980" s="1"/>
      <c r="E980" s="1" t="s">
        <v>29</v>
      </c>
      <c r="F980" s="1"/>
      <c r="G980" s="1"/>
      <c r="H980" s="1"/>
      <c r="I980" s="1"/>
      <c r="J980" s="1"/>
    </row>
    <row r="981" spans="1:10" x14ac:dyDescent="0.25">
      <c r="A981" s="2">
        <v>43903</v>
      </c>
      <c r="B981" s="1" t="s">
        <v>155</v>
      </c>
      <c r="C981" s="1" t="s">
        <v>40</v>
      </c>
      <c r="D981" s="1"/>
      <c r="E981" s="1" t="s">
        <v>46</v>
      </c>
      <c r="F981" s="1"/>
      <c r="G981" s="1"/>
      <c r="H981" s="1"/>
      <c r="I981" s="1"/>
      <c r="J981" s="1"/>
    </row>
    <row r="982" spans="1:10" x14ac:dyDescent="0.25">
      <c r="A982" s="2">
        <v>43903</v>
      </c>
      <c r="B982" s="1" t="s">
        <v>150</v>
      </c>
      <c r="C982" s="1" t="s">
        <v>35</v>
      </c>
      <c r="D982" s="1"/>
      <c r="E982" s="1" t="s">
        <v>41</v>
      </c>
      <c r="F982" s="1"/>
      <c r="G982" s="1"/>
      <c r="H982" s="1"/>
      <c r="I982" s="1"/>
      <c r="J982" s="1"/>
    </row>
    <row r="983" spans="1:10" x14ac:dyDescent="0.25">
      <c r="A983" s="2">
        <v>43903</v>
      </c>
      <c r="B983" s="1" t="s">
        <v>150</v>
      </c>
      <c r="C983" s="1" t="s">
        <v>42</v>
      </c>
      <c r="D983" s="1"/>
      <c r="E983" s="1" t="s">
        <v>33</v>
      </c>
      <c r="F983" s="1"/>
      <c r="G983" s="1"/>
      <c r="H983" s="1"/>
      <c r="I983" s="1"/>
      <c r="J983" s="1"/>
    </row>
    <row r="984" spans="1:10" x14ac:dyDescent="0.25">
      <c r="A984" s="2">
        <v>43903</v>
      </c>
      <c r="B984" s="1" t="s">
        <v>156</v>
      </c>
      <c r="C984" s="1" t="s">
        <v>50</v>
      </c>
      <c r="D984" s="1"/>
      <c r="E984" s="1" t="s">
        <v>54</v>
      </c>
      <c r="F984" s="1"/>
      <c r="G984" s="1"/>
      <c r="H984" s="1"/>
      <c r="I984" s="1"/>
      <c r="J984" s="1"/>
    </row>
    <row r="985" spans="1:10" x14ac:dyDescent="0.25">
      <c r="A985" s="2">
        <v>43903</v>
      </c>
      <c r="B985" s="1" t="s">
        <v>157</v>
      </c>
      <c r="C985" s="1" t="s">
        <v>37</v>
      </c>
      <c r="D985" s="1"/>
      <c r="E985" s="1" t="s">
        <v>34</v>
      </c>
      <c r="F985" s="1"/>
      <c r="G985" s="1"/>
      <c r="H985" s="1"/>
      <c r="I985" s="1"/>
      <c r="J985" s="1"/>
    </row>
    <row r="986" spans="1:10" x14ac:dyDescent="0.25">
      <c r="A986" s="2">
        <v>43903</v>
      </c>
      <c r="B986" s="1" t="s">
        <v>153</v>
      </c>
      <c r="C986" s="1" t="s">
        <v>38</v>
      </c>
      <c r="D986" s="1"/>
      <c r="E986" s="1" t="s">
        <v>25</v>
      </c>
      <c r="F986" s="1"/>
      <c r="G986" s="1"/>
      <c r="H986" s="1"/>
      <c r="I986" s="1"/>
      <c r="J986" s="1"/>
    </row>
    <row r="987" spans="1:10" x14ac:dyDescent="0.25">
      <c r="A987" s="2">
        <v>43904</v>
      </c>
      <c r="B987" s="1" t="s">
        <v>821</v>
      </c>
      <c r="C987" s="1" t="s">
        <v>26</v>
      </c>
      <c r="D987" s="1"/>
      <c r="E987" s="1" t="s">
        <v>43</v>
      </c>
      <c r="F987" s="1"/>
      <c r="G987" s="1"/>
      <c r="H987" s="1"/>
      <c r="I987" s="1"/>
      <c r="J987" s="1"/>
    </row>
    <row r="988" spans="1:10" x14ac:dyDescent="0.25">
      <c r="A988" s="2">
        <v>43904</v>
      </c>
      <c r="B988" s="1" t="s">
        <v>155</v>
      </c>
      <c r="C988" s="1" t="s">
        <v>49</v>
      </c>
      <c r="D988" s="1"/>
      <c r="E988" s="1" t="s">
        <v>52</v>
      </c>
      <c r="F988" s="1"/>
      <c r="G988" s="1"/>
      <c r="H988" s="1"/>
      <c r="I988" s="1"/>
      <c r="J988" s="1"/>
    </row>
    <row r="989" spans="1:10" x14ac:dyDescent="0.25">
      <c r="A989" s="2">
        <v>43904</v>
      </c>
      <c r="B989" s="1" t="s">
        <v>155</v>
      </c>
      <c r="C989" s="1" t="s">
        <v>51</v>
      </c>
      <c r="D989" s="1"/>
      <c r="E989" s="1" t="s">
        <v>45</v>
      </c>
      <c r="F989" s="1"/>
      <c r="G989" s="1"/>
      <c r="H989" s="1"/>
      <c r="I989" s="1"/>
      <c r="J989" s="1"/>
    </row>
    <row r="990" spans="1:10" x14ac:dyDescent="0.25">
      <c r="A990" s="2">
        <v>43904</v>
      </c>
      <c r="B990" s="1" t="s">
        <v>155</v>
      </c>
      <c r="C990" s="1" t="s">
        <v>30</v>
      </c>
      <c r="D990" s="1"/>
      <c r="E990" s="1" t="s">
        <v>27</v>
      </c>
      <c r="F990" s="1"/>
      <c r="G990" s="1"/>
      <c r="H990" s="1"/>
      <c r="I990" s="1"/>
      <c r="J990" s="1"/>
    </row>
    <row r="991" spans="1:10" x14ac:dyDescent="0.25">
      <c r="A991" s="2">
        <v>43904</v>
      </c>
      <c r="B991" s="1" t="s">
        <v>150</v>
      </c>
      <c r="C991" s="1" t="s">
        <v>31</v>
      </c>
      <c r="D991" s="1"/>
      <c r="E991" s="1" t="s">
        <v>41</v>
      </c>
      <c r="F991" s="1"/>
      <c r="G991" s="1"/>
      <c r="H991" s="1"/>
      <c r="I991" s="1"/>
      <c r="J991" s="1"/>
    </row>
    <row r="992" spans="1:10" x14ac:dyDescent="0.25">
      <c r="A992" s="2">
        <v>43904</v>
      </c>
      <c r="B992" s="1" t="s">
        <v>156</v>
      </c>
      <c r="C992" s="1" t="s">
        <v>44</v>
      </c>
      <c r="D992" s="1"/>
      <c r="E992" s="1" t="s">
        <v>39</v>
      </c>
      <c r="F992" s="1"/>
      <c r="G992" s="1"/>
      <c r="H992" s="1"/>
      <c r="I992" s="1"/>
      <c r="J992" s="1"/>
    </row>
    <row r="993" spans="1:10" x14ac:dyDescent="0.25">
      <c r="A993" s="2">
        <v>43904</v>
      </c>
      <c r="B993" s="1" t="s">
        <v>156</v>
      </c>
      <c r="C993" s="1" t="s">
        <v>42</v>
      </c>
      <c r="D993" s="1"/>
      <c r="E993" s="1" t="s">
        <v>54</v>
      </c>
      <c r="F993" s="1"/>
      <c r="G993" s="1"/>
      <c r="H993" s="1"/>
      <c r="I993" s="1"/>
      <c r="J993" s="1"/>
    </row>
    <row r="994" spans="1:10" x14ac:dyDescent="0.25">
      <c r="A994" s="2">
        <v>43904</v>
      </c>
      <c r="B994" s="1" t="s">
        <v>157</v>
      </c>
      <c r="C994" s="1" t="s">
        <v>48</v>
      </c>
      <c r="D994" s="1"/>
      <c r="E994" s="1" t="s">
        <v>34</v>
      </c>
      <c r="F994" s="1"/>
      <c r="G994" s="1"/>
      <c r="H994" s="1"/>
      <c r="I994" s="1"/>
      <c r="J994" s="1"/>
    </row>
    <row r="995" spans="1:10" x14ac:dyDescent="0.25">
      <c r="A995" s="2">
        <v>43904</v>
      </c>
      <c r="B995" s="1" t="s">
        <v>153</v>
      </c>
      <c r="C995" s="1" t="s">
        <v>37</v>
      </c>
      <c r="D995" s="1"/>
      <c r="E995" s="1" t="s">
        <v>25</v>
      </c>
      <c r="F995" s="1"/>
      <c r="G995" s="1"/>
      <c r="H995" s="1"/>
      <c r="I995" s="1"/>
      <c r="J995" s="1"/>
    </row>
    <row r="996" spans="1:10" x14ac:dyDescent="0.25">
      <c r="A996" s="2">
        <v>43905</v>
      </c>
      <c r="B996" s="1" t="s">
        <v>160</v>
      </c>
      <c r="C996" s="1" t="s">
        <v>32</v>
      </c>
      <c r="D996" s="1"/>
      <c r="E996" s="1" t="s">
        <v>28</v>
      </c>
      <c r="F996" s="1"/>
      <c r="G996" s="1"/>
      <c r="H996" s="1"/>
      <c r="I996" s="1"/>
      <c r="J996" s="1"/>
    </row>
    <row r="997" spans="1:10" x14ac:dyDescent="0.25">
      <c r="A997" s="2">
        <v>43905</v>
      </c>
      <c r="B997" s="1" t="s">
        <v>161</v>
      </c>
      <c r="C997" s="1" t="s">
        <v>29</v>
      </c>
      <c r="D997" s="1"/>
      <c r="E997" s="1" t="s">
        <v>53</v>
      </c>
      <c r="F997" s="1"/>
      <c r="G997" s="1"/>
      <c r="H997" s="1"/>
      <c r="I997" s="1"/>
      <c r="J997" s="1"/>
    </row>
    <row r="998" spans="1:10" x14ac:dyDescent="0.25">
      <c r="A998" s="2">
        <v>43905</v>
      </c>
      <c r="B998" s="1" t="s">
        <v>161</v>
      </c>
      <c r="C998" s="1" t="s">
        <v>33</v>
      </c>
      <c r="D998" s="1"/>
      <c r="E998" s="1" t="s">
        <v>40</v>
      </c>
      <c r="F998" s="1"/>
      <c r="G998" s="1"/>
      <c r="H998" s="1"/>
      <c r="I998" s="1"/>
      <c r="J998" s="1"/>
    </row>
    <row r="999" spans="1:10" x14ac:dyDescent="0.25">
      <c r="A999" s="2">
        <v>43905</v>
      </c>
      <c r="B999" s="1" t="s">
        <v>150</v>
      </c>
      <c r="C999" s="1" t="s">
        <v>46</v>
      </c>
      <c r="D999" s="1"/>
      <c r="E999" s="1" t="s">
        <v>31</v>
      </c>
      <c r="F999" s="1"/>
      <c r="G999" s="1"/>
      <c r="H999" s="1"/>
      <c r="I999" s="1"/>
      <c r="J999" s="1"/>
    </row>
    <row r="1000" spans="1:10" x14ac:dyDescent="0.25">
      <c r="A1000" s="2">
        <v>43905</v>
      </c>
      <c r="B1000" s="1" t="s">
        <v>157</v>
      </c>
      <c r="C1000" s="1" t="s">
        <v>50</v>
      </c>
      <c r="D1000" s="1"/>
      <c r="E1000" s="1" t="s">
        <v>47</v>
      </c>
      <c r="F1000" s="1"/>
      <c r="G1000" s="1"/>
      <c r="H1000" s="1"/>
      <c r="I1000" s="1"/>
      <c r="J1000" s="1"/>
    </row>
    <row r="1001" spans="1:10" x14ac:dyDescent="0.25">
      <c r="A1001" s="2">
        <v>43905</v>
      </c>
      <c r="B1001" s="1" t="s">
        <v>157</v>
      </c>
      <c r="C1001" s="1" t="s">
        <v>38</v>
      </c>
      <c r="D1001" s="1"/>
      <c r="E1001" s="1" t="s">
        <v>36</v>
      </c>
      <c r="F1001" s="1"/>
      <c r="G1001" s="1"/>
      <c r="H1001" s="1"/>
      <c r="I1001" s="1"/>
      <c r="J1001" s="1"/>
    </row>
    <row r="1002" spans="1:10" x14ac:dyDescent="0.25">
      <c r="A1002" s="2">
        <v>43906</v>
      </c>
      <c r="B1002" s="1" t="s">
        <v>154</v>
      </c>
      <c r="C1002" s="1" t="s">
        <v>40</v>
      </c>
      <c r="D1002" s="1"/>
      <c r="E1002" s="1" t="s">
        <v>45</v>
      </c>
      <c r="F1002" s="1"/>
      <c r="G1002" s="1"/>
      <c r="H1002" s="1"/>
      <c r="I1002" s="1"/>
      <c r="J1002" s="1"/>
    </row>
    <row r="1003" spans="1:10" x14ac:dyDescent="0.25">
      <c r="A1003" s="2">
        <v>43906</v>
      </c>
      <c r="B1003" s="1" t="s">
        <v>155</v>
      </c>
      <c r="C1003" s="1" t="s">
        <v>44</v>
      </c>
      <c r="D1003" s="1"/>
      <c r="E1003" s="1" t="s">
        <v>27</v>
      </c>
      <c r="F1003" s="1"/>
      <c r="G1003" s="1"/>
      <c r="H1003" s="1"/>
      <c r="I1003" s="1"/>
      <c r="J1003" s="1"/>
    </row>
    <row r="1004" spans="1:10" x14ac:dyDescent="0.25">
      <c r="A1004" s="2">
        <v>43906</v>
      </c>
      <c r="B1004" s="1" t="s">
        <v>150</v>
      </c>
      <c r="C1004" s="1" t="s">
        <v>41</v>
      </c>
      <c r="D1004" s="1"/>
      <c r="E1004" s="1" t="s">
        <v>39</v>
      </c>
      <c r="F1004" s="1"/>
      <c r="G1004" s="1"/>
      <c r="H1004" s="1"/>
      <c r="I1004" s="1"/>
      <c r="J1004" s="1"/>
    </row>
    <row r="1005" spans="1:10" x14ac:dyDescent="0.25">
      <c r="A1005" s="2">
        <v>43906</v>
      </c>
      <c r="B1005" s="1" t="s">
        <v>150</v>
      </c>
      <c r="C1005" s="1" t="s">
        <v>52</v>
      </c>
      <c r="D1005" s="1"/>
      <c r="E1005" s="1" t="s">
        <v>37</v>
      </c>
      <c r="F1005" s="1"/>
      <c r="G1005" s="1"/>
      <c r="H1005" s="1"/>
      <c r="I1005" s="1"/>
      <c r="J1005" s="1"/>
    </row>
    <row r="1006" spans="1:10" x14ac:dyDescent="0.25">
      <c r="A1006" s="2">
        <v>43906</v>
      </c>
      <c r="B1006" s="1" t="s">
        <v>156</v>
      </c>
      <c r="C1006" s="1" t="s">
        <v>48</v>
      </c>
      <c r="D1006" s="1"/>
      <c r="E1006" s="1" t="s">
        <v>54</v>
      </c>
      <c r="F1006" s="1"/>
      <c r="G1006" s="1"/>
      <c r="H1006" s="1"/>
      <c r="I1006" s="1"/>
      <c r="J1006" s="1"/>
    </row>
    <row r="1007" spans="1:10" x14ac:dyDescent="0.25">
      <c r="A1007" s="2">
        <v>43906</v>
      </c>
      <c r="B1007" s="1" t="s">
        <v>157</v>
      </c>
      <c r="C1007" s="1" t="s">
        <v>47</v>
      </c>
      <c r="D1007" s="1"/>
      <c r="E1007" s="1" t="s">
        <v>34</v>
      </c>
      <c r="F1007" s="1"/>
      <c r="G1007" s="1"/>
      <c r="H1007" s="1"/>
      <c r="I1007" s="1"/>
      <c r="J1007" s="1"/>
    </row>
    <row r="1008" spans="1:10" x14ac:dyDescent="0.25">
      <c r="A1008" s="2">
        <v>43906</v>
      </c>
      <c r="B1008" s="1" t="s">
        <v>153</v>
      </c>
      <c r="C1008" s="1" t="s">
        <v>43</v>
      </c>
      <c r="D1008" s="1"/>
      <c r="E1008" s="1" t="s">
        <v>25</v>
      </c>
      <c r="F1008" s="1"/>
      <c r="G1008" s="1"/>
      <c r="H1008" s="1"/>
      <c r="I1008" s="1"/>
      <c r="J1008" s="1"/>
    </row>
    <row r="1009" spans="1:10" x14ac:dyDescent="0.25">
      <c r="A1009" s="2">
        <v>43907</v>
      </c>
      <c r="B1009" s="1" t="s">
        <v>154</v>
      </c>
      <c r="C1009" s="1" t="s">
        <v>53</v>
      </c>
      <c r="D1009" s="1"/>
      <c r="E1009" s="1" t="s">
        <v>30</v>
      </c>
      <c r="F1009" s="1"/>
      <c r="G1009" s="1"/>
      <c r="H1009" s="1"/>
      <c r="I1009" s="1"/>
      <c r="J1009" s="1"/>
    </row>
    <row r="1010" spans="1:10" x14ac:dyDescent="0.25">
      <c r="A1010" s="2">
        <v>43907</v>
      </c>
      <c r="B1010" s="1" t="s">
        <v>155</v>
      </c>
      <c r="C1010" s="1" t="s">
        <v>29</v>
      </c>
      <c r="D1010" s="1"/>
      <c r="E1010" s="1" t="s">
        <v>35</v>
      </c>
      <c r="F1010" s="1"/>
      <c r="G1010" s="1"/>
      <c r="H1010" s="1"/>
      <c r="I1010" s="1"/>
      <c r="J1010" s="1"/>
    </row>
    <row r="1011" spans="1:10" x14ac:dyDescent="0.25">
      <c r="A1011" s="2">
        <v>43907</v>
      </c>
      <c r="B1011" s="1" t="s">
        <v>150</v>
      </c>
      <c r="C1011" s="1" t="s">
        <v>49</v>
      </c>
      <c r="D1011" s="1"/>
      <c r="E1011" s="1" t="s">
        <v>32</v>
      </c>
      <c r="F1011" s="1"/>
      <c r="G1011" s="1"/>
      <c r="H1011" s="1"/>
      <c r="I1011" s="1"/>
      <c r="J1011" s="1"/>
    </row>
    <row r="1012" spans="1:10" x14ac:dyDescent="0.25">
      <c r="A1012" s="2">
        <v>43907</v>
      </c>
      <c r="B1012" s="1" t="s">
        <v>150</v>
      </c>
      <c r="C1012" s="1" t="s">
        <v>33</v>
      </c>
      <c r="D1012" s="1"/>
      <c r="E1012" s="1" t="s">
        <v>48</v>
      </c>
      <c r="F1012" s="1"/>
      <c r="G1012" s="1"/>
      <c r="H1012" s="1"/>
      <c r="I1012" s="1"/>
      <c r="J1012" s="1"/>
    </row>
    <row r="1013" spans="1:10" x14ac:dyDescent="0.25">
      <c r="A1013" s="2">
        <v>43907</v>
      </c>
      <c r="B1013" s="1" t="s">
        <v>158</v>
      </c>
      <c r="C1013" s="1" t="s">
        <v>42</v>
      </c>
      <c r="D1013" s="1"/>
      <c r="E1013" s="1" t="s">
        <v>28</v>
      </c>
      <c r="F1013" s="1"/>
      <c r="G1013" s="1"/>
      <c r="H1013" s="1"/>
      <c r="I1013" s="1"/>
      <c r="J1013" s="1"/>
    </row>
    <row r="1014" spans="1:10" x14ac:dyDescent="0.25">
      <c r="A1014" s="2">
        <v>43907</v>
      </c>
      <c r="B1014" s="1" t="s">
        <v>158</v>
      </c>
      <c r="C1014" s="1" t="s">
        <v>43</v>
      </c>
      <c r="D1014" s="1"/>
      <c r="E1014" s="1" t="s">
        <v>36</v>
      </c>
      <c r="F1014" s="1"/>
      <c r="G1014" s="1"/>
      <c r="H1014" s="1"/>
      <c r="I1014" s="1"/>
      <c r="J1014" s="1"/>
    </row>
    <row r="1015" spans="1:10" x14ac:dyDescent="0.25">
      <c r="A1015" s="2">
        <v>43908</v>
      </c>
      <c r="B1015" s="1" t="s">
        <v>154</v>
      </c>
      <c r="C1015" s="1" t="s">
        <v>44</v>
      </c>
      <c r="D1015" s="1"/>
      <c r="E1015" s="1" t="s">
        <v>51</v>
      </c>
      <c r="F1015" s="1"/>
      <c r="G1015" s="1"/>
      <c r="H1015" s="1"/>
      <c r="I1015" s="1"/>
      <c r="J1015" s="1"/>
    </row>
    <row r="1016" spans="1:10" x14ac:dyDescent="0.25">
      <c r="A1016" s="2">
        <v>43908</v>
      </c>
      <c r="B1016" s="1" t="s">
        <v>154</v>
      </c>
      <c r="C1016" s="1" t="s">
        <v>27</v>
      </c>
      <c r="D1016" s="1"/>
      <c r="E1016" s="1" t="s">
        <v>45</v>
      </c>
      <c r="F1016" s="1"/>
      <c r="G1016" s="1"/>
      <c r="H1016" s="1"/>
      <c r="I1016" s="1"/>
      <c r="J1016" s="1"/>
    </row>
    <row r="1017" spans="1:10" x14ac:dyDescent="0.25">
      <c r="A1017" s="2">
        <v>43908</v>
      </c>
      <c r="B1017" s="1" t="s">
        <v>155</v>
      </c>
      <c r="C1017" s="1" t="s">
        <v>33</v>
      </c>
      <c r="D1017" s="1"/>
      <c r="E1017" s="1" t="s">
        <v>52</v>
      </c>
      <c r="F1017" s="1"/>
      <c r="G1017" s="1"/>
      <c r="H1017" s="1"/>
      <c r="I1017" s="1"/>
      <c r="J1017" s="1"/>
    </row>
    <row r="1018" spans="1:10" x14ac:dyDescent="0.25">
      <c r="A1018" s="2">
        <v>43908</v>
      </c>
      <c r="B1018" s="1" t="s">
        <v>155</v>
      </c>
      <c r="C1018" s="1" t="s">
        <v>35</v>
      </c>
      <c r="D1018" s="1"/>
      <c r="E1018" s="1" t="s">
        <v>46</v>
      </c>
      <c r="F1018" s="1"/>
      <c r="G1018" s="1"/>
      <c r="H1018" s="1"/>
      <c r="I1018" s="1"/>
      <c r="J1018" s="1"/>
    </row>
    <row r="1019" spans="1:10" x14ac:dyDescent="0.25">
      <c r="A1019" s="2">
        <v>43908</v>
      </c>
      <c r="B1019" s="1" t="s">
        <v>155</v>
      </c>
      <c r="C1019" s="1" t="s">
        <v>40</v>
      </c>
      <c r="D1019" s="1"/>
      <c r="E1019" s="1" t="s">
        <v>38</v>
      </c>
      <c r="F1019" s="1"/>
      <c r="G1019" s="1"/>
      <c r="H1019" s="1"/>
      <c r="I1019" s="1"/>
      <c r="J1019" s="1"/>
    </row>
    <row r="1020" spans="1:10" x14ac:dyDescent="0.25">
      <c r="A1020" s="2">
        <v>43908</v>
      </c>
      <c r="B1020" s="1" t="s">
        <v>150</v>
      </c>
      <c r="C1020" s="1" t="s">
        <v>41</v>
      </c>
      <c r="D1020" s="1"/>
      <c r="E1020" s="1" t="s">
        <v>31</v>
      </c>
      <c r="F1020" s="1"/>
      <c r="G1020" s="1"/>
      <c r="H1020" s="1"/>
      <c r="I1020" s="1"/>
      <c r="J1020" s="1"/>
    </row>
    <row r="1021" spans="1:10" x14ac:dyDescent="0.25">
      <c r="A1021" s="2">
        <v>43908</v>
      </c>
      <c r="B1021" s="1" t="s">
        <v>150</v>
      </c>
      <c r="C1021" s="1" t="s">
        <v>54</v>
      </c>
      <c r="D1021" s="1"/>
      <c r="E1021" s="1" t="s">
        <v>37</v>
      </c>
      <c r="F1021" s="1"/>
      <c r="G1021" s="1"/>
      <c r="H1021" s="1"/>
      <c r="I1021" s="1"/>
      <c r="J1021" s="1"/>
    </row>
    <row r="1022" spans="1:10" x14ac:dyDescent="0.25">
      <c r="A1022" s="2">
        <v>43908</v>
      </c>
      <c r="B1022" s="1" t="s">
        <v>157</v>
      </c>
      <c r="C1022" s="1" t="s">
        <v>25</v>
      </c>
      <c r="D1022" s="1"/>
      <c r="E1022" s="1" t="s">
        <v>50</v>
      </c>
      <c r="F1022" s="1"/>
      <c r="G1022" s="1"/>
      <c r="H1022" s="1"/>
      <c r="I1022" s="1"/>
      <c r="J1022" s="1"/>
    </row>
    <row r="1023" spans="1:10" x14ac:dyDescent="0.25">
      <c r="A1023" s="2">
        <v>43908</v>
      </c>
      <c r="B1023" s="1" t="s">
        <v>158</v>
      </c>
      <c r="C1023" s="1" t="s">
        <v>42</v>
      </c>
      <c r="D1023" s="1"/>
      <c r="E1023" s="1" t="s">
        <v>26</v>
      </c>
      <c r="F1023" s="1"/>
      <c r="G1023" s="1"/>
      <c r="H1023" s="1"/>
      <c r="I1023" s="1"/>
      <c r="J1023" s="1"/>
    </row>
    <row r="1024" spans="1:10" x14ac:dyDescent="0.25">
      <c r="A1024" s="2">
        <v>43908</v>
      </c>
      <c r="B1024" s="1" t="s">
        <v>153</v>
      </c>
      <c r="C1024" s="1" t="s">
        <v>34</v>
      </c>
      <c r="D1024" s="1"/>
      <c r="E1024" s="1" t="s">
        <v>47</v>
      </c>
      <c r="F1024" s="1"/>
      <c r="G1024" s="1"/>
      <c r="H1024" s="1"/>
      <c r="I1024" s="1"/>
      <c r="J1024" s="1"/>
    </row>
    <row r="1025" spans="1:10" x14ac:dyDescent="0.25">
      <c r="A1025" s="2">
        <v>43909</v>
      </c>
      <c r="B1025" s="1" t="s">
        <v>154</v>
      </c>
      <c r="C1025" s="1" t="s">
        <v>45</v>
      </c>
      <c r="D1025" s="1"/>
      <c r="E1025" s="1" t="s">
        <v>29</v>
      </c>
      <c r="F1025" s="1"/>
      <c r="G1025" s="1"/>
      <c r="H1025" s="1"/>
      <c r="I1025" s="1"/>
      <c r="J1025" s="1"/>
    </row>
    <row r="1026" spans="1:10" x14ac:dyDescent="0.25">
      <c r="A1026" s="2">
        <v>43909</v>
      </c>
      <c r="B1026" s="1" t="s">
        <v>154</v>
      </c>
      <c r="C1026" s="1" t="s">
        <v>49</v>
      </c>
      <c r="D1026" s="1"/>
      <c r="E1026" s="1" t="s">
        <v>53</v>
      </c>
      <c r="F1026" s="1"/>
      <c r="G1026" s="1"/>
      <c r="H1026" s="1"/>
      <c r="I1026" s="1"/>
      <c r="J1026" s="1"/>
    </row>
    <row r="1027" spans="1:10" x14ac:dyDescent="0.25">
      <c r="A1027" s="2">
        <v>43909</v>
      </c>
      <c r="B1027" s="1" t="s">
        <v>150</v>
      </c>
      <c r="C1027" s="1" t="s">
        <v>36</v>
      </c>
      <c r="D1027" s="1"/>
      <c r="E1027" s="1" t="s">
        <v>32</v>
      </c>
      <c r="F1027" s="1"/>
      <c r="G1027" s="1"/>
      <c r="H1027" s="1"/>
      <c r="I1027" s="1"/>
      <c r="J1027" s="1"/>
    </row>
    <row r="1028" spans="1:10" x14ac:dyDescent="0.25">
      <c r="A1028" s="2">
        <v>43909</v>
      </c>
      <c r="B1028" s="1" t="s">
        <v>150</v>
      </c>
      <c r="C1028" s="1" t="s">
        <v>48</v>
      </c>
      <c r="D1028" s="1"/>
      <c r="E1028" s="1" t="s">
        <v>39</v>
      </c>
      <c r="F1028" s="1"/>
      <c r="G1028" s="1"/>
      <c r="H1028" s="1"/>
      <c r="I1028" s="1"/>
      <c r="J1028" s="1"/>
    </row>
    <row r="1029" spans="1:10" x14ac:dyDescent="0.25">
      <c r="A1029" s="2">
        <v>43909</v>
      </c>
      <c r="B1029" s="1" t="s">
        <v>158</v>
      </c>
      <c r="C1029" s="1" t="s">
        <v>43</v>
      </c>
      <c r="D1029" s="1"/>
      <c r="E1029" s="1" t="s">
        <v>28</v>
      </c>
      <c r="F1029" s="1"/>
      <c r="G1029" s="1"/>
      <c r="H1029" s="1"/>
      <c r="I1029" s="1"/>
      <c r="J1029" s="1"/>
    </row>
    <row r="1030" spans="1:10" x14ac:dyDescent="0.25">
      <c r="A1030" s="2">
        <v>43910</v>
      </c>
      <c r="B1030" s="1" t="s">
        <v>154</v>
      </c>
      <c r="C1030" s="1" t="s">
        <v>44</v>
      </c>
      <c r="D1030" s="1"/>
      <c r="E1030" s="1" t="s">
        <v>30</v>
      </c>
      <c r="F1030" s="1"/>
      <c r="G1030" s="1"/>
      <c r="H1030" s="1"/>
      <c r="I1030" s="1"/>
      <c r="J1030" s="1"/>
    </row>
    <row r="1031" spans="1:10" x14ac:dyDescent="0.25">
      <c r="A1031" s="2">
        <v>43910</v>
      </c>
      <c r="B1031" s="1" t="s">
        <v>154</v>
      </c>
      <c r="C1031" s="1" t="s">
        <v>41</v>
      </c>
      <c r="D1031" s="1"/>
      <c r="E1031" s="1" t="s">
        <v>51</v>
      </c>
      <c r="F1031" s="1"/>
      <c r="G1031" s="1"/>
      <c r="H1031" s="1"/>
      <c r="I1031" s="1"/>
      <c r="J1031" s="1"/>
    </row>
    <row r="1032" spans="1:10" x14ac:dyDescent="0.25">
      <c r="A1032" s="2">
        <v>43910</v>
      </c>
      <c r="B1032" s="1" t="s">
        <v>155</v>
      </c>
      <c r="C1032" s="1" t="s">
        <v>40</v>
      </c>
      <c r="D1032" s="1"/>
      <c r="E1032" s="1" t="s">
        <v>52</v>
      </c>
      <c r="F1032" s="1"/>
      <c r="G1032" s="1"/>
      <c r="H1032" s="1"/>
      <c r="I1032" s="1"/>
      <c r="J1032" s="1"/>
    </row>
    <row r="1033" spans="1:10" x14ac:dyDescent="0.25">
      <c r="A1033" s="2">
        <v>43910</v>
      </c>
      <c r="B1033" s="1" t="s">
        <v>155</v>
      </c>
      <c r="C1033" s="1" t="s">
        <v>46</v>
      </c>
      <c r="D1033" s="1"/>
      <c r="E1033" s="1" t="s">
        <v>27</v>
      </c>
      <c r="F1033" s="1"/>
      <c r="G1033" s="1"/>
      <c r="H1033" s="1"/>
      <c r="I1033" s="1"/>
      <c r="J1033" s="1"/>
    </row>
    <row r="1034" spans="1:10" x14ac:dyDescent="0.25">
      <c r="A1034" s="2">
        <v>43910</v>
      </c>
      <c r="B1034" s="1" t="s">
        <v>150</v>
      </c>
      <c r="C1034" s="1" t="s">
        <v>50</v>
      </c>
      <c r="D1034" s="1"/>
      <c r="E1034" s="1" t="s">
        <v>33</v>
      </c>
      <c r="F1034" s="1"/>
      <c r="G1034" s="1"/>
      <c r="H1034" s="1"/>
      <c r="I1034" s="1"/>
      <c r="J1034" s="1"/>
    </row>
    <row r="1035" spans="1:10" x14ac:dyDescent="0.25">
      <c r="A1035" s="2">
        <v>43910</v>
      </c>
      <c r="B1035" s="1" t="s">
        <v>156</v>
      </c>
      <c r="C1035" s="1" t="s">
        <v>31</v>
      </c>
      <c r="D1035" s="1"/>
      <c r="E1035" s="1" t="s">
        <v>54</v>
      </c>
      <c r="F1035" s="1"/>
      <c r="G1035" s="1"/>
      <c r="H1035" s="1"/>
      <c r="I1035" s="1"/>
      <c r="J1035" s="1"/>
    </row>
    <row r="1036" spans="1:10" x14ac:dyDescent="0.25">
      <c r="A1036" s="2">
        <v>43910</v>
      </c>
      <c r="B1036" s="1" t="s">
        <v>157</v>
      </c>
      <c r="C1036" s="1" t="s">
        <v>42</v>
      </c>
      <c r="D1036" s="1"/>
      <c r="E1036" s="1" t="s">
        <v>34</v>
      </c>
      <c r="F1036" s="1"/>
      <c r="G1036" s="1"/>
      <c r="H1036" s="1"/>
      <c r="I1036" s="1"/>
      <c r="J1036" s="1"/>
    </row>
    <row r="1037" spans="1:10" x14ac:dyDescent="0.25">
      <c r="A1037" s="2">
        <v>43910</v>
      </c>
      <c r="B1037" s="1" t="s">
        <v>153</v>
      </c>
      <c r="C1037" s="1" t="s">
        <v>26</v>
      </c>
      <c r="D1037" s="1"/>
      <c r="E1037" s="1" t="s">
        <v>25</v>
      </c>
      <c r="F1037" s="1"/>
      <c r="G1037" s="1"/>
      <c r="H1037" s="1"/>
      <c r="I1037" s="1"/>
      <c r="J1037" s="1"/>
    </row>
    <row r="1038" spans="1:10" x14ac:dyDescent="0.25">
      <c r="A1038" s="2">
        <v>43911</v>
      </c>
      <c r="B1038" s="1" t="s">
        <v>161</v>
      </c>
      <c r="C1038" s="1" t="s">
        <v>46</v>
      </c>
      <c r="D1038" s="1"/>
      <c r="E1038" s="1" t="s">
        <v>38</v>
      </c>
      <c r="F1038" s="1"/>
      <c r="G1038" s="1"/>
      <c r="H1038" s="1"/>
      <c r="I1038" s="1"/>
      <c r="J1038" s="1"/>
    </row>
    <row r="1039" spans="1:10" x14ac:dyDescent="0.25">
      <c r="A1039" s="2">
        <v>43911</v>
      </c>
      <c r="B1039" s="1" t="s">
        <v>154</v>
      </c>
      <c r="C1039" s="1" t="s">
        <v>47</v>
      </c>
      <c r="D1039" s="1"/>
      <c r="E1039" s="1" t="s">
        <v>29</v>
      </c>
      <c r="F1039" s="1"/>
      <c r="G1039" s="1"/>
      <c r="H1039" s="1"/>
      <c r="I1039" s="1"/>
      <c r="J1039" s="1"/>
    </row>
    <row r="1040" spans="1:10" x14ac:dyDescent="0.25">
      <c r="A1040" s="2">
        <v>43911</v>
      </c>
      <c r="B1040" s="1" t="s">
        <v>154</v>
      </c>
      <c r="C1040" s="1" t="s">
        <v>49</v>
      </c>
      <c r="D1040" s="1"/>
      <c r="E1040" s="1" t="s">
        <v>51</v>
      </c>
      <c r="F1040" s="1"/>
      <c r="G1040" s="1"/>
      <c r="H1040" s="1"/>
      <c r="I1040" s="1"/>
      <c r="J1040" s="1"/>
    </row>
    <row r="1041" spans="1:10" x14ac:dyDescent="0.25">
      <c r="A1041" s="2">
        <v>43911</v>
      </c>
      <c r="B1041" s="1" t="s">
        <v>154</v>
      </c>
      <c r="C1041" s="1" t="s">
        <v>36</v>
      </c>
      <c r="D1041" s="1"/>
      <c r="E1041" s="1" t="s">
        <v>53</v>
      </c>
      <c r="F1041" s="1"/>
      <c r="G1041" s="1"/>
      <c r="H1041" s="1"/>
      <c r="I1041" s="1"/>
      <c r="J1041" s="1"/>
    </row>
    <row r="1042" spans="1:10" x14ac:dyDescent="0.25">
      <c r="A1042" s="2">
        <v>43911</v>
      </c>
      <c r="B1042" s="1" t="s">
        <v>154</v>
      </c>
      <c r="C1042" s="1" t="s">
        <v>52</v>
      </c>
      <c r="D1042" s="1"/>
      <c r="E1042" s="1" t="s">
        <v>45</v>
      </c>
      <c r="F1042" s="1"/>
      <c r="G1042" s="1"/>
      <c r="H1042" s="1"/>
      <c r="I1042" s="1"/>
      <c r="J1042" s="1"/>
    </row>
    <row r="1043" spans="1:10" x14ac:dyDescent="0.25">
      <c r="A1043" s="2">
        <v>43911</v>
      </c>
      <c r="B1043" s="1" t="s">
        <v>155</v>
      </c>
      <c r="C1043" s="1" t="s">
        <v>44</v>
      </c>
      <c r="D1043" s="1"/>
      <c r="E1043" s="1" t="s">
        <v>35</v>
      </c>
      <c r="F1043" s="1"/>
      <c r="G1043" s="1"/>
      <c r="H1043" s="1"/>
      <c r="I1043" s="1"/>
      <c r="J1043" s="1"/>
    </row>
    <row r="1044" spans="1:10" x14ac:dyDescent="0.25">
      <c r="A1044" s="2">
        <v>43911</v>
      </c>
      <c r="B1044" s="1" t="s">
        <v>150</v>
      </c>
      <c r="C1044" s="1" t="s">
        <v>31</v>
      </c>
      <c r="D1044" s="1"/>
      <c r="E1044" s="1" t="s">
        <v>32</v>
      </c>
      <c r="F1044" s="1"/>
      <c r="G1044" s="1"/>
      <c r="H1044" s="1"/>
      <c r="I1044" s="1"/>
      <c r="J1044" s="1"/>
    </row>
    <row r="1045" spans="1:10" x14ac:dyDescent="0.25">
      <c r="A1045" s="2">
        <v>43911</v>
      </c>
      <c r="B1045" s="1" t="s">
        <v>150</v>
      </c>
      <c r="C1045" s="1" t="s">
        <v>37</v>
      </c>
      <c r="D1045" s="1"/>
      <c r="E1045" s="1" t="s">
        <v>48</v>
      </c>
      <c r="F1045" s="1"/>
      <c r="G1045" s="1"/>
      <c r="H1045" s="1"/>
      <c r="I1045" s="1"/>
      <c r="J1045" s="1"/>
    </row>
    <row r="1046" spans="1:10" x14ac:dyDescent="0.25">
      <c r="A1046" s="2">
        <v>43911</v>
      </c>
      <c r="B1046" s="1" t="s">
        <v>150</v>
      </c>
      <c r="C1046" s="1" t="s">
        <v>39</v>
      </c>
      <c r="D1046" s="1"/>
      <c r="E1046" s="1" t="s">
        <v>40</v>
      </c>
      <c r="F1046" s="1"/>
      <c r="G1046" s="1"/>
      <c r="H1046" s="1"/>
      <c r="I1046" s="1"/>
      <c r="J1046" s="1"/>
    </row>
    <row r="1047" spans="1:10" x14ac:dyDescent="0.25">
      <c r="A1047" s="2">
        <v>43911</v>
      </c>
      <c r="B1047" s="1" t="s">
        <v>158</v>
      </c>
      <c r="C1047" s="1" t="s">
        <v>43</v>
      </c>
      <c r="D1047" s="1"/>
      <c r="E1047" s="1" t="s">
        <v>26</v>
      </c>
      <c r="F1047" s="1"/>
      <c r="G1047" s="1"/>
      <c r="H1047" s="1"/>
      <c r="I1047" s="1"/>
      <c r="J1047" s="1"/>
    </row>
    <row r="1048" spans="1:10" x14ac:dyDescent="0.25">
      <c r="A1048" s="2">
        <v>43912</v>
      </c>
      <c r="B1048" s="1" t="s">
        <v>161</v>
      </c>
      <c r="C1048" s="1" t="s">
        <v>47</v>
      </c>
      <c r="D1048" s="1"/>
      <c r="E1048" s="1" t="s">
        <v>30</v>
      </c>
      <c r="F1048" s="1"/>
      <c r="G1048" s="1"/>
      <c r="H1048" s="1"/>
      <c r="I1048" s="1"/>
      <c r="J1048" s="1"/>
    </row>
    <row r="1049" spans="1:10" x14ac:dyDescent="0.25">
      <c r="A1049" s="2">
        <v>43912</v>
      </c>
      <c r="B1049" s="1" t="s">
        <v>161</v>
      </c>
      <c r="C1049" s="1" t="s">
        <v>50</v>
      </c>
      <c r="D1049" s="1"/>
      <c r="E1049" s="1" t="s">
        <v>27</v>
      </c>
      <c r="F1049" s="1"/>
      <c r="G1049" s="1"/>
      <c r="H1049" s="1"/>
      <c r="I1049" s="1"/>
      <c r="J1049" s="1"/>
    </row>
    <row r="1050" spans="1:10" x14ac:dyDescent="0.25">
      <c r="A1050" s="2">
        <v>43912</v>
      </c>
      <c r="B1050" s="1" t="s">
        <v>154</v>
      </c>
      <c r="C1050" s="1" t="s">
        <v>28</v>
      </c>
      <c r="D1050" s="1"/>
      <c r="E1050" s="1" t="s">
        <v>42</v>
      </c>
      <c r="F1050" s="1"/>
      <c r="G1050" s="1"/>
      <c r="H1050" s="1"/>
      <c r="I1050" s="1"/>
      <c r="J1050" s="1"/>
    </row>
    <row r="1051" spans="1:10" x14ac:dyDescent="0.25">
      <c r="A1051" s="2">
        <v>43912</v>
      </c>
      <c r="B1051" s="1" t="s">
        <v>154</v>
      </c>
      <c r="C1051" s="1" t="s">
        <v>36</v>
      </c>
      <c r="D1051" s="1"/>
      <c r="E1051" s="1" t="s">
        <v>37</v>
      </c>
      <c r="F1051" s="1"/>
      <c r="G1051" s="1"/>
      <c r="H1051" s="1"/>
      <c r="I1051" s="1"/>
      <c r="J1051" s="1"/>
    </row>
    <row r="1052" spans="1:10" x14ac:dyDescent="0.25">
      <c r="A1052" s="2">
        <v>43912</v>
      </c>
      <c r="B1052" s="1" t="s">
        <v>154</v>
      </c>
      <c r="C1052" s="1" t="s">
        <v>34</v>
      </c>
      <c r="D1052" s="1"/>
      <c r="E1052" s="1" t="s">
        <v>54</v>
      </c>
      <c r="F1052" s="1"/>
      <c r="G1052" s="1"/>
      <c r="H1052" s="1"/>
      <c r="I1052" s="1"/>
      <c r="J1052" s="1"/>
    </row>
    <row r="1053" spans="1:10" x14ac:dyDescent="0.25">
      <c r="A1053" s="2">
        <v>43913</v>
      </c>
      <c r="B1053" s="1" t="s">
        <v>154</v>
      </c>
      <c r="C1053" s="1" t="s">
        <v>26</v>
      </c>
      <c r="D1053" s="1"/>
      <c r="E1053" s="1" t="s">
        <v>51</v>
      </c>
      <c r="F1053" s="1"/>
      <c r="G1053" s="1"/>
      <c r="H1053" s="1"/>
      <c r="I1053" s="1"/>
      <c r="J1053" s="1"/>
    </row>
    <row r="1054" spans="1:10" x14ac:dyDescent="0.25">
      <c r="A1054" s="2">
        <v>43913</v>
      </c>
      <c r="B1054" s="1" t="s">
        <v>154</v>
      </c>
      <c r="C1054" s="1" t="s">
        <v>25</v>
      </c>
      <c r="D1054" s="1"/>
      <c r="E1054" s="1" t="s">
        <v>35</v>
      </c>
      <c r="F1054" s="1"/>
      <c r="G1054" s="1"/>
      <c r="H1054" s="1"/>
      <c r="I1054" s="1"/>
      <c r="J1054" s="1"/>
    </row>
    <row r="1055" spans="1:10" x14ac:dyDescent="0.25">
      <c r="A1055" s="2">
        <v>43913</v>
      </c>
      <c r="B1055" s="1" t="s">
        <v>154</v>
      </c>
      <c r="C1055" s="1" t="s">
        <v>46</v>
      </c>
      <c r="D1055" s="1"/>
      <c r="E1055" s="1" t="s">
        <v>40</v>
      </c>
      <c r="F1055" s="1"/>
      <c r="G1055" s="1"/>
      <c r="H1055" s="1"/>
      <c r="I1055" s="1"/>
      <c r="J1055" s="1"/>
    </row>
    <row r="1056" spans="1:10" x14ac:dyDescent="0.25">
      <c r="A1056" s="2">
        <v>43913</v>
      </c>
      <c r="B1056" s="1" t="s">
        <v>155</v>
      </c>
      <c r="C1056" s="1" t="s">
        <v>53</v>
      </c>
      <c r="D1056" s="1"/>
      <c r="E1056" s="1" t="s">
        <v>38</v>
      </c>
      <c r="F1056" s="1"/>
      <c r="G1056" s="1"/>
      <c r="H1056" s="1"/>
      <c r="I1056" s="1"/>
      <c r="J1056" s="1"/>
    </row>
    <row r="1057" spans="1:10" x14ac:dyDescent="0.25">
      <c r="A1057" s="2">
        <v>43913</v>
      </c>
      <c r="B1057" s="1" t="s">
        <v>155</v>
      </c>
      <c r="C1057" s="1" t="s">
        <v>33</v>
      </c>
      <c r="D1057" s="1"/>
      <c r="E1057" s="1" t="s">
        <v>41</v>
      </c>
      <c r="F1057" s="1"/>
      <c r="G1057" s="1"/>
      <c r="H1057" s="1"/>
      <c r="I1057" s="1"/>
      <c r="J1057" s="1"/>
    </row>
    <row r="1058" spans="1:10" x14ac:dyDescent="0.25">
      <c r="A1058" s="2">
        <v>43913</v>
      </c>
      <c r="B1058" s="1" t="s">
        <v>150</v>
      </c>
      <c r="C1058" s="1" t="s">
        <v>50</v>
      </c>
      <c r="D1058" s="1"/>
      <c r="E1058" s="1" t="s">
        <v>31</v>
      </c>
      <c r="F1058" s="1"/>
      <c r="G1058" s="1"/>
      <c r="H1058" s="1"/>
      <c r="I1058" s="1"/>
      <c r="J1058" s="1"/>
    </row>
    <row r="1059" spans="1:10" x14ac:dyDescent="0.25">
      <c r="A1059" s="2">
        <v>43913</v>
      </c>
      <c r="B1059" s="1" t="s">
        <v>150</v>
      </c>
      <c r="C1059" s="1" t="s">
        <v>30</v>
      </c>
      <c r="D1059" s="1"/>
      <c r="E1059" s="1" t="s">
        <v>39</v>
      </c>
      <c r="F1059" s="1"/>
      <c r="G1059" s="1"/>
      <c r="H1059" s="1"/>
      <c r="I1059" s="1"/>
      <c r="J1059" s="1"/>
    </row>
    <row r="1060" spans="1:10" x14ac:dyDescent="0.25">
      <c r="A1060" s="2">
        <v>43913</v>
      </c>
      <c r="B1060" s="1" t="s">
        <v>156</v>
      </c>
      <c r="C1060" s="1" t="s">
        <v>32</v>
      </c>
      <c r="D1060" s="1"/>
      <c r="E1060" s="1" t="s">
        <v>43</v>
      </c>
      <c r="F1060" s="1"/>
      <c r="G1060" s="1"/>
      <c r="H1060" s="1"/>
      <c r="I1060" s="1"/>
      <c r="J1060" s="1"/>
    </row>
    <row r="1061" spans="1:10" x14ac:dyDescent="0.25">
      <c r="A1061" s="2">
        <v>43914</v>
      </c>
      <c r="B1061" s="1" t="s">
        <v>154</v>
      </c>
      <c r="C1061" s="1" t="s">
        <v>28</v>
      </c>
      <c r="D1061" s="1"/>
      <c r="E1061" s="1" t="s">
        <v>29</v>
      </c>
      <c r="F1061" s="1"/>
      <c r="G1061" s="1"/>
      <c r="H1061" s="1"/>
      <c r="I1061" s="1"/>
      <c r="J1061" s="1"/>
    </row>
    <row r="1062" spans="1:10" x14ac:dyDescent="0.25">
      <c r="A1062" s="2">
        <v>43914</v>
      </c>
      <c r="B1062" s="1" t="s">
        <v>154</v>
      </c>
      <c r="C1062" s="1" t="s">
        <v>36</v>
      </c>
      <c r="D1062" s="1"/>
      <c r="E1062" s="1" t="s">
        <v>49</v>
      </c>
      <c r="F1062" s="1"/>
      <c r="G1062" s="1"/>
      <c r="H1062" s="1"/>
      <c r="I1062" s="1"/>
      <c r="J1062" s="1"/>
    </row>
    <row r="1063" spans="1:10" x14ac:dyDescent="0.25">
      <c r="A1063" s="2">
        <v>43914</v>
      </c>
      <c r="B1063" s="1" t="s">
        <v>155</v>
      </c>
      <c r="C1063" s="1" t="s">
        <v>47</v>
      </c>
      <c r="D1063" s="1"/>
      <c r="E1063" s="1" t="s">
        <v>27</v>
      </c>
      <c r="F1063" s="1"/>
      <c r="G1063" s="1"/>
      <c r="H1063" s="1"/>
      <c r="I1063" s="1"/>
      <c r="J1063" s="1"/>
    </row>
    <row r="1064" spans="1:10" x14ac:dyDescent="0.25">
      <c r="A1064" s="2">
        <v>43914</v>
      </c>
      <c r="B1064" s="1" t="s">
        <v>150</v>
      </c>
      <c r="C1064" s="1" t="s">
        <v>45</v>
      </c>
      <c r="D1064" s="1"/>
      <c r="E1064" s="1" t="s">
        <v>42</v>
      </c>
      <c r="F1064" s="1"/>
      <c r="G1064" s="1"/>
      <c r="H1064" s="1"/>
      <c r="I1064" s="1"/>
      <c r="J1064" s="1"/>
    </row>
    <row r="1065" spans="1:10" x14ac:dyDescent="0.25">
      <c r="A1065" s="2">
        <v>43914</v>
      </c>
      <c r="B1065" s="1" t="s">
        <v>150</v>
      </c>
      <c r="C1065" s="1" t="s">
        <v>48</v>
      </c>
      <c r="D1065" s="1"/>
      <c r="E1065" s="1" t="s">
        <v>37</v>
      </c>
      <c r="F1065" s="1"/>
      <c r="G1065" s="1"/>
      <c r="H1065" s="1"/>
      <c r="I1065" s="1"/>
      <c r="J1065" s="1"/>
    </row>
    <row r="1066" spans="1:10" x14ac:dyDescent="0.25">
      <c r="A1066" s="2">
        <v>43914</v>
      </c>
      <c r="B1066" s="1" t="s">
        <v>158</v>
      </c>
      <c r="C1066" s="1" t="s">
        <v>54</v>
      </c>
      <c r="D1066" s="1"/>
      <c r="E1066" s="1" t="s">
        <v>34</v>
      </c>
      <c r="F1066" s="1"/>
      <c r="G1066" s="1"/>
      <c r="H1066" s="1"/>
      <c r="I1066" s="1"/>
      <c r="J1066" s="1"/>
    </row>
    <row r="1067" spans="1:10" x14ac:dyDescent="0.25">
      <c r="A1067" s="2">
        <v>43915</v>
      </c>
      <c r="B1067" s="1" t="s">
        <v>154</v>
      </c>
      <c r="C1067" s="1" t="s">
        <v>25</v>
      </c>
      <c r="D1067" s="1"/>
      <c r="E1067" s="1" t="s">
        <v>38</v>
      </c>
      <c r="F1067" s="1"/>
      <c r="G1067" s="1"/>
      <c r="H1067" s="1"/>
      <c r="I1067" s="1"/>
      <c r="J1067" s="1"/>
    </row>
    <row r="1068" spans="1:10" x14ac:dyDescent="0.25">
      <c r="A1068" s="2">
        <v>43915</v>
      </c>
      <c r="B1068" s="1" t="s">
        <v>154</v>
      </c>
      <c r="C1068" s="1" t="s">
        <v>28</v>
      </c>
      <c r="D1068" s="1"/>
      <c r="E1068" s="1" t="s">
        <v>30</v>
      </c>
      <c r="F1068" s="1"/>
      <c r="G1068" s="1"/>
      <c r="H1068" s="1"/>
      <c r="I1068" s="1"/>
      <c r="J1068" s="1"/>
    </row>
    <row r="1069" spans="1:10" x14ac:dyDescent="0.25">
      <c r="A1069" s="2">
        <v>43915</v>
      </c>
      <c r="B1069" s="1" t="s">
        <v>154</v>
      </c>
      <c r="C1069" s="1" t="s">
        <v>51</v>
      </c>
      <c r="D1069" s="1"/>
      <c r="E1069" s="1" t="s">
        <v>53</v>
      </c>
      <c r="F1069" s="1"/>
      <c r="G1069" s="1"/>
      <c r="H1069" s="1"/>
      <c r="I1069" s="1"/>
      <c r="J1069" s="1"/>
    </row>
    <row r="1070" spans="1:10" x14ac:dyDescent="0.25">
      <c r="A1070" s="2">
        <v>43915</v>
      </c>
      <c r="B1070" s="1" t="s">
        <v>154</v>
      </c>
      <c r="C1070" s="1" t="s">
        <v>26</v>
      </c>
      <c r="D1070" s="1"/>
      <c r="E1070" s="1" t="s">
        <v>40</v>
      </c>
      <c r="F1070" s="1"/>
      <c r="G1070" s="1"/>
      <c r="H1070" s="1"/>
      <c r="I1070" s="1"/>
      <c r="J1070" s="1"/>
    </row>
    <row r="1071" spans="1:10" x14ac:dyDescent="0.25">
      <c r="A1071" s="2">
        <v>43915</v>
      </c>
      <c r="B1071" s="1" t="s">
        <v>155</v>
      </c>
      <c r="C1071" s="1" t="s">
        <v>50</v>
      </c>
      <c r="D1071" s="1"/>
      <c r="E1071" s="1" t="s">
        <v>41</v>
      </c>
      <c r="F1071" s="1"/>
      <c r="G1071" s="1"/>
      <c r="H1071" s="1"/>
      <c r="I1071" s="1"/>
      <c r="J1071" s="1"/>
    </row>
    <row r="1072" spans="1:10" x14ac:dyDescent="0.25">
      <c r="A1072" s="2">
        <v>43915</v>
      </c>
      <c r="B1072" s="1" t="s">
        <v>155</v>
      </c>
      <c r="C1072" s="1" t="s">
        <v>27</v>
      </c>
      <c r="D1072" s="1"/>
      <c r="E1072" s="1" t="s">
        <v>35</v>
      </c>
      <c r="F1072" s="1"/>
      <c r="G1072" s="1"/>
      <c r="H1072" s="1"/>
      <c r="I1072" s="1"/>
      <c r="J1072" s="1"/>
    </row>
    <row r="1073" spans="1:10" x14ac:dyDescent="0.25">
      <c r="A1073" s="2">
        <v>43915</v>
      </c>
      <c r="B1073" s="1" t="s">
        <v>150</v>
      </c>
      <c r="C1073" s="1" t="s">
        <v>46</v>
      </c>
      <c r="D1073" s="1"/>
      <c r="E1073" s="1" t="s">
        <v>48</v>
      </c>
      <c r="F1073" s="1"/>
      <c r="G1073" s="1"/>
      <c r="H1073" s="1"/>
      <c r="I1073" s="1"/>
      <c r="J1073" s="1"/>
    </row>
    <row r="1074" spans="1:10" x14ac:dyDescent="0.25">
      <c r="A1074" s="2">
        <v>43915</v>
      </c>
      <c r="B1074" s="1" t="s">
        <v>162</v>
      </c>
      <c r="C1074" s="1" t="s">
        <v>32</v>
      </c>
      <c r="D1074" s="1"/>
      <c r="E1074" s="1" t="s">
        <v>39</v>
      </c>
      <c r="F1074" s="1"/>
      <c r="G1074" s="1"/>
      <c r="H1074" s="1"/>
      <c r="I1074" s="1"/>
      <c r="J1074" s="1"/>
    </row>
    <row r="1075" spans="1:10" x14ac:dyDescent="0.25">
      <c r="A1075" s="2">
        <v>43915</v>
      </c>
      <c r="B1075" s="1" t="s">
        <v>153</v>
      </c>
      <c r="C1075" s="1" t="s">
        <v>52</v>
      </c>
      <c r="D1075" s="1"/>
      <c r="E1075" s="1" t="s">
        <v>44</v>
      </c>
      <c r="F1075" s="1"/>
      <c r="G1075" s="1"/>
      <c r="H1075" s="1"/>
      <c r="I1075" s="1"/>
      <c r="J1075" s="1"/>
    </row>
    <row r="1076" spans="1:10" x14ac:dyDescent="0.25">
      <c r="A1076" s="2">
        <v>43916</v>
      </c>
      <c r="B1076" s="1" t="s">
        <v>154</v>
      </c>
      <c r="C1076" s="1" t="s">
        <v>47</v>
      </c>
      <c r="D1076" s="1"/>
      <c r="E1076" s="1" t="s">
        <v>49</v>
      </c>
      <c r="F1076" s="1"/>
      <c r="G1076" s="1"/>
      <c r="H1076" s="1"/>
      <c r="I1076" s="1"/>
      <c r="J1076" s="1"/>
    </row>
    <row r="1077" spans="1:10" x14ac:dyDescent="0.25">
      <c r="A1077" s="2">
        <v>43916</v>
      </c>
      <c r="B1077" s="1" t="s">
        <v>150</v>
      </c>
      <c r="C1077" s="1" t="s">
        <v>45</v>
      </c>
      <c r="D1077" s="1"/>
      <c r="E1077" s="1" t="s">
        <v>31</v>
      </c>
      <c r="F1077" s="1"/>
      <c r="G1077" s="1"/>
      <c r="H1077" s="1"/>
      <c r="I1077" s="1"/>
      <c r="J1077" s="1"/>
    </row>
    <row r="1078" spans="1:10" x14ac:dyDescent="0.25">
      <c r="A1078" s="2">
        <v>43916</v>
      </c>
      <c r="B1078" s="1" t="s">
        <v>150</v>
      </c>
      <c r="C1078" s="1" t="s">
        <v>54</v>
      </c>
      <c r="D1078" s="1"/>
      <c r="E1078" s="1" t="s">
        <v>42</v>
      </c>
      <c r="F1078" s="1"/>
      <c r="G1078" s="1"/>
      <c r="H1078" s="1"/>
      <c r="I1078" s="1"/>
      <c r="J1078" s="1"/>
    </row>
    <row r="1079" spans="1:10" x14ac:dyDescent="0.25">
      <c r="A1079" s="2">
        <v>43916</v>
      </c>
      <c r="B1079" s="1" t="s">
        <v>150</v>
      </c>
      <c r="C1079" s="1" t="s">
        <v>29</v>
      </c>
      <c r="D1079" s="1"/>
      <c r="E1079" s="1" t="s">
        <v>33</v>
      </c>
      <c r="F1079" s="1"/>
      <c r="G1079" s="1"/>
      <c r="H1079" s="1"/>
      <c r="I1079" s="1"/>
      <c r="J1079" s="1"/>
    </row>
    <row r="1080" spans="1:10" x14ac:dyDescent="0.25">
      <c r="A1080" s="2">
        <v>43916</v>
      </c>
      <c r="B1080" s="1" t="s">
        <v>156</v>
      </c>
      <c r="C1080" s="1" t="s">
        <v>34</v>
      </c>
      <c r="D1080" s="1"/>
      <c r="E1080" s="1" t="s">
        <v>43</v>
      </c>
      <c r="F1080" s="1"/>
      <c r="G1080" s="1"/>
      <c r="H1080" s="1"/>
      <c r="I1080" s="1"/>
      <c r="J1080" s="1"/>
    </row>
    <row r="1081" spans="1:10" x14ac:dyDescent="0.25">
      <c r="A1081" s="2">
        <v>43916</v>
      </c>
      <c r="B1081" s="1" t="s">
        <v>158</v>
      </c>
      <c r="C1081" s="1" t="s">
        <v>52</v>
      </c>
      <c r="D1081" s="1"/>
      <c r="E1081" s="1" t="s">
        <v>36</v>
      </c>
      <c r="F1081" s="1"/>
      <c r="G1081" s="1"/>
      <c r="H1081" s="1"/>
      <c r="I1081" s="1"/>
      <c r="J1081" s="1"/>
    </row>
    <row r="1082" spans="1:10" x14ac:dyDescent="0.25">
      <c r="A1082" s="2">
        <v>43917</v>
      </c>
      <c r="B1082" s="1" t="s">
        <v>154</v>
      </c>
      <c r="C1082" s="1" t="s">
        <v>25</v>
      </c>
      <c r="D1082" s="1"/>
      <c r="E1082" s="1" t="s">
        <v>30</v>
      </c>
      <c r="F1082" s="1"/>
      <c r="G1082" s="1"/>
      <c r="H1082" s="1"/>
      <c r="I1082" s="1"/>
      <c r="J1082" s="1"/>
    </row>
    <row r="1083" spans="1:10" x14ac:dyDescent="0.25">
      <c r="A1083" s="2">
        <v>43917</v>
      </c>
      <c r="B1083" s="1" t="s">
        <v>154</v>
      </c>
      <c r="C1083" s="1" t="s">
        <v>32</v>
      </c>
      <c r="D1083" s="1"/>
      <c r="E1083" s="1" t="s">
        <v>51</v>
      </c>
      <c r="F1083" s="1"/>
      <c r="G1083" s="1"/>
      <c r="H1083" s="1"/>
      <c r="I1083" s="1"/>
      <c r="J1083" s="1"/>
    </row>
    <row r="1084" spans="1:10" x14ac:dyDescent="0.25">
      <c r="A1084" s="2">
        <v>43917</v>
      </c>
      <c r="B1084" s="1" t="s">
        <v>154</v>
      </c>
      <c r="C1084" s="1" t="s">
        <v>38</v>
      </c>
      <c r="D1084" s="1"/>
      <c r="E1084" s="1" t="s">
        <v>53</v>
      </c>
      <c r="F1084" s="1"/>
      <c r="G1084" s="1"/>
      <c r="H1084" s="1"/>
      <c r="I1084" s="1"/>
      <c r="J1084" s="1"/>
    </row>
    <row r="1085" spans="1:10" x14ac:dyDescent="0.25">
      <c r="A1085" s="2">
        <v>43917</v>
      </c>
      <c r="B1085" s="1" t="s">
        <v>154</v>
      </c>
      <c r="C1085" s="1" t="s">
        <v>26</v>
      </c>
      <c r="D1085" s="1"/>
      <c r="E1085" s="1" t="s">
        <v>45</v>
      </c>
      <c r="F1085" s="1"/>
      <c r="G1085" s="1"/>
      <c r="H1085" s="1"/>
      <c r="I1085" s="1"/>
      <c r="J1085" s="1"/>
    </row>
    <row r="1086" spans="1:10" x14ac:dyDescent="0.25">
      <c r="A1086" s="2">
        <v>43917</v>
      </c>
      <c r="B1086" s="1" t="s">
        <v>155</v>
      </c>
      <c r="C1086" s="1" t="s">
        <v>28</v>
      </c>
      <c r="D1086" s="1"/>
      <c r="E1086" s="1" t="s">
        <v>46</v>
      </c>
      <c r="F1086" s="1"/>
      <c r="G1086" s="1"/>
      <c r="H1086" s="1"/>
      <c r="I1086" s="1"/>
      <c r="J1086" s="1"/>
    </row>
    <row r="1087" spans="1:10" x14ac:dyDescent="0.25">
      <c r="A1087" s="2">
        <v>43917</v>
      </c>
      <c r="B1087" s="1" t="s">
        <v>150</v>
      </c>
      <c r="C1087" s="1" t="s">
        <v>35</v>
      </c>
      <c r="D1087" s="1"/>
      <c r="E1087" s="1" t="s">
        <v>37</v>
      </c>
      <c r="F1087" s="1"/>
      <c r="G1087" s="1"/>
      <c r="H1087" s="1"/>
      <c r="I1087" s="1"/>
      <c r="J1087" s="1"/>
    </row>
    <row r="1088" spans="1:10" x14ac:dyDescent="0.25">
      <c r="A1088" s="2">
        <v>43917</v>
      </c>
      <c r="B1088" s="1" t="s">
        <v>156</v>
      </c>
      <c r="C1088" s="1" t="s">
        <v>40</v>
      </c>
      <c r="D1088" s="1"/>
      <c r="E1088" s="1" t="s">
        <v>39</v>
      </c>
      <c r="F1088" s="1"/>
      <c r="G1088" s="1"/>
      <c r="H1088" s="1"/>
      <c r="I1088" s="1"/>
      <c r="J1088" s="1"/>
    </row>
    <row r="1089" spans="1:10" x14ac:dyDescent="0.25">
      <c r="A1089" s="2">
        <v>43917</v>
      </c>
      <c r="B1089" s="1" t="s">
        <v>157</v>
      </c>
      <c r="C1089" s="1" t="s">
        <v>54</v>
      </c>
      <c r="D1089" s="1"/>
      <c r="E1089" s="1" t="s">
        <v>50</v>
      </c>
      <c r="F1089" s="1"/>
      <c r="G1089" s="1"/>
      <c r="H1089" s="1"/>
      <c r="I1089" s="1"/>
      <c r="J1089" s="1"/>
    </row>
    <row r="1090" spans="1:10" x14ac:dyDescent="0.25">
      <c r="A1090" s="2">
        <v>43918</v>
      </c>
      <c r="B1090" s="1" t="s">
        <v>161</v>
      </c>
      <c r="C1090" s="1" t="s">
        <v>49</v>
      </c>
      <c r="D1090" s="1"/>
      <c r="E1090" s="1" t="s">
        <v>38</v>
      </c>
      <c r="F1090" s="1"/>
      <c r="G1090" s="1"/>
      <c r="H1090" s="1"/>
      <c r="I1090" s="1"/>
      <c r="J1090" s="1"/>
    </row>
    <row r="1091" spans="1:10" x14ac:dyDescent="0.25">
      <c r="A1091" s="2">
        <v>43918</v>
      </c>
      <c r="B1091" s="1" t="s">
        <v>154</v>
      </c>
      <c r="C1091" s="1" t="s">
        <v>25</v>
      </c>
      <c r="D1091" s="1"/>
      <c r="E1091" s="1" t="s">
        <v>29</v>
      </c>
      <c r="F1091" s="1"/>
      <c r="G1091" s="1"/>
      <c r="H1091" s="1"/>
      <c r="I1091" s="1"/>
      <c r="J1091" s="1"/>
    </row>
    <row r="1092" spans="1:10" x14ac:dyDescent="0.25">
      <c r="A1092" s="2">
        <v>43918</v>
      </c>
      <c r="B1092" s="1" t="s">
        <v>150</v>
      </c>
      <c r="C1092" s="1" t="s">
        <v>35</v>
      </c>
      <c r="D1092" s="1"/>
      <c r="E1092" s="1" t="s">
        <v>31</v>
      </c>
      <c r="F1092" s="1"/>
      <c r="G1092" s="1"/>
      <c r="H1092" s="1"/>
      <c r="I1092" s="1"/>
      <c r="J1092" s="1"/>
    </row>
    <row r="1093" spans="1:10" x14ac:dyDescent="0.25">
      <c r="A1093" s="2">
        <v>43918</v>
      </c>
      <c r="B1093" s="1" t="s">
        <v>150</v>
      </c>
      <c r="C1093" s="1" t="s">
        <v>27</v>
      </c>
      <c r="D1093" s="1"/>
      <c r="E1093" s="1" t="s">
        <v>48</v>
      </c>
      <c r="F1093" s="1"/>
      <c r="G1093" s="1"/>
      <c r="H1093" s="1"/>
      <c r="I1093" s="1"/>
      <c r="J1093" s="1"/>
    </row>
    <row r="1094" spans="1:10" x14ac:dyDescent="0.25">
      <c r="A1094" s="2">
        <v>43918</v>
      </c>
      <c r="B1094" s="1" t="s">
        <v>150</v>
      </c>
      <c r="C1094" s="1" t="s">
        <v>26</v>
      </c>
      <c r="D1094" s="1"/>
      <c r="E1094" s="1" t="s">
        <v>41</v>
      </c>
      <c r="F1094" s="1"/>
      <c r="G1094" s="1"/>
      <c r="H1094" s="1"/>
      <c r="I1094" s="1"/>
      <c r="J1094" s="1"/>
    </row>
    <row r="1095" spans="1:10" x14ac:dyDescent="0.25">
      <c r="A1095" s="2">
        <v>43918</v>
      </c>
      <c r="B1095" s="1" t="s">
        <v>150</v>
      </c>
      <c r="C1095" s="1" t="s">
        <v>47</v>
      </c>
      <c r="D1095" s="1"/>
      <c r="E1095" s="1" t="s">
        <v>40</v>
      </c>
      <c r="F1095" s="1"/>
      <c r="G1095" s="1"/>
      <c r="H1095" s="1"/>
      <c r="I1095" s="1"/>
      <c r="J1095" s="1"/>
    </row>
    <row r="1096" spans="1:10" x14ac:dyDescent="0.25">
      <c r="A1096" s="2">
        <v>43918</v>
      </c>
      <c r="B1096" s="1" t="s">
        <v>156</v>
      </c>
      <c r="C1096" s="1" t="s">
        <v>33</v>
      </c>
      <c r="D1096" s="1"/>
      <c r="E1096" s="1" t="s">
        <v>44</v>
      </c>
      <c r="F1096" s="1"/>
      <c r="G1096" s="1"/>
      <c r="H1096" s="1"/>
      <c r="I1096" s="1"/>
      <c r="J1096" s="1"/>
    </row>
    <row r="1097" spans="1:10" x14ac:dyDescent="0.25">
      <c r="A1097" s="2">
        <v>43918</v>
      </c>
      <c r="B1097" s="1" t="s">
        <v>157</v>
      </c>
      <c r="C1097" s="1" t="s">
        <v>52</v>
      </c>
      <c r="D1097" s="1"/>
      <c r="E1097" s="1" t="s">
        <v>34</v>
      </c>
      <c r="F1097" s="1"/>
      <c r="G1097" s="1"/>
      <c r="H1097" s="1"/>
      <c r="I1097" s="1"/>
      <c r="J1097" s="1"/>
    </row>
    <row r="1098" spans="1:10" x14ac:dyDescent="0.25">
      <c r="A1098" s="2">
        <v>43919</v>
      </c>
      <c r="B1098" s="1" t="s">
        <v>261</v>
      </c>
      <c r="C1098" s="1" t="s">
        <v>39</v>
      </c>
      <c r="D1098" s="1"/>
      <c r="E1098" s="1" t="s">
        <v>43</v>
      </c>
      <c r="F1098" s="1"/>
      <c r="G1098" s="1"/>
      <c r="H1098" s="1"/>
      <c r="I1098" s="1"/>
      <c r="J1098" s="1"/>
    </row>
    <row r="1099" spans="1:10" x14ac:dyDescent="0.25">
      <c r="A1099" s="2">
        <v>43919</v>
      </c>
      <c r="B1099" s="1" t="s">
        <v>159</v>
      </c>
      <c r="C1099" s="1" t="s">
        <v>32</v>
      </c>
      <c r="D1099" s="1"/>
      <c r="E1099" s="1" t="s">
        <v>30</v>
      </c>
      <c r="F1099" s="1"/>
      <c r="G1099" s="1"/>
      <c r="H1099" s="1"/>
      <c r="I1099" s="1"/>
      <c r="J1099" s="1"/>
    </row>
    <row r="1100" spans="1:10" x14ac:dyDescent="0.25">
      <c r="A1100" s="2">
        <v>43919</v>
      </c>
      <c r="B1100" s="1" t="s">
        <v>161</v>
      </c>
      <c r="C1100" s="1" t="s">
        <v>42</v>
      </c>
      <c r="D1100" s="1"/>
      <c r="E1100" s="1" t="s">
        <v>46</v>
      </c>
      <c r="F1100" s="1"/>
      <c r="G1100" s="1"/>
      <c r="H1100" s="1"/>
      <c r="I1100" s="1"/>
      <c r="J1100" s="1"/>
    </row>
    <row r="1101" spans="1:10" x14ac:dyDescent="0.25">
      <c r="A1101" s="2">
        <v>43919</v>
      </c>
      <c r="B1101" s="1" t="s">
        <v>161</v>
      </c>
      <c r="C1101" s="1" t="s">
        <v>37</v>
      </c>
      <c r="D1101" s="1"/>
      <c r="E1101" s="1" t="s">
        <v>53</v>
      </c>
      <c r="F1101" s="1"/>
      <c r="G1101" s="1"/>
      <c r="H1101" s="1"/>
      <c r="I1101" s="1"/>
      <c r="J1101" s="1"/>
    </row>
    <row r="1102" spans="1:10" x14ac:dyDescent="0.25">
      <c r="A1102" s="2">
        <v>43919</v>
      </c>
      <c r="B1102" s="1" t="s">
        <v>155</v>
      </c>
      <c r="C1102" s="1" t="s">
        <v>28</v>
      </c>
      <c r="D1102" s="1"/>
      <c r="E1102" s="1" t="s">
        <v>45</v>
      </c>
      <c r="F1102" s="1"/>
      <c r="G1102" s="1"/>
      <c r="H1102" s="1"/>
      <c r="I1102" s="1"/>
      <c r="J1102" s="1"/>
    </row>
    <row r="1103" spans="1:10" x14ac:dyDescent="0.25">
      <c r="A1103" s="2">
        <v>43919</v>
      </c>
      <c r="B1103" s="1" t="s">
        <v>156</v>
      </c>
      <c r="C1103" s="1" t="s">
        <v>54</v>
      </c>
      <c r="D1103" s="1"/>
      <c r="E1103" s="1" t="s">
        <v>44</v>
      </c>
      <c r="F1103" s="1"/>
      <c r="G1103" s="1"/>
      <c r="H1103" s="1"/>
      <c r="I1103" s="1"/>
      <c r="J1103" s="1"/>
    </row>
    <row r="1104" spans="1:10" x14ac:dyDescent="0.25">
      <c r="A1104" s="2">
        <v>43919</v>
      </c>
      <c r="B1104" s="1" t="s">
        <v>157</v>
      </c>
      <c r="C1104" s="1" t="s">
        <v>51</v>
      </c>
      <c r="D1104" s="1"/>
      <c r="E1104" s="1" t="s">
        <v>36</v>
      </c>
      <c r="F1104" s="1"/>
      <c r="G1104" s="1"/>
      <c r="H1104" s="1"/>
      <c r="I1104" s="1"/>
      <c r="J1104" s="1"/>
    </row>
    <row r="1105" spans="1:10" x14ac:dyDescent="0.25">
      <c r="A1105" s="2">
        <v>43920</v>
      </c>
      <c r="B1105" s="1" t="s">
        <v>154</v>
      </c>
      <c r="C1105" s="1" t="s">
        <v>41</v>
      </c>
      <c r="D1105" s="1"/>
      <c r="E1105" s="1" t="s">
        <v>29</v>
      </c>
      <c r="F1105" s="1"/>
      <c r="G1105" s="1"/>
      <c r="H1105" s="1"/>
      <c r="I1105" s="1"/>
      <c r="J1105" s="1"/>
    </row>
    <row r="1106" spans="1:10" x14ac:dyDescent="0.25">
      <c r="A1106" s="2">
        <v>43920</v>
      </c>
      <c r="B1106" s="1" t="s">
        <v>154</v>
      </c>
      <c r="C1106" s="1" t="s">
        <v>26</v>
      </c>
      <c r="D1106" s="1"/>
      <c r="E1106" s="1" t="s">
        <v>49</v>
      </c>
      <c r="F1106" s="1"/>
      <c r="G1106" s="1"/>
      <c r="H1106" s="1"/>
      <c r="I1106" s="1"/>
      <c r="J1106" s="1"/>
    </row>
    <row r="1107" spans="1:10" x14ac:dyDescent="0.25">
      <c r="A1107" s="2">
        <v>43920</v>
      </c>
      <c r="B1107" s="1" t="s">
        <v>155</v>
      </c>
      <c r="C1107" s="1" t="s">
        <v>28</v>
      </c>
      <c r="D1107" s="1"/>
      <c r="E1107" s="1" t="s">
        <v>38</v>
      </c>
      <c r="F1107" s="1"/>
      <c r="G1107" s="1"/>
      <c r="H1107" s="1"/>
      <c r="I1107" s="1"/>
      <c r="J1107" s="1"/>
    </row>
    <row r="1108" spans="1:10" x14ac:dyDescent="0.25">
      <c r="A1108" s="2">
        <v>43920</v>
      </c>
      <c r="B1108" s="1" t="s">
        <v>155</v>
      </c>
      <c r="C1108" s="1" t="s">
        <v>48</v>
      </c>
      <c r="D1108" s="1"/>
      <c r="E1108" s="1" t="s">
        <v>27</v>
      </c>
      <c r="F1108" s="1"/>
      <c r="G1108" s="1"/>
      <c r="H1108" s="1"/>
      <c r="I1108" s="1"/>
      <c r="J1108" s="1"/>
    </row>
    <row r="1109" spans="1:10" x14ac:dyDescent="0.25">
      <c r="A1109" s="2">
        <v>43920</v>
      </c>
      <c r="B1109" s="1" t="s">
        <v>150</v>
      </c>
      <c r="C1109" s="1" t="s">
        <v>47</v>
      </c>
      <c r="D1109" s="1"/>
      <c r="E1109" s="1" t="s">
        <v>42</v>
      </c>
      <c r="F1109" s="1"/>
      <c r="G1109" s="1"/>
      <c r="H1109" s="1"/>
      <c r="I1109" s="1"/>
      <c r="J1109" s="1"/>
    </row>
    <row r="1110" spans="1:10" x14ac:dyDescent="0.25">
      <c r="A1110" s="2">
        <v>43920</v>
      </c>
      <c r="B1110" s="1" t="s">
        <v>157</v>
      </c>
      <c r="C1110" s="1" t="s">
        <v>33</v>
      </c>
      <c r="D1110" s="1"/>
      <c r="E1110" s="1" t="s">
        <v>50</v>
      </c>
      <c r="F1110" s="1"/>
      <c r="G1110" s="1"/>
      <c r="H1110" s="1"/>
      <c r="I1110" s="1"/>
      <c r="J1110" s="1"/>
    </row>
    <row r="1111" spans="1:10" x14ac:dyDescent="0.25">
      <c r="A1111" s="2">
        <v>43920</v>
      </c>
      <c r="B1111" s="1" t="s">
        <v>157</v>
      </c>
      <c r="C1111" s="1" t="s">
        <v>31</v>
      </c>
      <c r="D1111" s="1"/>
      <c r="E1111" s="1" t="s">
        <v>34</v>
      </c>
      <c r="F1111" s="1"/>
      <c r="G1111" s="1"/>
      <c r="H1111" s="1"/>
      <c r="I1111" s="1"/>
      <c r="J1111" s="1"/>
    </row>
    <row r="1112" spans="1:10" x14ac:dyDescent="0.25">
      <c r="A1112" s="2">
        <v>43920</v>
      </c>
      <c r="B1112" s="1" t="s">
        <v>153</v>
      </c>
      <c r="C1112" s="1" t="s">
        <v>51</v>
      </c>
      <c r="D1112" s="1"/>
      <c r="E1112" s="1" t="s">
        <v>25</v>
      </c>
      <c r="F1112" s="1"/>
      <c r="G1112" s="1"/>
      <c r="H1112" s="1"/>
      <c r="I1112" s="1"/>
      <c r="J1112" s="1"/>
    </row>
    <row r="1113" spans="1:10" x14ac:dyDescent="0.25">
      <c r="A1113" s="2">
        <v>43921</v>
      </c>
      <c r="B1113" s="1" t="s">
        <v>155</v>
      </c>
      <c r="C1113" s="1" t="s">
        <v>37</v>
      </c>
      <c r="D1113" s="1"/>
      <c r="E1113" s="1" t="s">
        <v>52</v>
      </c>
      <c r="F1113" s="1"/>
      <c r="G1113" s="1"/>
      <c r="H1113" s="1"/>
      <c r="I1113" s="1"/>
      <c r="J1113" s="1"/>
    </row>
    <row r="1114" spans="1:10" x14ac:dyDescent="0.25">
      <c r="A1114" s="2">
        <v>43921</v>
      </c>
      <c r="B1114" s="1" t="s">
        <v>155</v>
      </c>
      <c r="C1114" s="1" t="s">
        <v>32</v>
      </c>
      <c r="D1114" s="1"/>
      <c r="E1114" s="1" t="s">
        <v>45</v>
      </c>
      <c r="F1114" s="1"/>
      <c r="G1114" s="1"/>
      <c r="H1114" s="1"/>
      <c r="I1114" s="1"/>
      <c r="J1114" s="1"/>
    </row>
    <row r="1115" spans="1:10" x14ac:dyDescent="0.25">
      <c r="A1115" s="2">
        <v>43921</v>
      </c>
      <c r="B1115" s="1" t="s">
        <v>158</v>
      </c>
      <c r="C1115" s="1" t="s">
        <v>50</v>
      </c>
      <c r="D1115" s="1"/>
      <c r="E1115" s="1" t="s">
        <v>44</v>
      </c>
      <c r="F1115" s="1"/>
      <c r="G1115" s="1"/>
      <c r="H1115" s="1"/>
      <c r="I1115" s="1"/>
      <c r="J1115" s="1"/>
    </row>
    <row r="1116" spans="1:10" x14ac:dyDescent="0.25">
      <c r="A1116" s="2">
        <v>43921</v>
      </c>
      <c r="B1116" s="1" t="s">
        <v>158</v>
      </c>
      <c r="C1116" s="1" t="s">
        <v>54</v>
      </c>
      <c r="D1116" s="1"/>
      <c r="E1116" s="1" t="s">
        <v>36</v>
      </c>
      <c r="F1116" s="1"/>
      <c r="G1116" s="1"/>
      <c r="H1116" s="1"/>
      <c r="I1116" s="1"/>
      <c r="J1116" s="1"/>
    </row>
    <row r="1117" spans="1:10" x14ac:dyDescent="0.25">
      <c r="A1117" s="2">
        <v>43922</v>
      </c>
      <c r="B1117" s="1" t="s">
        <v>154</v>
      </c>
      <c r="C1117" s="1" t="s">
        <v>29</v>
      </c>
      <c r="D1117" s="1"/>
      <c r="E1117" s="1" t="s">
        <v>53</v>
      </c>
      <c r="F1117" s="1"/>
      <c r="G1117" s="1"/>
      <c r="H1117" s="1"/>
      <c r="I1117" s="1"/>
      <c r="J1117" s="1"/>
    </row>
    <row r="1118" spans="1:10" x14ac:dyDescent="0.25">
      <c r="A1118" s="2">
        <v>43922</v>
      </c>
      <c r="B1118" s="1" t="s">
        <v>154</v>
      </c>
      <c r="C1118" s="1" t="s">
        <v>37</v>
      </c>
      <c r="D1118" s="1"/>
      <c r="E1118" s="1" t="s">
        <v>40</v>
      </c>
      <c r="F1118" s="1"/>
      <c r="G1118" s="1"/>
      <c r="H1118" s="1"/>
      <c r="I1118" s="1"/>
      <c r="J1118" s="1"/>
    </row>
    <row r="1119" spans="1:10" x14ac:dyDescent="0.25">
      <c r="A1119" s="2">
        <v>43922</v>
      </c>
      <c r="B1119" s="1" t="s">
        <v>155</v>
      </c>
      <c r="C1119" s="1" t="s">
        <v>41</v>
      </c>
      <c r="D1119" s="1"/>
      <c r="E1119" s="1" t="s">
        <v>46</v>
      </c>
      <c r="F1119" s="1"/>
      <c r="G1119" s="1"/>
      <c r="H1119" s="1"/>
      <c r="I1119" s="1"/>
      <c r="J1119" s="1"/>
    </row>
    <row r="1120" spans="1:10" x14ac:dyDescent="0.25">
      <c r="A1120" s="2">
        <v>43922</v>
      </c>
      <c r="B1120" s="1" t="s">
        <v>155</v>
      </c>
      <c r="C1120" s="1" t="s">
        <v>30</v>
      </c>
      <c r="D1120" s="1"/>
      <c r="E1120" s="1" t="s">
        <v>38</v>
      </c>
      <c r="F1120" s="1"/>
      <c r="G1120" s="1"/>
      <c r="H1120" s="1"/>
      <c r="I1120" s="1"/>
      <c r="J1120" s="1"/>
    </row>
    <row r="1121" spans="1:10" x14ac:dyDescent="0.25">
      <c r="A1121" s="2">
        <v>43922</v>
      </c>
      <c r="B1121" s="1" t="s">
        <v>150</v>
      </c>
      <c r="C1121" s="1" t="s">
        <v>35</v>
      </c>
      <c r="D1121" s="1"/>
      <c r="E1121" s="1" t="s">
        <v>48</v>
      </c>
      <c r="F1121" s="1"/>
      <c r="G1121" s="1"/>
      <c r="H1121" s="1"/>
      <c r="I1121" s="1"/>
      <c r="J1121" s="1"/>
    </row>
    <row r="1122" spans="1:10" x14ac:dyDescent="0.25">
      <c r="A1122" s="2">
        <v>43922</v>
      </c>
      <c r="B1122" s="1" t="s">
        <v>150</v>
      </c>
      <c r="C1122" s="1" t="s">
        <v>43</v>
      </c>
      <c r="D1122" s="1"/>
      <c r="E1122" s="1" t="s">
        <v>42</v>
      </c>
      <c r="F1122" s="1"/>
      <c r="G1122" s="1"/>
      <c r="H1122" s="1"/>
      <c r="I1122" s="1"/>
      <c r="J1122" s="1"/>
    </row>
    <row r="1123" spans="1:10" x14ac:dyDescent="0.25">
      <c r="A1123" s="2">
        <v>43922</v>
      </c>
      <c r="B1123" s="1" t="s">
        <v>150</v>
      </c>
      <c r="C1123" s="1" t="s">
        <v>26</v>
      </c>
      <c r="D1123" s="1"/>
      <c r="E1123" s="1" t="s">
        <v>33</v>
      </c>
      <c r="F1123" s="1"/>
      <c r="G1123" s="1"/>
      <c r="H1123" s="1"/>
      <c r="I1123" s="1"/>
      <c r="J1123" s="1"/>
    </row>
    <row r="1124" spans="1:10" x14ac:dyDescent="0.25">
      <c r="A1124" s="2">
        <v>43922</v>
      </c>
      <c r="B1124" s="1" t="s">
        <v>157</v>
      </c>
      <c r="C1124" s="1" t="s">
        <v>27</v>
      </c>
      <c r="D1124" s="1"/>
      <c r="E1124" s="1" t="s">
        <v>39</v>
      </c>
      <c r="F1124" s="1"/>
      <c r="G1124" s="1"/>
      <c r="H1124" s="1"/>
      <c r="I1124" s="1"/>
      <c r="J1124" s="1"/>
    </row>
    <row r="1125" spans="1:10" x14ac:dyDescent="0.25">
      <c r="A1125" s="2">
        <v>43922</v>
      </c>
      <c r="B1125" s="1" t="s">
        <v>157</v>
      </c>
      <c r="C1125" s="1" t="s">
        <v>49</v>
      </c>
      <c r="D1125" s="1"/>
      <c r="E1125" s="1" t="s">
        <v>34</v>
      </c>
      <c r="F1125" s="1"/>
      <c r="G1125" s="1"/>
      <c r="H1125" s="1"/>
      <c r="I1125" s="1"/>
      <c r="J1125" s="1"/>
    </row>
    <row r="1126" spans="1:10" x14ac:dyDescent="0.25">
      <c r="A1126" s="2">
        <v>43922</v>
      </c>
      <c r="B1126" s="1" t="s">
        <v>153</v>
      </c>
      <c r="C1126" s="1" t="s">
        <v>51</v>
      </c>
      <c r="D1126" s="1"/>
      <c r="E1126" s="1" t="s">
        <v>47</v>
      </c>
      <c r="F1126" s="1"/>
      <c r="G1126" s="1"/>
      <c r="H1126" s="1"/>
      <c r="I1126" s="1"/>
      <c r="J1126" s="1"/>
    </row>
    <row r="1127" spans="1:10" x14ac:dyDescent="0.25">
      <c r="A1127" s="2">
        <v>43923</v>
      </c>
      <c r="B1127" s="1" t="s">
        <v>150</v>
      </c>
      <c r="C1127" s="1" t="s">
        <v>44</v>
      </c>
      <c r="D1127" s="1"/>
      <c r="E1127" s="1" t="s">
        <v>32</v>
      </c>
      <c r="F1127" s="1"/>
      <c r="G1127" s="1"/>
      <c r="H1127" s="1"/>
      <c r="I1127" s="1"/>
      <c r="J1127" s="1"/>
    </row>
    <row r="1128" spans="1:10" x14ac:dyDescent="0.25">
      <c r="A1128" s="2">
        <v>43923</v>
      </c>
      <c r="B1128" s="1" t="s">
        <v>158</v>
      </c>
      <c r="C1128" s="1" t="s">
        <v>25</v>
      </c>
      <c r="D1128" s="1"/>
      <c r="E1128" s="1" t="s">
        <v>36</v>
      </c>
      <c r="F1128" s="1"/>
      <c r="G1128" s="1"/>
      <c r="H1128" s="1"/>
      <c r="I1128" s="1"/>
      <c r="J1128" s="1"/>
    </row>
    <row r="1129" spans="1:10" x14ac:dyDescent="0.25">
      <c r="A1129" s="2">
        <v>43923</v>
      </c>
      <c r="B1129" s="1" t="s">
        <v>153</v>
      </c>
      <c r="C1129" s="1" t="s">
        <v>34</v>
      </c>
      <c r="D1129" s="1"/>
      <c r="E1129" s="1" t="s">
        <v>28</v>
      </c>
      <c r="F1129" s="1"/>
      <c r="G1129" s="1"/>
      <c r="H1129" s="1"/>
      <c r="I1129" s="1"/>
      <c r="J1129" s="1"/>
    </row>
    <row r="1130" spans="1:10" x14ac:dyDescent="0.25">
      <c r="A1130" s="2">
        <v>43924</v>
      </c>
      <c r="B1130" s="1" t="s">
        <v>154</v>
      </c>
      <c r="C1130" s="1" t="s">
        <v>41</v>
      </c>
      <c r="D1130" s="1"/>
      <c r="E1130" s="1" t="s">
        <v>30</v>
      </c>
      <c r="F1130" s="1"/>
      <c r="G1130" s="1"/>
      <c r="H1130" s="1"/>
      <c r="I1130" s="1"/>
      <c r="J1130" s="1"/>
    </row>
    <row r="1131" spans="1:10" x14ac:dyDescent="0.25">
      <c r="A1131" s="2">
        <v>43924</v>
      </c>
      <c r="B1131" s="1" t="s">
        <v>154</v>
      </c>
      <c r="C1131" s="1" t="s">
        <v>38</v>
      </c>
      <c r="D1131" s="1"/>
      <c r="E1131" s="1" t="s">
        <v>51</v>
      </c>
      <c r="F1131" s="1"/>
      <c r="G1131" s="1"/>
      <c r="H1131" s="1"/>
      <c r="I1131" s="1"/>
      <c r="J1131" s="1"/>
    </row>
    <row r="1132" spans="1:10" x14ac:dyDescent="0.25">
      <c r="A1132" s="2">
        <v>43924</v>
      </c>
      <c r="B1132" s="1" t="s">
        <v>154</v>
      </c>
      <c r="C1132" s="1" t="s">
        <v>45</v>
      </c>
      <c r="D1132" s="1"/>
      <c r="E1132" s="1" t="s">
        <v>40</v>
      </c>
      <c r="F1132" s="1"/>
      <c r="G1132" s="1"/>
      <c r="H1132" s="1"/>
      <c r="I1132" s="1"/>
      <c r="J1132" s="1"/>
    </row>
    <row r="1133" spans="1:10" x14ac:dyDescent="0.25">
      <c r="A1133" s="2">
        <v>43924</v>
      </c>
      <c r="B1133" s="1" t="s">
        <v>155</v>
      </c>
      <c r="C1133" s="1" t="s">
        <v>29</v>
      </c>
      <c r="D1133" s="1"/>
      <c r="E1133" s="1" t="s">
        <v>52</v>
      </c>
      <c r="F1133" s="1"/>
      <c r="G1133" s="1"/>
      <c r="H1133" s="1"/>
      <c r="I1133" s="1"/>
      <c r="J1133" s="1"/>
    </row>
    <row r="1134" spans="1:10" x14ac:dyDescent="0.25">
      <c r="A1134" s="2">
        <v>43924</v>
      </c>
      <c r="B1134" s="1" t="s">
        <v>155</v>
      </c>
      <c r="C1134" s="1" t="s">
        <v>53</v>
      </c>
      <c r="D1134" s="1"/>
      <c r="E1134" s="1" t="s">
        <v>46</v>
      </c>
      <c r="F1134" s="1"/>
      <c r="G1134" s="1"/>
      <c r="H1134" s="1"/>
      <c r="I1134" s="1"/>
      <c r="J1134" s="1"/>
    </row>
    <row r="1135" spans="1:10" x14ac:dyDescent="0.25">
      <c r="A1135" s="2">
        <v>43924</v>
      </c>
      <c r="B1135" s="1" t="s">
        <v>155</v>
      </c>
      <c r="C1135" s="1" t="s">
        <v>42</v>
      </c>
      <c r="D1135" s="1"/>
      <c r="E1135" s="1" t="s">
        <v>35</v>
      </c>
      <c r="F1135" s="1"/>
      <c r="G1135" s="1"/>
      <c r="H1135" s="1"/>
      <c r="I1135" s="1"/>
      <c r="J1135" s="1"/>
    </row>
    <row r="1136" spans="1:10" x14ac:dyDescent="0.25">
      <c r="A1136" s="2">
        <v>43924</v>
      </c>
      <c r="B1136" s="1" t="s">
        <v>155</v>
      </c>
      <c r="C1136" s="1" t="s">
        <v>39</v>
      </c>
      <c r="D1136" s="1"/>
      <c r="E1136" s="1" t="s">
        <v>27</v>
      </c>
      <c r="F1136" s="1"/>
      <c r="G1136" s="1"/>
      <c r="H1136" s="1"/>
      <c r="I1136" s="1"/>
      <c r="J1136" s="1"/>
    </row>
    <row r="1137" spans="1:10" x14ac:dyDescent="0.25">
      <c r="A1137" s="2">
        <v>43924</v>
      </c>
      <c r="B1137" s="1" t="s">
        <v>150</v>
      </c>
      <c r="C1137" s="1" t="s">
        <v>43</v>
      </c>
      <c r="D1137" s="1"/>
      <c r="E1137" s="1" t="s">
        <v>48</v>
      </c>
      <c r="F1137" s="1"/>
      <c r="G1137" s="1"/>
      <c r="H1137" s="1"/>
      <c r="I1137" s="1"/>
      <c r="J1137" s="1"/>
    </row>
    <row r="1138" spans="1:10" x14ac:dyDescent="0.25">
      <c r="A1138" s="2">
        <v>43924</v>
      </c>
      <c r="B1138" s="1" t="s">
        <v>156</v>
      </c>
      <c r="C1138" s="1" t="s">
        <v>44</v>
      </c>
      <c r="D1138" s="1"/>
      <c r="E1138" s="1" t="s">
        <v>54</v>
      </c>
      <c r="F1138" s="1"/>
      <c r="G1138" s="1"/>
      <c r="H1138" s="1"/>
      <c r="I1138" s="1"/>
      <c r="J1138" s="1"/>
    </row>
    <row r="1139" spans="1:10" x14ac:dyDescent="0.25">
      <c r="A1139" s="2">
        <v>43924</v>
      </c>
      <c r="B1139" s="1" t="s">
        <v>157</v>
      </c>
      <c r="C1139" s="1" t="s">
        <v>31</v>
      </c>
      <c r="D1139" s="1"/>
      <c r="E1139" s="1" t="s">
        <v>50</v>
      </c>
      <c r="F1139" s="1"/>
      <c r="G1139" s="1"/>
      <c r="H1139" s="1"/>
      <c r="I1139" s="1"/>
      <c r="J1139" s="1"/>
    </row>
    <row r="1140" spans="1:10" x14ac:dyDescent="0.25">
      <c r="A1140" s="2">
        <v>43924</v>
      </c>
      <c r="B1140" s="1" t="s">
        <v>158</v>
      </c>
      <c r="C1140" s="1" t="s">
        <v>49</v>
      </c>
      <c r="D1140" s="1"/>
      <c r="E1140" s="1" t="s">
        <v>26</v>
      </c>
      <c r="F1140" s="1"/>
      <c r="G1140" s="1"/>
      <c r="H1140" s="1"/>
      <c r="I1140" s="1"/>
      <c r="J1140" s="1"/>
    </row>
    <row r="1141" spans="1:10" x14ac:dyDescent="0.25">
      <c r="A1141" s="2">
        <v>43925</v>
      </c>
      <c r="B1141" s="1" t="s">
        <v>160</v>
      </c>
      <c r="C1141" s="1" t="s">
        <v>33</v>
      </c>
      <c r="D1141" s="1"/>
      <c r="E1141" s="1" t="s">
        <v>25</v>
      </c>
      <c r="F1141" s="1"/>
      <c r="G1141" s="1"/>
      <c r="H1141" s="1"/>
      <c r="I1141" s="1"/>
      <c r="J1141" s="1"/>
    </row>
    <row r="1142" spans="1:10" x14ac:dyDescent="0.25">
      <c r="A1142" s="2">
        <v>43925</v>
      </c>
      <c r="B1142" s="1" t="s">
        <v>158</v>
      </c>
      <c r="C1142" s="1" t="s">
        <v>47</v>
      </c>
      <c r="D1142" s="1"/>
      <c r="E1142" s="1" t="s">
        <v>36</v>
      </c>
      <c r="F1142" s="1"/>
      <c r="G1142" s="1"/>
      <c r="H1142" s="1"/>
      <c r="I1142" s="1"/>
      <c r="J1142" s="1"/>
    </row>
    <row r="1143" spans="1:10" x14ac:dyDescent="0.25">
      <c r="A1143" s="2">
        <v>43926</v>
      </c>
      <c r="B1143" s="1" t="s">
        <v>984</v>
      </c>
      <c r="C1143" s="1" t="s">
        <v>52</v>
      </c>
      <c r="D1143" s="1"/>
      <c r="E1143" s="1" t="s">
        <v>29</v>
      </c>
      <c r="F1143" s="1"/>
      <c r="G1143" s="1"/>
      <c r="H1143" s="1"/>
      <c r="I1143" s="1"/>
      <c r="J1143" s="1"/>
    </row>
    <row r="1144" spans="1:10" x14ac:dyDescent="0.25">
      <c r="A1144" s="2">
        <v>43926</v>
      </c>
      <c r="B1144" s="1" t="s">
        <v>984</v>
      </c>
      <c r="C1144" s="1" t="s">
        <v>53</v>
      </c>
      <c r="D1144" s="1"/>
      <c r="E1144" s="1" t="s">
        <v>45</v>
      </c>
      <c r="F1144" s="1"/>
      <c r="G1144" s="1"/>
      <c r="H1144" s="1"/>
      <c r="I1144" s="1"/>
      <c r="J1144" s="1"/>
    </row>
    <row r="1145" spans="1:10" x14ac:dyDescent="0.25">
      <c r="A1145" s="2">
        <v>43926</v>
      </c>
      <c r="B1145" s="1" t="s">
        <v>160</v>
      </c>
      <c r="C1145" s="1" t="s">
        <v>39</v>
      </c>
      <c r="D1145" s="1"/>
      <c r="E1145" s="1" t="s">
        <v>46</v>
      </c>
      <c r="F1145" s="1"/>
      <c r="G1145" s="1"/>
      <c r="H1145" s="1"/>
      <c r="I1145" s="1"/>
      <c r="J1145" s="1"/>
    </row>
    <row r="1146" spans="1:10" x14ac:dyDescent="0.25">
      <c r="A1146" s="2">
        <v>43926</v>
      </c>
      <c r="B1146" s="1" t="s">
        <v>159</v>
      </c>
      <c r="C1146" s="1" t="s">
        <v>40</v>
      </c>
      <c r="D1146" s="1"/>
      <c r="E1146" s="1" t="s">
        <v>51</v>
      </c>
      <c r="F1146" s="1"/>
      <c r="G1146" s="1"/>
      <c r="H1146" s="1"/>
      <c r="I1146" s="1"/>
      <c r="J1146" s="1"/>
    </row>
    <row r="1147" spans="1:10" x14ac:dyDescent="0.25">
      <c r="A1147" s="2">
        <v>43926</v>
      </c>
      <c r="B1147" s="1" t="s">
        <v>159</v>
      </c>
      <c r="C1147" s="1" t="s">
        <v>41</v>
      </c>
      <c r="D1147" s="1"/>
      <c r="E1147" s="1" t="s">
        <v>35</v>
      </c>
      <c r="F1147" s="1"/>
      <c r="G1147" s="1"/>
      <c r="H1147" s="1"/>
      <c r="I1147" s="1"/>
      <c r="J1147" s="1"/>
    </row>
    <row r="1148" spans="1:10" x14ac:dyDescent="0.25">
      <c r="A1148" s="2">
        <v>43926</v>
      </c>
      <c r="B1148" s="1" t="s">
        <v>161</v>
      </c>
      <c r="C1148" s="1" t="s">
        <v>43</v>
      </c>
      <c r="D1148" s="1"/>
      <c r="E1148" s="1" t="s">
        <v>38</v>
      </c>
      <c r="F1148" s="1"/>
      <c r="G1148" s="1"/>
      <c r="H1148" s="1"/>
      <c r="I1148" s="1"/>
      <c r="J1148" s="1"/>
    </row>
    <row r="1149" spans="1:10" x14ac:dyDescent="0.25">
      <c r="A1149" s="2">
        <v>43926</v>
      </c>
      <c r="B1149" s="1" t="s">
        <v>161</v>
      </c>
      <c r="C1149" s="1" t="s">
        <v>34</v>
      </c>
      <c r="D1149" s="1"/>
      <c r="E1149" s="1" t="s">
        <v>50</v>
      </c>
      <c r="F1149" s="1"/>
      <c r="G1149" s="1"/>
      <c r="H1149" s="1"/>
      <c r="I1149" s="1"/>
      <c r="J1149" s="1"/>
    </row>
    <row r="1150" spans="1:10" x14ac:dyDescent="0.25">
      <c r="A1150" s="2">
        <v>43926</v>
      </c>
      <c r="B1150" s="1" t="s">
        <v>161</v>
      </c>
      <c r="C1150" s="1" t="s">
        <v>31</v>
      </c>
      <c r="D1150" s="1"/>
      <c r="E1150" s="1" t="s">
        <v>26</v>
      </c>
      <c r="F1150" s="1"/>
      <c r="G1150" s="1"/>
      <c r="H1150" s="1"/>
      <c r="I1150" s="1"/>
      <c r="J1150" s="1"/>
    </row>
    <row r="1151" spans="1:10" x14ac:dyDescent="0.25">
      <c r="A1151" s="2">
        <v>43926</v>
      </c>
      <c r="B1151" s="1" t="s">
        <v>154</v>
      </c>
      <c r="C1151" s="1" t="s">
        <v>27</v>
      </c>
      <c r="D1151" s="1"/>
      <c r="E1151" s="1" t="s">
        <v>32</v>
      </c>
      <c r="F1151" s="1"/>
      <c r="G1151" s="1"/>
      <c r="H1151" s="1"/>
      <c r="I1151" s="1"/>
      <c r="J1151" s="1"/>
    </row>
    <row r="1152" spans="1:10" x14ac:dyDescent="0.25">
      <c r="A1152" s="2">
        <v>43926</v>
      </c>
      <c r="B1152" s="1" t="s">
        <v>154</v>
      </c>
      <c r="C1152" s="1" t="s">
        <v>30</v>
      </c>
      <c r="D1152" s="1"/>
      <c r="E1152" s="1" t="s">
        <v>42</v>
      </c>
      <c r="F1152" s="1"/>
      <c r="G1152" s="1"/>
      <c r="H1152" s="1"/>
      <c r="I1152" s="1"/>
      <c r="J1152" s="1"/>
    </row>
    <row r="1153" spans="1:10" x14ac:dyDescent="0.25">
      <c r="A1153" s="2">
        <v>43926</v>
      </c>
      <c r="B1153" s="1" t="s">
        <v>154</v>
      </c>
      <c r="C1153" s="1" t="s">
        <v>37</v>
      </c>
      <c r="D1153" s="1"/>
      <c r="E1153" s="1" t="s">
        <v>54</v>
      </c>
      <c r="F1153" s="1"/>
      <c r="G1153" s="1"/>
      <c r="H1153" s="1"/>
      <c r="I1153" s="1"/>
      <c r="J1153" s="1"/>
    </row>
    <row r="1154" spans="1:10" x14ac:dyDescent="0.25">
      <c r="A1154" s="2">
        <v>43926</v>
      </c>
      <c r="B1154" s="1" t="s">
        <v>157</v>
      </c>
      <c r="C1154" s="1" t="s">
        <v>48</v>
      </c>
      <c r="D1154" s="1"/>
      <c r="E1154" s="1" t="s">
        <v>28</v>
      </c>
      <c r="F1154" s="1"/>
      <c r="G1154" s="1"/>
      <c r="H1154" s="1"/>
      <c r="I1154" s="1"/>
      <c r="J1154" s="1"/>
    </row>
    <row r="1155" spans="1:10" x14ac:dyDescent="0.25">
      <c r="A1155" s="2">
        <v>43926</v>
      </c>
      <c r="B1155" s="1" t="s">
        <v>157</v>
      </c>
      <c r="C1155" s="1" t="s">
        <v>49</v>
      </c>
      <c r="D1155" s="1"/>
      <c r="E1155" s="1" t="s">
        <v>36</v>
      </c>
      <c r="F1155" s="1"/>
      <c r="G1155" s="1"/>
      <c r="H1155" s="1"/>
      <c r="I1155" s="1"/>
      <c r="J1155" s="1"/>
    </row>
    <row r="1156" spans="1:10" x14ac:dyDescent="0.25">
      <c r="A1156" s="2">
        <v>43926</v>
      </c>
      <c r="B1156" s="1" t="s">
        <v>162</v>
      </c>
      <c r="C1156" s="1" t="s">
        <v>33</v>
      </c>
      <c r="D1156" s="1"/>
      <c r="E1156" s="1" t="s">
        <v>47</v>
      </c>
      <c r="F1156" s="1"/>
      <c r="G1156" s="1"/>
      <c r="H1156" s="1"/>
      <c r="I1156" s="1"/>
      <c r="J1156" s="1"/>
    </row>
    <row r="1157" spans="1:10" x14ac:dyDescent="0.25">
      <c r="A1157" s="2">
        <v>43927</v>
      </c>
      <c r="B1157" s="1" t="s">
        <v>158</v>
      </c>
      <c r="C1157" s="1" t="s">
        <v>31</v>
      </c>
      <c r="D1157" s="1"/>
      <c r="E1157" s="1" t="s">
        <v>25</v>
      </c>
      <c r="F1157" s="1"/>
      <c r="G1157" s="1"/>
      <c r="H1157" s="1"/>
      <c r="I1157" s="1"/>
      <c r="J1157" s="1"/>
    </row>
    <row r="1158" spans="1:10" x14ac:dyDescent="0.25">
      <c r="A1158" s="2">
        <v>43928</v>
      </c>
      <c r="B1158" s="1" t="s">
        <v>154</v>
      </c>
      <c r="C1158" s="1" t="s">
        <v>27</v>
      </c>
      <c r="D1158" s="1"/>
      <c r="E1158" s="1" t="s">
        <v>40</v>
      </c>
      <c r="F1158" s="1"/>
      <c r="G1158" s="1"/>
      <c r="H1158" s="1"/>
      <c r="I1158" s="1"/>
      <c r="J1158" s="1"/>
    </row>
    <row r="1159" spans="1:10" x14ac:dyDescent="0.25">
      <c r="A1159" s="2">
        <v>43928</v>
      </c>
      <c r="B1159" s="1" t="s">
        <v>155</v>
      </c>
      <c r="C1159" s="1" t="s">
        <v>30</v>
      </c>
      <c r="D1159" s="1"/>
      <c r="E1159" s="1" t="s">
        <v>52</v>
      </c>
      <c r="F1159" s="1"/>
      <c r="G1159" s="1"/>
      <c r="H1159" s="1"/>
      <c r="I1159" s="1"/>
      <c r="J1159" s="1"/>
    </row>
    <row r="1160" spans="1:10" x14ac:dyDescent="0.25">
      <c r="A1160" s="2">
        <v>43928</v>
      </c>
      <c r="B1160" s="1" t="s">
        <v>155</v>
      </c>
      <c r="C1160" s="1" t="s">
        <v>51</v>
      </c>
      <c r="D1160" s="1"/>
      <c r="E1160" s="1" t="s">
        <v>41</v>
      </c>
      <c r="F1160" s="1"/>
      <c r="G1160" s="1"/>
      <c r="H1160" s="1"/>
      <c r="I1160" s="1"/>
      <c r="J1160" s="1"/>
    </row>
    <row r="1161" spans="1:10" x14ac:dyDescent="0.25">
      <c r="A1161" s="2">
        <v>43928</v>
      </c>
      <c r="B1161" s="1" t="s">
        <v>155</v>
      </c>
      <c r="C1161" s="1" t="s">
        <v>39</v>
      </c>
      <c r="D1161" s="1"/>
      <c r="E1161" s="1" t="s">
        <v>45</v>
      </c>
      <c r="F1161" s="1"/>
      <c r="G1161" s="1"/>
      <c r="H1161" s="1"/>
      <c r="I1161" s="1"/>
      <c r="J1161" s="1"/>
    </row>
    <row r="1162" spans="1:10" x14ac:dyDescent="0.25">
      <c r="A1162" s="2">
        <v>43928</v>
      </c>
      <c r="B1162" s="1" t="s">
        <v>150</v>
      </c>
      <c r="C1162" s="1" t="s">
        <v>26</v>
      </c>
      <c r="D1162" s="1"/>
      <c r="E1162" s="1" t="s">
        <v>42</v>
      </c>
      <c r="F1162" s="1"/>
      <c r="G1162" s="1"/>
      <c r="H1162" s="1"/>
      <c r="I1162" s="1"/>
      <c r="J1162" s="1"/>
    </row>
    <row r="1163" spans="1:10" x14ac:dyDescent="0.25">
      <c r="A1163" s="2">
        <v>43928</v>
      </c>
      <c r="B1163" s="1" t="s">
        <v>150</v>
      </c>
      <c r="C1163" s="1" t="s">
        <v>29</v>
      </c>
      <c r="D1163" s="1"/>
      <c r="E1163" s="1" t="s">
        <v>37</v>
      </c>
      <c r="F1163" s="1"/>
      <c r="G1163" s="1"/>
      <c r="H1163" s="1"/>
      <c r="I1163" s="1"/>
      <c r="J1163" s="1"/>
    </row>
    <row r="1164" spans="1:10" x14ac:dyDescent="0.25">
      <c r="A1164" s="2">
        <v>43928</v>
      </c>
      <c r="B1164" s="1" t="s">
        <v>150</v>
      </c>
      <c r="C1164" s="1" t="s">
        <v>38</v>
      </c>
      <c r="D1164" s="1"/>
      <c r="E1164" s="1" t="s">
        <v>33</v>
      </c>
      <c r="F1164" s="1"/>
      <c r="G1164" s="1"/>
      <c r="H1164" s="1"/>
      <c r="I1164" s="1"/>
      <c r="J1164" s="1"/>
    </row>
    <row r="1165" spans="1:10" x14ac:dyDescent="0.25">
      <c r="A1165" s="2">
        <v>43928</v>
      </c>
      <c r="B1165" s="1" t="s">
        <v>156</v>
      </c>
      <c r="C1165" s="1" t="s">
        <v>32</v>
      </c>
      <c r="D1165" s="1"/>
      <c r="E1165" s="1" t="s">
        <v>43</v>
      </c>
      <c r="F1165" s="1"/>
      <c r="G1165" s="1"/>
      <c r="H1165" s="1"/>
      <c r="I1165" s="1"/>
      <c r="J1165" s="1"/>
    </row>
    <row r="1166" spans="1:10" x14ac:dyDescent="0.25">
      <c r="A1166" s="2">
        <v>43928</v>
      </c>
      <c r="B1166" s="1" t="s">
        <v>156</v>
      </c>
      <c r="C1166" s="1" t="s">
        <v>36</v>
      </c>
      <c r="D1166" s="1"/>
      <c r="E1166" s="1" t="s">
        <v>54</v>
      </c>
      <c r="F1166" s="1"/>
      <c r="G1166" s="1"/>
      <c r="H1166" s="1"/>
      <c r="I1166" s="1"/>
      <c r="J1166" s="1"/>
    </row>
    <row r="1167" spans="1:10" x14ac:dyDescent="0.25">
      <c r="A1167" s="2">
        <v>43928</v>
      </c>
      <c r="B1167" s="1" t="s">
        <v>157</v>
      </c>
      <c r="C1167" s="1" t="s">
        <v>48</v>
      </c>
      <c r="D1167" s="1"/>
      <c r="E1167" s="1" t="s">
        <v>50</v>
      </c>
      <c r="F1167" s="1"/>
      <c r="G1167" s="1"/>
      <c r="H1167" s="1"/>
      <c r="I1167" s="1"/>
      <c r="J1167" s="1"/>
    </row>
    <row r="1168" spans="1:10" x14ac:dyDescent="0.25">
      <c r="A1168" s="2">
        <v>43928</v>
      </c>
      <c r="B1168" s="1" t="s">
        <v>158</v>
      </c>
      <c r="C1168" s="1" t="s">
        <v>44</v>
      </c>
      <c r="D1168" s="1"/>
      <c r="E1168" s="1" t="s">
        <v>47</v>
      </c>
      <c r="F1168" s="1"/>
      <c r="G1168" s="1"/>
      <c r="H1168" s="1"/>
      <c r="I1168" s="1"/>
      <c r="J1168" s="1"/>
    </row>
    <row r="1169" spans="1:10" x14ac:dyDescent="0.25">
      <c r="A1169" s="2">
        <v>43928</v>
      </c>
      <c r="B1169" s="1" t="s">
        <v>158</v>
      </c>
      <c r="C1169" s="1" t="s">
        <v>49</v>
      </c>
      <c r="D1169" s="1"/>
      <c r="E1169" s="1" t="s">
        <v>28</v>
      </c>
      <c r="F1169" s="1"/>
      <c r="G1169" s="1"/>
      <c r="H1169" s="1"/>
      <c r="I1169" s="1"/>
      <c r="J1169" s="1"/>
    </row>
    <row r="1170" spans="1:10" x14ac:dyDescent="0.25">
      <c r="A1170" s="2">
        <v>43928</v>
      </c>
      <c r="B1170" s="1" t="s">
        <v>158</v>
      </c>
      <c r="C1170" s="1" t="s">
        <v>25</v>
      </c>
      <c r="D1170" s="1"/>
      <c r="E1170" s="1" t="s">
        <v>34</v>
      </c>
      <c r="F1170" s="1"/>
      <c r="G1170" s="1"/>
      <c r="H1170" s="1"/>
      <c r="I1170" s="1"/>
      <c r="J1170" s="1"/>
    </row>
    <row r="1171" spans="1:10" x14ac:dyDescent="0.25">
      <c r="A1171" s="2">
        <v>43929</v>
      </c>
      <c r="B1171" s="1" t="s">
        <v>154</v>
      </c>
      <c r="C1171" s="1" t="s">
        <v>51</v>
      </c>
      <c r="D1171" s="1"/>
      <c r="E1171" s="1" t="s">
        <v>46</v>
      </c>
      <c r="F1171" s="1"/>
      <c r="G1171" s="1"/>
      <c r="H1171" s="1"/>
      <c r="I1171" s="1"/>
      <c r="J1171" s="1"/>
    </row>
    <row r="1172" spans="1:10" x14ac:dyDescent="0.25">
      <c r="A1172" s="2">
        <v>43929</v>
      </c>
      <c r="B1172" s="1" t="s">
        <v>154</v>
      </c>
      <c r="C1172" s="1" t="s">
        <v>27</v>
      </c>
      <c r="D1172" s="1"/>
      <c r="E1172" s="1" t="s">
        <v>29</v>
      </c>
      <c r="F1172" s="1"/>
      <c r="G1172" s="1"/>
      <c r="H1172" s="1"/>
      <c r="I1172" s="1"/>
      <c r="J1172" s="1"/>
    </row>
    <row r="1173" spans="1:10" x14ac:dyDescent="0.25">
      <c r="A1173" s="2">
        <v>43929</v>
      </c>
      <c r="B1173" s="1" t="s">
        <v>155</v>
      </c>
      <c r="C1173" s="1" t="s">
        <v>53</v>
      </c>
      <c r="D1173" s="1"/>
      <c r="E1173" s="1" t="s">
        <v>35</v>
      </c>
      <c r="F1173" s="1"/>
      <c r="G1173" s="1"/>
      <c r="H1173" s="1"/>
      <c r="I1173" s="1"/>
      <c r="J1173" s="1"/>
    </row>
    <row r="1174" spans="1:10" x14ac:dyDescent="0.25">
      <c r="A1174" s="2">
        <v>43929</v>
      </c>
      <c r="B1174" s="1" t="s">
        <v>162</v>
      </c>
      <c r="C1174" s="1" t="s">
        <v>54</v>
      </c>
      <c r="D1174" s="1"/>
      <c r="E1174" s="1" t="s">
        <v>32</v>
      </c>
      <c r="F1174" s="1"/>
      <c r="G1174" s="1"/>
      <c r="H1174" s="1"/>
      <c r="I1174" s="1"/>
      <c r="J1174" s="1"/>
    </row>
    <row r="1175" spans="1:10" x14ac:dyDescent="0.25">
      <c r="A1175" s="2">
        <v>43929</v>
      </c>
      <c r="B1175" s="1" t="s">
        <v>153</v>
      </c>
      <c r="C1175" s="1" t="s">
        <v>49</v>
      </c>
      <c r="D1175" s="1"/>
      <c r="E1175" s="1" t="s">
        <v>44</v>
      </c>
      <c r="F1175" s="1"/>
      <c r="G1175" s="1"/>
      <c r="H1175" s="1"/>
      <c r="I1175" s="1"/>
      <c r="J1175" s="1"/>
    </row>
    <row r="1176" spans="1:10" x14ac:dyDescent="0.25">
      <c r="A1176" s="2">
        <v>43929</v>
      </c>
      <c r="B1176" s="1" t="s">
        <v>153</v>
      </c>
      <c r="C1176" s="1" t="s">
        <v>31</v>
      </c>
      <c r="D1176" s="1"/>
      <c r="E1176" s="1" t="s">
        <v>47</v>
      </c>
      <c r="F1176" s="1"/>
      <c r="G1176" s="1"/>
      <c r="H1176" s="1"/>
      <c r="I1176" s="1"/>
      <c r="J1176" s="1"/>
    </row>
    <row r="1177" spans="1:10" x14ac:dyDescent="0.25">
      <c r="A1177" s="2">
        <v>43930</v>
      </c>
      <c r="B1177" s="1" t="s">
        <v>155</v>
      </c>
      <c r="C1177" s="1" t="s">
        <v>30</v>
      </c>
      <c r="D1177" s="1"/>
      <c r="E1177" s="1" t="s">
        <v>41</v>
      </c>
      <c r="F1177" s="1"/>
      <c r="G1177" s="1"/>
      <c r="H1177" s="1"/>
      <c r="I1177" s="1"/>
      <c r="J1177" s="1"/>
    </row>
    <row r="1178" spans="1:10" x14ac:dyDescent="0.25">
      <c r="A1178" s="2">
        <v>43930</v>
      </c>
      <c r="B1178" s="1" t="s">
        <v>150</v>
      </c>
      <c r="C1178" s="1" t="s">
        <v>38</v>
      </c>
      <c r="D1178" s="1"/>
      <c r="E1178" s="1" t="s">
        <v>39</v>
      </c>
      <c r="F1178" s="1"/>
      <c r="G1178" s="1"/>
      <c r="H1178" s="1"/>
      <c r="I1178" s="1"/>
      <c r="J1178" s="1"/>
    </row>
    <row r="1179" spans="1:10" x14ac:dyDescent="0.25">
      <c r="A1179" s="2">
        <v>43930</v>
      </c>
      <c r="B1179" s="1" t="s">
        <v>150</v>
      </c>
      <c r="C1179" s="1" t="s">
        <v>36</v>
      </c>
      <c r="D1179" s="1"/>
      <c r="E1179" s="1" t="s">
        <v>42</v>
      </c>
      <c r="F1179" s="1"/>
      <c r="G1179" s="1"/>
      <c r="H1179" s="1"/>
      <c r="I1179" s="1"/>
      <c r="J1179" s="1"/>
    </row>
    <row r="1180" spans="1:10" x14ac:dyDescent="0.25">
      <c r="A1180" s="2">
        <v>43930</v>
      </c>
      <c r="B1180" s="1" t="s">
        <v>150</v>
      </c>
      <c r="C1180" s="1" t="s">
        <v>26</v>
      </c>
      <c r="D1180" s="1"/>
      <c r="E1180" s="1" t="s">
        <v>37</v>
      </c>
      <c r="F1180" s="1"/>
      <c r="G1180" s="1"/>
      <c r="H1180" s="1"/>
      <c r="I1180" s="1"/>
      <c r="J1180" s="1"/>
    </row>
    <row r="1181" spans="1:10" x14ac:dyDescent="0.25">
      <c r="A1181" s="2">
        <v>43930</v>
      </c>
      <c r="B1181" s="1" t="s">
        <v>158</v>
      </c>
      <c r="C1181" s="1" t="s">
        <v>50</v>
      </c>
      <c r="D1181" s="1"/>
      <c r="E1181" s="1" t="s">
        <v>28</v>
      </c>
      <c r="F1181" s="1"/>
      <c r="G1181" s="1"/>
      <c r="H1181" s="1"/>
      <c r="I1181" s="1"/>
      <c r="J1181" s="1"/>
    </row>
    <row r="1182" spans="1:10" x14ac:dyDescent="0.25">
      <c r="A1182" s="2">
        <v>43930</v>
      </c>
      <c r="B1182" s="1" t="s">
        <v>153</v>
      </c>
      <c r="C1182" s="1" t="s">
        <v>25</v>
      </c>
      <c r="D1182" s="1"/>
      <c r="E1182" s="1" t="s">
        <v>47</v>
      </c>
      <c r="F1182" s="1"/>
      <c r="G1182" s="1"/>
      <c r="H1182" s="1"/>
      <c r="I1182" s="1"/>
      <c r="J1182" s="1"/>
    </row>
    <row r="1183" spans="1:10" x14ac:dyDescent="0.25">
      <c r="A1183" s="2">
        <v>43931</v>
      </c>
      <c r="B1183" s="1" t="s">
        <v>154</v>
      </c>
      <c r="C1183" s="1" t="s">
        <v>46</v>
      </c>
      <c r="D1183" s="1"/>
      <c r="E1183" s="1" t="s">
        <v>53</v>
      </c>
      <c r="F1183" s="1"/>
      <c r="G1183" s="1"/>
      <c r="H1183" s="1"/>
      <c r="I1183" s="1"/>
      <c r="J1183" s="1"/>
    </row>
    <row r="1184" spans="1:10" x14ac:dyDescent="0.25">
      <c r="A1184" s="2">
        <v>43931</v>
      </c>
      <c r="B1184" s="1" t="s">
        <v>155</v>
      </c>
      <c r="C1184" s="1" t="s">
        <v>52</v>
      </c>
      <c r="D1184" s="1"/>
      <c r="E1184" s="1" t="s">
        <v>27</v>
      </c>
      <c r="F1184" s="1"/>
      <c r="G1184" s="1"/>
      <c r="H1184" s="1"/>
      <c r="I1184" s="1"/>
      <c r="J1184" s="1"/>
    </row>
    <row r="1185" spans="1:10" x14ac:dyDescent="0.25">
      <c r="A1185" s="2">
        <v>43931</v>
      </c>
      <c r="B1185" s="1" t="s">
        <v>150</v>
      </c>
      <c r="C1185" s="1" t="s">
        <v>40</v>
      </c>
      <c r="D1185" s="1"/>
      <c r="E1185" s="1" t="s">
        <v>32</v>
      </c>
      <c r="F1185" s="1"/>
      <c r="G1185" s="1"/>
      <c r="H1185" s="1"/>
      <c r="I1185" s="1"/>
      <c r="J1185" s="1"/>
    </row>
    <row r="1186" spans="1:10" x14ac:dyDescent="0.25">
      <c r="A1186" s="2">
        <v>43931</v>
      </c>
      <c r="B1186" s="1" t="s">
        <v>150</v>
      </c>
      <c r="C1186" s="1" t="s">
        <v>35</v>
      </c>
      <c r="D1186" s="1"/>
      <c r="E1186" s="1" t="s">
        <v>33</v>
      </c>
      <c r="F1186" s="1"/>
      <c r="G1186" s="1"/>
      <c r="H1186" s="1"/>
      <c r="I1186" s="1"/>
      <c r="J1186" s="1"/>
    </row>
    <row r="1187" spans="1:10" x14ac:dyDescent="0.25">
      <c r="A1187" s="2">
        <v>43931</v>
      </c>
      <c r="B1187" s="1" t="s">
        <v>156</v>
      </c>
      <c r="C1187" s="1" t="s">
        <v>45</v>
      </c>
      <c r="D1187" s="1"/>
      <c r="E1187" s="1" t="s">
        <v>54</v>
      </c>
      <c r="F1187" s="1"/>
      <c r="G1187" s="1"/>
      <c r="H1187" s="1"/>
      <c r="I1187" s="1"/>
      <c r="J1187" s="1"/>
    </row>
    <row r="1188" spans="1:10" x14ac:dyDescent="0.25">
      <c r="A1188" s="2">
        <v>43932</v>
      </c>
      <c r="B1188" s="1" t="s">
        <v>261</v>
      </c>
      <c r="C1188" s="1" t="s">
        <v>30</v>
      </c>
      <c r="D1188" s="1"/>
      <c r="E1188" s="1" t="s">
        <v>43</v>
      </c>
      <c r="F1188" s="1"/>
      <c r="G1188" s="1"/>
      <c r="H1188" s="1"/>
      <c r="I1188" s="1"/>
      <c r="J1188" s="1"/>
    </row>
    <row r="1189" spans="1:10" x14ac:dyDescent="0.25">
      <c r="A1189" s="2">
        <v>43932</v>
      </c>
      <c r="B1189" s="1" t="s">
        <v>154</v>
      </c>
      <c r="C1189" s="1" t="s">
        <v>40</v>
      </c>
      <c r="D1189" s="1"/>
      <c r="E1189" s="1" t="s">
        <v>29</v>
      </c>
      <c r="F1189" s="1"/>
      <c r="G1189" s="1"/>
      <c r="H1189" s="1"/>
      <c r="I1189" s="1"/>
      <c r="J1189" s="1"/>
    </row>
    <row r="1190" spans="1:10" x14ac:dyDescent="0.25">
      <c r="A1190" s="2">
        <v>43932</v>
      </c>
      <c r="B1190" s="1" t="s">
        <v>154</v>
      </c>
      <c r="C1190" s="1" t="s">
        <v>53</v>
      </c>
      <c r="D1190" s="1"/>
      <c r="E1190" s="1" t="s">
        <v>51</v>
      </c>
      <c r="F1190" s="1"/>
      <c r="G1190" s="1"/>
      <c r="H1190" s="1"/>
      <c r="I1190" s="1"/>
      <c r="J1190" s="1"/>
    </row>
    <row r="1191" spans="1:10" x14ac:dyDescent="0.25">
      <c r="A1191" s="2">
        <v>43932</v>
      </c>
      <c r="B1191" s="1" t="s">
        <v>154</v>
      </c>
      <c r="C1191" s="1" t="s">
        <v>45</v>
      </c>
      <c r="D1191" s="1"/>
      <c r="E1191" s="1" t="s">
        <v>37</v>
      </c>
      <c r="F1191" s="1"/>
      <c r="G1191" s="1"/>
      <c r="H1191" s="1"/>
      <c r="I1191" s="1"/>
      <c r="J1191" s="1"/>
    </row>
    <row r="1192" spans="1:10" x14ac:dyDescent="0.25">
      <c r="A1192" s="2">
        <v>43932</v>
      </c>
      <c r="B1192" s="1" t="s">
        <v>155</v>
      </c>
      <c r="C1192" s="1" t="s">
        <v>39</v>
      </c>
      <c r="D1192" s="1"/>
      <c r="E1192" s="1" t="s">
        <v>49</v>
      </c>
      <c r="F1192" s="1"/>
      <c r="G1192" s="1"/>
      <c r="H1192" s="1"/>
      <c r="I1192" s="1"/>
      <c r="J1192" s="1"/>
    </row>
    <row r="1193" spans="1:10" x14ac:dyDescent="0.25">
      <c r="A1193" s="2">
        <v>43932</v>
      </c>
      <c r="B1193" s="1" t="s">
        <v>150</v>
      </c>
      <c r="C1193" s="1" t="s">
        <v>38</v>
      </c>
      <c r="D1193" s="1"/>
      <c r="E1193" s="1" t="s">
        <v>31</v>
      </c>
      <c r="F1193" s="1"/>
      <c r="G1193" s="1"/>
      <c r="H1193" s="1"/>
      <c r="I1193" s="1"/>
      <c r="J1193" s="1"/>
    </row>
    <row r="1194" spans="1:10" x14ac:dyDescent="0.25">
      <c r="A1194" s="2">
        <v>43932</v>
      </c>
      <c r="B1194" s="1" t="s">
        <v>150</v>
      </c>
      <c r="C1194" s="1" t="s">
        <v>33</v>
      </c>
      <c r="D1194" s="1"/>
      <c r="E1194" s="1" t="s">
        <v>48</v>
      </c>
      <c r="F1194" s="1"/>
      <c r="G1194" s="1"/>
      <c r="H1194" s="1"/>
      <c r="I1194" s="1"/>
      <c r="J1194" s="1"/>
    </row>
    <row r="1195" spans="1:10" x14ac:dyDescent="0.25">
      <c r="A1195" s="2">
        <v>43932</v>
      </c>
      <c r="B1195" s="1" t="s">
        <v>150</v>
      </c>
      <c r="C1195" s="1" t="s">
        <v>46</v>
      </c>
      <c r="D1195" s="1"/>
      <c r="E1195" s="1" t="s">
        <v>41</v>
      </c>
      <c r="F1195" s="1"/>
      <c r="G1195" s="1"/>
      <c r="H1195" s="1"/>
      <c r="I1195" s="1"/>
      <c r="J1195" s="1"/>
    </row>
    <row r="1196" spans="1:10" x14ac:dyDescent="0.25">
      <c r="A1196" s="2">
        <v>43932</v>
      </c>
      <c r="B1196" s="1" t="s">
        <v>156</v>
      </c>
      <c r="C1196" s="1" t="s">
        <v>44</v>
      </c>
      <c r="D1196" s="1"/>
      <c r="E1196" s="1" t="s">
        <v>25</v>
      </c>
      <c r="F1196" s="1"/>
      <c r="G1196" s="1"/>
      <c r="H1196" s="1"/>
      <c r="I1196" s="1"/>
      <c r="J1196" s="1"/>
    </row>
    <row r="1197" spans="1:10" x14ac:dyDescent="0.25">
      <c r="A1197" s="2">
        <v>43932</v>
      </c>
      <c r="B1197" s="1" t="s">
        <v>157</v>
      </c>
      <c r="C1197" s="1" t="s">
        <v>36</v>
      </c>
      <c r="D1197" s="1"/>
      <c r="E1197" s="1" t="s">
        <v>50</v>
      </c>
      <c r="F1197" s="1"/>
      <c r="G1197" s="1"/>
      <c r="H1197" s="1"/>
      <c r="I1197" s="1"/>
      <c r="J1197" s="1"/>
    </row>
    <row r="1198" spans="1:10" x14ac:dyDescent="0.25">
      <c r="A1198" s="2">
        <v>43932</v>
      </c>
      <c r="B1198" s="1" t="s">
        <v>158</v>
      </c>
      <c r="C1198" s="1" t="s">
        <v>34</v>
      </c>
      <c r="D1198" s="1"/>
      <c r="E1198" s="1" t="s">
        <v>26</v>
      </c>
      <c r="F1198" s="1"/>
      <c r="G1198" s="1"/>
      <c r="H1198" s="1"/>
      <c r="I1198" s="1"/>
      <c r="J1198" s="1"/>
    </row>
    <row r="1199" spans="1:10" x14ac:dyDescent="0.25">
      <c r="A1199" s="2">
        <v>43933</v>
      </c>
      <c r="B1199" s="1" t="s">
        <v>160</v>
      </c>
      <c r="C1199" s="1" t="s">
        <v>32</v>
      </c>
      <c r="D1199" s="1"/>
      <c r="E1199" s="1" t="s">
        <v>54</v>
      </c>
      <c r="F1199" s="1"/>
      <c r="G1199" s="1"/>
      <c r="H1199" s="1"/>
      <c r="I1199" s="1"/>
      <c r="J1199" s="1"/>
    </row>
    <row r="1200" spans="1:10" x14ac:dyDescent="0.25">
      <c r="A1200" s="2">
        <v>43933</v>
      </c>
      <c r="B1200" s="1" t="s">
        <v>161</v>
      </c>
      <c r="C1200" s="1" t="s">
        <v>35</v>
      </c>
      <c r="D1200" s="1"/>
      <c r="E1200" s="1" t="s">
        <v>27</v>
      </c>
      <c r="F1200" s="1"/>
      <c r="G1200" s="1"/>
      <c r="H1200" s="1"/>
      <c r="I1200" s="1"/>
      <c r="J1200" s="1"/>
    </row>
    <row r="1201" spans="1:10" x14ac:dyDescent="0.25">
      <c r="A1201" s="2">
        <v>43933</v>
      </c>
      <c r="B1201" s="1" t="s">
        <v>154</v>
      </c>
      <c r="C1201" s="1" t="s">
        <v>52</v>
      </c>
      <c r="D1201" s="1"/>
      <c r="E1201" s="1" t="s">
        <v>39</v>
      </c>
      <c r="F1201" s="1"/>
      <c r="G1201" s="1"/>
      <c r="H1201" s="1"/>
      <c r="I1201" s="1"/>
      <c r="J1201" s="1"/>
    </row>
    <row r="1202" spans="1:10" x14ac:dyDescent="0.25">
      <c r="A1202" s="2">
        <v>43933</v>
      </c>
      <c r="B1202" s="1" t="s">
        <v>162</v>
      </c>
      <c r="C1202" s="1" t="s">
        <v>42</v>
      </c>
      <c r="D1202" s="1"/>
      <c r="E1202" s="1" t="s">
        <v>47</v>
      </c>
      <c r="F1202" s="1"/>
      <c r="G1202" s="1"/>
      <c r="H1202" s="1"/>
      <c r="I1202" s="1"/>
      <c r="J1202" s="1"/>
    </row>
    <row r="1203" spans="1:10" x14ac:dyDescent="0.25">
      <c r="A1203" s="2">
        <v>43934</v>
      </c>
      <c r="B1203" s="1" t="s">
        <v>154</v>
      </c>
      <c r="C1203" s="1" t="s">
        <v>41</v>
      </c>
      <c r="D1203" s="1"/>
      <c r="E1203" s="1" t="s">
        <v>29</v>
      </c>
      <c r="F1203" s="1"/>
      <c r="G1203" s="1"/>
      <c r="H1203" s="1"/>
      <c r="I1203" s="1"/>
      <c r="J1203" s="1"/>
    </row>
    <row r="1204" spans="1:10" x14ac:dyDescent="0.25">
      <c r="A1204" s="2">
        <v>43934</v>
      </c>
      <c r="B1204" s="1" t="s">
        <v>154</v>
      </c>
      <c r="C1204" s="1" t="s">
        <v>38</v>
      </c>
      <c r="D1204" s="1"/>
      <c r="E1204" s="1" t="s">
        <v>49</v>
      </c>
      <c r="F1204" s="1"/>
      <c r="G1204" s="1"/>
      <c r="H1204" s="1"/>
      <c r="I1204" s="1"/>
      <c r="J1204" s="1"/>
    </row>
    <row r="1205" spans="1:10" x14ac:dyDescent="0.25">
      <c r="A1205" s="2">
        <v>43934</v>
      </c>
      <c r="B1205" s="1" t="s">
        <v>154</v>
      </c>
      <c r="C1205" s="1" t="s">
        <v>46</v>
      </c>
      <c r="D1205" s="1"/>
      <c r="E1205" s="1" t="s">
        <v>30</v>
      </c>
      <c r="F1205" s="1"/>
      <c r="G1205" s="1"/>
      <c r="H1205" s="1"/>
      <c r="I1205" s="1"/>
      <c r="J1205" s="1"/>
    </row>
    <row r="1206" spans="1:10" x14ac:dyDescent="0.25">
      <c r="A1206" s="2">
        <v>43934</v>
      </c>
      <c r="B1206" s="1" t="s">
        <v>154</v>
      </c>
      <c r="C1206" s="1" t="s">
        <v>54</v>
      </c>
      <c r="D1206" s="1"/>
      <c r="E1206" s="1" t="s">
        <v>51</v>
      </c>
      <c r="F1206" s="1"/>
      <c r="G1206" s="1"/>
      <c r="H1206" s="1"/>
      <c r="I1206" s="1"/>
      <c r="J1206" s="1"/>
    </row>
    <row r="1207" spans="1:10" x14ac:dyDescent="0.25">
      <c r="A1207" s="2">
        <v>43934</v>
      </c>
      <c r="B1207" s="1" t="s">
        <v>150</v>
      </c>
      <c r="C1207" s="1" t="s">
        <v>53</v>
      </c>
      <c r="D1207" s="1"/>
      <c r="E1207" s="1" t="s">
        <v>31</v>
      </c>
      <c r="F1207" s="1"/>
      <c r="G1207" s="1"/>
      <c r="H1207" s="1"/>
      <c r="I1207" s="1"/>
      <c r="J1207" s="1"/>
    </row>
    <row r="1208" spans="1:10" x14ac:dyDescent="0.25">
      <c r="A1208" s="2">
        <v>43934</v>
      </c>
      <c r="B1208" s="1" t="s">
        <v>150</v>
      </c>
      <c r="C1208" s="1" t="s">
        <v>26</v>
      </c>
      <c r="D1208" s="1"/>
      <c r="E1208" s="1" t="s">
        <v>32</v>
      </c>
      <c r="F1208" s="1"/>
      <c r="G1208" s="1"/>
      <c r="H1208" s="1"/>
      <c r="I1208" s="1"/>
      <c r="J1208" s="1"/>
    </row>
    <row r="1209" spans="1:10" x14ac:dyDescent="0.25">
      <c r="A1209" s="2">
        <v>43934</v>
      </c>
      <c r="B1209" s="1" t="s">
        <v>150</v>
      </c>
      <c r="C1209" s="1" t="s">
        <v>45</v>
      </c>
      <c r="D1209" s="1"/>
      <c r="E1209" s="1" t="s">
        <v>48</v>
      </c>
      <c r="F1209" s="1"/>
      <c r="G1209" s="1"/>
      <c r="H1209" s="1"/>
      <c r="I1209" s="1"/>
      <c r="J1209" s="1"/>
    </row>
    <row r="1210" spans="1:10" x14ac:dyDescent="0.25">
      <c r="A1210" s="2">
        <v>43934</v>
      </c>
      <c r="B1210" s="1" t="s">
        <v>150</v>
      </c>
      <c r="C1210" s="1" t="s">
        <v>40</v>
      </c>
      <c r="D1210" s="1"/>
      <c r="E1210" s="1" t="s">
        <v>37</v>
      </c>
      <c r="F1210" s="1"/>
      <c r="G1210" s="1"/>
      <c r="H1210" s="1"/>
      <c r="I1210" s="1"/>
      <c r="J1210" s="1"/>
    </row>
    <row r="1211" spans="1:10" x14ac:dyDescent="0.25">
      <c r="A1211" s="2">
        <v>43934</v>
      </c>
      <c r="B1211" s="1" t="s">
        <v>150</v>
      </c>
      <c r="C1211" s="1" t="s">
        <v>34</v>
      </c>
      <c r="D1211" s="1"/>
      <c r="E1211" s="1" t="s">
        <v>33</v>
      </c>
      <c r="F1211" s="1"/>
      <c r="G1211" s="1"/>
      <c r="H1211" s="1"/>
      <c r="I1211" s="1"/>
      <c r="J1211" s="1"/>
    </row>
    <row r="1212" spans="1:10" x14ac:dyDescent="0.25">
      <c r="A1212" s="2">
        <v>43934</v>
      </c>
      <c r="B1212" s="1" t="s">
        <v>157</v>
      </c>
      <c r="C1212" s="1" t="s">
        <v>43</v>
      </c>
      <c r="D1212" s="1"/>
      <c r="E1212" s="1" t="s">
        <v>50</v>
      </c>
      <c r="F1212" s="1"/>
      <c r="G1212" s="1"/>
      <c r="H1212" s="1"/>
      <c r="I1212" s="1"/>
      <c r="J1212" s="1"/>
    </row>
    <row r="1213" spans="1:10" x14ac:dyDescent="0.25">
      <c r="A1213" s="2">
        <v>43934</v>
      </c>
      <c r="B1213" s="1" t="s">
        <v>153</v>
      </c>
      <c r="C1213" s="1" t="s">
        <v>28</v>
      </c>
      <c r="D1213" s="1"/>
      <c r="E1213" s="1" t="s">
        <v>44</v>
      </c>
      <c r="F1213" s="1"/>
      <c r="G1213" s="1"/>
      <c r="H1213" s="1"/>
      <c r="I1213" s="1"/>
      <c r="J1213" s="1"/>
    </row>
    <row r="1214" spans="1:10" x14ac:dyDescent="0.25">
      <c r="A1214" s="2">
        <v>43934</v>
      </c>
      <c r="B1214" s="1" t="s">
        <v>153</v>
      </c>
      <c r="C1214" s="1" t="s">
        <v>42</v>
      </c>
      <c r="D1214" s="1"/>
      <c r="E1214" s="1" t="s">
        <v>25</v>
      </c>
      <c r="F1214" s="1"/>
      <c r="G1214" s="1"/>
      <c r="H1214" s="1"/>
      <c r="I1214" s="1"/>
      <c r="J1214" s="1"/>
    </row>
    <row r="1215" spans="1:10" x14ac:dyDescent="0.25">
      <c r="A1215" s="2">
        <v>43935</v>
      </c>
      <c r="B1215" s="1" t="s">
        <v>155</v>
      </c>
      <c r="C1215" s="1" t="s">
        <v>27</v>
      </c>
      <c r="D1215" s="1"/>
      <c r="E1215" s="1" t="s">
        <v>41</v>
      </c>
      <c r="F1215" s="1"/>
      <c r="G1215" s="1"/>
      <c r="H1215" s="1"/>
      <c r="I1215" s="1"/>
      <c r="J1215" s="1"/>
    </row>
    <row r="1216" spans="1:10" x14ac:dyDescent="0.25">
      <c r="A1216" s="2">
        <v>43935</v>
      </c>
      <c r="B1216" s="1" t="s">
        <v>155</v>
      </c>
      <c r="C1216" s="1" t="s">
        <v>30</v>
      </c>
      <c r="D1216" s="1"/>
      <c r="E1216" s="1" t="s">
        <v>35</v>
      </c>
      <c r="F1216" s="1"/>
      <c r="G1216" s="1"/>
      <c r="H1216" s="1"/>
      <c r="I1216" s="1"/>
      <c r="J1216" s="1"/>
    </row>
    <row r="1217" spans="1:10" x14ac:dyDescent="0.25">
      <c r="A1217" s="2">
        <v>43935</v>
      </c>
      <c r="B1217" s="1" t="s">
        <v>158</v>
      </c>
      <c r="C1217" s="1" t="s">
        <v>50</v>
      </c>
      <c r="D1217" s="1"/>
      <c r="E1217" s="1" t="s">
        <v>34</v>
      </c>
      <c r="F1217" s="1"/>
      <c r="G1217" s="1"/>
      <c r="H1217" s="1"/>
      <c r="I1217" s="1"/>
      <c r="J1217" s="1"/>
    </row>
    <row r="1218" spans="1:10" x14ac:dyDescent="0.25">
      <c r="A1218" s="2">
        <v>43935</v>
      </c>
      <c r="B1218" s="1" t="s">
        <v>153</v>
      </c>
      <c r="C1218" s="1" t="s">
        <v>36</v>
      </c>
      <c r="D1218" s="1"/>
      <c r="E1218" s="1" t="s">
        <v>47</v>
      </c>
      <c r="F1218" s="1"/>
      <c r="G1218" s="1"/>
      <c r="H1218" s="1"/>
      <c r="I1218" s="1"/>
      <c r="J1218" s="1"/>
    </row>
    <row r="1219" spans="1:10" x14ac:dyDescent="0.25">
      <c r="A1219" s="2">
        <v>43936</v>
      </c>
      <c r="B1219" s="1" t="s">
        <v>155</v>
      </c>
      <c r="C1219" s="1" t="s">
        <v>49</v>
      </c>
      <c r="D1219" s="1"/>
      <c r="E1219" s="1" t="s">
        <v>52</v>
      </c>
      <c r="F1219" s="1"/>
      <c r="G1219" s="1"/>
      <c r="H1219" s="1"/>
      <c r="I1219" s="1"/>
      <c r="J1219" s="1"/>
    </row>
    <row r="1220" spans="1:10" x14ac:dyDescent="0.25">
      <c r="A1220" s="2">
        <v>43936</v>
      </c>
      <c r="B1220" s="1" t="s">
        <v>155</v>
      </c>
      <c r="C1220" s="1" t="s">
        <v>31</v>
      </c>
      <c r="D1220" s="1"/>
      <c r="E1220" s="1" t="s">
        <v>46</v>
      </c>
      <c r="F1220" s="1"/>
      <c r="G1220" s="1"/>
      <c r="H1220" s="1"/>
      <c r="I1220" s="1"/>
      <c r="J1220" s="1"/>
    </row>
    <row r="1221" spans="1:10" x14ac:dyDescent="0.25">
      <c r="A1221" s="2">
        <v>43936</v>
      </c>
      <c r="B1221" s="1" t="s">
        <v>155</v>
      </c>
      <c r="C1221" s="1" t="s">
        <v>39</v>
      </c>
      <c r="D1221" s="1"/>
      <c r="E1221" s="1" t="s">
        <v>38</v>
      </c>
      <c r="F1221" s="1"/>
      <c r="G1221" s="1"/>
      <c r="H1221" s="1"/>
      <c r="I1221" s="1"/>
      <c r="J1221" s="1"/>
    </row>
    <row r="1222" spans="1:10" x14ac:dyDescent="0.25">
      <c r="A1222" s="2">
        <v>43936</v>
      </c>
      <c r="B1222" s="1" t="s">
        <v>155</v>
      </c>
      <c r="C1222" s="1" t="s">
        <v>33</v>
      </c>
      <c r="D1222" s="1"/>
      <c r="E1222" s="1" t="s">
        <v>43</v>
      </c>
      <c r="F1222" s="1"/>
      <c r="G1222" s="1"/>
      <c r="H1222" s="1"/>
      <c r="I1222" s="1"/>
      <c r="J1222" s="1"/>
    </row>
    <row r="1223" spans="1:10" x14ac:dyDescent="0.25">
      <c r="A1223" s="2">
        <v>43936</v>
      </c>
      <c r="B1223" s="1" t="s">
        <v>155</v>
      </c>
      <c r="C1223" s="1" t="s">
        <v>48</v>
      </c>
      <c r="D1223" s="1"/>
      <c r="E1223" s="1" t="s">
        <v>32</v>
      </c>
      <c r="F1223" s="1"/>
      <c r="G1223" s="1"/>
      <c r="H1223" s="1"/>
      <c r="I1223" s="1"/>
      <c r="J1223" s="1"/>
    </row>
    <row r="1224" spans="1:10" x14ac:dyDescent="0.25">
      <c r="A1224" s="2">
        <v>43936</v>
      </c>
      <c r="B1224" s="1" t="s">
        <v>155</v>
      </c>
      <c r="C1224" s="1" t="s">
        <v>35</v>
      </c>
      <c r="D1224" s="1"/>
      <c r="E1224" s="1" t="s">
        <v>42</v>
      </c>
      <c r="F1224" s="1"/>
      <c r="G1224" s="1"/>
      <c r="H1224" s="1"/>
      <c r="I1224" s="1"/>
      <c r="J1224" s="1"/>
    </row>
    <row r="1225" spans="1:10" x14ac:dyDescent="0.25">
      <c r="A1225" s="2">
        <v>43936</v>
      </c>
      <c r="B1225" s="1" t="s">
        <v>155</v>
      </c>
      <c r="C1225" s="1" t="s">
        <v>27</v>
      </c>
      <c r="D1225" s="1"/>
      <c r="E1225" s="1" t="s">
        <v>53</v>
      </c>
      <c r="F1225" s="1"/>
      <c r="G1225" s="1"/>
      <c r="H1225" s="1"/>
      <c r="I1225" s="1"/>
      <c r="J1225" s="1"/>
    </row>
    <row r="1226" spans="1:10" x14ac:dyDescent="0.25">
      <c r="A1226" s="2">
        <v>43936</v>
      </c>
      <c r="B1226" s="1" t="s">
        <v>155</v>
      </c>
      <c r="C1226" s="1" t="s">
        <v>29</v>
      </c>
      <c r="D1226" s="1"/>
      <c r="E1226" s="1" t="s">
        <v>45</v>
      </c>
      <c r="F1226" s="1"/>
      <c r="G1226" s="1"/>
      <c r="H1226" s="1"/>
      <c r="I1226" s="1"/>
      <c r="J1226" s="1"/>
    </row>
    <row r="1227" spans="1:10" x14ac:dyDescent="0.25">
      <c r="A1227" s="2">
        <v>43936</v>
      </c>
      <c r="B1227" s="1" t="s">
        <v>155</v>
      </c>
      <c r="C1227" s="1" t="s">
        <v>37</v>
      </c>
      <c r="D1227" s="1"/>
      <c r="E1227" s="1" t="s">
        <v>54</v>
      </c>
      <c r="F1227" s="1"/>
      <c r="G1227" s="1"/>
      <c r="H1227" s="1"/>
      <c r="I1227" s="1"/>
      <c r="J1227" s="1"/>
    </row>
    <row r="1228" spans="1:10" x14ac:dyDescent="0.25">
      <c r="A1228" s="2">
        <v>43936</v>
      </c>
      <c r="B1228" s="1" t="s">
        <v>155</v>
      </c>
      <c r="C1228" s="1" t="s">
        <v>51</v>
      </c>
      <c r="D1228" s="1"/>
      <c r="E1228" s="1" t="s">
        <v>40</v>
      </c>
      <c r="F1228" s="1"/>
      <c r="G1228" s="1"/>
      <c r="H1228" s="1"/>
      <c r="I1228" s="1"/>
      <c r="J1228" s="1"/>
    </row>
    <row r="1229" spans="1:10" x14ac:dyDescent="0.25">
      <c r="A1229" s="2">
        <v>43936</v>
      </c>
      <c r="B1229" s="1" t="s">
        <v>158</v>
      </c>
      <c r="C1229" s="1" t="s">
        <v>47</v>
      </c>
      <c r="D1229" s="1"/>
      <c r="E1229" s="1" t="s">
        <v>26</v>
      </c>
      <c r="F1229" s="1"/>
      <c r="G1229" s="1"/>
      <c r="H1229" s="1"/>
      <c r="I1229" s="1"/>
      <c r="J1229" s="1"/>
    </row>
    <row r="1230" spans="1:10" x14ac:dyDescent="0.25">
      <c r="A1230" s="2">
        <v>43936</v>
      </c>
      <c r="B1230" s="1" t="s">
        <v>158</v>
      </c>
      <c r="C1230" s="1" t="s">
        <v>25</v>
      </c>
      <c r="D1230" s="1"/>
      <c r="E1230" s="1" t="s">
        <v>28</v>
      </c>
      <c r="F1230" s="1"/>
      <c r="G1230" s="1"/>
      <c r="H1230" s="1"/>
      <c r="I1230" s="1"/>
      <c r="J1230" s="1"/>
    </row>
    <row r="1231" spans="1:10" x14ac:dyDescent="0.25">
      <c r="A1231" s="2">
        <v>43936</v>
      </c>
      <c r="B1231" s="1" t="s">
        <v>158</v>
      </c>
      <c r="C1231" s="1" t="s">
        <v>44</v>
      </c>
      <c r="D1231" s="1"/>
      <c r="E1231" s="1" t="s">
        <v>36</v>
      </c>
      <c r="F1231" s="1"/>
      <c r="G1231" s="1"/>
      <c r="H1231" s="1"/>
      <c r="I1231" s="1"/>
      <c r="J1231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37572D5-1397-4E9F-BE0C-86A18BFC34B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Graphs</vt:lpstr>
      <vt:lpstr>Selections</vt:lpstr>
      <vt:lpstr>Tracker</vt:lpstr>
      <vt:lpstr>Simulator</vt:lpstr>
      <vt:lpstr>Offense</vt:lpstr>
      <vt:lpstr>Defense</vt:lpstr>
      <vt:lpstr>Team Analysis</vt:lpstr>
      <vt:lpstr>Offense per 100 Poss.</vt:lpstr>
      <vt:lpstr>Defense per 100 Poss.</vt:lpstr>
      <vt:lpstr>Misc. Stats</vt:lpstr>
      <vt:lpstr>AdvancedPlayerStats</vt:lpstr>
      <vt:lpstr>Scores</vt:lpstr>
      <vt:lpstr>ScoreImport (thru April)</vt:lpstr>
    </vt:vector>
  </TitlesOfParts>
  <Company>Philips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Philips</dc:creator>
  <cp:lastModifiedBy>Philips</cp:lastModifiedBy>
  <dcterms:created xsi:type="dcterms:W3CDTF">2019-10-31T19:38:26Z</dcterms:created>
  <dcterms:modified xsi:type="dcterms:W3CDTF">2020-03-12T19:48:49Z</dcterms:modified>
</cp:coreProperties>
</file>